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omments1.xml" ContentType="application/vnd.openxmlformats-officedocument.spreadsheetml.comments+xml"/>
  <Override PartName="/xl/drawings/drawing46.xml" ContentType="application/vnd.openxmlformats-officedocument.drawing+xml"/>
  <Override PartName="/xl/drawings/drawing4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bl203402\Documents\FSG MIS\"/>
    </mc:Choice>
  </mc:AlternateContent>
  <xr:revisionPtr revIDLastSave="0" documentId="13_ncr:1_{9FDC33AE-4D03-4EF6-B845-FF171E82AEF1}" xr6:coauthVersionLast="47" xr6:coauthVersionMax="47" xr10:uidLastSave="{00000000-0000-0000-0000-000000000000}"/>
  <bookViews>
    <workbookView xWindow="-120" yWindow="-120" windowWidth="20730" windowHeight="11040" tabRatio="694" activeTab="3" xr2:uid="{00000000-000D-0000-FFFF-FFFF00000000}"/>
  </bookViews>
  <sheets>
    <sheet name="NBFC-Vehicle Finance" sheetId="91" r:id="rId1"/>
    <sheet name="NBFC-Educational Loans" sheetId="95" r:id="rId2"/>
    <sheet name="NBFC-Gold Loan" sheetId="87" r:id="rId3"/>
    <sheet name="NBFC-LC" sheetId="92" r:id="rId4"/>
    <sheet name="NBFC-Wholesale" sheetId="93" r:id="rId5"/>
    <sheet name="NBFC-AFC" sheetId="90" r:id="rId6"/>
    <sheet name="NBFC-IFC" sheetId="89" r:id="rId7"/>
    <sheet name="NBFC-HFC" sheetId="88" r:id="rId8"/>
    <sheet name="EdGro Finance" sheetId="132" r:id="rId9"/>
    <sheet name="Hdfc Credila" sheetId="61" r:id="rId10"/>
    <sheet name="Auxilo Finserve " sheetId="49" r:id="rId11"/>
    <sheet name="Avanse Financial" sheetId="50" r:id="rId12"/>
    <sheet name="Kosamattam Finance" sheetId="133" r:id="rId13"/>
    <sheet name="Muthoot MCred" sheetId="76" r:id="rId14"/>
    <sheet name="Muthoot Fincorp" sheetId="75" r:id="rId15"/>
    <sheet name="Muthoot Finance" sheetId="11" r:id="rId16"/>
    <sheet name="Manappuram Finance" sheetId="13" r:id="rId17"/>
    <sheet name="Indostar Capital " sheetId="32" r:id="rId18"/>
    <sheet name="IKF Finance" sheetId="129" r:id="rId19"/>
    <sheet name="Cholamandalam Inv &amp; Fin" sheetId="7" r:id="rId20"/>
    <sheet name="SK Finance" sheetId="21" r:id="rId21"/>
    <sheet name="Shriram Finance" sheetId="112" r:id="rId22"/>
    <sheet name="Veritas Finance" sheetId="58" r:id="rId23"/>
    <sheet name="Oxyzo Financial" sheetId="81" r:id="rId24"/>
    <sheet name="Visage Holdings" sheetId="98" r:id="rId25"/>
    <sheet name="Tata Motors Finance" sheetId="10" r:id="rId26"/>
    <sheet name="M&amp;M financial ser" sheetId="14" r:id="rId27"/>
    <sheet name="MAS Financial Ser" sheetId="15" r:id="rId28"/>
    <sheet name="PNB Housing " sheetId="16" r:id="rId29"/>
    <sheet name="Aavas Financiers" sheetId="18" r:id="rId30"/>
    <sheet name="Repco Home Finance" sheetId="19" r:id="rId31"/>
    <sheet name="Ugro Capital" sheetId="20" r:id="rId32"/>
    <sheet name="Ambit Finvest" sheetId="22" r:id="rId33"/>
    <sheet name="arka fincap" sheetId="23" r:id="rId34"/>
    <sheet name="Aptus Value Housing" sheetId="24" r:id="rId35"/>
    <sheet name="HDFC Ltd" sheetId="25" r:id="rId36"/>
    <sheet name="L&amp;T Finance Hold." sheetId="27" r:id="rId37"/>
    <sheet name="Capsave Financial" sheetId="26" r:id="rId38"/>
    <sheet name="REC" sheetId="43" r:id="rId39"/>
    <sheet name="Indiabulls Housing" sheetId="31" r:id="rId40"/>
    <sheet name="Vastu Housing" sheetId="37" r:id="rId41"/>
    <sheet name="TVS Credit" sheetId="38" r:id="rId42"/>
    <sheet name="Capital India" sheetId="28" r:id="rId43"/>
    <sheet name="Svatantra Micro Housing" sheetId="39" r:id="rId44"/>
    <sheet name="Ifci" sheetId="29" r:id="rId45"/>
    <sheet name="Muthoot Capital Services" sheetId="30" r:id="rId46"/>
    <sheet name="Sundaram Home fin" sheetId="40" r:id="rId47"/>
    <sheet name="Fedfina" sheetId="33" r:id="rId48"/>
    <sheet name="finova capital" sheetId="34" r:id="rId49"/>
    <sheet name="five star" sheetId="35" r:id="rId50"/>
    <sheet name="Shubham Housing " sheetId="41" r:id="rId51"/>
    <sheet name="Vivriti Capital" sheetId="36" r:id="rId52"/>
    <sheet name="Vistaar Finance" sheetId="42" r:id="rId53"/>
    <sheet name="Power Finance Corporation " sheetId="44" r:id="rId54"/>
    <sheet name="Lic Housing Finance" sheetId="45" r:id="rId55"/>
    <sheet name="PTC India" sheetId="46" r:id="rId56"/>
    <sheet name="irfc" sheetId="47" r:id="rId57"/>
    <sheet name="Northern Arc" sheetId="48" r:id="rId58"/>
    <sheet name="Aptus Finance" sheetId="55" r:id="rId59"/>
    <sheet name="Home Credit" sheetId="51" r:id="rId60"/>
    <sheet name="avendus finance pvt " sheetId="54" r:id="rId61"/>
    <sheet name="Muthoot homefin " sheetId="56" r:id="rId62"/>
    <sheet name="India Infra fin" sheetId="59" r:id="rId63"/>
    <sheet name="Kogta" sheetId="123" r:id="rId64"/>
    <sheet name="Daimler Financial Services" sheetId="60" r:id="rId65"/>
    <sheet name="Hdb Financial" sheetId="62" r:id="rId66"/>
    <sheet name="IFFCO kisan" sheetId="63" r:id="rId67"/>
    <sheet name="IKF Home Finance" sheetId="64" r:id="rId68"/>
    <sheet name="IREDA" sheetId="65" r:id="rId69"/>
    <sheet name="Tata Cleantech" sheetId="66" r:id="rId70"/>
    <sheet name="Tata capital financial srv" sheetId="67" r:id="rId71"/>
    <sheet name="APAC" sheetId="99" r:id="rId72"/>
    <sheet name="shriram housing finance" sheetId="68" r:id="rId73"/>
    <sheet name="profectus capital" sheetId="69" r:id="rId74"/>
    <sheet name="KKR India Asset finance" sheetId="70" r:id="rId75"/>
    <sheet name="Motilal Oswal Home Loans" sheetId="71" r:id="rId76"/>
    <sheet name="India Shelter Home" sheetId="73" r:id="rId77"/>
    <sheet name="Indiabulls Commercial Credit" sheetId="74" r:id="rId78"/>
    <sheet name="PHL finvest" sheetId="77" r:id="rId79"/>
    <sheet name="indostar home finance" sheetId="78" r:id="rId80"/>
    <sheet name="SBFC Finance" sheetId="79" r:id="rId81"/>
    <sheet name="Incred Financial" sheetId="80" r:id="rId82"/>
    <sheet name="Aditya Birla Finance Ltd" sheetId="82" r:id="rId83"/>
    <sheet name="shapoorji pallonji finance" sheetId="83" r:id="rId84"/>
    <sheet name="JM Finance Credit Solutions" sheetId="84" r:id="rId85"/>
    <sheet name="Barclays Investment &amp; Loans" sheetId="85" r:id="rId86"/>
    <sheet name="Aseem Infra" sheetId="86" r:id="rId87"/>
    <sheet name="Bajaj Housing Finance" sheetId="57" r:id="rId88"/>
    <sheet name="Dhani Loans &amp; Adva" sheetId="52" r:id="rId89"/>
    <sheet name="Bajaj Finance (Financials)" sheetId="5" r:id="rId90"/>
    <sheet name="Tata Motors Finance Solutions" sheetId="94" r:id="rId91"/>
    <sheet name=" Tata Motors Finance (New)" sheetId="130" r:id="rId92"/>
    <sheet name="Sheet2" sheetId="97" r:id="rId93"/>
    <sheet name="HSBC Investdirect" sheetId="96" r:id="rId94"/>
    <sheet name="Capfloat" sheetId="101" r:id="rId95"/>
    <sheet name="Aviom India Housing" sheetId="104" r:id="rId96"/>
    <sheet name="Mintifi Finserve" sheetId="105" r:id="rId97"/>
    <sheet name="Growth Source (Protium)" sheetId="106" r:id="rId98"/>
    <sheet name="DMI Finance" sheetId="107" r:id="rId99"/>
    <sheet name="Riviera Investors" sheetId="108" r:id="rId100"/>
    <sheet name="LendingKart Finance" sheetId="109" r:id="rId101"/>
    <sheet name="AYE Finance" sheetId="110" r:id="rId102"/>
    <sheet name="NeoGrowth" sheetId="111" r:id="rId103"/>
    <sheet name="Navi Finserv" sheetId="120" r:id="rId104"/>
    <sheet name="Krazybee" sheetId="121" r:id="rId105"/>
    <sheet name="Shriram Transport Finance " sheetId="12" r:id="rId106"/>
    <sheet name="Shriram city Union Finance" sheetId="72" r:id="rId107"/>
    <sheet name="Sundaram Finance" sheetId="113" r:id="rId108"/>
    <sheet name="Piramal Enterprises Limited" sheetId="114" r:id="rId109"/>
    <sheet name="Aditya Birla Housing Finance" sheetId="115" r:id="rId110"/>
    <sheet name="Piramal Capital &amp; Housing" sheetId="116" r:id="rId111"/>
    <sheet name="Home First" sheetId="125" r:id="rId112"/>
    <sheet name="CSL Finance " sheetId="127" r:id="rId113"/>
    <sheet name="Sheet3" sheetId="131" r:id="rId114"/>
    <sheet name="SG Finserve" sheetId="128" r:id="rId115"/>
    <sheet name="Credit Saison" sheetId="118" r:id="rId116"/>
    <sheet name="Ummeed Housing" sheetId="117" r:id="rId117"/>
    <sheet name="Epimoney" sheetId="124" r:id="rId118"/>
    <sheet name="Geojit Financial services" sheetId="17" r:id="rId119"/>
  </sheets>
  <definedNames>
    <definedName name="_xlnm._FilterDatabase" localSheetId="34" hidden="1">'Aptus Value Housing'!$J$2:$J$25</definedName>
    <definedName name="_xlnm._FilterDatabase" localSheetId="92" hidden="1">Sheet2!$A$1:$C$1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1" i="87" l="1"/>
  <c r="T31" i="87"/>
  <c r="U31" i="87"/>
  <c r="V31" i="87"/>
  <c r="S32" i="87"/>
  <c r="T32" i="87"/>
  <c r="U32" i="87"/>
  <c r="V32" i="87"/>
  <c r="S33" i="87"/>
  <c r="T33" i="87"/>
  <c r="U33" i="87"/>
  <c r="V33" i="87"/>
  <c r="S35" i="87"/>
  <c r="T35" i="87"/>
  <c r="U35" i="87"/>
  <c r="V35" i="87"/>
  <c r="S36" i="87"/>
  <c r="T36" i="87"/>
  <c r="U36" i="87"/>
  <c r="V36" i="87"/>
  <c r="S37" i="87"/>
  <c r="T37" i="87"/>
  <c r="U37" i="87"/>
  <c r="V37" i="87"/>
  <c r="S39" i="87"/>
  <c r="T39" i="87"/>
  <c r="U39" i="87"/>
  <c r="V39" i="87"/>
  <c r="S40" i="87"/>
  <c r="T40" i="87"/>
  <c r="U40" i="87"/>
  <c r="V40" i="87"/>
  <c r="S41" i="87"/>
  <c r="T41" i="87"/>
  <c r="U41" i="87"/>
  <c r="V41" i="87"/>
  <c r="S42" i="87"/>
  <c r="T42" i="87"/>
  <c r="U42" i="87"/>
  <c r="V42" i="87"/>
  <c r="S44" i="87"/>
  <c r="T44" i="87"/>
  <c r="U44" i="87"/>
  <c r="V44" i="87"/>
  <c r="S45" i="87"/>
  <c r="T45" i="87"/>
  <c r="U45" i="87"/>
  <c r="V45" i="87"/>
  <c r="S46" i="87"/>
  <c r="T46" i="87"/>
  <c r="U46" i="87"/>
  <c r="V46" i="87"/>
  <c r="S48" i="87"/>
  <c r="T48" i="87"/>
  <c r="U48" i="87"/>
  <c r="V48" i="87"/>
  <c r="S49" i="87"/>
  <c r="T49" i="87"/>
  <c r="U49" i="87"/>
  <c r="V49" i="87"/>
  <c r="S50" i="87"/>
  <c r="T50" i="87"/>
  <c r="U50" i="87"/>
  <c r="V50" i="87"/>
  <c r="T29" i="87"/>
  <c r="U29" i="87"/>
  <c r="V29" i="87"/>
  <c r="S29" i="87"/>
  <c r="T27" i="87"/>
  <c r="U27" i="87"/>
  <c r="V27" i="87"/>
  <c r="S27" i="87"/>
  <c r="S22" i="87"/>
  <c r="T22" i="87"/>
  <c r="U22" i="87"/>
  <c r="V22" i="87"/>
  <c r="S23" i="87"/>
  <c r="T23" i="87"/>
  <c r="U23" i="87"/>
  <c r="V23" i="87"/>
  <c r="S24" i="87"/>
  <c r="T24" i="87"/>
  <c r="U24" i="87"/>
  <c r="V24" i="87"/>
  <c r="S25" i="87"/>
  <c r="T25" i="87"/>
  <c r="U25" i="87"/>
  <c r="V25" i="87"/>
  <c r="T21" i="87"/>
  <c r="U21" i="87"/>
  <c r="V21" i="87"/>
  <c r="S21" i="87"/>
  <c r="S11" i="87"/>
  <c r="T11" i="87"/>
  <c r="U11" i="87"/>
  <c r="V11" i="87"/>
  <c r="S12" i="87"/>
  <c r="T12" i="87"/>
  <c r="U12" i="87"/>
  <c r="V12" i="87"/>
  <c r="S13" i="87"/>
  <c r="T13" i="87"/>
  <c r="U13" i="87"/>
  <c r="V13" i="87"/>
  <c r="S14" i="87"/>
  <c r="T14" i="87"/>
  <c r="U14" i="87"/>
  <c r="V14" i="87"/>
  <c r="S15" i="87"/>
  <c r="T15" i="87"/>
  <c r="U15" i="87"/>
  <c r="V15" i="87"/>
  <c r="S16" i="87"/>
  <c r="T16" i="87"/>
  <c r="U16" i="87"/>
  <c r="V16" i="87"/>
  <c r="S17" i="87"/>
  <c r="T17" i="87"/>
  <c r="U17" i="87"/>
  <c r="V17" i="87"/>
  <c r="S18" i="87"/>
  <c r="T18" i="87"/>
  <c r="U18" i="87"/>
  <c r="V18" i="87"/>
  <c r="S19" i="87"/>
  <c r="T19" i="87"/>
  <c r="U19" i="87"/>
  <c r="V19" i="87"/>
  <c r="S20" i="87"/>
  <c r="T20" i="87"/>
  <c r="U20" i="87"/>
  <c r="V20" i="87"/>
  <c r="T10" i="87"/>
  <c r="U10" i="87"/>
  <c r="V10" i="87"/>
  <c r="S10" i="87"/>
  <c r="T9" i="87"/>
  <c r="U9" i="87"/>
  <c r="V9" i="87"/>
  <c r="S9" i="87"/>
  <c r="S8" i="87"/>
  <c r="T8" i="87"/>
  <c r="U8" i="87"/>
  <c r="V8" i="87"/>
  <c r="T7" i="87"/>
  <c r="U7" i="87"/>
  <c r="V7" i="87"/>
  <c r="S7" i="87"/>
  <c r="F16" i="133"/>
  <c r="F17" i="133" s="1"/>
  <c r="F14" i="133"/>
  <c r="F12" i="133"/>
  <c r="D16" i="133"/>
  <c r="E16" i="133"/>
  <c r="D17" i="133"/>
  <c r="E17" i="133"/>
  <c r="C17" i="133"/>
  <c r="J19" i="133" s="1"/>
  <c r="C16" i="133"/>
  <c r="D12" i="133"/>
  <c r="D14" i="133" s="1"/>
  <c r="E12" i="133"/>
  <c r="E14" i="133"/>
  <c r="C14" i="133"/>
  <c r="C12" i="133"/>
  <c r="J10" i="133" s="1"/>
  <c r="K4" i="133"/>
  <c r="L4" i="133"/>
  <c r="M4" i="133"/>
  <c r="K6" i="133"/>
  <c r="L6" i="133"/>
  <c r="M6" i="133"/>
  <c r="G11" i="133"/>
  <c r="G12" i="133"/>
  <c r="N10" i="133" s="1"/>
  <c r="N24" i="133"/>
  <c r="M24" i="133"/>
  <c r="L24" i="133"/>
  <c r="K24" i="133"/>
  <c r="J24" i="133"/>
  <c r="N23" i="133"/>
  <c r="M23" i="133"/>
  <c r="L23" i="133"/>
  <c r="K23" i="133"/>
  <c r="J23" i="133"/>
  <c r="J25" i="133" s="1"/>
  <c r="N21" i="133"/>
  <c r="M21" i="133"/>
  <c r="L21" i="133"/>
  <c r="K21" i="133"/>
  <c r="J21" i="133"/>
  <c r="N20" i="133"/>
  <c r="M20" i="133"/>
  <c r="L20" i="133"/>
  <c r="K20" i="133"/>
  <c r="J20" i="133"/>
  <c r="N17" i="133"/>
  <c r="M17" i="133"/>
  <c r="L17" i="133"/>
  <c r="K17" i="133"/>
  <c r="J17" i="133"/>
  <c r="N15" i="133"/>
  <c r="M15" i="133"/>
  <c r="L15" i="133"/>
  <c r="K15" i="133"/>
  <c r="J15" i="133"/>
  <c r="N14" i="133"/>
  <c r="M14" i="133"/>
  <c r="L14" i="133"/>
  <c r="K14" i="133"/>
  <c r="K16" i="133" s="1"/>
  <c r="J14" i="133"/>
  <c r="J16" i="133" s="1"/>
  <c r="N12" i="133"/>
  <c r="M12" i="133"/>
  <c r="L12" i="133"/>
  <c r="K12" i="133"/>
  <c r="J12" i="133"/>
  <c r="J11" i="133"/>
  <c r="N4" i="133"/>
  <c r="N8" i="133"/>
  <c r="M8" i="133"/>
  <c r="L8" i="133"/>
  <c r="K8" i="133"/>
  <c r="J8" i="133"/>
  <c r="N6" i="133"/>
  <c r="J6" i="133"/>
  <c r="J4" i="133"/>
  <c r="O31" i="87"/>
  <c r="P31" i="87"/>
  <c r="Q31" i="87"/>
  <c r="R31" i="87"/>
  <c r="O32" i="87"/>
  <c r="P32" i="87"/>
  <c r="Q32" i="87"/>
  <c r="R32" i="87"/>
  <c r="O33" i="87"/>
  <c r="P33" i="87"/>
  <c r="Q33" i="87"/>
  <c r="R33" i="87"/>
  <c r="O35" i="87"/>
  <c r="P35" i="87"/>
  <c r="Q35" i="87"/>
  <c r="R35" i="87"/>
  <c r="O36" i="87"/>
  <c r="P36" i="87"/>
  <c r="Q36" i="87"/>
  <c r="R36" i="87"/>
  <c r="O37" i="87"/>
  <c r="P37" i="87"/>
  <c r="Q37" i="87"/>
  <c r="R37" i="87"/>
  <c r="O39" i="87"/>
  <c r="P39" i="87"/>
  <c r="Q39" i="87"/>
  <c r="R39" i="87"/>
  <c r="O40" i="87"/>
  <c r="P40" i="87"/>
  <c r="Q40" i="87"/>
  <c r="R40" i="87"/>
  <c r="O41" i="87"/>
  <c r="P41" i="87"/>
  <c r="Q41" i="87"/>
  <c r="R41" i="87"/>
  <c r="O42" i="87"/>
  <c r="P42" i="87"/>
  <c r="Q42" i="87"/>
  <c r="R42" i="87"/>
  <c r="O44" i="87"/>
  <c r="P44" i="87"/>
  <c r="Q44" i="87"/>
  <c r="R44" i="87"/>
  <c r="O45" i="87"/>
  <c r="P45" i="87"/>
  <c r="Q45" i="87"/>
  <c r="R45" i="87"/>
  <c r="O46" i="87"/>
  <c r="P46" i="87"/>
  <c r="Q46" i="87"/>
  <c r="R46" i="87"/>
  <c r="O48" i="87"/>
  <c r="P48" i="87"/>
  <c r="Q48" i="87"/>
  <c r="R48" i="87"/>
  <c r="O49" i="87"/>
  <c r="P49" i="87"/>
  <c r="Q49" i="87"/>
  <c r="R49" i="87"/>
  <c r="O50" i="87"/>
  <c r="P50" i="87"/>
  <c r="Q50" i="87"/>
  <c r="R50" i="87"/>
  <c r="P29" i="87"/>
  <c r="Q29" i="87"/>
  <c r="R29" i="87"/>
  <c r="O29" i="87"/>
  <c r="P27" i="87"/>
  <c r="Q27" i="87"/>
  <c r="R27" i="87"/>
  <c r="O27" i="87"/>
  <c r="O22" i="87"/>
  <c r="P22" i="87"/>
  <c r="Q22" i="87"/>
  <c r="R22" i="87"/>
  <c r="O23" i="87"/>
  <c r="P23" i="87"/>
  <c r="Q23" i="87"/>
  <c r="R23" i="87"/>
  <c r="O24" i="87"/>
  <c r="P24" i="87"/>
  <c r="Q24" i="87"/>
  <c r="R24" i="87"/>
  <c r="O25" i="87"/>
  <c r="P25" i="87"/>
  <c r="Q25" i="87"/>
  <c r="R25" i="87"/>
  <c r="P21" i="87"/>
  <c r="Q21" i="87"/>
  <c r="R21" i="87"/>
  <c r="O21" i="87"/>
  <c r="O10" i="87"/>
  <c r="P10" i="87"/>
  <c r="Q10" i="87"/>
  <c r="R10" i="87"/>
  <c r="O11" i="87"/>
  <c r="P11" i="87"/>
  <c r="Q11" i="87"/>
  <c r="R11" i="87"/>
  <c r="O12" i="87"/>
  <c r="P12" i="87"/>
  <c r="Q12" i="87"/>
  <c r="R12" i="87"/>
  <c r="O13" i="87"/>
  <c r="P13" i="87"/>
  <c r="Q13" i="87"/>
  <c r="R13" i="87"/>
  <c r="O14" i="87"/>
  <c r="P14" i="87"/>
  <c r="Q14" i="87"/>
  <c r="R14" i="87"/>
  <c r="O15" i="87"/>
  <c r="P15" i="87"/>
  <c r="Q15" i="87"/>
  <c r="R15" i="87"/>
  <c r="O16" i="87"/>
  <c r="P16" i="87"/>
  <c r="Q16" i="87"/>
  <c r="R16" i="87"/>
  <c r="O17" i="87"/>
  <c r="P17" i="87"/>
  <c r="Q17" i="87"/>
  <c r="R17" i="87"/>
  <c r="O18" i="87"/>
  <c r="P18" i="87"/>
  <c r="Q18" i="87"/>
  <c r="R18" i="87"/>
  <c r="O19" i="87"/>
  <c r="P19" i="87"/>
  <c r="Q19" i="87"/>
  <c r="R19" i="87"/>
  <c r="O20" i="87"/>
  <c r="P20" i="87"/>
  <c r="Q20" i="87"/>
  <c r="R20" i="87"/>
  <c r="P9" i="87"/>
  <c r="Q9" i="87"/>
  <c r="R9" i="87"/>
  <c r="O9" i="87"/>
  <c r="O8" i="87"/>
  <c r="P8" i="87"/>
  <c r="Q8" i="87"/>
  <c r="R8" i="87"/>
  <c r="P7" i="87"/>
  <c r="Q7" i="87"/>
  <c r="R7" i="87"/>
  <c r="O7" i="87"/>
  <c r="N6" i="76"/>
  <c r="N8" i="76"/>
  <c r="N12" i="76"/>
  <c r="N14" i="76"/>
  <c r="N15" i="76"/>
  <c r="N17" i="76"/>
  <c r="N20" i="76"/>
  <c r="N21" i="76"/>
  <c r="N23" i="76"/>
  <c r="N24" i="76"/>
  <c r="G12" i="76"/>
  <c r="G14" i="76" s="1"/>
  <c r="G6" i="76" s="1"/>
  <c r="G11" i="76"/>
  <c r="N4" i="76" s="1"/>
  <c r="K6" i="76"/>
  <c r="L6" i="76"/>
  <c r="M6" i="76"/>
  <c r="K8" i="76"/>
  <c r="L8" i="76"/>
  <c r="M8" i="76"/>
  <c r="K12" i="76"/>
  <c r="L12" i="76"/>
  <c r="M12" i="76"/>
  <c r="K14" i="76"/>
  <c r="L14" i="76"/>
  <c r="L16" i="76" s="1"/>
  <c r="M14" i="76"/>
  <c r="M16" i="76" s="1"/>
  <c r="K15" i="76"/>
  <c r="L15" i="76"/>
  <c r="M15" i="76"/>
  <c r="K17" i="76"/>
  <c r="L17" i="76"/>
  <c r="M17" i="76"/>
  <c r="K20" i="76"/>
  <c r="L20" i="76"/>
  <c r="M20" i="76"/>
  <c r="K21" i="76"/>
  <c r="L21" i="76"/>
  <c r="M21" i="76"/>
  <c r="K23" i="76"/>
  <c r="L23" i="76"/>
  <c r="M23" i="76"/>
  <c r="K24" i="76"/>
  <c r="L24" i="76"/>
  <c r="M24" i="76"/>
  <c r="K4" i="76"/>
  <c r="L4" i="76"/>
  <c r="M4" i="76"/>
  <c r="D12" i="76"/>
  <c r="D16" i="76" s="1"/>
  <c r="E12" i="76"/>
  <c r="E16" i="76" s="1"/>
  <c r="F12" i="76"/>
  <c r="F16" i="76" s="1"/>
  <c r="M46" i="87"/>
  <c r="L48" i="87"/>
  <c r="M48" i="87"/>
  <c r="K32" i="87"/>
  <c r="L40" i="87"/>
  <c r="L27" i="87"/>
  <c r="M27" i="87"/>
  <c r="N27" i="87"/>
  <c r="K27" i="87"/>
  <c r="K22" i="87"/>
  <c r="L22" i="87"/>
  <c r="M22" i="87"/>
  <c r="N22" i="87"/>
  <c r="K23" i="87"/>
  <c r="L23" i="87"/>
  <c r="M23" i="87"/>
  <c r="N23" i="87"/>
  <c r="K24" i="87"/>
  <c r="L24" i="87"/>
  <c r="M24" i="87"/>
  <c r="N24" i="87"/>
  <c r="K25" i="87"/>
  <c r="L25" i="87"/>
  <c r="M25" i="87"/>
  <c r="N25" i="87"/>
  <c r="L21" i="87"/>
  <c r="M21" i="87"/>
  <c r="N21" i="87"/>
  <c r="K21" i="87"/>
  <c r="K11" i="87"/>
  <c r="L11" i="87"/>
  <c r="M11" i="87"/>
  <c r="N11" i="87"/>
  <c r="K12" i="87"/>
  <c r="K13" i="87"/>
  <c r="L13" i="87"/>
  <c r="M13" i="87"/>
  <c r="N13" i="87"/>
  <c r="K14" i="87"/>
  <c r="K15" i="87"/>
  <c r="L15" i="87"/>
  <c r="M15" i="87"/>
  <c r="N15" i="87"/>
  <c r="K16" i="87"/>
  <c r="M16" i="87"/>
  <c r="K17" i="87"/>
  <c r="K18" i="87"/>
  <c r="L18" i="87"/>
  <c r="M18" i="87"/>
  <c r="N18" i="87"/>
  <c r="K19" i="87"/>
  <c r="L19" i="87"/>
  <c r="M19" i="87"/>
  <c r="N19" i="87"/>
  <c r="K20" i="87"/>
  <c r="L20" i="87"/>
  <c r="M20" i="87"/>
  <c r="N20" i="87"/>
  <c r="K10" i="87"/>
  <c r="L10" i="87"/>
  <c r="M10" i="87"/>
  <c r="N10" i="87"/>
  <c r="L9" i="87"/>
  <c r="M9" i="87"/>
  <c r="N9" i="87"/>
  <c r="K9" i="87"/>
  <c r="K8" i="87"/>
  <c r="L8" i="87"/>
  <c r="M8" i="87"/>
  <c r="N8" i="87"/>
  <c r="L7" i="87"/>
  <c r="M7" i="87"/>
  <c r="N7" i="87"/>
  <c r="K7" i="87"/>
  <c r="L6" i="75"/>
  <c r="L31" i="87" s="1"/>
  <c r="M6" i="75"/>
  <c r="M31" i="87" s="1"/>
  <c r="N6" i="75"/>
  <c r="N31" i="87" s="1"/>
  <c r="L8" i="75"/>
  <c r="L33" i="87" s="1"/>
  <c r="M8" i="75"/>
  <c r="M33" i="87" s="1"/>
  <c r="N8" i="75"/>
  <c r="N33" i="87" s="1"/>
  <c r="M10" i="75"/>
  <c r="M35" i="87" s="1"/>
  <c r="L12" i="75"/>
  <c r="L37" i="87" s="1"/>
  <c r="M12" i="75"/>
  <c r="M37" i="87" s="1"/>
  <c r="N12" i="75"/>
  <c r="N37" i="87" s="1"/>
  <c r="L14" i="75"/>
  <c r="L16" i="75" s="1"/>
  <c r="L41" i="87" s="1"/>
  <c r="M14" i="75"/>
  <c r="N14" i="75"/>
  <c r="N39" i="87" s="1"/>
  <c r="L15" i="75"/>
  <c r="M15" i="75"/>
  <c r="M40" i="87" s="1"/>
  <c r="N15" i="75"/>
  <c r="N40" i="87" s="1"/>
  <c r="N16" i="75"/>
  <c r="N41" i="87" s="1"/>
  <c r="L17" i="75"/>
  <c r="L42" i="87" s="1"/>
  <c r="M17" i="75"/>
  <c r="M42" i="87" s="1"/>
  <c r="N17" i="75"/>
  <c r="N42" i="87" s="1"/>
  <c r="L21" i="75"/>
  <c r="L45" i="87" s="1"/>
  <c r="M21" i="75"/>
  <c r="M45" i="87" s="1"/>
  <c r="N21" i="75"/>
  <c r="N45" i="87" s="1"/>
  <c r="L22" i="75"/>
  <c r="L46" i="87" s="1"/>
  <c r="M22" i="75"/>
  <c r="N22" i="75"/>
  <c r="N46" i="87" s="1"/>
  <c r="L24" i="75"/>
  <c r="M24" i="75"/>
  <c r="N24" i="75"/>
  <c r="N48" i="87" s="1"/>
  <c r="L25" i="75"/>
  <c r="M25" i="75"/>
  <c r="N25" i="75"/>
  <c r="N49" i="87" s="1"/>
  <c r="L4" i="75"/>
  <c r="L29" i="87" s="1"/>
  <c r="M4" i="75"/>
  <c r="M29" i="87" s="1"/>
  <c r="N4" i="75"/>
  <c r="N29" i="87" s="1"/>
  <c r="F12" i="75"/>
  <c r="F16" i="75" s="1"/>
  <c r="G12" i="75"/>
  <c r="G14" i="75" s="1"/>
  <c r="G17" i="75" s="1"/>
  <c r="N17" i="87" s="1"/>
  <c r="E12" i="75"/>
  <c r="E16" i="75" s="1"/>
  <c r="L16" i="87" s="1"/>
  <c r="G45" i="87"/>
  <c r="H45" i="87"/>
  <c r="I45" i="87"/>
  <c r="J45" i="87"/>
  <c r="G46" i="87"/>
  <c r="H46" i="87"/>
  <c r="I46" i="87"/>
  <c r="J46" i="87"/>
  <c r="G48" i="87"/>
  <c r="H48" i="87"/>
  <c r="I48" i="87"/>
  <c r="J48" i="87"/>
  <c r="G49" i="87"/>
  <c r="H49" i="87"/>
  <c r="I49" i="87"/>
  <c r="J49" i="87"/>
  <c r="G50" i="87"/>
  <c r="H50" i="87"/>
  <c r="I50" i="87"/>
  <c r="J50" i="87"/>
  <c r="H44" i="87"/>
  <c r="I44" i="87"/>
  <c r="J44" i="87"/>
  <c r="G44" i="87"/>
  <c r="G31" i="87"/>
  <c r="H31" i="87"/>
  <c r="I31" i="87"/>
  <c r="J31" i="87"/>
  <c r="G32" i="87"/>
  <c r="H32" i="87"/>
  <c r="I32" i="87"/>
  <c r="J32" i="87"/>
  <c r="G33" i="87"/>
  <c r="H33" i="87"/>
  <c r="I33" i="87"/>
  <c r="J33" i="87"/>
  <c r="G35" i="87"/>
  <c r="H35" i="87"/>
  <c r="I35" i="87"/>
  <c r="J35" i="87"/>
  <c r="G36" i="87"/>
  <c r="H36" i="87"/>
  <c r="I36" i="87"/>
  <c r="J36" i="87"/>
  <c r="G37" i="87"/>
  <c r="H37" i="87"/>
  <c r="I37" i="87"/>
  <c r="J37" i="87"/>
  <c r="G39" i="87"/>
  <c r="H39" i="87"/>
  <c r="I39" i="87"/>
  <c r="J39" i="87"/>
  <c r="G40" i="87"/>
  <c r="H40" i="87"/>
  <c r="I40" i="87"/>
  <c r="J40" i="87"/>
  <c r="G41" i="87"/>
  <c r="H41" i="87"/>
  <c r="I41" i="87"/>
  <c r="J41" i="87"/>
  <c r="G42" i="87"/>
  <c r="H42" i="87"/>
  <c r="I42" i="87"/>
  <c r="J42" i="87"/>
  <c r="H29" i="87"/>
  <c r="I29" i="87"/>
  <c r="J29" i="87"/>
  <c r="Q27" i="11"/>
  <c r="R27" i="11"/>
  <c r="S27" i="11"/>
  <c r="P26" i="11"/>
  <c r="S26" i="11"/>
  <c r="R26" i="11"/>
  <c r="Q26" i="11"/>
  <c r="S25" i="11"/>
  <c r="R25" i="11"/>
  <c r="Q25" i="11"/>
  <c r="P25" i="11"/>
  <c r="S23" i="11"/>
  <c r="R23" i="11"/>
  <c r="Q23" i="11"/>
  <c r="P23" i="11"/>
  <c r="S22" i="11"/>
  <c r="R22" i="11"/>
  <c r="Q22" i="11"/>
  <c r="P22" i="11"/>
  <c r="S21" i="11"/>
  <c r="R21" i="11"/>
  <c r="Q21" i="11"/>
  <c r="P21" i="11"/>
  <c r="G29" i="87"/>
  <c r="H27" i="87"/>
  <c r="I27" i="87"/>
  <c r="J27" i="87"/>
  <c r="G27" i="87"/>
  <c r="G22" i="87"/>
  <c r="H22" i="87"/>
  <c r="I22" i="87"/>
  <c r="J22" i="87"/>
  <c r="G23" i="87"/>
  <c r="H23" i="87"/>
  <c r="I23" i="87"/>
  <c r="J23" i="87"/>
  <c r="G24" i="87"/>
  <c r="H24" i="87"/>
  <c r="I24" i="87"/>
  <c r="J24" i="87"/>
  <c r="G25" i="87"/>
  <c r="H25" i="87"/>
  <c r="I25" i="87"/>
  <c r="J25" i="87"/>
  <c r="H21" i="87"/>
  <c r="I21" i="87"/>
  <c r="J21" i="87"/>
  <c r="G21" i="87"/>
  <c r="G10" i="87"/>
  <c r="H10" i="87"/>
  <c r="I10" i="87"/>
  <c r="J10" i="87"/>
  <c r="G11" i="87"/>
  <c r="H11" i="87"/>
  <c r="I11" i="87"/>
  <c r="J11" i="87"/>
  <c r="G12" i="87"/>
  <c r="H12" i="87"/>
  <c r="I12" i="87"/>
  <c r="J12" i="87"/>
  <c r="G13" i="87"/>
  <c r="H13" i="87"/>
  <c r="I13" i="87"/>
  <c r="J13" i="87"/>
  <c r="G14" i="87"/>
  <c r="H14" i="87"/>
  <c r="I14" i="87"/>
  <c r="J14" i="87"/>
  <c r="G15" i="87"/>
  <c r="H15" i="87"/>
  <c r="I15" i="87"/>
  <c r="J15" i="87"/>
  <c r="G16" i="87"/>
  <c r="H16" i="87"/>
  <c r="I16" i="87"/>
  <c r="J16" i="87"/>
  <c r="G17" i="87"/>
  <c r="H17" i="87"/>
  <c r="I17" i="87"/>
  <c r="J17" i="87"/>
  <c r="G18" i="87"/>
  <c r="H18" i="87"/>
  <c r="I18" i="87"/>
  <c r="J18" i="87"/>
  <c r="G19" i="87"/>
  <c r="H19" i="87"/>
  <c r="I19" i="87"/>
  <c r="J19" i="87"/>
  <c r="G20" i="87"/>
  <c r="H20" i="87"/>
  <c r="I20" i="87"/>
  <c r="J20" i="87"/>
  <c r="H9" i="87"/>
  <c r="I9" i="87"/>
  <c r="J9" i="87"/>
  <c r="G9" i="87"/>
  <c r="G8" i="87"/>
  <c r="H8" i="87"/>
  <c r="I8" i="87"/>
  <c r="J8" i="87"/>
  <c r="H7" i="87"/>
  <c r="I7" i="87"/>
  <c r="J7" i="87"/>
  <c r="G7" i="87"/>
  <c r="S18" i="11"/>
  <c r="R18" i="11"/>
  <c r="Q18" i="11"/>
  <c r="P18" i="11"/>
  <c r="Q15" i="11"/>
  <c r="R15" i="11"/>
  <c r="S15" i="11"/>
  <c r="Q16" i="11"/>
  <c r="R16" i="11"/>
  <c r="R17" i="11" s="1"/>
  <c r="S16" i="11"/>
  <c r="S17" i="11" s="1"/>
  <c r="Q17" i="11"/>
  <c r="R13" i="11"/>
  <c r="S13" i="11"/>
  <c r="Q13" i="11"/>
  <c r="P13" i="11"/>
  <c r="Q11" i="11"/>
  <c r="R11" i="11"/>
  <c r="S11" i="11"/>
  <c r="Q12" i="11"/>
  <c r="R12" i="11"/>
  <c r="S12" i="11"/>
  <c r="Q9" i="11"/>
  <c r="R9" i="11"/>
  <c r="S9" i="11"/>
  <c r="Q7" i="11"/>
  <c r="R7" i="11"/>
  <c r="S7" i="11"/>
  <c r="R5" i="11"/>
  <c r="S5" i="11"/>
  <c r="Q5" i="11"/>
  <c r="P5" i="11"/>
  <c r="K21" i="11"/>
  <c r="L21" i="11"/>
  <c r="J21" i="11"/>
  <c r="K9" i="11"/>
  <c r="K12" i="11" s="1"/>
  <c r="K16" i="11" s="1"/>
  <c r="L9" i="11"/>
  <c r="L12" i="11" s="1"/>
  <c r="L16" i="11" s="1"/>
  <c r="I9" i="11"/>
  <c r="I12" i="11" s="1"/>
  <c r="J9" i="11"/>
  <c r="J12" i="11" s="1"/>
  <c r="I11" i="11"/>
  <c r="I21" i="11"/>
  <c r="C31" i="87"/>
  <c r="D31" i="87"/>
  <c r="E31" i="87"/>
  <c r="F31" i="87"/>
  <c r="C32" i="87"/>
  <c r="D32" i="87"/>
  <c r="E32" i="87"/>
  <c r="F32" i="87"/>
  <c r="C33" i="87"/>
  <c r="D33" i="87"/>
  <c r="E33" i="87"/>
  <c r="F33" i="87"/>
  <c r="C35" i="87"/>
  <c r="D35" i="87"/>
  <c r="E35" i="87"/>
  <c r="F35" i="87"/>
  <c r="C36" i="87"/>
  <c r="D36" i="87"/>
  <c r="E36" i="87"/>
  <c r="F36" i="87"/>
  <c r="C37" i="87"/>
  <c r="D37" i="87"/>
  <c r="E37" i="87"/>
  <c r="F37" i="87"/>
  <c r="C39" i="87"/>
  <c r="D39" i="87"/>
  <c r="E39" i="87"/>
  <c r="F39" i="87"/>
  <c r="C40" i="87"/>
  <c r="D40" i="87"/>
  <c r="E40" i="87"/>
  <c r="F40" i="87"/>
  <c r="C41" i="87"/>
  <c r="D41" i="87"/>
  <c r="E41" i="87"/>
  <c r="F41" i="87"/>
  <c r="C42" i="87"/>
  <c r="D42" i="87"/>
  <c r="E42" i="87"/>
  <c r="F42" i="87"/>
  <c r="C44" i="87"/>
  <c r="D44" i="87"/>
  <c r="E44" i="87"/>
  <c r="F44" i="87"/>
  <c r="C45" i="87"/>
  <c r="D45" i="87"/>
  <c r="E45" i="87"/>
  <c r="F45" i="87"/>
  <c r="C46" i="87"/>
  <c r="D46" i="87"/>
  <c r="E46" i="87"/>
  <c r="F46" i="87"/>
  <c r="C48" i="87"/>
  <c r="D48" i="87"/>
  <c r="E48" i="87"/>
  <c r="F48" i="87"/>
  <c r="C49" i="87"/>
  <c r="D49" i="87"/>
  <c r="E49" i="87"/>
  <c r="F49" i="87"/>
  <c r="C50" i="87"/>
  <c r="D50" i="87"/>
  <c r="E50" i="87"/>
  <c r="F50" i="87"/>
  <c r="D29" i="87"/>
  <c r="E29" i="87"/>
  <c r="F29" i="87"/>
  <c r="C29" i="87"/>
  <c r="D27" i="87"/>
  <c r="E27" i="87"/>
  <c r="F27" i="87"/>
  <c r="C27" i="87"/>
  <c r="C22" i="87"/>
  <c r="D22" i="87"/>
  <c r="E22" i="87"/>
  <c r="F22" i="87"/>
  <c r="C23" i="87"/>
  <c r="D23" i="87"/>
  <c r="E23" i="87"/>
  <c r="F23" i="87"/>
  <c r="C24" i="87"/>
  <c r="D24" i="87"/>
  <c r="E24" i="87"/>
  <c r="F24" i="87"/>
  <c r="C25" i="87"/>
  <c r="D25" i="87"/>
  <c r="E25" i="87"/>
  <c r="F25" i="87"/>
  <c r="D21" i="87"/>
  <c r="E21" i="87"/>
  <c r="F21" i="87"/>
  <c r="C21" i="87"/>
  <c r="C20" i="87"/>
  <c r="D20" i="87"/>
  <c r="E20" i="87"/>
  <c r="F20" i="87"/>
  <c r="D9" i="87"/>
  <c r="E9" i="87"/>
  <c r="F9" i="87"/>
  <c r="D10" i="87"/>
  <c r="E10" i="87"/>
  <c r="F10" i="87"/>
  <c r="D11" i="87"/>
  <c r="E11" i="87"/>
  <c r="F11" i="87"/>
  <c r="D12" i="87"/>
  <c r="E12" i="87"/>
  <c r="F12" i="87"/>
  <c r="D13" i="87"/>
  <c r="E13" i="87"/>
  <c r="F13" i="87"/>
  <c r="D14" i="87"/>
  <c r="E14" i="87"/>
  <c r="F14" i="87"/>
  <c r="D15" i="87"/>
  <c r="E15" i="87"/>
  <c r="F15" i="87"/>
  <c r="D16" i="87"/>
  <c r="E16" i="87"/>
  <c r="F16" i="87"/>
  <c r="D17" i="87"/>
  <c r="E17" i="87"/>
  <c r="F17" i="87"/>
  <c r="D18" i="87"/>
  <c r="E18" i="87"/>
  <c r="F18" i="87"/>
  <c r="D19" i="87"/>
  <c r="E19" i="87"/>
  <c r="F19" i="87"/>
  <c r="C10" i="87"/>
  <c r="C11" i="87"/>
  <c r="C12" i="87"/>
  <c r="C13" i="87"/>
  <c r="C14" i="87"/>
  <c r="C15" i="87"/>
  <c r="C16" i="87"/>
  <c r="C17" i="87"/>
  <c r="C18" i="87"/>
  <c r="C19" i="87"/>
  <c r="C9" i="87"/>
  <c r="C8" i="87"/>
  <c r="D8" i="87"/>
  <c r="E8" i="87"/>
  <c r="F8" i="87"/>
  <c r="D7" i="87"/>
  <c r="E7" i="87"/>
  <c r="F7" i="87"/>
  <c r="C7" i="87"/>
  <c r="C5" i="87"/>
  <c r="D5" i="87"/>
  <c r="E5" i="87"/>
  <c r="F5" i="87"/>
  <c r="D4" i="87"/>
  <c r="E4" i="87"/>
  <c r="F4" i="87"/>
  <c r="C4" i="87"/>
  <c r="P8" i="13"/>
  <c r="P12" i="13"/>
  <c r="Q12" i="13"/>
  <c r="P14" i="13"/>
  <c r="Q14" i="13"/>
  <c r="P15" i="13"/>
  <c r="Q15" i="13"/>
  <c r="P17" i="13"/>
  <c r="Q17" i="13"/>
  <c r="P20" i="13"/>
  <c r="Q20" i="13"/>
  <c r="P21" i="13"/>
  <c r="Q21" i="13"/>
  <c r="P23" i="13"/>
  <c r="Q23" i="13"/>
  <c r="P24" i="13"/>
  <c r="Q24" i="13"/>
  <c r="K21" i="13"/>
  <c r="Q8" i="13" s="1"/>
  <c r="Q6" i="13"/>
  <c r="P6" i="13"/>
  <c r="P4" i="13"/>
  <c r="E9" i="13"/>
  <c r="E12" i="13" s="1"/>
  <c r="E11" i="13"/>
  <c r="E15" i="13"/>
  <c r="E20" i="13"/>
  <c r="E21" i="13" s="1"/>
  <c r="E22" i="13"/>
  <c r="F7" i="13"/>
  <c r="F9" i="13" s="1"/>
  <c r="F15" i="13"/>
  <c r="F20" i="13"/>
  <c r="F21" i="13" s="1"/>
  <c r="F22" i="13"/>
  <c r="G7" i="13"/>
  <c r="G9" i="13" s="1"/>
  <c r="G12" i="13" s="1"/>
  <c r="G15" i="13"/>
  <c r="K11" i="13"/>
  <c r="Q4" i="13" s="1"/>
  <c r="K12" i="13"/>
  <c r="K16" i="13" s="1"/>
  <c r="I9" i="13"/>
  <c r="I12" i="13" s="1"/>
  <c r="I14" i="13" s="1"/>
  <c r="I17" i="13" s="1"/>
  <c r="H9" i="13"/>
  <c r="H12" i="13" s="1"/>
  <c r="H14" i="13" s="1"/>
  <c r="H17" i="13" s="1"/>
  <c r="J12" i="13"/>
  <c r="J14" i="13" s="1"/>
  <c r="L29" i="95"/>
  <c r="L31" i="95"/>
  <c r="M31" i="95"/>
  <c r="N31" i="95"/>
  <c r="L32" i="95"/>
  <c r="M32" i="95"/>
  <c r="N32" i="95"/>
  <c r="L33" i="95"/>
  <c r="N35" i="95"/>
  <c r="L37" i="95"/>
  <c r="M37" i="95"/>
  <c r="L39" i="95"/>
  <c r="M39" i="95"/>
  <c r="N39" i="95"/>
  <c r="L40" i="95"/>
  <c r="M40" i="95"/>
  <c r="N40" i="95"/>
  <c r="L41" i="95"/>
  <c r="L42" i="95"/>
  <c r="M42" i="95"/>
  <c r="L45" i="95"/>
  <c r="M45" i="95"/>
  <c r="L46" i="95"/>
  <c r="M46" i="95"/>
  <c r="L48" i="95"/>
  <c r="M48" i="95"/>
  <c r="L49" i="95"/>
  <c r="M27" i="95"/>
  <c r="N27" i="95"/>
  <c r="L27" i="95"/>
  <c r="L22" i="95"/>
  <c r="M22" i="95"/>
  <c r="N22" i="95"/>
  <c r="L23" i="95"/>
  <c r="M23" i="95"/>
  <c r="N23" i="95"/>
  <c r="L24" i="95"/>
  <c r="M24" i="95"/>
  <c r="N24" i="95"/>
  <c r="L25" i="95"/>
  <c r="M25" i="95"/>
  <c r="N25" i="95"/>
  <c r="M21" i="95"/>
  <c r="N21" i="95"/>
  <c r="L21" i="95"/>
  <c r="L10" i="95"/>
  <c r="M10" i="95"/>
  <c r="N10" i="95"/>
  <c r="L11" i="95"/>
  <c r="M11" i="95"/>
  <c r="L12" i="95"/>
  <c r="M12" i="95"/>
  <c r="N12" i="95"/>
  <c r="L13" i="95"/>
  <c r="M13" i="95"/>
  <c r="N13" i="95"/>
  <c r="L15" i="95"/>
  <c r="M15" i="95"/>
  <c r="N15" i="95"/>
  <c r="L18" i="95"/>
  <c r="M18" i="95"/>
  <c r="N18" i="95"/>
  <c r="L19" i="95"/>
  <c r="M19" i="95"/>
  <c r="N19" i="95"/>
  <c r="L20" i="95"/>
  <c r="M20" i="95"/>
  <c r="N20" i="95"/>
  <c r="M9" i="95"/>
  <c r="N9" i="95"/>
  <c r="L9" i="95"/>
  <c r="L8" i="95"/>
  <c r="M8" i="95"/>
  <c r="N8" i="95"/>
  <c r="M7" i="95"/>
  <c r="N7" i="95"/>
  <c r="L7" i="95"/>
  <c r="J21" i="132"/>
  <c r="N45" i="95" s="1"/>
  <c r="H13" i="132"/>
  <c r="E11" i="132"/>
  <c r="J5" i="132" s="1"/>
  <c r="N29" i="95" s="1"/>
  <c r="D12" i="132"/>
  <c r="D14" i="132" s="1"/>
  <c r="M14" i="95" s="1"/>
  <c r="E12" i="132"/>
  <c r="J11" i="132" s="1"/>
  <c r="C12" i="132"/>
  <c r="C14" i="132" s="1"/>
  <c r="L14" i="95" s="1"/>
  <c r="J25" i="132"/>
  <c r="N49" i="95" s="1"/>
  <c r="I25" i="132"/>
  <c r="M49" i="95" s="1"/>
  <c r="J24" i="132"/>
  <c r="N48" i="95" s="1"/>
  <c r="I24" i="132"/>
  <c r="J22" i="132"/>
  <c r="N46" i="95" s="1"/>
  <c r="J18" i="132"/>
  <c r="N42" i="95" s="1"/>
  <c r="I17" i="132"/>
  <c r="M41" i="95" s="1"/>
  <c r="J13" i="132"/>
  <c r="N37" i="95" s="1"/>
  <c r="I13" i="132"/>
  <c r="J9" i="132"/>
  <c r="N33" i="95" s="1"/>
  <c r="I9" i="132"/>
  <c r="M33" i="95" s="1"/>
  <c r="H9" i="132"/>
  <c r="J7" i="132"/>
  <c r="I7" i="132"/>
  <c r="H7" i="132"/>
  <c r="I5" i="132"/>
  <c r="M29" i="95" s="1"/>
  <c r="I29" i="95"/>
  <c r="I32" i="95"/>
  <c r="J32" i="95"/>
  <c r="K32" i="95"/>
  <c r="I33" i="95"/>
  <c r="J33" i="95"/>
  <c r="I37" i="95"/>
  <c r="J37" i="95"/>
  <c r="K37" i="95"/>
  <c r="I39" i="95"/>
  <c r="J39" i="95"/>
  <c r="J40" i="95"/>
  <c r="K40" i="95"/>
  <c r="I42" i="95"/>
  <c r="J42" i="95"/>
  <c r="K42" i="95"/>
  <c r="I44" i="95"/>
  <c r="J44" i="95"/>
  <c r="J46" i="95"/>
  <c r="K46" i="95"/>
  <c r="I48" i="95"/>
  <c r="I49" i="95"/>
  <c r="J49" i="95"/>
  <c r="K29" i="95"/>
  <c r="J27" i="95"/>
  <c r="K27" i="95"/>
  <c r="I27" i="95"/>
  <c r="I22" i="95"/>
  <c r="J22" i="95"/>
  <c r="K22" i="95"/>
  <c r="I23" i="95"/>
  <c r="J23" i="95"/>
  <c r="K23" i="95"/>
  <c r="I24" i="95"/>
  <c r="J24" i="95"/>
  <c r="K24" i="95"/>
  <c r="I25" i="95"/>
  <c r="J25" i="95"/>
  <c r="K25" i="95"/>
  <c r="J21" i="95"/>
  <c r="K21" i="95"/>
  <c r="I21" i="95"/>
  <c r="I19" i="95"/>
  <c r="J19" i="95"/>
  <c r="K19" i="95"/>
  <c r="I20" i="95"/>
  <c r="J20" i="95"/>
  <c r="K20" i="95"/>
  <c r="K13" i="95"/>
  <c r="I14" i="95"/>
  <c r="J14" i="95"/>
  <c r="K14" i="95"/>
  <c r="I15" i="95"/>
  <c r="J15" i="95"/>
  <c r="K15" i="95"/>
  <c r="I17" i="95"/>
  <c r="J17" i="95"/>
  <c r="K17" i="95"/>
  <c r="I18" i="95"/>
  <c r="J18" i="95"/>
  <c r="K18" i="95"/>
  <c r="I10" i="95"/>
  <c r="J10" i="95"/>
  <c r="K10" i="95"/>
  <c r="I11" i="95"/>
  <c r="J11" i="95"/>
  <c r="K11" i="95"/>
  <c r="I12" i="95"/>
  <c r="J12" i="95"/>
  <c r="K12" i="95"/>
  <c r="J9" i="95"/>
  <c r="K9" i="95"/>
  <c r="I9" i="95"/>
  <c r="I8" i="95"/>
  <c r="J8" i="95"/>
  <c r="K8" i="95"/>
  <c r="J7" i="95"/>
  <c r="K7" i="95"/>
  <c r="I7" i="95"/>
  <c r="H25" i="61"/>
  <c r="H24" i="61"/>
  <c r="I24" i="61"/>
  <c r="J48" i="95" s="1"/>
  <c r="J24" i="61"/>
  <c r="K48" i="95" s="1"/>
  <c r="I25" i="61"/>
  <c r="J25" i="61"/>
  <c r="K49" i="95" s="1"/>
  <c r="H22" i="61"/>
  <c r="I46" i="95" s="1"/>
  <c r="H21" i="61"/>
  <c r="I45" i="95" s="1"/>
  <c r="I21" i="61"/>
  <c r="J45" i="95" s="1"/>
  <c r="J21" i="61"/>
  <c r="K45" i="95" s="1"/>
  <c r="I22" i="61"/>
  <c r="J22" i="61"/>
  <c r="H18" i="61"/>
  <c r="I18" i="61"/>
  <c r="J18" i="61"/>
  <c r="H15" i="61"/>
  <c r="I15" i="61"/>
  <c r="J15" i="61"/>
  <c r="K39" i="95" s="1"/>
  <c r="H16" i="61"/>
  <c r="I40" i="95" s="1"/>
  <c r="I16" i="61"/>
  <c r="J16" i="61"/>
  <c r="H13" i="61"/>
  <c r="I13" i="61"/>
  <c r="J13" i="61"/>
  <c r="H9" i="61"/>
  <c r="I9" i="61"/>
  <c r="J9" i="61"/>
  <c r="K33" i="95" s="1"/>
  <c r="H7" i="61"/>
  <c r="I31" i="95" s="1"/>
  <c r="I7" i="61"/>
  <c r="J31" i="95" s="1"/>
  <c r="J7" i="61"/>
  <c r="K31" i="95" s="1"/>
  <c r="I5" i="61"/>
  <c r="J29" i="95" s="1"/>
  <c r="J5" i="61"/>
  <c r="C17" i="61"/>
  <c r="H20" i="61" s="1"/>
  <c r="D17" i="61"/>
  <c r="I20" i="61" s="1"/>
  <c r="E17" i="61"/>
  <c r="J20" i="61" s="1"/>
  <c r="K44" i="95" s="1"/>
  <c r="C12" i="61"/>
  <c r="C16" i="61" s="1"/>
  <c r="I16" i="95" s="1"/>
  <c r="D12" i="61"/>
  <c r="D16" i="61" s="1"/>
  <c r="J16" i="95" s="1"/>
  <c r="E12" i="61"/>
  <c r="E13" i="61" s="1"/>
  <c r="F45" i="95"/>
  <c r="F46" i="95"/>
  <c r="F48" i="95"/>
  <c r="F49" i="95"/>
  <c r="F44" i="95"/>
  <c r="F42" i="95"/>
  <c r="F37" i="95"/>
  <c r="F32" i="95"/>
  <c r="G32" i="95"/>
  <c r="H32" i="95"/>
  <c r="F29" i="95"/>
  <c r="G27" i="95"/>
  <c r="H27" i="95"/>
  <c r="F27" i="95"/>
  <c r="F22" i="95"/>
  <c r="G22" i="95"/>
  <c r="H22" i="95"/>
  <c r="F23" i="95"/>
  <c r="G23" i="95"/>
  <c r="H23" i="95"/>
  <c r="F24" i="95"/>
  <c r="G24" i="95"/>
  <c r="H24" i="95"/>
  <c r="F25" i="95"/>
  <c r="G25" i="95"/>
  <c r="H25" i="95"/>
  <c r="G21" i="95"/>
  <c r="H21" i="95"/>
  <c r="F21" i="95"/>
  <c r="F14" i="95"/>
  <c r="G14" i="95"/>
  <c r="H14" i="95"/>
  <c r="F15" i="95"/>
  <c r="G15" i="95"/>
  <c r="H15" i="95"/>
  <c r="F18" i="95"/>
  <c r="G18" i="95"/>
  <c r="H18" i="95"/>
  <c r="F19" i="95"/>
  <c r="G19" i="95"/>
  <c r="H19" i="95"/>
  <c r="F20" i="95"/>
  <c r="G20" i="95"/>
  <c r="H20" i="95"/>
  <c r="F10" i="95"/>
  <c r="G10" i="95"/>
  <c r="H10" i="95"/>
  <c r="F11" i="95"/>
  <c r="G11" i="95"/>
  <c r="H11" i="95"/>
  <c r="F8" i="95"/>
  <c r="G8" i="95"/>
  <c r="H8" i="95"/>
  <c r="G7" i="95"/>
  <c r="H7" i="95"/>
  <c r="F7" i="95"/>
  <c r="H26" i="49"/>
  <c r="F50" i="95" s="1"/>
  <c r="J25" i="49"/>
  <c r="H49" i="95" s="1"/>
  <c r="I25" i="49"/>
  <c r="G49" i="95" s="1"/>
  <c r="J24" i="49"/>
  <c r="I24" i="49"/>
  <c r="J22" i="49"/>
  <c r="H46" i="95" s="1"/>
  <c r="I22" i="49"/>
  <c r="G46" i="95" s="1"/>
  <c r="J21" i="49"/>
  <c r="H45" i="95" s="1"/>
  <c r="I21" i="49"/>
  <c r="G45" i="95" s="1"/>
  <c r="J18" i="49"/>
  <c r="H42" i="95" s="1"/>
  <c r="I18" i="49"/>
  <c r="G42" i="95" s="1"/>
  <c r="H15" i="49"/>
  <c r="I15" i="49"/>
  <c r="J15" i="49"/>
  <c r="H16" i="49"/>
  <c r="F40" i="95" s="1"/>
  <c r="I16" i="49"/>
  <c r="G40" i="95" s="1"/>
  <c r="J16" i="49"/>
  <c r="H40" i="95" s="1"/>
  <c r="J13" i="49"/>
  <c r="H37" i="95" s="1"/>
  <c r="I13" i="49"/>
  <c r="G37" i="95" s="1"/>
  <c r="I9" i="49"/>
  <c r="G33" i="95" s="1"/>
  <c r="J9" i="49"/>
  <c r="H33" i="95" s="1"/>
  <c r="I7" i="49"/>
  <c r="G31" i="95" s="1"/>
  <c r="J7" i="49"/>
  <c r="H31" i="95" s="1"/>
  <c r="J5" i="49"/>
  <c r="H29" i="95" s="1"/>
  <c r="I5" i="49"/>
  <c r="G29" i="95" s="1"/>
  <c r="H7" i="49"/>
  <c r="F31" i="95" s="1"/>
  <c r="H9" i="49"/>
  <c r="F33" i="95" s="1"/>
  <c r="C17" i="49"/>
  <c r="F17" i="95" s="1"/>
  <c r="D17" i="49"/>
  <c r="G17" i="95" s="1"/>
  <c r="E17" i="49"/>
  <c r="H17" i="95" s="1"/>
  <c r="D9" i="49"/>
  <c r="D12" i="49" s="1"/>
  <c r="E9" i="49"/>
  <c r="E12" i="49" s="1"/>
  <c r="J11" i="49" s="1"/>
  <c r="H35" i="95" s="1"/>
  <c r="C9" i="49"/>
  <c r="F9" i="95" s="1"/>
  <c r="D27" i="95"/>
  <c r="E27" i="95"/>
  <c r="C27" i="95"/>
  <c r="C32" i="95"/>
  <c r="D32" i="95"/>
  <c r="E32" i="95"/>
  <c r="C37" i="95"/>
  <c r="C42" i="95"/>
  <c r="C44" i="95"/>
  <c r="C45" i="95"/>
  <c r="C46" i="95"/>
  <c r="C48" i="95"/>
  <c r="C49" i="95"/>
  <c r="C29" i="95"/>
  <c r="C22" i="95"/>
  <c r="D22" i="95"/>
  <c r="E22" i="95"/>
  <c r="C23" i="95"/>
  <c r="D23" i="95"/>
  <c r="E23" i="95"/>
  <c r="C24" i="95"/>
  <c r="D24" i="95"/>
  <c r="E24" i="95"/>
  <c r="C25" i="95"/>
  <c r="D25" i="95"/>
  <c r="E25" i="95"/>
  <c r="D21" i="95"/>
  <c r="E21" i="95"/>
  <c r="C21" i="95"/>
  <c r="C14" i="95"/>
  <c r="D14" i="95"/>
  <c r="E14" i="95"/>
  <c r="C15" i="95"/>
  <c r="D15" i="95"/>
  <c r="E15" i="95"/>
  <c r="C18" i="95"/>
  <c r="D18" i="95"/>
  <c r="E18" i="95"/>
  <c r="C19" i="95"/>
  <c r="D19" i="95"/>
  <c r="E19" i="95"/>
  <c r="C20" i="95"/>
  <c r="D20" i="95"/>
  <c r="E20" i="95"/>
  <c r="C10" i="95"/>
  <c r="D10" i="95"/>
  <c r="E10" i="95"/>
  <c r="C11" i="95"/>
  <c r="D11" i="95"/>
  <c r="E11" i="95"/>
  <c r="D9" i="95"/>
  <c r="E9" i="95"/>
  <c r="C9" i="95"/>
  <c r="C8" i="95"/>
  <c r="D8" i="95"/>
  <c r="E8" i="95"/>
  <c r="D7" i="95"/>
  <c r="E7" i="95"/>
  <c r="C7" i="95"/>
  <c r="H26" i="50"/>
  <c r="C50" i="95" s="1"/>
  <c r="J25" i="50"/>
  <c r="E49" i="95" s="1"/>
  <c r="I25" i="50"/>
  <c r="D49" i="95" s="1"/>
  <c r="J24" i="50"/>
  <c r="I24" i="50"/>
  <c r="J21" i="50"/>
  <c r="E45" i="95" s="1"/>
  <c r="J22" i="50"/>
  <c r="E46" i="95" s="1"/>
  <c r="I22" i="50"/>
  <c r="D46" i="95" s="1"/>
  <c r="I21" i="50"/>
  <c r="D45" i="95" s="1"/>
  <c r="J18" i="50"/>
  <c r="E42" i="95" s="1"/>
  <c r="I18" i="50"/>
  <c r="D42" i="95" s="1"/>
  <c r="H15" i="50"/>
  <c r="I15" i="50"/>
  <c r="D39" i="95" s="1"/>
  <c r="J15" i="50"/>
  <c r="E39" i="95" s="1"/>
  <c r="H16" i="50"/>
  <c r="C40" i="95" s="1"/>
  <c r="I16" i="50"/>
  <c r="D40" i="95" s="1"/>
  <c r="J16" i="50"/>
  <c r="E40" i="95" s="1"/>
  <c r="J13" i="50"/>
  <c r="E37" i="95" s="1"/>
  <c r="I13" i="50"/>
  <c r="D37" i="95" s="1"/>
  <c r="H9" i="50"/>
  <c r="C33" i="95" s="1"/>
  <c r="I9" i="50"/>
  <c r="D33" i="95" s="1"/>
  <c r="J9" i="50"/>
  <c r="E33" i="95" s="1"/>
  <c r="H7" i="50"/>
  <c r="C31" i="95" s="1"/>
  <c r="I7" i="50"/>
  <c r="D31" i="95" s="1"/>
  <c r="J7" i="50"/>
  <c r="E31" i="95" s="1"/>
  <c r="I5" i="50"/>
  <c r="D29" i="95" s="1"/>
  <c r="J5" i="50"/>
  <c r="E29" i="95" s="1"/>
  <c r="C17" i="50"/>
  <c r="C17" i="95" s="1"/>
  <c r="D17" i="50"/>
  <c r="I20" i="50" s="1"/>
  <c r="D44" i="95" s="1"/>
  <c r="E17" i="50"/>
  <c r="E17" i="95" s="1"/>
  <c r="D13" i="50"/>
  <c r="D13" i="95" s="1"/>
  <c r="E13" i="50"/>
  <c r="E13" i="95" s="1"/>
  <c r="C13" i="50"/>
  <c r="C13" i="95" s="1"/>
  <c r="C12" i="50"/>
  <c r="C16" i="50" s="1"/>
  <c r="C16" i="95" s="1"/>
  <c r="D12" i="50"/>
  <c r="D16" i="50" s="1"/>
  <c r="D16" i="95" s="1"/>
  <c r="E12" i="50"/>
  <c r="E16" i="50" s="1"/>
  <c r="E16" i="95" s="1"/>
  <c r="T22" i="91"/>
  <c r="U22" i="91"/>
  <c r="V22" i="91"/>
  <c r="W22" i="91"/>
  <c r="T23" i="91"/>
  <c r="U23" i="91"/>
  <c r="V23" i="91"/>
  <c r="W23" i="91"/>
  <c r="T24" i="91"/>
  <c r="U24" i="91"/>
  <c r="V24" i="91"/>
  <c r="W24" i="91"/>
  <c r="T25" i="91"/>
  <c r="U25" i="91"/>
  <c r="V25" i="91"/>
  <c r="W25" i="91"/>
  <c r="U21" i="91"/>
  <c r="V21" i="91"/>
  <c r="W21" i="91"/>
  <c r="T21" i="91"/>
  <c r="N16" i="133" l="1"/>
  <c r="L16" i="133"/>
  <c r="M16" i="133"/>
  <c r="G16" i="133"/>
  <c r="G17" i="133" s="1"/>
  <c r="G14" i="133"/>
  <c r="K19" i="133"/>
  <c r="L19" i="133"/>
  <c r="K11" i="133"/>
  <c r="L11" i="133"/>
  <c r="N25" i="133"/>
  <c r="K25" i="133"/>
  <c r="L25" i="133"/>
  <c r="M25" i="133"/>
  <c r="K10" i="133"/>
  <c r="L10" i="133"/>
  <c r="N19" i="133"/>
  <c r="N11" i="133"/>
  <c r="M19" i="133"/>
  <c r="M10" i="133"/>
  <c r="M11" i="133"/>
  <c r="K25" i="76"/>
  <c r="L25" i="76"/>
  <c r="N25" i="76"/>
  <c r="M25" i="76"/>
  <c r="N16" i="76"/>
  <c r="K16" i="76"/>
  <c r="N11" i="76"/>
  <c r="G16" i="76"/>
  <c r="N10" i="76"/>
  <c r="G17" i="76"/>
  <c r="N19" i="76" s="1"/>
  <c r="M10" i="76"/>
  <c r="L10" i="76"/>
  <c r="K10" i="76"/>
  <c r="M11" i="76"/>
  <c r="L11" i="76"/>
  <c r="K11" i="76"/>
  <c r="D14" i="76"/>
  <c r="D17" i="76" s="1"/>
  <c r="K19" i="76" s="1"/>
  <c r="F14" i="76"/>
  <c r="F17" i="76" s="1"/>
  <c r="M19" i="76" s="1"/>
  <c r="E14" i="76"/>
  <c r="E17" i="76" s="1"/>
  <c r="L19" i="76" s="1"/>
  <c r="N26" i="75"/>
  <c r="N50" i="87" s="1"/>
  <c r="N20" i="75"/>
  <c r="N44" i="87" s="1"/>
  <c r="M11" i="75"/>
  <c r="M36" i="87" s="1"/>
  <c r="N12" i="87"/>
  <c r="M26" i="75"/>
  <c r="M50" i="87" s="1"/>
  <c r="L26" i="75"/>
  <c r="L50" i="87" s="1"/>
  <c r="N11" i="75"/>
  <c r="N36" i="87" s="1"/>
  <c r="M12" i="87"/>
  <c r="M16" i="75"/>
  <c r="M41" i="87" s="1"/>
  <c r="M39" i="87"/>
  <c r="L39" i="87"/>
  <c r="L11" i="75"/>
  <c r="L36" i="87" s="1"/>
  <c r="L12" i="87"/>
  <c r="N10" i="75"/>
  <c r="N35" i="87" s="1"/>
  <c r="N14" i="87"/>
  <c r="L10" i="75"/>
  <c r="L35" i="87" s="1"/>
  <c r="M49" i="87"/>
  <c r="L49" i="87"/>
  <c r="G16" i="75"/>
  <c r="N16" i="87" s="1"/>
  <c r="E14" i="75"/>
  <c r="F14" i="75"/>
  <c r="J14" i="11"/>
  <c r="J17" i="11" s="1"/>
  <c r="J16" i="11"/>
  <c r="L14" i="11"/>
  <c r="L17" i="11" s="1"/>
  <c r="K14" i="11"/>
  <c r="K17" i="11" s="1"/>
  <c r="I14" i="11"/>
  <c r="I17" i="11" s="1"/>
  <c r="I16" i="11"/>
  <c r="Q11" i="13"/>
  <c r="Q16" i="13"/>
  <c r="P16" i="13"/>
  <c r="P11" i="13"/>
  <c r="Q10" i="13"/>
  <c r="P25" i="13"/>
  <c r="P10" i="13"/>
  <c r="Q25" i="13"/>
  <c r="E16" i="13"/>
  <c r="E14" i="13"/>
  <c r="E17" i="13" s="1"/>
  <c r="F11" i="13"/>
  <c r="F12" i="13"/>
  <c r="G11" i="13"/>
  <c r="G16" i="13"/>
  <c r="G14" i="13"/>
  <c r="G17" i="13" s="1"/>
  <c r="J16" i="13"/>
  <c r="K14" i="13"/>
  <c r="K17" i="13" s="1"/>
  <c r="Q19" i="13" s="1"/>
  <c r="H16" i="13"/>
  <c r="I16" i="13"/>
  <c r="J17" i="13"/>
  <c r="P19" i="13" s="1"/>
  <c r="N11" i="95"/>
  <c r="I11" i="132"/>
  <c r="M35" i="95" s="1"/>
  <c r="H11" i="132"/>
  <c r="L35" i="95" s="1"/>
  <c r="C16" i="132"/>
  <c r="D16" i="132"/>
  <c r="E14" i="132"/>
  <c r="N14" i="95" s="1"/>
  <c r="E16" i="132"/>
  <c r="J26" i="132"/>
  <c r="N50" i="95" s="1"/>
  <c r="J17" i="132"/>
  <c r="N41" i="95" s="1"/>
  <c r="H26" i="132"/>
  <c r="L50" i="95" s="1"/>
  <c r="I26" i="132"/>
  <c r="M50" i="95" s="1"/>
  <c r="I12" i="132"/>
  <c r="M36" i="95" s="1"/>
  <c r="J12" i="132"/>
  <c r="N36" i="95" s="1"/>
  <c r="H12" i="132"/>
  <c r="L36" i="95" s="1"/>
  <c r="H17" i="50"/>
  <c r="C41" i="95" s="1"/>
  <c r="E12" i="95"/>
  <c r="J12" i="50"/>
  <c r="E36" i="95" s="1"/>
  <c r="C39" i="95"/>
  <c r="J11" i="50"/>
  <c r="E35" i="95" s="1"/>
  <c r="D17" i="95"/>
  <c r="J17" i="50"/>
  <c r="E41" i="95" s="1"/>
  <c r="J20" i="50"/>
  <c r="E44" i="95" s="1"/>
  <c r="I26" i="50"/>
  <c r="D50" i="95" s="1"/>
  <c r="J26" i="50"/>
  <c r="E50" i="95" s="1"/>
  <c r="D12" i="95"/>
  <c r="C12" i="95"/>
  <c r="I12" i="50"/>
  <c r="D36" i="95" s="1"/>
  <c r="H12" i="50"/>
  <c r="C36" i="95" s="1"/>
  <c r="D48" i="95"/>
  <c r="I11" i="50"/>
  <c r="D35" i="95" s="1"/>
  <c r="H11" i="50"/>
  <c r="C35" i="95" s="1"/>
  <c r="E48" i="95"/>
  <c r="I17" i="50"/>
  <c r="D41" i="95" s="1"/>
  <c r="I26" i="49"/>
  <c r="G50" i="95" s="1"/>
  <c r="I17" i="49"/>
  <c r="G41" i="95" s="1"/>
  <c r="J17" i="49"/>
  <c r="H41" i="95" s="1"/>
  <c r="H17" i="49"/>
  <c r="F41" i="95" s="1"/>
  <c r="H12" i="95"/>
  <c r="H9" i="95"/>
  <c r="J12" i="49"/>
  <c r="H36" i="95" s="1"/>
  <c r="J26" i="49"/>
  <c r="H50" i="95" s="1"/>
  <c r="D16" i="49"/>
  <c r="G16" i="95" s="1"/>
  <c r="I11" i="49"/>
  <c r="G35" i="95" s="1"/>
  <c r="G12" i="95"/>
  <c r="I12" i="49"/>
  <c r="G36" i="95" s="1"/>
  <c r="H48" i="95"/>
  <c r="H39" i="95"/>
  <c r="G48" i="95"/>
  <c r="G9" i="95"/>
  <c r="G39" i="95"/>
  <c r="F39" i="95"/>
  <c r="I20" i="49"/>
  <c r="G44" i="95" s="1"/>
  <c r="J20" i="49"/>
  <c r="H44" i="95" s="1"/>
  <c r="J26" i="61"/>
  <c r="K50" i="95" s="1"/>
  <c r="I26" i="61"/>
  <c r="J50" i="95" s="1"/>
  <c r="I12" i="61"/>
  <c r="J36" i="95" s="1"/>
  <c r="H17" i="61"/>
  <c r="I41" i="95" s="1"/>
  <c r="J11" i="61"/>
  <c r="K35" i="95" s="1"/>
  <c r="J17" i="61"/>
  <c r="K41" i="95" s="1"/>
  <c r="I17" i="61"/>
  <c r="J41" i="95" s="1"/>
  <c r="H12" i="61"/>
  <c r="I36" i="95" s="1"/>
  <c r="I11" i="61"/>
  <c r="J35" i="95" s="1"/>
  <c r="H11" i="61"/>
  <c r="I35" i="95" s="1"/>
  <c r="J12" i="61"/>
  <c r="K36" i="95" s="1"/>
  <c r="H26" i="61"/>
  <c r="I50" i="95" s="1"/>
  <c r="D13" i="61"/>
  <c r="J13" i="95" s="1"/>
  <c r="E16" i="61"/>
  <c r="K16" i="95" s="1"/>
  <c r="C13" i="61"/>
  <c r="I13" i="95" s="1"/>
  <c r="E16" i="49"/>
  <c r="H16" i="95" s="1"/>
  <c r="E13" i="49"/>
  <c r="H13" i="95" s="1"/>
  <c r="D13" i="49"/>
  <c r="G13" i="95" s="1"/>
  <c r="K47" i="91"/>
  <c r="L47" i="91"/>
  <c r="M47" i="91"/>
  <c r="K48" i="91"/>
  <c r="L48" i="91"/>
  <c r="M48" i="91"/>
  <c r="L46" i="91"/>
  <c r="M46" i="91"/>
  <c r="K46" i="91"/>
  <c r="K19" i="21"/>
  <c r="L19" i="21"/>
  <c r="J19" i="21"/>
  <c r="L24" i="32"/>
  <c r="M24" i="32"/>
  <c r="K24" i="32"/>
  <c r="L19" i="32"/>
  <c r="M19" i="32"/>
  <c r="K19" i="32"/>
  <c r="G41" i="91"/>
  <c r="L50" i="91"/>
  <c r="M50" i="91"/>
  <c r="L51" i="91"/>
  <c r="M51" i="91"/>
  <c r="L52" i="91"/>
  <c r="M52" i="91"/>
  <c r="K51" i="91"/>
  <c r="K52" i="91"/>
  <c r="K50" i="91"/>
  <c r="L44" i="91"/>
  <c r="M44" i="91"/>
  <c r="K44" i="91"/>
  <c r="L39" i="91"/>
  <c r="M39" i="91"/>
  <c r="L40" i="91"/>
  <c r="M40" i="91"/>
  <c r="L41" i="91"/>
  <c r="M41" i="91"/>
  <c r="K40" i="91"/>
  <c r="K41" i="91"/>
  <c r="K39" i="91"/>
  <c r="L35" i="91"/>
  <c r="M35" i="91"/>
  <c r="L36" i="91"/>
  <c r="M36" i="91"/>
  <c r="L37" i="91"/>
  <c r="M37" i="91"/>
  <c r="K36" i="91"/>
  <c r="K37" i="91"/>
  <c r="K35" i="91"/>
  <c r="K31" i="91"/>
  <c r="L31" i="91"/>
  <c r="M31" i="91"/>
  <c r="K32" i="91"/>
  <c r="L32" i="91"/>
  <c r="M32" i="91"/>
  <c r="K33" i="91"/>
  <c r="L33" i="91"/>
  <c r="M33" i="91"/>
  <c r="L29" i="91"/>
  <c r="M29" i="91"/>
  <c r="K29" i="91"/>
  <c r="U50" i="91"/>
  <c r="V50" i="91"/>
  <c r="W50" i="91"/>
  <c r="U51" i="91"/>
  <c r="V51" i="91"/>
  <c r="W51" i="91"/>
  <c r="T51" i="91"/>
  <c r="T52" i="91"/>
  <c r="T50" i="91"/>
  <c r="T47" i="91"/>
  <c r="U47" i="91"/>
  <c r="V47" i="91"/>
  <c r="W47" i="91"/>
  <c r="T48" i="91"/>
  <c r="U48" i="91"/>
  <c r="V48" i="91"/>
  <c r="W48" i="91"/>
  <c r="U46" i="91"/>
  <c r="V46" i="91"/>
  <c r="W46" i="91"/>
  <c r="T46" i="91"/>
  <c r="L4" i="32"/>
  <c r="M4" i="32"/>
  <c r="K4" i="32"/>
  <c r="L23" i="32"/>
  <c r="M23" i="32"/>
  <c r="K23" i="32"/>
  <c r="K25" i="32" s="1"/>
  <c r="U52" i="91" s="1"/>
  <c r="L21" i="32"/>
  <c r="M21" i="32"/>
  <c r="K21" i="32"/>
  <c r="L20" i="32"/>
  <c r="M20" i="32"/>
  <c r="K20" i="32"/>
  <c r="L17" i="32"/>
  <c r="V44" i="91" s="1"/>
  <c r="M17" i="32"/>
  <c r="K17" i="32"/>
  <c r="U44" i="91" s="1"/>
  <c r="W44" i="91"/>
  <c r="T44" i="91"/>
  <c r="T31" i="91"/>
  <c r="U31" i="91"/>
  <c r="V31" i="91"/>
  <c r="W31" i="91"/>
  <c r="T32" i="91"/>
  <c r="U32" i="91"/>
  <c r="V32" i="91"/>
  <c r="W32" i="91"/>
  <c r="T33" i="91"/>
  <c r="U33" i="91"/>
  <c r="V33" i="91"/>
  <c r="W33" i="91"/>
  <c r="T35" i="91"/>
  <c r="U35" i="91"/>
  <c r="V35" i="91"/>
  <c r="W35" i="91"/>
  <c r="T36" i="91"/>
  <c r="U36" i="91"/>
  <c r="V36" i="91"/>
  <c r="W36" i="91"/>
  <c r="T37" i="91"/>
  <c r="U37" i="91"/>
  <c r="V37" i="91"/>
  <c r="W37" i="91"/>
  <c r="T39" i="91"/>
  <c r="U39" i="91"/>
  <c r="V39" i="91"/>
  <c r="W39" i="91"/>
  <c r="T40" i="91"/>
  <c r="U40" i="91"/>
  <c r="V40" i="91"/>
  <c r="W40" i="91"/>
  <c r="T41" i="91"/>
  <c r="U41" i="91"/>
  <c r="V41" i="91"/>
  <c r="W41" i="91"/>
  <c r="U29" i="91"/>
  <c r="V29" i="91"/>
  <c r="W29" i="91"/>
  <c r="T29" i="91"/>
  <c r="U20" i="91"/>
  <c r="V20" i="91"/>
  <c r="W20" i="91"/>
  <c r="T20" i="91"/>
  <c r="U19" i="91"/>
  <c r="V19" i="91"/>
  <c r="W19" i="91"/>
  <c r="T19" i="91"/>
  <c r="U18" i="91"/>
  <c r="V18" i="91"/>
  <c r="W18" i="91"/>
  <c r="T18" i="91"/>
  <c r="U15" i="91"/>
  <c r="V15" i="91"/>
  <c r="W15" i="91"/>
  <c r="T15" i="91"/>
  <c r="U13" i="91"/>
  <c r="V13" i="91"/>
  <c r="W13" i="91"/>
  <c r="T13" i="91"/>
  <c r="T11" i="91"/>
  <c r="U11" i="91"/>
  <c r="V11" i="91"/>
  <c r="W11" i="91"/>
  <c r="U10" i="91"/>
  <c r="V10" i="91"/>
  <c r="W10" i="91"/>
  <c r="T10" i="91"/>
  <c r="U9" i="91"/>
  <c r="V9" i="91"/>
  <c r="W9" i="91"/>
  <c r="T9" i="91"/>
  <c r="T8" i="91"/>
  <c r="T12" i="91" s="1"/>
  <c r="U8" i="91"/>
  <c r="V8" i="91"/>
  <c r="V12" i="91" s="1"/>
  <c r="W8" i="91"/>
  <c r="W12" i="91" s="1"/>
  <c r="U7" i="91"/>
  <c r="V7" i="91"/>
  <c r="W7" i="91"/>
  <c r="T7" i="91"/>
  <c r="L25" i="32"/>
  <c r="V52" i="91" s="1"/>
  <c r="K14" i="32"/>
  <c r="L14" i="32"/>
  <c r="M14" i="32"/>
  <c r="M16" i="32" s="1"/>
  <c r="K15" i="32"/>
  <c r="L15" i="32"/>
  <c r="M15" i="32"/>
  <c r="K16" i="32"/>
  <c r="L16" i="32"/>
  <c r="M10" i="32"/>
  <c r="L11" i="32"/>
  <c r="M11" i="32"/>
  <c r="K12" i="32"/>
  <c r="L12" i="32"/>
  <c r="M12" i="32"/>
  <c r="K8" i="32"/>
  <c r="L8" i="32"/>
  <c r="M8" i="32"/>
  <c r="K6" i="32"/>
  <c r="L6" i="32"/>
  <c r="M6" i="32"/>
  <c r="F17" i="32"/>
  <c r="D12" i="32"/>
  <c r="D13" i="32" s="1"/>
  <c r="E12" i="32"/>
  <c r="E16" i="32" s="1"/>
  <c r="E17" i="32" s="1"/>
  <c r="C12" i="32"/>
  <c r="C16" i="32" s="1"/>
  <c r="C17" i="32" s="1"/>
  <c r="K22" i="91"/>
  <c r="L22" i="91"/>
  <c r="M22" i="91"/>
  <c r="K23" i="91"/>
  <c r="L23" i="91"/>
  <c r="M23" i="91"/>
  <c r="K24" i="91"/>
  <c r="L24" i="91"/>
  <c r="M24" i="91"/>
  <c r="K25" i="91"/>
  <c r="L25" i="91"/>
  <c r="M25" i="91"/>
  <c r="L21" i="91"/>
  <c r="M21" i="91"/>
  <c r="K21" i="91"/>
  <c r="K17" i="91"/>
  <c r="L17" i="91"/>
  <c r="M17" i="91"/>
  <c r="K18" i="91"/>
  <c r="L18" i="91"/>
  <c r="M18" i="91"/>
  <c r="K19" i="91"/>
  <c r="L19" i="91"/>
  <c r="M19" i="91"/>
  <c r="K20" i="91"/>
  <c r="L20" i="91"/>
  <c r="M20" i="91"/>
  <c r="L16" i="91"/>
  <c r="M16" i="91"/>
  <c r="K16" i="91"/>
  <c r="L15" i="91"/>
  <c r="M15" i="91"/>
  <c r="K15" i="91"/>
  <c r="L13" i="91"/>
  <c r="M13" i="91"/>
  <c r="K13" i="91"/>
  <c r="K10" i="91"/>
  <c r="L10" i="91"/>
  <c r="M10" i="91"/>
  <c r="K11" i="91"/>
  <c r="L11" i="91"/>
  <c r="M11" i="91"/>
  <c r="L9" i="91"/>
  <c r="M9" i="91"/>
  <c r="K9" i="91"/>
  <c r="K8" i="91"/>
  <c r="K12" i="91" s="1"/>
  <c r="K14" i="91" s="1"/>
  <c r="L8" i="91"/>
  <c r="L12" i="91" s="1"/>
  <c r="L14" i="91" s="1"/>
  <c r="M8" i="91"/>
  <c r="M12" i="91" s="1"/>
  <c r="M14" i="91" s="1"/>
  <c r="L7" i="91"/>
  <c r="M7" i="91"/>
  <c r="K7" i="91"/>
  <c r="K23" i="7"/>
  <c r="G51" i="91"/>
  <c r="H51" i="91"/>
  <c r="I51" i="91"/>
  <c r="J51" i="91"/>
  <c r="H52" i="91"/>
  <c r="I52" i="91"/>
  <c r="J52" i="91"/>
  <c r="H50" i="91"/>
  <c r="I50" i="91"/>
  <c r="J50" i="91"/>
  <c r="G50" i="91"/>
  <c r="G47" i="91"/>
  <c r="H47" i="91"/>
  <c r="I47" i="91"/>
  <c r="J47" i="91"/>
  <c r="G48" i="91"/>
  <c r="H48" i="91"/>
  <c r="I48" i="91"/>
  <c r="J48" i="91"/>
  <c r="H46" i="91"/>
  <c r="I46" i="91"/>
  <c r="J46" i="91"/>
  <c r="G46" i="91"/>
  <c r="H44" i="91"/>
  <c r="I44" i="91"/>
  <c r="J44" i="91"/>
  <c r="G44" i="91"/>
  <c r="G31" i="91"/>
  <c r="H31" i="91"/>
  <c r="I31" i="91"/>
  <c r="J31" i="91"/>
  <c r="G32" i="91"/>
  <c r="H32" i="91"/>
  <c r="I32" i="91"/>
  <c r="J32" i="91"/>
  <c r="G33" i="91"/>
  <c r="H33" i="91"/>
  <c r="I33" i="91"/>
  <c r="J33" i="91"/>
  <c r="G35" i="91"/>
  <c r="H35" i="91"/>
  <c r="I35" i="91"/>
  <c r="J35" i="91"/>
  <c r="G36" i="91"/>
  <c r="H36" i="91"/>
  <c r="I36" i="91"/>
  <c r="J36" i="91"/>
  <c r="G37" i="91"/>
  <c r="H37" i="91"/>
  <c r="I37" i="91"/>
  <c r="J37" i="91"/>
  <c r="G39" i="91"/>
  <c r="H39" i="91"/>
  <c r="H41" i="91" s="1"/>
  <c r="I39" i="91"/>
  <c r="I41" i="91" s="1"/>
  <c r="J39" i="91"/>
  <c r="G40" i="91"/>
  <c r="H40" i="91"/>
  <c r="I40" i="91"/>
  <c r="J40" i="91"/>
  <c r="J41" i="91" s="1"/>
  <c r="H29" i="91"/>
  <c r="I29" i="91"/>
  <c r="J29" i="91"/>
  <c r="G29" i="91"/>
  <c r="H27" i="91"/>
  <c r="I27" i="91"/>
  <c r="J27" i="91"/>
  <c r="G27" i="91"/>
  <c r="G22" i="91"/>
  <c r="H22" i="91"/>
  <c r="I22" i="91"/>
  <c r="J22" i="91"/>
  <c r="G23" i="91"/>
  <c r="H23" i="91"/>
  <c r="I23" i="91"/>
  <c r="J23" i="91"/>
  <c r="G24" i="91"/>
  <c r="H24" i="91"/>
  <c r="I24" i="91"/>
  <c r="J24" i="91"/>
  <c r="G25" i="91"/>
  <c r="H25" i="91"/>
  <c r="I25" i="91"/>
  <c r="J25" i="91"/>
  <c r="H21" i="91"/>
  <c r="I21" i="91"/>
  <c r="J21" i="91"/>
  <c r="G21" i="91"/>
  <c r="H20" i="91"/>
  <c r="I20" i="91"/>
  <c r="J20" i="91"/>
  <c r="G20" i="91"/>
  <c r="C22" i="91"/>
  <c r="D22" i="91"/>
  <c r="E22" i="91"/>
  <c r="F22" i="91"/>
  <c r="C23" i="91"/>
  <c r="D23" i="91"/>
  <c r="E23" i="91"/>
  <c r="F23" i="91"/>
  <c r="C24" i="91"/>
  <c r="D24" i="91"/>
  <c r="E24" i="91"/>
  <c r="F24" i="91"/>
  <c r="C25" i="91"/>
  <c r="D25" i="91"/>
  <c r="E25" i="91"/>
  <c r="F25" i="91"/>
  <c r="D21" i="91"/>
  <c r="E21" i="91"/>
  <c r="F21" i="91"/>
  <c r="C21" i="91"/>
  <c r="D20" i="91"/>
  <c r="E20" i="91"/>
  <c r="F20" i="91"/>
  <c r="C20" i="91"/>
  <c r="G18" i="91"/>
  <c r="H18" i="91"/>
  <c r="I18" i="91"/>
  <c r="J18" i="91"/>
  <c r="G19" i="91"/>
  <c r="H19" i="91"/>
  <c r="I19" i="91"/>
  <c r="J19" i="91"/>
  <c r="H17" i="91"/>
  <c r="I17" i="91"/>
  <c r="J17" i="91"/>
  <c r="G17" i="91"/>
  <c r="H16" i="91"/>
  <c r="I16" i="91"/>
  <c r="J16" i="91"/>
  <c r="G16" i="91"/>
  <c r="H15" i="91"/>
  <c r="I15" i="91"/>
  <c r="J15" i="91"/>
  <c r="G15" i="91"/>
  <c r="H13" i="91"/>
  <c r="I13" i="91"/>
  <c r="J13" i="91"/>
  <c r="G13" i="91"/>
  <c r="G10" i="91"/>
  <c r="H10" i="91"/>
  <c r="I10" i="91"/>
  <c r="J10" i="91"/>
  <c r="G11" i="91"/>
  <c r="H11" i="91"/>
  <c r="I11" i="91"/>
  <c r="J11" i="91"/>
  <c r="H9" i="91"/>
  <c r="I9" i="91"/>
  <c r="J9" i="91"/>
  <c r="G9" i="91"/>
  <c r="G8" i="91"/>
  <c r="G12" i="91" s="1"/>
  <c r="G14" i="91" s="1"/>
  <c r="H8" i="91"/>
  <c r="H12" i="91" s="1"/>
  <c r="H14" i="91" s="1"/>
  <c r="I8" i="91"/>
  <c r="I12" i="91" s="1"/>
  <c r="I14" i="91" s="1"/>
  <c r="J8" i="91"/>
  <c r="J12" i="91" s="1"/>
  <c r="J14" i="91" s="1"/>
  <c r="H7" i="91"/>
  <c r="I7" i="91"/>
  <c r="J7" i="91"/>
  <c r="G7" i="91"/>
  <c r="C31" i="91"/>
  <c r="D31" i="91"/>
  <c r="E31" i="91"/>
  <c r="F31" i="91"/>
  <c r="C32" i="91"/>
  <c r="D32" i="91"/>
  <c r="E32" i="91"/>
  <c r="F32" i="91"/>
  <c r="C33" i="91"/>
  <c r="D33" i="91"/>
  <c r="E33" i="91"/>
  <c r="F33" i="91"/>
  <c r="C35" i="91"/>
  <c r="D35" i="91"/>
  <c r="E35" i="91"/>
  <c r="F35" i="91"/>
  <c r="C36" i="91"/>
  <c r="D36" i="91"/>
  <c r="E36" i="91"/>
  <c r="F36" i="91"/>
  <c r="C37" i="91"/>
  <c r="D37" i="91"/>
  <c r="E37" i="91"/>
  <c r="F37" i="91"/>
  <c r="C39" i="91"/>
  <c r="D39" i="91"/>
  <c r="E39" i="91"/>
  <c r="F39" i="91"/>
  <c r="C40" i="91"/>
  <c r="D40" i="91"/>
  <c r="E40" i="91"/>
  <c r="F40" i="91"/>
  <c r="C41" i="91"/>
  <c r="D41" i="91"/>
  <c r="E41" i="91"/>
  <c r="F41" i="91"/>
  <c r="C44" i="91"/>
  <c r="D44" i="91"/>
  <c r="E44" i="91"/>
  <c r="F44" i="91"/>
  <c r="C46" i="91"/>
  <c r="D46" i="91"/>
  <c r="E46" i="91"/>
  <c r="F46" i="91"/>
  <c r="C47" i="91"/>
  <c r="D47" i="91"/>
  <c r="E47" i="91"/>
  <c r="F47" i="91"/>
  <c r="C48" i="91"/>
  <c r="D48" i="91"/>
  <c r="E48" i="91"/>
  <c r="F48" i="91"/>
  <c r="C50" i="91"/>
  <c r="D50" i="91"/>
  <c r="E50" i="91"/>
  <c r="F50" i="91"/>
  <c r="C51" i="91"/>
  <c r="D51" i="91"/>
  <c r="E51" i="91"/>
  <c r="F51" i="91"/>
  <c r="C52" i="91"/>
  <c r="D52" i="91"/>
  <c r="E52" i="91"/>
  <c r="F52" i="91"/>
  <c r="D29" i="91"/>
  <c r="E29" i="91"/>
  <c r="F29" i="91"/>
  <c r="C29" i="91"/>
  <c r="D27" i="91"/>
  <c r="E27" i="91"/>
  <c r="F27" i="91"/>
  <c r="C27" i="91"/>
  <c r="C17" i="91"/>
  <c r="D17" i="91"/>
  <c r="E17" i="91"/>
  <c r="F17" i="91"/>
  <c r="C18" i="91"/>
  <c r="D18" i="91"/>
  <c r="E18" i="91"/>
  <c r="F18" i="91"/>
  <c r="C19" i="91"/>
  <c r="D19" i="91"/>
  <c r="E19" i="91"/>
  <c r="F19" i="91"/>
  <c r="D16" i="91"/>
  <c r="E16" i="91"/>
  <c r="F16" i="91"/>
  <c r="C16" i="91"/>
  <c r="D15" i="91"/>
  <c r="E15" i="91"/>
  <c r="F15" i="91"/>
  <c r="C15" i="91"/>
  <c r="D13" i="91"/>
  <c r="E13" i="91"/>
  <c r="F13" i="91"/>
  <c r="C13" i="91"/>
  <c r="C10" i="91"/>
  <c r="D10" i="91"/>
  <c r="E10" i="91"/>
  <c r="F10" i="91"/>
  <c r="D9" i="91"/>
  <c r="E9" i="91"/>
  <c r="F9" i="91"/>
  <c r="C9" i="91"/>
  <c r="C8" i="91"/>
  <c r="D8" i="91"/>
  <c r="E8" i="91"/>
  <c r="F8" i="91"/>
  <c r="D7" i="91"/>
  <c r="E7" i="91"/>
  <c r="F7" i="91"/>
  <c r="C7" i="91"/>
  <c r="C5" i="91"/>
  <c r="D5" i="91"/>
  <c r="E5" i="91"/>
  <c r="F5" i="91"/>
  <c r="D4" i="91"/>
  <c r="E4" i="91"/>
  <c r="F4" i="91"/>
  <c r="C4" i="91"/>
  <c r="M22" i="7"/>
  <c r="N22" i="7"/>
  <c r="M23" i="7"/>
  <c r="N23" i="7"/>
  <c r="M24" i="7"/>
  <c r="N24" i="7"/>
  <c r="M19" i="7"/>
  <c r="N19" i="7"/>
  <c r="M20" i="7"/>
  <c r="N20" i="7"/>
  <c r="M14" i="7"/>
  <c r="N14" i="7"/>
  <c r="M15" i="7"/>
  <c r="N15" i="7"/>
  <c r="M16" i="7"/>
  <c r="N16" i="7"/>
  <c r="M11" i="7"/>
  <c r="N11" i="7"/>
  <c r="M12" i="7"/>
  <c r="N12" i="7"/>
  <c r="M6" i="7"/>
  <c r="N6" i="7"/>
  <c r="M8" i="7"/>
  <c r="N8" i="7"/>
  <c r="M4" i="7"/>
  <c r="N4" i="7"/>
  <c r="K4" i="7"/>
  <c r="K6" i="7"/>
  <c r="K8" i="7"/>
  <c r="K12" i="7"/>
  <c r="K14" i="7"/>
  <c r="K15" i="7"/>
  <c r="K16" i="7"/>
  <c r="K19" i="7"/>
  <c r="K20" i="7"/>
  <c r="K22" i="7"/>
  <c r="D12" i="7"/>
  <c r="D14" i="7" s="1"/>
  <c r="E12" i="7"/>
  <c r="E16" i="7" s="1"/>
  <c r="E17" i="7" s="1"/>
  <c r="M18" i="7" s="1"/>
  <c r="F12" i="7"/>
  <c r="F14" i="7" s="1"/>
  <c r="C12" i="7"/>
  <c r="C14" i="7" s="1"/>
  <c r="K17" i="21"/>
  <c r="L17" i="21"/>
  <c r="J17" i="21"/>
  <c r="K20" i="21"/>
  <c r="J20" i="21"/>
  <c r="K21" i="21"/>
  <c r="J21" i="21"/>
  <c r="J14" i="21"/>
  <c r="K14" i="21"/>
  <c r="J15" i="21"/>
  <c r="K15" i="21"/>
  <c r="J16" i="21"/>
  <c r="K16" i="21"/>
  <c r="K12" i="21"/>
  <c r="L12" i="21"/>
  <c r="J12" i="21"/>
  <c r="I12" i="21"/>
  <c r="J11" i="21"/>
  <c r="K11" i="21"/>
  <c r="L11" i="21"/>
  <c r="I11" i="21"/>
  <c r="J10" i="21"/>
  <c r="K10" i="21"/>
  <c r="L10" i="21"/>
  <c r="I10" i="21"/>
  <c r="J8" i="21"/>
  <c r="K8" i="21"/>
  <c r="L8" i="21"/>
  <c r="I8" i="21"/>
  <c r="F12" i="21"/>
  <c r="F16" i="21" s="1"/>
  <c r="F17" i="21" s="1"/>
  <c r="D16" i="21"/>
  <c r="D17" i="21" s="1"/>
  <c r="E12" i="21"/>
  <c r="E16" i="21" s="1"/>
  <c r="E17" i="21" s="1"/>
  <c r="D13" i="21"/>
  <c r="C22" i="21"/>
  <c r="C20" i="21"/>
  <c r="C15" i="21"/>
  <c r="C16" i="21" s="1"/>
  <c r="C17" i="21" s="1"/>
  <c r="Q14" i="129"/>
  <c r="N15" i="129"/>
  <c r="N17" i="129" s="1"/>
  <c r="N16" i="129"/>
  <c r="N18" i="129"/>
  <c r="N11" i="129"/>
  <c r="N12" i="129"/>
  <c r="N13" i="129"/>
  <c r="N9" i="129"/>
  <c r="N5" i="129"/>
  <c r="G16" i="129"/>
  <c r="G17" i="129" s="1"/>
  <c r="N20" i="129" s="1"/>
  <c r="G14" i="129"/>
  <c r="G12" i="129"/>
  <c r="G11" i="129"/>
  <c r="D16" i="129"/>
  <c r="D17" i="129" s="1"/>
  <c r="K20" i="129" s="1"/>
  <c r="E16" i="129"/>
  <c r="E17" i="129" s="1"/>
  <c r="F16" i="129"/>
  <c r="F17" i="129" s="1"/>
  <c r="M20" i="129" s="1"/>
  <c r="C16" i="129"/>
  <c r="C17" i="129" s="1"/>
  <c r="D14" i="129"/>
  <c r="E14" i="129"/>
  <c r="F14" i="129"/>
  <c r="C14" i="129"/>
  <c r="D12" i="129"/>
  <c r="E12" i="129"/>
  <c r="L11" i="129" s="1"/>
  <c r="F12" i="129"/>
  <c r="M12" i="129" s="1"/>
  <c r="C12" i="129"/>
  <c r="K11" i="129"/>
  <c r="M11" i="129"/>
  <c r="K12" i="129"/>
  <c r="L12" i="129"/>
  <c r="K13" i="129"/>
  <c r="L13" i="129"/>
  <c r="M13" i="129"/>
  <c r="K15" i="129"/>
  <c r="K17" i="129" s="1"/>
  <c r="L15" i="129"/>
  <c r="M15" i="129"/>
  <c r="K16" i="129"/>
  <c r="L16" i="129"/>
  <c r="M16" i="129"/>
  <c r="K18" i="129"/>
  <c r="L18" i="129"/>
  <c r="M18" i="129"/>
  <c r="K7" i="129"/>
  <c r="L7" i="129"/>
  <c r="M7" i="129"/>
  <c r="K9" i="129"/>
  <c r="L9" i="129"/>
  <c r="M9" i="129"/>
  <c r="L5" i="129"/>
  <c r="M5" i="129"/>
  <c r="I24" i="112"/>
  <c r="R23" i="112" s="1"/>
  <c r="R24" i="112"/>
  <c r="R19" i="112"/>
  <c r="R20" i="112"/>
  <c r="R21" i="112"/>
  <c r="R10" i="112"/>
  <c r="R11" i="112"/>
  <c r="R12" i="112"/>
  <c r="R6" i="112"/>
  <c r="R4" i="112"/>
  <c r="I11" i="112"/>
  <c r="I12" i="112"/>
  <c r="I14" i="112" s="1"/>
  <c r="I17" i="112" s="1"/>
  <c r="P32" i="91"/>
  <c r="P8" i="91"/>
  <c r="P10" i="91"/>
  <c r="P13" i="91"/>
  <c r="P7" i="91"/>
  <c r="Q32" i="91"/>
  <c r="R32" i="91"/>
  <c r="S32" i="91"/>
  <c r="F17" i="75" l="1"/>
  <c r="M14" i="87"/>
  <c r="E17" i="75"/>
  <c r="L14" i="87"/>
  <c r="F16" i="13"/>
  <c r="F14" i="13"/>
  <c r="F17" i="13" s="1"/>
  <c r="E17" i="132"/>
  <c r="N16" i="95"/>
  <c r="D17" i="132"/>
  <c r="M16" i="95"/>
  <c r="C17" i="132"/>
  <c r="L16" i="95"/>
  <c r="U12" i="91"/>
  <c r="V16" i="91"/>
  <c r="V17" i="91" s="1"/>
  <c r="V14" i="91"/>
  <c r="T16" i="91"/>
  <c r="T17" i="91" s="1"/>
  <c r="T14" i="91"/>
  <c r="W16" i="91"/>
  <c r="W17" i="91" s="1"/>
  <c r="W14" i="91"/>
  <c r="U14" i="91"/>
  <c r="U16" i="91"/>
  <c r="U17" i="91" s="1"/>
  <c r="K11" i="32"/>
  <c r="L10" i="32"/>
  <c r="K10" i="32"/>
  <c r="M25" i="32"/>
  <c r="W52" i="91" s="1"/>
  <c r="C13" i="32"/>
  <c r="E13" i="32"/>
  <c r="D16" i="32"/>
  <c r="D17" i="32" s="1"/>
  <c r="D12" i="91"/>
  <c r="D14" i="91" s="1"/>
  <c r="E11" i="91"/>
  <c r="F11" i="91"/>
  <c r="C11" i="91"/>
  <c r="F12" i="91"/>
  <c r="F14" i="91" s="1"/>
  <c r="E12" i="91"/>
  <c r="E14" i="91" s="1"/>
  <c r="D11" i="91"/>
  <c r="C12" i="91"/>
  <c r="C14" i="91" s="1"/>
  <c r="N10" i="7"/>
  <c r="M10" i="7"/>
  <c r="K11" i="7"/>
  <c r="K24" i="7"/>
  <c r="G52" i="91" s="1"/>
  <c r="K10" i="7"/>
  <c r="C16" i="7"/>
  <c r="C17" i="7" s="1"/>
  <c r="K18" i="7" s="1"/>
  <c r="E14" i="7"/>
  <c r="F16" i="7"/>
  <c r="F17" i="7" s="1"/>
  <c r="N18" i="7" s="1"/>
  <c r="D16" i="7"/>
  <c r="D17" i="7" s="1"/>
  <c r="F13" i="21"/>
  <c r="E13" i="21"/>
  <c r="L20" i="129"/>
  <c r="M17" i="129"/>
  <c r="L17" i="129"/>
  <c r="R17" i="112"/>
  <c r="R15" i="112"/>
  <c r="R14" i="112"/>
  <c r="R16" i="112" s="1"/>
  <c r="R8" i="112"/>
  <c r="R25" i="112"/>
  <c r="I16" i="112"/>
  <c r="P23" i="112"/>
  <c r="R50" i="91" s="1"/>
  <c r="Q23" i="112"/>
  <c r="S50" i="91" s="1"/>
  <c r="P24" i="112"/>
  <c r="R51" i="91" s="1"/>
  <c r="Q24" i="112"/>
  <c r="S51" i="91" s="1"/>
  <c r="P20" i="112"/>
  <c r="R47" i="91" s="1"/>
  <c r="Q20" i="112"/>
  <c r="S47" i="91" s="1"/>
  <c r="P21" i="112"/>
  <c r="R48" i="91" s="1"/>
  <c r="Q21" i="112"/>
  <c r="S48" i="91" s="1"/>
  <c r="P14" i="112"/>
  <c r="R39" i="91" s="1"/>
  <c r="Q14" i="112"/>
  <c r="S39" i="91" s="1"/>
  <c r="P15" i="112"/>
  <c r="R40" i="91" s="1"/>
  <c r="Q15" i="112"/>
  <c r="S40" i="91" s="1"/>
  <c r="P17" i="112"/>
  <c r="R44" i="91" s="1"/>
  <c r="Q17" i="112"/>
  <c r="S44" i="91" s="1"/>
  <c r="P12" i="112"/>
  <c r="R37" i="91" s="1"/>
  <c r="Q12" i="112"/>
  <c r="S37" i="91" s="1"/>
  <c r="P4" i="112"/>
  <c r="R29" i="91" s="1"/>
  <c r="Q4" i="112"/>
  <c r="S29" i="91" s="1"/>
  <c r="H12" i="112"/>
  <c r="H21" i="112"/>
  <c r="Q8" i="112" s="1"/>
  <c r="S33" i="91" s="1"/>
  <c r="G21" i="112"/>
  <c r="P8" i="112" s="1"/>
  <c r="R33" i="91" s="1"/>
  <c r="G12" i="112"/>
  <c r="S11" i="91"/>
  <c r="S9" i="91"/>
  <c r="S12" i="91" s="1"/>
  <c r="R11" i="91"/>
  <c r="R9" i="91"/>
  <c r="R12" i="91" s="1"/>
  <c r="Q9" i="91"/>
  <c r="Q12" i="91" s="1"/>
  <c r="Q14" i="91" s="1"/>
  <c r="Q17" i="91" s="1"/>
  <c r="Q11" i="91"/>
  <c r="AA3" i="5"/>
  <c r="AB3" i="5"/>
  <c r="AA5" i="5"/>
  <c r="AB5" i="5"/>
  <c r="AA7" i="5"/>
  <c r="AB7" i="5"/>
  <c r="AA9" i="5"/>
  <c r="AB9" i="5"/>
  <c r="AA10" i="5"/>
  <c r="AB10" i="5"/>
  <c r="AA11" i="5"/>
  <c r="AB11" i="5"/>
  <c r="AA13" i="5"/>
  <c r="AB13" i="5"/>
  <c r="AA14" i="5"/>
  <c r="AB14" i="5"/>
  <c r="AA15" i="5"/>
  <c r="AB15" i="5"/>
  <c r="AA16" i="5"/>
  <c r="AB16" i="5"/>
  <c r="AA19" i="5"/>
  <c r="AB19" i="5"/>
  <c r="AA20" i="5"/>
  <c r="AB20" i="5"/>
  <c r="AA21" i="5"/>
  <c r="AB21" i="5"/>
  <c r="AA23" i="5"/>
  <c r="AB23" i="5"/>
  <c r="AB25" i="5" s="1"/>
  <c r="AA24" i="5"/>
  <c r="AB24" i="5"/>
  <c r="AA25" i="5"/>
  <c r="J19" i="5"/>
  <c r="I14" i="5"/>
  <c r="I16" i="5" s="1"/>
  <c r="I15" i="5"/>
  <c r="J14" i="5"/>
  <c r="J10" i="5"/>
  <c r="J8" i="5"/>
  <c r="J11" i="5" s="1"/>
  <c r="W16" i="48"/>
  <c r="X16" i="48"/>
  <c r="Y16" i="48"/>
  <c r="Z16" i="48"/>
  <c r="AA16" i="48"/>
  <c r="AB16" i="48"/>
  <c r="AC16" i="48"/>
  <c r="L17" i="87" l="1"/>
  <c r="L20" i="75"/>
  <c r="L44" i="87" s="1"/>
  <c r="M17" i="87"/>
  <c r="M20" i="75"/>
  <c r="M44" i="87" s="1"/>
  <c r="L17" i="95"/>
  <c r="H20" i="132"/>
  <c r="L44" i="95" s="1"/>
  <c r="J20" i="132"/>
  <c r="N44" i="95" s="1"/>
  <c r="N17" i="95"/>
  <c r="I20" i="132"/>
  <c r="M44" i="95" s="1"/>
  <c r="M17" i="95"/>
  <c r="P11" i="112"/>
  <c r="R36" i="91" s="1"/>
  <c r="G14" i="112"/>
  <c r="G17" i="112" s="1"/>
  <c r="P19" i="112" s="1"/>
  <c r="R46" i="91" s="1"/>
  <c r="G16" i="112"/>
  <c r="Q10" i="112"/>
  <c r="S35" i="91" s="1"/>
  <c r="H16" i="112"/>
  <c r="H14" i="112"/>
  <c r="H17" i="112" s="1"/>
  <c r="Q19" i="112" s="1"/>
  <c r="S46" i="91" s="1"/>
  <c r="Q25" i="112"/>
  <c r="S52" i="91" s="1"/>
  <c r="R16" i="91"/>
  <c r="R14" i="91"/>
  <c r="R17" i="91" s="1"/>
  <c r="S16" i="91"/>
  <c r="S14" i="91"/>
  <c r="S17" i="91" s="1"/>
  <c r="Q11" i="112"/>
  <c r="S36" i="91" s="1"/>
  <c r="Q6" i="112"/>
  <c r="S31" i="91" s="1"/>
  <c r="P6" i="112"/>
  <c r="R31" i="91" s="1"/>
  <c r="Q16" i="112"/>
  <c r="S41" i="91" s="1"/>
  <c r="P25" i="112"/>
  <c r="R52" i="91" s="1"/>
  <c r="P16" i="112"/>
  <c r="R41" i="91" s="1"/>
  <c r="P10" i="112"/>
  <c r="R35" i="91" s="1"/>
  <c r="Q16" i="91"/>
  <c r="J13" i="5"/>
  <c r="J16" i="5" s="1"/>
  <c r="J15" i="5"/>
  <c r="Q14" i="58" l="1"/>
  <c r="Q10" i="58"/>
  <c r="Q8" i="58"/>
  <c r="Q11" i="58" s="1"/>
  <c r="Q15" i="58" l="1"/>
  <c r="Q13" i="58"/>
  <c r="Q16" i="58" s="1"/>
  <c r="P14" i="22"/>
  <c r="P10" i="22"/>
  <c r="P8" i="22"/>
  <c r="P11" i="22" s="1"/>
  <c r="P14" i="23"/>
  <c r="P10" i="23"/>
  <c r="P8" i="23"/>
  <c r="P11" i="23" s="1"/>
  <c r="P13" i="23" s="1"/>
  <c r="P16" i="23" s="1"/>
  <c r="P14" i="26"/>
  <c r="P10" i="26"/>
  <c r="P8" i="26"/>
  <c r="P11" i="26" s="1"/>
  <c r="P14" i="37"/>
  <c r="P10" i="37"/>
  <c r="P8" i="37"/>
  <c r="P11" i="37" s="1"/>
  <c r="P15" i="26" l="1"/>
  <c r="P13" i="26"/>
  <c r="P16" i="26" s="1"/>
  <c r="P13" i="22"/>
  <c r="P16" i="22" s="1"/>
  <c r="P15" i="22"/>
  <c r="P15" i="37"/>
  <c r="P13" i="37"/>
  <c r="P16" i="37" s="1"/>
  <c r="P15" i="23"/>
  <c r="AC16" i="107"/>
  <c r="AD16" i="107"/>
  <c r="O14" i="107"/>
  <c r="O10" i="107"/>
  <c r="O8" i="107"/>
  <c r="O11" i="107" s="1"/>
  <c r="O13" i="107" s="1"/>
  <c r="K14" i="121"/>
  <c r="K10" i="121"/>
  <c r="K8" i="121"/>
  <c r="K11" i="121" s="1"/>
  <c r="O14" i="120"/>
  <c r="O10" i="120"/>
  <c r="O11" i="120"/>
  <c r="O13" i="120" s="1"/>
  <c r="O8" i="120"/>
  <c r="P14" i="115"/>
  <c r="P10" i="115"/>
  <c r="P8" i="115"/>
  <c r="P11" i="115" s="1"/>
  <c r="P13" i="115" s="1"/>
  <c r="K15" i="121" l="1"/>
  <c r="K13" i="121"/>
  <c r="K16" i="121" s="1"/>
  <c r="P15" i="115"/>
  <c r="O15" i="107"/>
  <c r="O15" i="120"/>
  <c r="O16" i="107"/>
  <c r="O16" i="120"/>
  <c r="P16" i="115"/>
  <c r="O14" i="123" l="1"/>
  <c r="O10" i="123"/>
  <c r="O8" i="123"/>
  <c r="O11" i="123" s="1"/>
  <c r="O15" i="123" l="1"/>
  <c r="O13" i="123"/>
  <c r="O16" i="123"/>
  <c r="AD16" i="98"/>
  <c r="O14" i="98" l="1"/>
  <c r="O10" i="98"/>
  <c r="O8" i="98"/>
  <c r="O11" i="98" s="1"/>
  <c r="O13" i="98" s="1"/>
  <c r="O16" i="98" s="1"/>
  <c r="O15" i="98" l="1"/>
  <c r="P14" i="81"/>
  <c r="P10" i="81"/>
  <c r="P8" i="81"/>
  <c r="P11" i="81" s="1"/>
  <c r="P15" i="81" l="1"/>
  <c r="P13" i="81"/>
  <c r="P16" i="81" s="1"/>
  <c r="AH16" i="65"/>
  <c r="Q14" i="65"/>
  <c r="Q10" i="65"/>
  <c r="AH3" i="65" s="1"/>
  <c r="Q8" i="65"/>
  <c r="Q11" i="65" s="1"/>
  <c r="AH3" i="43"/>
  <c r="AH16" i="43"/>
  <c r="Q14" i="43"/>
  <c r="Q15" i="43" s="1"/>
  <c r="Q13" i="43"/>
  <c r="Q10" i="43"/>
  <c r="Q8" i="43"/>
  <c r="Q11" i="43" s="1"/>
  <c r="Q15" i="65" l="1"/>
  <c r="Q13" i="65"/>
  <c r="Q16" i="65" s="1"/>
  <c r="Q16" i="43"/>
  <c r="AH16" i="44"/>
  <c r="Q14" i="44"/>
  <c r="Q10" i="44"/>
  <c r="AH3" i="44" s="1"/>
  <c r="Q8" i="44"/>
  <c r="Q11" i="44" s="1"/>
  <c r="AH16" i="73"/>
  <c r="AH16" i="127"/>
  <c r="Q15" i="44" l="1"/>
  <c r="Q13" i="44"/>
  <c r="Q16" i="44" s="1"/>
  <c r="AH16" i="125"/>
  <c r="AH16" i="79"/>
  <c r="AH3" i="113"/>
  <c r="AH16" i="113"/>
  <c r="Q14" i="113"/>
  <c r="Q10" i="113"/>
  <c r="Q8" i="113"/>
  <c r="Q11" i="113" s="1"/>
  <c r="Q13" i="113" s="1"/>
  <c r="Q16" i="113" s="1"/>
  <c r="Q15" i="113" l="1"/>
  <c r="AF16" i="114"/>
  <c r="AH16" i="30"/>
  <c r="AH16" i="15"/>
  <c r="AH16" i="33"/>
  <c r="AJ16" i="5"/>
  <c r="AH16" i="35"/>
  <c r="AH16" i="18" l="1"/>
  <c r="AH16" i="24"/>
  <c r="AF16" i="57" l="1"/>
  <c r="P14" i="57"/>
  <c r="P23" i="20" l="1"/>
  <c r="AF16" i="20" s="1"/>
  <c r="P10" i="20" l="1"/>
  <c r="AF3" i="20" s="1"/>
  <c r="P8" i="20"/>
  <c r="P11" i="20" s="1"/>
  <c r="P15" i="20" l="1"/>
  <c r="P13" i="20"/>
  <c r="P16" i="20" s="1"/>
  <c r="Q14" i="127" l="1"/>
  <c r="Q10" i="127"/>
  <c r="AH3" i="127" s="1"/>
  <c r="Q8" i="127"/>
  <c r="Q11" i="127" s="1"/>
  <c r="Q13" i="127" s="1"/>
  <c r="Q16" i="127" s="1"/>
  <c r="Q14" i="125"/>
  <c r="Q10" i="125"/>
  <c r="AH3" i="125" s="1"/>
  <c r="Q11" i="125"/>
  <c r="Q13" i="125" s="1"/>
  <c r="Q8" i="125"/>
  <c r="Q15" i="125" l="1"/>
  <c r="Q15" i="127"/>
  <c r="Q16" i="125"/>
  <c r="Q14" i="24"/>
  <c r="Q10" i="24"/>
  <c r="AH3" i="24" s="1"/>
  <c r="Q8" i="24"/>
  <c r="Q11" i="24" s="1"/>
  <c r="Q14" i="33"/>
  <c r="Q10" i="33"/>
  <c r="AH3" i="33" s="1"/>
  <c r="Q8" i="33"/>
  <c r="Q11" i="33" s="1"/>
  <c r="Q14" i="35"/>
  <c r="Q10" i="35"/>
  <c r="AH3" i="35" s="1"/>
  <c r="Q8" i="35"/>
  <c r="Q11" i="35" s="1"/>
  <c r="Q13" i="35" s="1"/>
  <c r="Q13" i="33" l="1"/>
  <c r="Q16" i="33" s="1"/>
  <c r="Q15" i="33"/>
  <c r="Q15" i="24"/>
  <c r="Q13" i="24"/>
  <c r="Q16" i="24" s="1"/>
  <c r="Q16" i="35"/>
  <c r="Q15" i="35"/>
  <c r="Q14" i="73"/>
  <c r="Q20" i="73"/>
  <c r="Q10" i="73"/>
  <c r="AH3" i="73" s="1"/>
  <c r="Q8" i="73"/>
  <c r="Q11" i="73" s="1"/>
  <c r="Q13" i="73" l="1"/>
  <c r="Q16" i="73" s="1"/>
  <c r="Q15" i="73"/>
  <c r="Q14" i="30"/>
  <c r="Q10" i="30"/>
  <c r="AH3" i="30" s="1"/>
  <c r="Q8" i="30"/>
  <c r="Q11" i="30" s="1"/>
  <c r="Q15" i="30" l="1"/>
  <c r="Q13" i="30"/>
  <c r="Q16" i="30" s="1"/>
  <c r="P14" i="114"/>
  <c r="P15" i="114" s="1"/>
  <c r="P10" i="114"/>
  <c r="AF3" i="114" s="1"/>
  <c r="P11" i="114"/>
  <c r="P13" i="114" s="1"/>
  <c r="P8" i="114"/>
  <c r="Q14" i="18"/>
  <c r="Q10" i="18"/>
  <c r="AH3" i="18" s="1"/>
  <c r="Q11" i="18"/>
  <c r="Q15" i="18" s="1"/>
  <c r="Q8" i="18"/>
  <c r="Q13" i="18" l="1"/>
  <c r="Q16" i="18"/>
  <c r="P16" i="114"/>
  <c r="Q20" i="15" l="1"/>
  <c r="Q14" i="15"/>
  <c r="Q10" i="15"/>
  <c r="AH3" i="15" s="1"/>
  <c r="Q8" i="15"/>
  <c r="Q11" i="15" s="1"/>
  <c r="Q15" i="15" l="1"/>
  <c r="Q13" i="15"/>
  <c r="Q16" i="15" s="1"/>
  <c r="P10" i="57"/>
  <c r="AF3" i="57" s="1"/>
  <c r="P8" i="57"/>
  <c r="P11" i="57" s="1"/>
  <c r="P15" i="57" l="1"/>
  <c r="P13" i="57"/>
  <c r="P16" i="57" s="1"/>
  <c r="R14" i="5"/>
  <c r="R10" i="5"/>
  <c r="AJ3" i="5" s="1"/>
  <c r="R8" i="5"/>
  <c r="R11" i="5" s="1"/>
  <c r="R15" i="5" l="1"/>
  <c r="R13" i="5"/>
  <c r="Q14" i="79"/>
  <c r="Q10" i="79"/>
  <c r="AH3" i="79" s="1"/>
  <c r="Q8" i="79"/>
  <c r="Q11" i="79" s="1"/>
  <c r="Q13" i="79" l="1"/>
  <c r="Q16" i="79" s="1"/>
  <c r="Q15" i="79"/>
  <c r="AG16" i="27" l="1"/>
  <c r="AH16" i="27"/>
  <c r="Q14" i="27"/>
  <c r="P14" i="27"/>
  <c r="P10" i="27"/>
  <c r="AG3" i="27" s="1"/>
  <c r="Q10" i="27"/>
  <c r="AH3" i="27" s="1"/>
  <c r="P8" i="27"/>
  <c r="P11" i="27" s="1"/>
  <c r="P13" i="27" s="1"/>
  <c r="Q8" i="27"/>
  <c r="Q11" i="27" s="1"/>
  <c r="Q15" i="27" l="1"/>
  <c r="Q13" i="27"/>
  <c r="Q16" i="27" s="1"/>
  <c r="P15" i="27"/>
  <c r="P16" i="27"/>
  <c r="Q23" i="47" l="1"/>
  <c r="AH16" i="47" s="1"/>
  <c r="Q21" i="47"/>
  <c r="Q19" i="47"/>
  <c r="Q20" i="47" s="1"/>
  <c r="Q14" i="47"/>
  <c r="Q10" i="47"/>
  <c r="AH3" i="47" s="1"/>
  <c r="Q8" i="47"/>
  <c r="Q11" i="47" s="1"/>
  <c r="Q13" i="47" s="1"/>
  <c r="Q15" i="47" l="1"/>
  <c r="Q16" i="47"/>
  <c r="I21" i="69"/>
  <c r="I19" i="69"/>
  <c r="I20" i="69" s="1"/>
  <c r="I14" i="69"/>
  <c r="I10" i="69"/>
  <c r="I11" i="69"/>
  <c r="I13" i="69" s="1"/>
  <c r="I16" i="69" s="1"/>
  <c r="I8" i="69"/>
  <c r="O21" i="69"/>
  <c r="O19" i="69"/>
  <c r="O20" i="69" s="1"/>
  <c r="O14" i="69"/>
  <c r="N14" i="69"/>
  <c r="N20" i="69"/>
  <c r="N10" i="69"/>
  <c r="O10" i="69"/>
  <c r="N8" i="69"/>
  <c r="N11" i="69" s="1"/>
  <c r="O8" i="69"/>
  <c r="O11" i="69" s="1"/>
  <c r="I15" i="69" l="1"/>
  <c r="N15" i="69"/>
  <c r="N13" i="69"/>
  <c r="N16" i="69" s="1"/>
  <c r="O15" i="69"/>
  <c r="O13" i="69"/>
  <c r="O16" i="69" s="1"/>
  <c r="I21" i="86"/>
  <c r="I19" i="86"/>
  <c r="I20" i="86" s="1"/>
  <c r="I14" i="86"/>
  <c r="W11" i="86" s="1"/>
  <c r="H14" i="86"/>
  <c r="V11" i="86" s="1"/>
  <c r="I10" i="86"/>
  <c r="W3" i="86" s="1"/>
  <c r="I8" i="86"/>
  <c r="I11" i="86" s="1"/>
  <c r="V13" i="86"/>
  <c r="W13" i="86"/>
  <c r="V14" i="86"/>
  <c r="W14" i="86"/>
  <c r="V15" i="86"/>
  <c r="V16" i="86"/>
  <c r="W16" i="86"/>
  <c r="V20" i="86"/>
  <c r="W20" i="86"/>
  <c r="V21" i="86"/>
  <c r="V23" i="86"/>
  <c r="W23" i="86"/>
  <c r="W10" i="86" l="1"/>
  <c r="I13" i="86"/>
  <c r="I16" i="86" s="1"/>
  <c r="W19" i="86" s="1"/>
  <c r="W21" i="86"/>
  <c r="W15" i="86"/>
  <c r="W7" i="86"/>
  <c r="W5" i="86"/>
  <c r="I15" i="86"/>
  <c r="W9" i="86"/>
  <c r="K21" i="86" l="1"/>
  <c r="K19" i="86"/>
  <c r="K14" i="86"/>
  <c r="J14" i="86"/>
  <c r="AA16" i="22" l="1"/>
  <c r="AB16" i="22"/>
  <c r="AC16" i="22"/>
  <c r="AD16" i="22"/>
  <c r="AE16" i="22"/>
  <c r="Z16" i="22"/>
  <c r="Z16" i="80"/>
  <c r="AA16" i="80"/>
  <c r="AB16" i="80"/>
  <c r="AC16" i="80"/>
  <c r="AD16" i="80"/>
  <c r="Y16" i="80"/>
  <c r="U11" i="118" l="1"/>
  <c r="U13" i="118"/>
  <c r="U14" i="118"/>
  <c r="U15" i="118"/>
  <c r="U16" i="118"/>
  <c r="U20" i="118"/>
  <c r="U23" i="118"/>
  <c r="H21" i="118"/>
  <c r="U5" i="118" s="1"/>
  <c r="H19" i="118"/>
  <c r="H20" i="118" s="1"/>
  <c r="U7" i="118" s="1"/>
  <c r="H14" i="118"/>
  <c r="H10" i="118"/>
  <c r="U3" i="118" s="1"/>
  <c r="H8" i="118"/>
  <c r="H11" i="118" s="1"/>
  <c r="H13" i="118" l="1"/>
  <c r="U9" i="118"/>
  <c r="U10" i="118"/>
  <c r="U24" i="118"/>
  <c r="U25" i="118"/>
  <c r="U21" i="118"/>
  <c r="H15" i="118"/>
  <c r="H16" i="118"/>
  <c r="U19" i="118" s="1"/>
  <c r="Y16" i="78" l="1"/>
  <c r="Z16" i="78"/>
  <c r="AB16" i="78"/>
  <c r="N22" i="78"/>
  <c r="N21" i="78"/>
  <c r="N19" i="78"/>
  <c r="N20" i="78" s="1"/>
  <c r="N14" i="78"/>
  <c r="N10" i="78"/>
  <c r="N11" i="78"/>
  <c r="N13" i="78" s="1"/>
  <c r="N16" i="78" s="1"/>
  <c r="N8" i="78"/>
  <c r="X16" i="78"/>
  <c r="N15" i="78" l="1"/>
  <c r="N21" i="48" l="1"/>
  <c r="M20" i="48"/>
  <c r="N19" i="48"/>
  <c r="N20" i="48" s="1"/>
  <c r="N14" i="48"/>
  <c r="N10" i="48"/>
  <c r="N8" i="48"/>
  <c r="N11" i="48" s="1"/>
  <c r="N13" i="48" s="1"/>
  <c r="AB5" i="48" l="1"/>
  <c r="N15" i="48"/>
  <c r="N16" i="48"/>
  <c r="W11" i="120"/>
  <c r="W15" i="120"/>
  <c r="W16" i="120"/>
  <c r="W20" i="120"/>
  <c r="W23" i="120"/>
  <c r="H21" i="120"/>
  <c r="W5" i="120" s="1"/>
  <c r="H19" i="120"/>
  <c r="W21" i="120" s="1"/>
  <c r="H14" i="120"/>
  <c r="H20" i="120"/>
  <c r="W7" i="120" s="1"/>
  <c r="H10" i="120"/>
  <c r="W3" i="120" s="1"/>
  <c r="H8" i="120"/>
  <c r="H11" i="120" s="1"/>
  <c r="J21" i="121"/>
  <c r="I20" i="121"/>
  <c r="J19" i="121"/>
  <c r="J20" i="121" s="1"/>
  <c r="J14" i="121"/>
  <c r="I14" i="121"/>
  <c r="I10" i="121"/>
  <c r="J10" i="121"/>
  <c r="I8" i="121"/>
  <c r="I11" i="121" s="1"/>
  <c r="I13" i="121" s="1"/>
  <c r="J8" i="121"/>
  <c r="J11" i="121" s="1"/>
  <c r="H21" i="121"/>
  <c r="H19" i="121"/>
  <c r="H14" i="121"/>
  <c r="P11" i="121"/>
  <c r="P13" i="121"/>
  <c r="P14" i="121"/>
  <c r="P16" i="121"/>
  <c r="P20" i="121"/>
  <c r="P23" i="121"/>
  <c r="D21" i="121"/>
  <c r="D19" i="121"/>
  <c r="D20" i="121" s="1"/>
  <c r="C14" i="121"/>
  <c r="D14" i="121"/>
  <c r="D10" i="121"/>
  <c r="P3" i="121" s="1"/>
  <c r="D8" i="121"/>
  <c r="D11" i="121" s="1"/>
  <c r="P9" i="121" s="1"/>
  <c r="P5" i="121" l="1"/>
  <c r="P7" i="121"/>
  <c r="V5" i="121"/>
  <c r="H13" i="120"/>
  <c r="W9" i="120"/>
  <c r="W10" i="120"/>
  <c r="J15" i="121"/>
  <c r="J13" i="121"/>
  <c r="I16" i="121"/>
  <c r="J16" i="121"/>
  <c r="H15" i="120"/>
  <c r="H16" i="120"/>
  <c r="W19" i="120" s="1"/>
  <c r="I15" i="121"/>
  <c r="P10" i="121"/>
  <c r="P15" i="121"/>
  <c r="D15" i="121"/>
  <c r="D13" i="121"/>
  <c r="D16" i="121" s="1"/>
  <c r="P19" i="121" s="1"/>
  <c r="N21" i="120" l="1"/>
  <c r="M20" i="120"/>
  <c r="N19" i="120"/>
  <c r="N20" i="120" s="1"/>
  <c r="N14" i="120"/>
  <c r="N10" i="120"/>
  <c r="N8" i="120"/>
  <c r="N11" i="120" s="1"/>
  <c r="N15" i="120" l="1"/>
  <c r="N13" i="120"/>
  <c r="N16" i="120" s="1"/>
  <c r="O21" i="115"/>
  <c r="M20" i="115"/>
  <c r="N20" i="115"/>
  <c r="O19" i="115"/>
  <c r="O20" i="115" s="1"/>
  <c r="O14" i="115"/>
  <c r="O10" i="115"/>
  <c r="O8" i="115"/>
  <c r="O11" i="115" s="1"/>
  <c r="N21" i="107"/>
  <c r="N19" i="107"/>
  <c r="N20" i="107" s="1"/>
  <c r="N14" i="107"/>
  <c r="N10" i="107"/>
  <c r="N8" i="107"/>
  <c r="N11" i="107" s="1"/>
  <c r="N13" i="107" s="1"/>
  <c r="O21" i="80"/>
  <c r="N20" i="80"/>
  <c r="O19" i="80"/>
  <c r="O20" i="80" s="1"/>
  <c r="O14" i="80"/>
  <c r="N14" i="80"/>
  <c r="O10" i="80"/>
  <c r="AD3" i="80" s="1"/>
  <c r="O8" i="80"/>
  <c r="O11" i="80" s="1"/>
  <c r="O13" i="80" s="1"/>
  <c r="O16" i="80" s="1"/>
  <c r="AD5" i="80" l="1"/>
  <c r="O15" i="115"/>
  <c r="O13" i="115"/>
  <c r="O16" i="115" s="1"/>
  <c r="AC5" i="107"/>
  <c r="O15" i="80"/>
  <c r="N15" i="107"/>
  <c r="N16" i="107"/>
  <c r="O21" i="62" l="1"/>
  <c r="M20" i="62"/>
  <c r="O19" i="62"/>
  <c r="O20" i="62" s="1"/>
  <c r="O14" i="62"/>
  <c r="O10" i="62"/>
  <c r="O8" i="62"/>
  <c r="O11" i="62" s="1"/>
  <c r="O15" i="62" l="1"/>
  <c r="O13" i="62"/>
  <c r="O16" i="62" s="1"/>
  <c r="O21" i="42" l="1"/>
  <c r="AD5" i="42" s="1"/>
  <c r="O20" i="42"/>
  <c r="O19" i="42"/>
  <c r="O14" i="42"/>
  <c r="O10" i="42"/>
  <c r="O11" i="42"/>
  <c r="O15" i="42" s="1"/>
  <c r="O8" i="42"/>
  <c r="O13" i="42" l="1"/>
  <c r="O16" i="42"/>
  <c r="O21" i="36"/>
  <c r="N20" i="36"/>
  <c r="O19" i="36"/>
  <c r="O20" i="36" s="1"/>
  <c r="O14" i="36"/>
  <c r="O10" i="36"/>
  <c r="O11" i="36"/>
  <c r="O13" i="36" s="1"/>
  <c r="O8" i="36"/>
  <c r="O21" i="37"/>
  <c r="N20" i="37"/>
  <c r="O19" i="37"/>
  <c r="O20" i="37" s="1"/>
  <c r="AE5" i="37" s="1"/>
  <c r="O14" i="37"/>
  <c r="O10" i="37"/>
  <c r="O8" i="37"/>
  <c r="O11" i="37" s="1"/>
  <c r="AC5" i="36" l="1"/>
  <c r="O15" i="36"/>
  <c r="O13" i="37"/>
  <c r="O16" i="37" s="1"/>
  <c r="O15" i="37"/>
  <c r="O16" i="36"/>
  <c r="O21" i="26" l="1"/>
  <c r="N20" i="26"/>
  <c r="O19" i="26"/>
  <c r="O20" i="26" s="1"/>
  <c r="AE5" i="26" s="1"/>
  <c r="O14" i="26"/>
  <c r="O10" i="26"/>
  <c r="O8" i="26"/>
  <c r="O11" i="26" s="1"/>
  <c r="O13" i="26" s="1"/>
  <c r="O15" i="26" l="1"/>
  <c r="O16" i="26"/>
  <c r="O21" i="23"/>
  <c r="N20" i="23"/>
  <c r="O20" i="23"/>
  <c r="O14" i="23"/>
  <c r="O10" i="23"/>
  <c r="O8" i="23"/>
  <c r="O11" i="23" s="1"/>
  <c r="AE3" i="22"/>
  <c r="O21" i="22"/>
  <c r="O19" i="22"/>
  <c r="O20" i="22" s="1"/>
  <c r="AE5" i="22" s="1"/>
  <c r="O14" i="22"/>
  <c r="O10" i="22"/>
  <c r="O8" i="22"/>
  <c r="O11" i="22" s="1"/>
  <c r="O13" i="22" l="1"/>
  <c r="O15" i="22"/>
  <c r="O13" i="23"/>
  <c r="O16" i="23" s="1"/>
  <c r="O15" i="23"/>
  <c r="O16" i="22"/>
  <c r="AB5" i="123" l="1"/>
  <c r="AC5" i="123"/>
  <c r="N21" i="123"/>
  <c r="N20" i="123"/>
  <c r="N19" i="123"/>
  <c r="N14" i="123"/>
  <c r="N10" i="123"/>
  <c r="N11" i="123"/>
  <c r="N15" i="123" s="1"/>
  <c r="N8" i="123"/>
  <c r="N13" i="123" l="1"/>
  <c r="N16" i="123" s="1"/>
  <c r="AC16" i="98" l="1"/>
  <c r="N20" i="98"/>
  <c r="AC5" i="98" s="1"/>
  <c r="N19" i="98"/>
  <c r="N10" i="98"/>
  <c r="N8" i="98"/>
  <c r="N11" i="98" s="1"/>
  <c r="O21" i="81"/>
  <c r="O20" i="81"/>
  <c r="O19" i="81"/>
  <c r="O14" i="81"/>
  <c r="O10" i="81"/>
  <c r="O8" i="81"/>
  <c r="O11" i="81" s="1"/>
  <c r="P21" i="58"/>
  <c r="P19" i="58"/>
  <c r="P20" i="58" s="1"/>
  <c r="O20" i="58"/>
  <c r="P14" i="58"/>
  <c r="P10" i="58"/>
  <c r="P8" i="58"/>
  <c r="P11" i="58" s="1"/>
  <c r="P15" i="58" l="1"/>
  <c r="P13" i="58"/>
  <c r="P16" i="58" s="1"/>
  <c r="N13" i="98"/>
  <c r="N16" i="98" s="1"/>
  <c r="N15" i="98"/>
  <c r="O13" i="81"/>
  <c r="O16" i="81" s="1"/>
  <c r="O15" i="81"/>
  <c r="AA16" i="57"/>
  <c r="AB16" i="57"/>
  <c r="AC16" i="57"/>
  <c r="AD16" i="57"/>
  <c r="AE16" i="57"/>
  <c r="Z16" i="57"/>
  <c r="AG16" i="65"/>
  <c r="P23" i="47"/>
  <c r="AG16" i="47" s="1"/>
  <c r="P21" i="47"/>
  <c r="P19" i="47"/>
  <c r="P20" i="47" s="1"/>
  <c r="O20" i="47"/>
  <c r="P14" i="47"/>
  <c r="P10" i="47"/>
  <c r="P8" i="47"/>
  <c r="P11" i="47" s="1"/>
  <c r="P13" i="47" s="1"/>
  <c r="AG3" i="47" l="1"/>
  <c r="P15" i="47"/>
  <c r="P16" i="47"/>
  <c r="AG16" i="43"/>
  <c r="AG3" i="43"/>
  <c r="P21" i="43"/>
  <c r="O20" i="43"/>
  <c r="P19" i="43"/>
  <c r="P20" i="43" s="1"/>
  <c r="P14" i="43"/>
  <c r="P10" i="43"/>
  <c r="P8" i="43"/>
  <c r="P11" i="43" s="1"/>
  <c r="P15" i="43" s="1"/>
  <c r="P13" i="43" l="1"/>
  <c r="P16" i="43" s="1"/>
  <c r="AG16" i="44"/>
  <c r="P21" i="44"/>
  <c r="N20" i="44"/>
  <c r="O20" i="44"/>
  <c r="P19" i="44"/>
  <c r="P20" i="44" s="1"/>
  <c r="P14" i="44"/>
  <c r="P10" i="44"/>
  <c r="AG3" i="44" s="1"/>
  <c r="P8" i="44"/>
  <c r="P11" i="44" s="1"/>
  <c r="P13" i="44" s="1"/>
  <c r="AG16" i="73"/>
  <c r="AG16" i="79"/>
  <c r="AG16" i="127"/>
  <c r="P21" i="127"/>
  <c r="L20" i="127"/>
  <c r="AC5" i="127" s="1"/>
  <c r="M20" i="127"/>
  <c r="AD5" i="127" s="1"/>
  <c r="N20" i="127"/>
  <c r="AE5" i="127" s="1"/>
  <c r="O20" i="127"/>
  <c r="AF5" i="127" s="1"/>
  <c r="P19" i="127"/>
  <c r="P20" i="127" s="1"/>
  <c r="AG5" i="127" s="1"/>
  <c r="P14" i="127"/>
  <c r="P10" i="127"/>
  <c r="AG3" i="127" s="1"/>
  <c r="P8" i="127"/>
  <c r="P11" i="127" s="1"/>
  <c r="AG16" i="125"/>
  <c r="AG16" i="113"/>
  <c r="P21" i="113"/>
  <c r="N20" i="113"/>
  <c r="AE5" i="113" s="1"/>
  <c r="O20" i="113"/>
  <c r="P19" i="113"/>
  <c r="P20" i="113" s="1"/>
  <c r="AG5" i="113" s="1"/>
  <c r="P14" i="113"/>
  <c r="P10" i="113"/>
  <c r="AG3" i="113" s="1"/>
  <c r="P8" i="113"/>
  <c r="P11" i="113" s="1"/>
  <c r="P13" i="113" s="1"/>
  <c r="P16" i="113" s="1"/>
  <c r="AE16" i="114"/>
  <c r="AG16" i="30"/>
  <c r="AF16" i="30"/>
  <c r="AG16" i="15"/>
  <c r="AG16" i="33"/>
  <c r="P15" i="44" l="1"/>
  <c r="P15" i="113"/>
  <c r="P15" i="127"/>
  <c r="P13" i="127"/>
  <c r="P16" i="44"/>
  <c r="P16" i="127"/>
  <c r="AI16" i="5"/>
  <c r="AG16" i="35"/>
  <c r="AG16" i="18"/>
  <c r="AG3" i="18"/>
  <c r="P21" i="18"/>
  <c r="O20" i="18"/>
  <c r="P19" i="18"/>
  <c r="P20" i="18" s="1"/>
  <c r="P14" i="18"/>
  <c r="P10" i="18"/>
  <c r="P8" i="18"/>
  <c r="P11" i="18" s="1"/>
  <c r="P13" i="18" s="1"/>
  <c r="AG16" i="24"/>
  <c r="AE16" i="20"/>
  <c r="P15" i="18" l="1"/>
  <c r="P16" i="18"/>
  <c r="P21" i="125"/>
  <c r="N20" i="125"/>
  <c r="AE5" i="125" s="1"/>
  <c r="O20" i="125"/>
  <c r="AF5" i="125" s="1"/>
  <c r="P19" i="125"/>
  <c r="P20" i="125" s="1"/>
  <c r="AG5" i="125" s="1"/>
  <c r="P14" i="125"/>
  <c r="P10" i="125"/>
  <c r="AG3" i="125" s="1"/>
  <c r="P8" i="125"/>
  <c r="P11" i="125" s="1"/>
  <c r="P21" i="24"/>
  <c r="N20" i="24"/>
  <c r="AE5" i="24" s="1"/>
  <c r="O20" i="24"/>
  <c r="P19" i="24"/>
  <c r="P20" i="24" s="1"/>
  <c r="AG5" i="24" s="1"/>
  <c r="P14" i="24"/>
  <c r="P10" i="24"/>
  <c r="AG3" i="24" s="1"/>
  <c r="P8" i="24"/>
  <c r="P11" i="24" s="1"/>
  <c r="P15" i="125" l="1"/>
  <c r="P13" i="125"/>
  <c r="P16" i="125" s="1"/>
  <c r="P13" i="24"/>
  <c r="P15" i="24"/>
  <c r="P16" i="24"/>
  <c r="P21" i="30" l="1"/>
  <c r="M20" i="30"/>
  <c r="N20" i="30"/>
  <c r="AE5" i="30" s="1"/>
  <c r="O20" i="30"/>
  <c r="AF5" i="30" s="1"/>
  <c r="P19" i="30"/>
  <c r="P20" i="30" s="1"/>
  <c r="AG5" i="30" s="1"/>
  <c r="P14" i="30"/>
  <c r="P10" i="30"/>
  <c r="AG3" i="30" s="1"/>
  <c r="P8" i="30"/>
  <c r="P11" i="30" s="1"/>
  <c r="P21" i="35"/>
  <c r="N20" i="35"/>
  <c r="AE5" i="35" s="1"/>
  <c r="O20" i="35"/>
  <c r="AF5" i="35" s="1"/>
  <c r="P19" i="35"/>
  <c r="P20" i="35" s="1"/>
  <c r="AG5" i="35" s="1"/>
  <c r="P14" i="35"/>
  <c r="P10" i="35"/>
  <c r="AG3" i="35" s="1"/>
  <c r="P8" i="35"/>
  <c r="P11" i="35" s="1"/>
  <c r="P13" i="35" s="1"/>
  <c r="P21" i="79"/>
  <c r="N20" i="79"/>
  <c r="O20" i="79"/>
  <c r="AF5" i="79" s="1"/>
  <c r="I19" i="79"/>
  <c r="M19" i="79"/>
  <c r="P19" i="79"/>
  <c r="P20" i="79" s="1"/>
  <c r="AG5" i="79" s="1"/>
  <c r="P14" i="79"/>
  <c r="P10" i="79"/>
  <c r="AG3" i="79" s="1"/>
  <c r="P8" i="79"/>
  <c r="P11" i="79" s="1"/>
  <c r="K21" i="73"/>
  <c r="K19" i="73"/>
  <c r="P21" i="73"/>
  <c r="O20" i="73"/>
  <c r="P19" i="73"/>
  <c r="P20" i="73" s="1"/>
  <c r="P14" i="73"/>
  <c r="K14" i="73"/>
  <c r="P10" i="73"/>
  <c r="AG3" i="73" s="1"/>
  <c r="P8" i="73"/>
  <c r="P11" i="73" s="1"/>
  <c r="P16" i="35" l="1"/>
  <c r="P15" i="73"/>
  <c r="P13" i="73"/>
  <c r="P16" i="73" s="1"/>
  <c r="P13" i="30"/>
  <c r="P16" i="30" s="1"/>
  <c r="P15" i="30"/>
  <c r="P15" i="35"/>
  <c r="P15" i="79"/>
  <c r="P13" i="79"/>
  <c r="P16" i="79" s="1"/>
  <c r="AG5" i="33"/>
  <c r="P21" i="33"/>
  <c r="P20" i="33"/>
  <c r="P19" i="33"/>
  <c r="P14" i="33" l="1"/>
  <c r="P10" i="33"/>
  <c r="AG3" i="33" s="1"/>
  <c r="P8" i="33"/>
  <c r="P11" i="33" s="1"/>
  <c r="P13" i="33" s="1"/>
  <c r="P16" i="33" s="1"/>
  <c r="P15" i="33" l="1"/>
  <c r="P21" i="15"/>
  <c r="N20" i="15"/>
  <c r="AE5" i="15" s="1"/>
  <c r="O20" i="15"/>
  <c r="P19" i="15"/>
  <c r="P20" i="15" s="1"/>
  <c r="AG5" i="15" s="1"/>
  <c r="P14" i="15"/>
  <c r="P10" i="15"/>
  <c r="AG3" i="15" s="1"/>
  <c r="P8" i="15"/>
  <c r="P11" i="15" s="1"/>
  <c r="O21" i="114"/>
  <c r="M20" i="114"/>
  <c r="N20" i="114"/>
  <c r="AD5" i="114" s="1"/>
  <c r="O19" i="114"/>
  <c r="O20" i="114" s="1"/>
  <c r="O14" i="114"/>
  <c r="O10" i="114"/>
  <c r="AE3" i="114" s="1"/>
  <c r="O8" i="114"/>
  <c r="O11" i="114" s="1"/>
  <c r="O13" i="114" s="1"/>
  <c r="AE5" i="114" l="1"/>
  <c r="O15" i="114"/>
  <c r="P15" i="15"/>
  <c r="P13" i="15"/>
  <c r="P16" i="15" s="1"/>
  <c r="O16" i="114"/>
  <c r="O21" i="20"/>
  <c r="N20" i="20" l="1"/>
  <c r="O19" i="20"/>
  <c r="O20" i="20" s="1"/>
  <c r="O14" i="20"/>
  <c r="O10" i="20"/>
  <c r="AE3" i="20" s="1"/>
  <c r="O5" i="20"/>
  <c r="O8" i="20" s="1"/>
  <c r="O11" i="20" s="1"/>
  <c r="O15" i="20" s="1"/>
  <c r="O13" i="20" l="1"/>
  <c r="O16" i="20" s="1"/>
  <c r="Q21" i="5"/>
  <c r="N20" i="5"/>
  <c r="O20" i="5"/>
  <c r="P20" i="5"/>
  <c r="Q19" i="5"/>
  <c r="Q20" i="5" s="1"/>
  <c r="Q14" i="5"/>
  <c r="Q10" i="5"/>
  <c r="AI3" i="5" s="1"/>
  <c r="Q8" i="5"/>
  <c r="Q11" i="5" s="1"/>
  <c r="O21" i="57"/>
  <c r="M20" i="57"/>
  <c r="N20" i="57"/>
  <c r="O19" i="57"/>
  <c r="O20" i="57" s="1"/>
  <c r="O14" i="57"/>
  <c r="O10" i="57"/>
  <c r="AE3" i="57" s="1"/>
  <c r="O8" i="57"/>
  <c r="O11" i="57" s="1"/>
  <c r="O13" i="57" l="1"/>
  <c r="O16" i="57" s="1"/>
  <c r="O15" i="57"/>
  <c r="Q13" i="5"/>
  <c r="Q16" i="5" s="1"/>
  <c r="Q15" i="5"/>
  <c r="P21" i="65" l="1"/>
  <c r="P20" i="65"/>
  <c r="P19" i="65"/>
  <c r="P14" i="65"/>
  <c r="P10" i="65"/>
  <c r="AG3" i="65" s="1"/>
  <c r="P8" i="65"/>
  <c r="P11" i="65" s="1"/>
  <c r="P13" i="65" s="1"/>
  <c r="P15" i="65" l="1"/>
  <c r="P16" i="65"/>
  <c r="AA3" i="48"/>
  <c r="M14" i="48"/>
  <c r="M10" i="48"/>
  <c r="M8" i="48"/>
  <c r="M11" i="48" s="1"/>
  <c r="M13" i="48" s="1"/>
  <c r="M15" i="48" l="1"/>
  <c r="M16" i="48"/>
  <c r="Y5" i="114" l="1"/>
  <c r="AC5" i="114"/>
  <c r="W7" i="117" l="1"/>
  <c r="W9" i="117"/>
  <c r="W11" i="117"/>
  <c r="W13" i="117"/>
  <c r="W14" i="117"/>
  <c r="W16" i="117"/>
  <c r="W20" i="117"/>
  <c r="W21" i="117"/>
  <c r="W23" i="117"/>
  <c r="I21" i="117"/>
  <c r="W5" i="117" s="1"/>
  <c r="I19" i="117"/>
  <c r="I20" i="117" s="1"/>
  <c r="I14" i="117"/>
  <c r="W10" i="117" s="1"/>
  <c r="I10" i="117"/>
  <c r="W3" i="117" s="1"/>
  <c r="I8" i="117"/>
  <c r="I11" i="117" s="1"/>
  <c r="W15" i="117" l="1"/>
  <c r="I15" i="117"/>
  <c r="I13" i="117"/>
  <c r="I16" i="117" s="1"/>
  <c r="W19" i="117" s="1"/>
  <c r="Y13" i="115" l="1"/>
  <c r="Y14" i="115"/>
  <c r="Y16" i="115"/>
  <c r="Y20" i="115"/>
  <c r="Y23" i="115"/>
  <c r="I21" i="115"/>
  <c r="I19" i="115"/>
  <c r="I20" i="115" s="1"/>
  <c r="Y5" i="115" s="1"/>
  <c r="I14" i="115"/>
  <c r="Y11" i="115" s="1"/>
  <c r="I10" i="115"/>
  <c r="Y3" i="115" s="1"/>
  <c r="I8" i="115"/>
  <c r="I11" i="115" s="1"/>
  <c r="N14" i="115"/>
  <c r="M14" i="115"/>
  <c r="N10" i="115"/>
  <c r="N8" i="115"/>
  <c r="N11" i="115" s="1"/>
  <c r="N13" i="115" s="1"/>
  <c r="N14" i="57"/>
  <c r="M14" i="57"/>
  <c r="N10" i="57"/>
  <c r="AD3" i="57" s="1"/>
  <c r="N8" i="57"/>
  <c r="N11" i="57" s="1"/>
  <c r="Y21" i="115" l="1"/>
  <c r="N15" i="115"/>
  <c r="Y15" i="115"/>
  <c r="I15" i="115"/>
  <c r="Y9" i="115"/>
  <c r="Y10" i="115"/>
  <c r="Y7" i="115"/>
  <c r="N15" i="57"/>
  <c r="N13" i="57"/>
  <c r="N16" i="57" s="1"/>
  <c r="I13" i="115"/>
  <c r="I16" i="115" s="1"/>
  <c r="Y19" i="115" s="1"/>
  <c r="N16" i="115"/>
  <c r="N14" i="62" l="1"/>
  <c r="M14" i="62"/>
  <c r="N10" i="62"/>
  <c r="N8" i="62"/>
  <c r="N11" i="62" s="1"/>
  <c r="X13" i="62"/>
  <c r="X14" i="62"/>
  <c r="X16" i="62"/>
  <c r="X20" i="62"/>
  <c r="X23" i="62"/>
  <c r="I21" i="62"/>
  <c r="I19" i="62"/>
  <c r="I20" i="62" s="1"/>
  <c r="X5" i="62" s="1"/>
  <c r="I14" i="62"/>
  <c r="X11" i="62" s="1"/>
  <c r="I8" i="62"/>
  <c r="I11" i="62" s="1"/>
  <c r="I13" i="62" s="1"/>
  <c r="I10" i="62"/>
  <c r="X3" i="62" s="1"/>
  <c r="N15" i="62" l="1"/>
  <c r="N13" i="62"/>
  <c r="N16" i="62" s="1"/>
  <c r="X15" i="62"/>
  <c r="X10" i="62"/>
  <c r="X9" i="62"/>
  <c r="X7" i="62"/>
  <c r="I15" i="62"/>
  <c r="I16" i="62"/>
  <c r="X19" i="62" s="1"/>
  <c r="X16" i="20"/>
  <c r="AA16" i="20"/>
  <c r="AB16" i="20"/>
  <c r="AC16" i="20"/>
  <c r="AD16" i="20"/>
  <c r="Z16" i="20"/>
  <c r="I21" i="24" l="1"/>
  <c r="I19" i="24"/>
  <c r="I20" i="24" s="1"/>
  <c r="I14" i="24"/>
  <c r="I14" i="21"/>
  <c r="I15" i="21"/>
  <c r="I17" i="21"/>
  <c r="I20" i="21"/>
  <c r="I16" i="21" l="1"/>
  <c r="I19" i="21"/>
  <c r="K5" i="129" l="1"/>
  <c r="M14" i="107"/>
  <c r="Y13" i="57"/>
  <c r="Y14" i="57"/>
  <c r="Y16" i="57"/>
  <c r="Y20" i="57"/>
  <c r="Y23" i="57"/>
  <c r="Y15" i="57" l="1"/>
  <c r="I21" i="57" l="1"/>
  <c r="I19" i="57"/>
  <c r="I14" i="57"/>
  <c r="Y11" i="57" s="1"/>
  <c r="I10" i="57"/>
  <c r="Y3" i="57" s="1"/>
  <c r="I8" i="57"/>
  <c r="I11" i="57" s="1"/>
  <c r="W3" i="123"/>
  <c r="W13" i="123"/>
  <c r="W15" i="123" s="1"/>
  <c r="W14" i="123"/>
  <c r="W16" i="123"/>
  <c r="W20" i="123"/>
  <c r="W23" i="123"/>
  <c r="H21" i="123"/>
  <c r="W5" i="123" s="1"/>
  <c r="H20" i="123"/>
  <c r="W7" i="123" s="1"/>
  <c r="H19" i="123"/>
  <c r="W21" i="123" s="1"/>
  <c r="H14" i="123"/>
  <c r="W11" i="123" s="1"/>
  <c r="H10" i="123"/>
  <c r="H8" i="123"/>
  <c r="H11" i="123" s="1"/>
  <c r="H13" i="123" s="1"/>
  <c r="N14" i="42"/>
  <c r="M14" i="42"/>
  <c r="N10" i="42"/>
  <c r="N8" i="42"/>
  <c r="N11" i="42" s="1"/>
  <c r="W10" i="123" l="1"/>
  <c r="W9" i="123"/>
  <c r="I20" i="57"/>
  <c r="Y5" i="57" s="1"/>
  <c r="Y21" i="57"/>
  <c r="Y10" i="57"/>
  <c r="Y9" i="57"/>
  <c r="I15" i="57"/>
  <c r="I13" i="57"/>
  <c r="I16" i="57" s="1"/>
  <c r="Y19" i="57" s="1"/>
  <c r="H15" i="123"/>
  <c r="H16" i="123"/>
  <c r="W19" i="123" s="1"/>
  <c r="N13" i="42"/>
  <c r="N16" i="42" s="1"/>
  <c r="N15" i="42"/>
  <c r="I21" i="36"/>
  <c r="I19" i="36"/>
  <c r="I20" i="36" s="1"/>
  <c r="I14" i="36"/>
  <c r="I10" i="36"/>
  <c r="I8" i="36"/>
  <c r="I11" i="36" s="1"/>
  <c r="I13" i="36" s="1"/>
  <c r="N14" i="36"/>
  <c r="N10" i="36"/>
  <c r="N8" i="36"/>
  <c r="N11" i="36" s="1"/>
  <c r="Y3" i="37"/>
  <c r="Y13" i="37"/>
  <c r="Y14" i="37"/>
  <c r="Y15" i="37" s="1"/>
  <c r="Y16" i="37"/>
  <c r="Y20" i="37"/>
  <c r="Y21" i="37"/>
  <c r="Y23" i="37"/>
  <c r="I21" i="37"/>
  <c r="I19" i="37"/>
  <c r="I14" i="37"/>
  <c r="Y11" i="37" s="1"/>
  <c r="I20" i="37"/>
  <c r="Y7" i="37" s="1"/>
  <c r="I10" i="37"/>
  <c r="I8" i="37"/>
  <c r="I11" i="37" s="1"/>
  <c r="N14" i="37"/>
  <c r="N10" i="37"/>
  <c r="N8" i="37"/>
  <c r="N11" i="37" s="1"/>
  <c r="N13" i="37" s="1"/>
  <c r="Y11" i="26"/>
  <c r="Y13" i="26"/>
  <c r="Y14" i="26"/>
  <c r="Y16" i="26"/>
  <c r="Y20" i="26"/>
  <c r="Y23" i="26"/>
  <c r="I21" i="26"/>
  <c r="I19" i="26"/>
  <c r="I20" i="26" s="1"/>
  <c r="Y5" i="26" s="1"/>
  <c r="I14" i="26"/>
  <c r="I10" i="26"/>
  <c r="Y3" i="26" s="1"/>
  <c r="I8" i="26"/>
  <c r="I11" i="26" s="1"/>
  <c r="N14" i="26"/>
  <c r="N10" i="26"/>
  <c r="N8" i="26"/>
  <c r="N11" i="26" s="1"/>
  <c r="N13" i="26" s="1"/>
  <c r="N16" i="26" s="1"/>
  <c r="N15" i="36" l="1"/>
  <c r="N13" i="36"/>
  <c r="N16" i="36" s="1"/>
  <c r="Y7" i="57"/>
  <c r="I15" i="37"/>
  <c r="Y5" i="37"/>
  <c r="Y9" i="26"/>
  <c r="Y15" i="26"/>
  <c r="N15" i="37"/>
  <c r="Y10" i="37"/>
  <c r="Y9" i="37"/>
  <c r="I13" i="26"/>
  <c r="I16" i="26" s="1"/>
  <c r="Y19" i="26" s="1"/>
  <c r="Y10" i="26"/>
  <c r="I15" i="26"/>
  <c r="Y7" i="26"/>
  <c r="N15" i="26"/>
  <c r="I15" i="36"/>
  <c r="I16" i="36"/>
  <c r="I13" i="37"/>
  <c r="I16" i="37" s="1"/>
  <c r="Y19" i="37" s="1"/>
  <c r="N16" i="37"/>
  <c r="L21" i="78" l="1"/>
  <c r="L19" i="78"/>
  <c r="M14" i="78"/>
  <c r="L14" i="78"/>
  <c r="M8" i="78"/>
  <c r="M11" i="78" s="1"/>
  <c r="M10" i="78"/>
  <c r="M20" i="78"/>
  <c r="M15" i="78" l="1"/>
  <c r="M13" i="78"/>
  <c r="M16" i="78" s="1"/>
  <c r="M14" i="123" l="1"/>
  <c r="M10" i="123"/>
  <c r="M11" i="123"/>
  <c r="M13" i="123" s="1"/>
  <c r="M8" i="123"/>
  <c r="M14" i="80"/>
  <c r="N10" i="80"/>
  <c r="AC3" i="80" s="1"/>
  <c r="N8" i="80"/>
  <c r="N11" i="80" s="1"/>
  <c r="Y13" i="23"/>
  <c r="Y14" i="23"/>
  <c r="Y16" i="23"/>
  <c r="Y20" i="23"/>
  <c r="Y23" i="23"/>
  <c r="I21" i="23"/>
  <c r="I19" i="23"/>
  <c r="I20" i="23" s="1"/>
  <c r="Y5" i="23" s="1"/>
  <c r="I14" i="23"/>
  <c r="Y11" i="23" s="1"/>
  <c r="I10" i="23"/>
  <c r="Y3" i="23" s="1"/>
  <c r="I8" i="23"/>
  <c r="I11" i="23" s="1"/>
  <c r="N14" i="23"/>
  <c r="N10" i="23"/>
  <c r="N8" i="23"/>
  <c r="N11" i="23" s="1"/>
  <c r="Y11" i="22"/>
  <c r="Y13" i="22"/>
  <c r="Y14" i="22"/>
  <c r="Y15" i="22"/>
  <c r="Y16" i="22"/>
  <c r="Y20" i="22"/>
  <c r="Y23" i="22"/>
  <c r="I21" i="22"/>
  <c r="I19" i="22"/>
  <c r="Y21" i="22" s="1"/>
  <c r="I14" i="22"/>
  <c r="I20" i="22"/>
  <c r="Y5" i="22" s="1"/>
  <c r="I10" i="22"/>
  <c r="Y3" i="22" s="1"/>
  <c r="I8" i="22"/>
  <c r="I11" i="22" s="1"/>
  <c r="I13" i="22" s="1"/>
  <c r="M15" i="123" l="1"/>
  <c r="N15" i="80"/>
  <c r="N13" i="80"/>
  <c r="N16" i="80" s="1"/>
  <c r="I13" i="23"/>
  <c r="I16" i="23" s="1"/>
  <c r="Y19" i="23" s="1"/>
  <c r="Y10" i="23"/>
  <c r="Y9" i="23"/>
  <c r="Y7" i="23"/>
  <c r="Y15" i="23"/>
  <c r="Y10" i="22"/>
  <c r="Y9" i="22"/>
  <c r="Y7" i="22"/>
  <c r="M16" i="123"/>
  <c r="I15" i="23"/>
  <c r="N15" i="23"/>
  <c r="N13" i="23"/>
  <c r="N16" i="23" s="1"/>
  <c r="I15" i="22"/>
  <c r="I16" i="22"/>
  <c r="Y19" i="22" s="1"/>
  <c r="N14" i="22" l="1"/>
  <c r="N20" i="22"/>
  <c r="AD5" i="22" s="1"/>
  <c r="N10" i="22"/>
  <c r="AD3" i="22" s="1"/>
  <c r="N8" i="22"/>
  <c r="N11" i="22" s="1"/>
  <c r="N13" i="22" l="1"/>
  <c r="N16" i="22" s="1"/>
  <c r="N15" i="22"/>
  <c r="Y3" i="20"/>
  <c r="Y11" i="20"/>
  <c r="Y13" i="20"/>
  <c r="Y14" i="20"/>
  <c r="Y15" i="20"/>
  <c r="Y16" i="20"/>
  <c r="Y20" i="20"/>
  <c r="Y21" i="20"/>
  <c r="Y23" i="20"/>
  <c r="I21" i="20"/>
  <c r="I20" i="20"/>
  <c r="Y5" i="20" s="1"/>
  <c r="I14" i="20"/>
  <c r="I10" i="20"/>
  <c r="I8" i="20"/>
  <c r="I11" i="20" s="1"/>
  <c r="I13" i="20" l="1"/>
  <c r="I16" i="20" s="1"/>
  <c r="Y19" i="20" s="1"/>
  <c r="Y9" i="20"/>
  <c r="Y10" i="20"/>
  <c r="Y7" i="20"/>
  <c r="I15" i="20"/>
  <c r="N14" i="20"/>
  <c r="N10" i="20"/>
  <c r="AD3" i="20" s="1"/>
  <c r="N5" i="20"/>
  <c r="N8" i="20" s="1"/>
  <c r="N11" i="20" s="1"/>
  <c r="Y16" i="98"/>
  <c r="AA16" i="98"/>
  <c r="AB16" i="98"/>
  <c r="M14" i="98"/>
  <c r="M10" i="98"/>
  <c r="M8" i="98"/>
  <c r="M11" i="98" s="1"/>
  <c r="M13" i="98" s="1"/>
  <c r="Y11" i="81"/>
  <c r="Y13" i="81"/>
  <c r="Y14" i="81"/>
  <c r="Y16" i="81"/>
  <c r="Y20" i="81"/>
  <c r="Y21" i="81"/>
  <c r="Y23" i="81"/>
  <c r="I19" i="81"/>
  <c r="I21" i="81"/>
  <c r="I20" i="81"/>
  <c r="Y5" i="81" s="1"/>
  <c r="I14" i="81"/>
  <c r="I10" i="81"/>
  <c r="Y3" i="81" s="1"/>
  <c r="I5" i="81"/>
  <c r="I8" i="81" s="1"/>
  <c r="I11" i="81" s="1"/>
  <c r="Y9" i="81" s="1"/>
  <c r="N14" i="81"/>
  <c r="N20" i="81"/>
  <c r="N10" i="81"/>
  <c r="N8" i="81"/>
  <c r="N11" i="81" s="1"/>
  <c r="N13" i="81" s="1"/>
  <c r="N16" i="81" s="1"/>
  <c r="Z13" i="58"/>
  <c r="Z14" i="58"/>
  <c r="Z16" i="58"/>
  <c r="Z20" i="58"/>
  <c r="Z23" i="58"/>
  <c r="I21" i="58"/>
  <c r="I19" i="58"/>
  <c r="Z21" i="58" s="1"/>
  <c r="I20" i="58" l="1"/>
  <c r="Z5" i="58" s="1"/>
  <c r="Y15" i="81"/>
  <c r="Z15" i="58"/>
  <c r="M15" i="98"/>
  <c r="Y10" i="81"/>
  <c r="Y7" i="81"/>
  <c r="N15" i="81"/>
  <c r="N13" i="20"/>
  <c r="N16" i="20" s="1"/>
  <c r="N15" i="20"/>
  <c r="M16" i="98"/>
  <c r="I15" i="81"/>
  <c r="I13" i="81"/>
  <c r="I16" i="81" s="1"/>
  <c r="Y19" i="81" s="1"/>
  <c r="Z7" i="58" l="1"/>
  <c r="I14" i="58"/>
  <c r="Z11" i="58" s="1"/>
  <c r="I10" i="58"/>
  <c r="Z3" i="58" s="1"/>
  <c r="I8" i="58"/>
  <c r="I11" i="58" s="1"/>
  <c r="O14" i="58"/>
  <c r="O10" i="58"/>
  <c r="O8" i="58"/>
  <c r="O11" i="58" s="1"/>
  <c r="O15" i="58" l="1"/>
  <c r="O13" i="58"/>
  <c r="O16" i="58" s="1"/>
  <c r="I15" i="58"/>
  <c r="Z9" i="58"/>
  <c r="Z10" i="58"/>
  <c r="I13" i="58"/>
  <c r="I16" i="58" s="1"/>
  <c r="Z19" i="58" s="1"/>
  <c r="AF16" i="79"/>
  <c r="AB16" i="27"/>
  <c r="AC16" i="27"/>
  <c r="AD16" i="27"/>
  <c r="AE16" i="27"/>
  <c r="AF16" i="27"/>
  <c r="AA16" i="27"/>
  <c r="AF16" i="18" l="1"/>
  <c r="AF16" i="44" l="1"/>
  <c r="AF16" i="73"/>
  <c r="AF16" i="125" l="1"/>
  <c r="AF16" i="24" l="1"/>
  <c r="AH16" i="5" l="1"/>
  <c r="AD16" i="114"/>
  <c r="AF16" i="35"/>
  <c r="AF16" i="113"/>
  <c r="AF16" i="15"/>
  <c r="L14" i="27" l="1"/>
  <c r="K14" i="27"/>
  <c r="O14" i="113" l="1"/>
  <c r="O10" i="113"/>
  <c r="AF3" i="113" s="1"/>
  <c r="O8" i="113"/>
  <c r="O11" i="113" s="1"/>
  <c r="AF16" i="33"/>
  <c r="O15" i="113" l="1"/>
  <c r="O13" i="113"/>
  <c r="O16" i="113" s="1"/>
  <c r="AF16" i="65"/>
  <c r="AF16" i="43"/>
  <c r="J23" i="47" l="1"/>
  <c r="O23" i="47"/>
  <c r="AF16" i="47" s="1"/>
  <c r="O14" i="47"/>
  <c r="O10" i="47"/>
  <c r="AF3" i="47" s="1"/>
  <c r="O8" i="47"/>
  <c r="O11" i="47" s="1"/>
  <c r="O15" i="47" l="1"/>
  <c r="O13" i="47"/>
  <c r="O16" i="47" s="1"/>
  <c r="O14" i="44"/>
  <c r="O10" i="44"/>
  <c r="AF3" i="44" s="1"/>
  <c r="O8" i="44"/>
  <c r="O11" i="44" s="1"/>
  <c r="O13" i="44" s="1"/>
  <c r="O16" i="44" s="1"/>
  <c r="O14" i="65"/>
  <c r="O10" i="65"/>
  <c r="AF3" i="65" s="1"/>
  <c r="O8" i="65"/>
  <c r="O11" i="65" s="1"/>
  <c r="O14" i="43"/>
  <c r="O10" i="43"/>
  <c r="AF3" i="43" s="1"/>
  <c r="O8" i="43"/>
  <c r="O11" i="43" s="1"/>
  <c r="O13" i="43" s="1"/>
  <c r="O15" i="43" l="1"/>
  <c r="O15" i="44"/>
  <c r="O15" i="65"/>
  <c r="O13" i="65"/>
  <c r="O16" i="65" s="1"/>
  <c r="O16" i="43"/>
  <c r="N14" i="114"/>
  <c r="N10" i="114"/>
  <c r="AD3" i="114" s="1"/>
  <c r="N8" i="114"/>
  <c r="N11" i="114" s="1"/>
  <c r="N15" i="114" s="1"/>
  <c r="N13" i="114" l="1"/>
  <c r="N16" i="114" s="1"/>
  <c r="M14" i="120" l="1"/>
  <c r="M10" i="120"/>
  <c r="M8" i="120"/>
  <c r="M11" i="120" s="1"/>
  <c r="M13" i="120" s="1"/>
  <c r="O14" i="33"/>
  <c r="O10" i="33"/>
  <c r="AF3" i="33" s="1"/>
  <c r="O8" i="33"/>
  <c r="O11" i="33" s="1"/>
  <c r="O13" i="33" s="1"/>
  <c r="O14" i="15"/>
  <c r="O10" i="15"/>
  <c r="AF3" i="15" s="1"/>
  <c r="O8" i="15"/>
  <c r="O11" i="15" s="1"/>
  <c r="O14" i="73"/>
  <c r="O10" i="73"/>
  <c r="AF3" i="73" s="1"/>
  <c r="O8" i="73"/>
  <c r="O11" i="73" s="1"/>
  <c r="J14" i="73"/>
  <c r="O14" i="30"/>
  <c r="O10" i="30"/>
  <c r="AF3" i="30" s="1"/>
  <c r="O8" i="30"/>
  <c r="O11" i="30" s="1"/>
  <c r="O13" i="30" s="1"/>
  <c r="O16" i="33" l="1"/>
  <c r="M16" i="120"/>
  <c r="O15" i="30"/>
  <c r="O15" i="33"/>
  <c r="M15" i="120"/>
  <c r="O15" i="15"/>
  <c r="O13" i="15"/>
  <c r="O16" i="15" s="1"/>
  <c r="O15" i="73"/>
  <c r="O13" i="73"/>
  <c r="O16" i="73" s="1"/>
  <c r="O16" i="30"/>
  <c r="L21" i="48" l="1"/>
  <c r="L20" i="48"/>
  <c r="L19" i="48"/>
  <c r="L14" i="48" l="1"/>
  <c r="O14" i="125" l="1"/>
  <c r="O10" i="125"/>
  <c r="AF3" i="125" s="1"/>
  <c r="O8" i="125"/>
  <c r="O11" i="125" s="1"/>
  <c r="O13" i="125" s="1"/>
  <c r="O15" i="125" l="1"/>
  <c r="O16" i="125"/>
  <c r="O14" i="24" l="1"/>
  <c r="O10" i="24"/>
  <c r="AF3" i="24" s="1"/>
  <c r="O8" i="24"/>
  <c r="O11" i="24" s="1"/>
  <c r="O14" i="35"/>
  <c r="O10" i="35"/>
  <c r="AF3" i="35" s="1"/>
  <c r="O8" i="35"/>
  <c r="O11" i="35" s="1"/>
  <c r="O15" i="24" l="1"/>
  <c r="O13" i="24"/>
  <c r="O16" i="24" s="1"/>
  <c r="O13" i="35"/>
  <c r="O16" i="35" s="1"/>
  <c r="O15" i="35"/>
  <c r="AF16" i="127"/>
  <c r="O14" i="127"/>
  <c r="O10" i="127"/>
  <c r="AF3" i="127" s="1"/>
  <c r="O8" i="127"/>
  <c r="O11" i="127" s="1"/>
  <c r="O13" i="127" s="1"/>
  <c r="O15" i="127" l="1"/>
  <c r="O16" i="127"/>
  <c r="W11" i="104" l="1"/>
  <c r="W13" i="104"/>
  <c r="W14" i="104"/>
  <c r="W16" i="104"/>
  <c r="W20" i="104"/>
  <c r="W21" i="104"/>
  <c r="W23" i="104"/>
  <c r="I21" i="104"/>
  <c r="W5" i="104" s="1"/>
  <c r="I19" i="104"/>
  <c r="I20" i="104" s="1"/>
  <c r="W7" i="104" s="1"/>
  <c r="I14" i="104"/>
  <c r="W9" i="104" s="1"/>
  <c r="I10" i="104"/>
  <c r="W3" i="104" s="1"/>
  <c r="I8" i="104"/>
  <c r="I11" i="104" s="1"/>
  <c r="W10" i="104" l="1"/>
  <c r="W15" i="104"/>
  <c r="I15" i="104"/>
  <c r="I13" i="104"/>
  <c r="I16" i="104" s="1"/>
  <c r="W19" i="104" s="1"/>
  <c r="X13" i="80" l="1"/>
  <c r="X14" i="80"/>
  <c r="X16" i="80"/>
  <c r="X20" i="80"/>
  <c r="X21" i="80"/>
  <c r="X23" i="80"/>
  <c r="I21" i="80"/>
  <c r="I19" i="80"/>
  <c r="I20" i="80" s="1"/>
  <c r="X5" i="80" s="1"/>
  <c r="H20" i="80"/>
  <c r="I14" i="80"/>
  <c r="X11" i="80" s="1"/>
  <c r="I10" i="80"/>
  <c r="X3" i="80" s="1"/>
  <c r="I8" i="80"/>
  <c r="I11" i="80" s="1"/>
  <c r="X9" i="80" s="1"/>
  <c r="X15" i="80" l="1"/>
  <c r="X7" i="80"/>
  <c r="I13" i="80"/>
  <c r="I16" i="80" s="1"/>
  <c r="X19" i="80" s="1"/>
  <c r="I15" i="80"/>
  <c r="X10" i="80"/>
  <c r="I21" i="18" l="1"/>
  <c r="I19" i="18"/>
  <c r="I20" i="18" s="1"/>
  <c r="I14" i="18"/>
  <c r="O14" i="18" l="1"/>
  <c r="O10" i="18"/>
  <c r="AF3" i="18" s="1"/>
  <c r="O8" i="18"/>
  <c r="O11" i="18" s="1"/>
  <c r="O15" i="18" l="1"/>
  <c r="O13" i="18"/>
  <c r="O16" i="18" s="1"/>
  <c r="O14" i="79" l="1"/>
  <c r="O10" i="79"/>
  <c r="AF3" i="79" s="1"/>
  <c r="O8" i="79"/>
  <c r="O11" i="79" s="1"/>
  <c r="O13" i="79" s="1"/>
  <c r="O16" i="79" l="1"/>
  <c r="O15" i="79"/>
  <c r="J14" i="27" l="1"/>
  <c r="Y13" i="27"/>
  <c r="Z13" i="27"/>
  <c r="Y14" i="27"/>
  <c r="Z14" i="27"/>
  <c r="Y16" i="27"/>
  <c r="Z16" i="27"/>
  <c r="Z21" i="27"/>
  <c r="Y23" i="27"/>
  <c r="Z23" i="27"/>
  <c r="O14" i="27"/>
  <c r="N14" i="27"/>
  <c r="N10" i="27"/>
  <c r="AE3" i="27" s="1"/>
  <c r="O10" i="27"/>
  <c r="AF3" i="27" s="1"/>
  <c r="N8" i="27"/>
  <c r="N11" i="27" s="1"/>
  <c r="O8" i="27"/>
  <c r="O11" i="27" s="1"/>
  <c r="O13" i="27" s="1"/>
  <c r="K20" i="27"/>
  <c r="L20" i="27"/>
  <c r="I21" i="27"/>
  <c r="Z24" i="27" s="1"/>
  <c r="Z25" i="27" s="1"/>
  <c r="H21" i="27"/>
  <c r="H20" i="27"/>
  <c r="Y7" i="27" s="1"/>
  <c r="I20" i="27"/>
  <c r="I14" i="27"/>
  <c r="Z11" i="27" s="1"/>
  <c r="H14" i="27"/>
  <c r="Y9" i="27" s="1"/>
  <c r="H10" i="27"/>
  <c r="Y3" i="27" s="1"/>
  <c r="I10" i="27"/>
  <c r="Z3" i="27" s="1"/>
  <c r="H8" i="27"/>
  <c r="H11" i="27" s="1"/>
  <c r="H13" i="27" s="1"/>
  <c r="H16" i="27" s="1"/>
  <c r="Y19" i="27" s="1"/>
  <c r="I8" i="27"/>
  <c r="I11" i="27" s="1"/>
  <c r="I13" i="27" s="1"/>
  <c r="I16" i="27" s="1"/>
  <c r="Z19" i="27" s="1"/>
  <c r="P14" i="5"/>
  <c r="P10" i="5"/>
  <c r="AH3" i="5" s="1"/>
  <c r="P8" i="5"/>
  <c r="P11" i="5" s="1"/>
  <c r="P13" i="5" s="1"/>
  <c r="P16" i="5" s="1"/>
  <c r="Z15" i="27" l="1"/>
  <c r="Z5" i="27"/>
  <c r="Y11" i="27"/>
  <c r="Z7" i="27"/>
  <c r="Y5" i="27"/>
  <c r="Y15" i="27"/>
  <c r="Z10" i="27"/>
  <c r="Y10" i="27"/>
  <c r="Z9" i="27"/>
  <c r="P15" i="5"/>
  <c r="I15" i="27"/>
  <c r="H15" i="27"/>
  <c r="O15" i="27"/>
  <c r="N13" i="27"/>
  <c r="N16" i="27" s="1"/>
  <c r="N15" i="27"/>
  <c r="O16" i="27"/>
  <c r="AA5" i="42"/>
  <c r="AB16" i="58"/>
  <c r="AC16" i="58"/>
  <c r="AD16" i="58"/>
  <c r="AA16" i="58"/>
  <c r="AD5" i="73"/>
  <c r="L21" i="120" l="1"/>
  <c r="L19" i="120"/>
  <c r="L14" i="120"/>
  <c r="L21" i="107" l="1"/>
  <c r="L19" i="107"/>
  <c r="L14" i="107"/>
  <c r="M20" i="86"/>
  <c r="AA5" i="86" s="1"/>
  <c r="M10" i="86"/>
  <c r="M11" i="86"/>
  <c r="M13" i="86" s="1"/>
  <c r="M16" i="86" l="1"/>
  <c r="M15" i="86"/>
  <c r="X13" i="42"/>
  <c r="X14" i="42"/>
  <c r="X15" i="42" s="1"/>
  <c r="X16" i="42"/>
  <c r="X20" i="42"/>
  <c r="X21" i="42"/>
  <c r="X23" i="42"/>
  <c r="I21" i="42"/>
  <c r="I20" i="42"/>
  <c r="X7" i="42" s="1"/>
  <c r="I14" i="42"/>
  <c r="X11" i="42" s="1"/>
  <c r="I10" i="42"/>
  <c r="X3" i="42" s="1"/>
  <c r="I8" i="42"/>
  <c r="I11" i="42" s="1"/>
  <c r="M21" i="26"/>
  <c r="L20" i="26"/>
  <c r="M20" i="26"/>
  <c r="M14" i="26"/>
  <c r="M5" i="26"/>
  <c r="X10" i="42" l="1"/>
  <c r="X9" i="42"/>
  <c r="X5" i="42"/>
  <c r="I13" i="42"/>
  <c r="I16" i="42" s="1"/>
  <c r="X19" i="42" s="1"/>
  <c r="I15" i="42"/>
  <c r="AL22" i="43"/>
  <c r="I21" i="65" l="1"/>
  <c r="K21" i="65"/>
  <c r="K19" i="65"/>
  <c r="K14" i="65"/>
  <c r="J14" i="65"/>
  <c r="AB16" i="65"/>
  <c r="AC16" i="65"/>
  <c r="AD16" i="65"/>
  <c r="AE16" i="65"/>
  <c r="AA16" i="65"/>
  <c r="Y13" i="65"/>
  <c r="Z13" i="65"/>
  <c r="Y14" i="65"/>
  <c r="Z14" i="65"/>
  <c r="Y16" i="65"/>
  <c r="Z16" i="65"/>
  <c r="Y20" i="65"/>
  <c r="Z20" i="65"/>
  <c r="Y23" i="65"/>
  <c r="Z23" i="65"/>
  <c r="I19" i="65"/>
  <c r="H19" i="65"/>
  <c r="Y21" i="65" s="1"/>
  <c r="N14" i="65"/>
  <c r="L14" i="65"/>
  <c r="Z15" i="65" l="1"/>
  <c r="Y15" i="65"/>
  <c r="Z24" i="65"/>
  <c r="Z25" i="65" s="1"/>
  <c r="Z21" i="65"/>
  <c r="I14" i="65" l="1"/>
  <c r="H14" i="65"/>
  <c r="H20" i="65"/>
  <c r="I20" i="65"/>
  <c r="I10" i="65"/>
  <c r="Z3" i="65" s="1"/>
  <c r="N10" i="65"/>
  <c r="AE3" i="65" s="1"/>
  <c r="N8" i="65"/>
  <c r="N11" i="65" s="1"/>
  <c r="N15" i="65" s="1"/>
  <c r="H10" i="65"/>
  <c r="Y3" i="65" s="1"/>
  <c r="H8" i="65"/>
  <c r="H11" i="65" s="1"/>
  <c r="H13" i="65" s="1"/>
  <c r="I8" i="65"/>
  <c r="I11" i="65" s="1"/>
  <c r="K23" i="47"/>
  <c r="AC16" i="47"/>
  <c r="AA16" i="47"/>
  <c r="I14" i="47"/>
  <c r="I12" i="47"/>
  <c r="I10" i="47"/>
  <c r="I8" i="47"/>
  <c r="I11" i="47" s="1"/>
  <c r="Z5" i="47"/>
  <c r="Z7" i="47"/>
  <c r="Z11" i="47"/>
  <c r="Z13" i="47"/>
  <c r="Z14" i="47"/>
  <c r="Z16" i="47"/>
  <c r="Z20" i="47"/>
  <c r="Z23" i="47"/>
  <c r="G23" i="47"/>
  <c r="H23" i="47"/>
  <c r="M23" i="47"/>
  <c r="AD16" i="47" s="1"/>
  <c r="N23" i="47"/>
  <c r="AE16" i="47" s="1"/>
  <c r="N21" i="47"/>
  <c r="L20" i="47"/>
  <c r="M20" i="47"/>
  <c r="N20" i="47"/>
  <c r="Z3" i="47" l="1"/>
  <c r="I15" i="65"/>
  <c r="I13" i="65"/>
  <c r="I16" i="65" s="1"/>
  <c r="Z19" i="65" s="1"/>
  <c r="H15" i="65"/>
  <c r="Y10" i="65"/>
  <c r="Y11" i="65"/>
  <c r="Y9" i="65"/>
  <c r="Y5" i="65"/>
  <c r="Y7" i="65"/>
  <c r="Z10" i="65"/>
  <c r="Z11" i="65"/>
  <c r="Z9" i="65"/>
  <c r="Z7" i="65"/>
  <c r="Z5" i="65"/>
  <c r="N13" i="65"/>
  <c r="N16" i="65" s="1"/>
  <c r="H16" i="65"/>
  <c r="Y19" i="65" s="1"/>
  <c r="Z10" i="47"/>
  <c r="I13" i="47"/>
  <c r="I16" i="47" s="1"/>
  <c r="Z19" i="47" s="1"/>
  <c r="I15" i="47"/>
  <c r="AB16" i="47"/>
  <c r="Z9" i="47"/>
  <c r="Z15" i="47"/>
  <c r="N14" i="47" l="1"/>
  <c r="N12" i="47"/>
  <c r="N10" i="47"/>
  <c r="AE3" i="47" s="1"/>
  <c r="N8" i="47"/>
  <c r="N11" i="47" s="1"/>
  <c r="AB16" i="43"/>
  <c r="AC16" i="43"/>
  <c r="AD16" i="43"/>
  <c r="AE16" i="43"/>
  <c r="AA16" i="43"/>
  <c r="AB16" i="44"/>
  <c r="AC16" i="44"/>
  <c r="AD16" i="44"/>
  <c r="AE16" i="44"/>
  <c r="AA16" i="44"/>
  <c r="N14" i="44"/>
  <c r="N10" i="44"/>
  <c r="AE3" i="44" s="1"/>
  <c r="N8" i="44"/>
  <c r="N11" i="44" s="1"/>
  <c r="N13" i="44" s="1"/>
  <c r="Z5" i="44"/>
  <c r="Z7" i="44"/>
  <c r="Z13" i="44"/>
  <c r="Z14" i="44"/>
  <c r="Z16" i="44"/>
  <c r="Z20" i="44"/>
  <c r="Z21" i="44"/>
  <c r="Z23" i="44"/>
  <c r="I14" i="44"/>
  <c r="Z11" i="44" s="1"/>
  <c r="I10" i="44"/>
  <c r="Z3" i="44" s="1"/>
  <c r="I8" i="44"/>
  <c r="I11" i="44" s="1"/>
  <c r="I13" i="44" s="1"/>
  <c r="I16" i="44" s="1"/>
  <c r="Z19" i="44" s="1"/>
  <c r="I14" i="43"/>
  <c r="Z11" i="43" s="1"/>
  <c r="I10" i="43"/>
  <c r="Z3" i="43" s="1"/>
  <c r="Z5" i="43"/>
  <c r="Z7" i="43"/>
  <c r="Z13" i="43"/>
  <c r="Z14" i="43"/>
  <c r="Z16" i="43"/>
  <c r="Z20" i="43"/>
  <c r="Z21" i="43"/>
  <c r="Z23" i="43"/>
  <c r="N21" i="43"/>
  <c r="M21" i="43"/>
  <c r="N19" i="43"/>
  <c r="N14" i="43"/>
  <c r="L14" i="43"/>
  <c r="N20" i="43"/>
  <c r="I8" i="43"/>
  <c r="I11" i="43" s="1"/>
  <c r="N10" i="43"/>
  <c r="AE3" i="43" s="1"/>
  <c r="N8" i="43"/>
  <c r="N11" i="43" s="1"/>
  <c r="N13" i="43" s="1"/>
  <c r="N16" i="43" s="1"/>
  <c r="Z15" i="43" l="1"/>
  <c r="N15" i="43"/>
  <c r="N15" i="44"/>
  <c r="Z15" i="44"/>
  <c r="N15" i="47"/>
  <c r="N13" i="47"/>
  <c r="N16" i="47" s="1"/>
  <c r="N16" i="44"/>
  <c r="I15" i="44"/>
  <c r="Z10" i="44"/>
  <c r="Z9" i="44"/>
  <c r="Z9" i="43"/>
  <c r="Z10" i="43"/>
  <c r="I15" i="43"/>
  <c r="I13" i="43"/>
  <c r="I16" i="43" s="1"/>
  <c r="Z19" i="43" s="1"/>
  <c r="AB16" i="73"/>
  <c r="AC16" i="73"/>
  <c r="AD16" i="73"/>
  <c r="AE16" i="73"/>
  <c r="AA16" i="73"/>
  <c r="L21" i="40" l="1"/>
  <c r="L19" i="40"/>
  <c r="L20" i="40" s="1"/>
  <c r="L14" i="40" l="1"/>
  <c r="M21" i="23" l="1"/>
  <c r="M19" i="23"/>
  <c r="M14" i="23"/>
  <c r="M21" i="22"/>
  <c r="M19" i="22"/>
  <c r="M20" i="22" s="1"/>
  <c r="M14" i="22"/>
  <c r="L14" i="22"/>
  <c r="M21" i="81"/>
  <c r="M19" i="81"/>
  <c r="M20" i="81" s="1"/>
  <c r="AC5" i="81" s="1"/>
  <c r="M14" i="81"/>
  <c r="L14" i="81"/>
  <c r="L20" i="81"/>
  <c r="AB5" i="81" s="1"/>
  <c r="M10" i="81"/>
  <c r="M8" i="81"/>
  <c r="M11" i="81" s="1"/>
  <c r="K21" i="81"/>
  <c r="K19" i="81"/>
  <c r="K14" i="81"/>
  <c r="J14" i="81"/>
  <c r="M15" i="81" l="1"/>
  <c r="M13" i="81"/>
  <c r="M16" i="81" s="1"/>
  <c r="M21" i="69"/>
  <c r="M19" i="69"/>
  <c r="M20" i="69" s="1"/>
  <c r="M14" i="69"/>
  <c r="M14" i="73" l="1"/>
  <c r="L14" i="73"/>
  <c r="M10" i="73"/>
  <c r="AD3" i="73" s="1"/>
  <c r="M8" i="73"/>
  <c r="M11" i="73" s="1"/>
  <c r="M13" i="73" s="1"/>
  <c r="M16" i="73" s="1"/>
  <c r="AL13" i="73"/>
  <c r="M15" i="73" l="1"/>
  <c r="Y5" i="73"/>
  <c r="Y7" i="73"/>
  <c r="Y13" i="73"/>
  <c r="Z13" i="73"/>
  <c r="Y14" i="73"/>
  <c r="Z14" i="73"/>
  <c r="Y16" i="73"/>
  <c r="Z16" i="73"/>
  <c r="Y20" i="73"/>
  <c r="Z20" i="73"/>
  <c r="Y21" i="73"/>
  <c r="Y23" i="73"/>
  <c r="Z23" i="73"/>
  <c r="I21" i="73"/>
  <c r="Z24" i="73" s="1"/>
  <c r="I19" i="73"/>
  <c r="I20" i="73" s="1"/>
  <c r="Z5" i="73" s="1"/>
  <c r="N19" i="73"/>
  <c r="N20" i="73" s="1"/>
  <c r="I14" i="73"/>
  <c r="Z11" i="73" s="1"/>
  <c r="H14" i="73"/>
  <c r="Y11" i="73" s="1"/>
  <c r="H10" i="73"/>
  <c r="Y3" i="73" s="1"/>
  <c r="I10" i="73"/>
  <c r="Z3" i="73" s="1"/>
  <c r="H8" i="73"/>
  <c r="H11" i="73" s="1"/>
  <c r="Y10" i="73" s="1"/>
  <c r="I8" i="73"/>
  <c r="I11" i="73" s="1"/>
  <c r="Z21" i="73" l="1"/>
  <c r="Z15" i="73"/>
  <c r="Z9" i="73"/>
  <c r="Z7" i="73"/>
  <c r="Y15" i="73"/>
  <c r="Y9" i="73"/>
  <c r="Z25" i="73"/>
  <c r="Z10" i="73"/>
  <c r="H15" i="73"/>
  <c r="I15" i="73"/>
  <c r="I13" i="73"/>
  <c r="I16" i="73" s="1"/>
  <c r="Z19" i="73" s="1"/>
  <c r="H13" i="73"/>
  <c r="H16" i="73" s="1"/>
  <c r="Y19" i="73" s="1"/>
  <c r="AB16" i="79"/>
  <c r="AC16" i="79"/>
  <c r="AD16" i="79"/>
  <c r="AE16" i="79"/>
  <c r="AA16" i="79"/>
  <c r="AL13" i="79"/>
  <c r="Z13" i="79" l="1"/>
  <c r="Z14" i="79"/>
  <c r="Z15" i="79" s="1"/>
  <c r="Z16" i="79"/>
  <c r="Z20" i="79"/>
  <c r="Z21" i="79"/>
  <c r="Z23" i="79"/>
  <c r="N14" i="79"/>
  <c r="N10" i="79"/>
  <c r="AE3" i="79" s="1"/>
  <c r="N8" i="79"/>
  <c r="N11" i="79" s="1"/>
  <c r="I14" i="79"/>
  <c r="Z11" i="79" s="1"/>
  <c r="I10" i="79"/>
  <c r="Z3" i="79" s="1"/>
  <c r="I8" i="79"/>
  <c r="I11" i="79" s="1"/>
  <c r="N21" i="79"/>
  <c r="AE5" i="79" s="1"/>
  <c r="I21" i="79"/>
  <c r="I20" i="79"/>
  <c r="Z5" i="79" s="1"/>
  <c r="Z7" i="79" l="1"/>
  <c r="Z10" i="79"/>
  <c r="Z9" i="79"/>
  <c r="I13" i="79"/>
  <c r="N13" i="79"/>
  <c r="N16" i="79" s="1"/>
  <c r="N15" i="79"/>
  <c r="I15" i="79"/>
  <c r="I16" i="79"/>
  <c r="Z19" i="79" s="1"/>
  <c r="K14" i="30" l="1"/>
  <c r="J14" i="30"/>
  <c r="AB16" i="30"/>
  <c r="AC16" i="30"/>
  <c r="AD16" i="30"/>
  <c r="AE16" i="30"/>
  <c r="AA16" i="30"/>
  <c r="AL13" i="30"/>
  <c r="AD5" i="30"/>
  <c r="I21" i="30"/>
  <c r="I19" i="30"/>
  <c r="AL13" i="125"/>
  <c r="AB16" i="125" l="1"/>
  <c r="AC16" i="125"/>
  <c r="AD16" i="125"/>
  <c r="AE16" i="125"/>
  <c r="AA16" i="125"/>
  <c r="Z11" i="125"/>
  <c r="Z13" i="125"/>
  <c r="Z14" i="125"/>
  <c r="Z16" i="125"/>
  <c r="Z20" i="125"/>
  <c r="Z23" i="125"/>
  <c r="M21" i="125"/>
  <c r="AD5" i="125" s="1"/>
  <c r="M19" i="125"/>
  <c r="M20" i="125" s="1"/>
  <c r="I21" i="125"/>
  <c r="I19" i="125"/>
  <c r="I20" i="125" s="1"/>
  <c r="Z5" i="125" s="1"/>
  <c r="I14" i="125"/>
  <c r="I10" i="125"/>
  <c r="Z3" i="125" s="1"/>
  <c r="I8" i="125"/>
  <c r="I11" i="125" s="1"/>
  <c r="N14" i="125"/>
  <c r="N10" i="125"/>
  <c r="AE3" i="125" s="1"/>
  <c r="N8" i="125"/>
  <c r="N11" i="125" s="1"/>
  <c r="L20" i="125"/>
  <c r="AC5" i="125" s="1"/>
  <c r="M14" i="125"/>
  <c r="N14" i="30"/>
  <c r="N10" i="30"/>
  <c r="AE3" i="30" s="1"/>
  <c r="N8" i="30"/>
  <c r="N11" i="30" s="1"/>
  <c r="M14" i="30"/>
  <c r="L14" i="30"/>
  <c r="I14" i="30"/>
  <c r="H14" i="30"/>
  <c r="Y11" i="30" s="1"/>
  <c r="Y5" i="30"/>
  <c r="I20" i="30"/>
  <c r="Z5" i="30" s="1"/>
  <c r="H10" i="30"/>
  <c r="Y3" i="30" s="1"/>
  <c r="I10" i="30"/>
  <c r="Z3" i="30" s="1"/>
  <c r="H8" i="30"/>
  <c r="H11" i="30" s="1"/>
  <c r="H13" i="30" s="1"/>
  <c r="I8" i="30"/>
  <c r="I11" i="30" s="1"/>
  <c r="I13" i="30" s="1"/>
  <c r="Y13" i="30"/>
  <c r="Z13" i="30"/>
  <c r="Y14" i="30"/>
  <c r="Z14" i="30"/>
  <c r="Y16" i="30"/>
  <c r="Z16" i="30"/>
  <c r="Y20" i="30"/>
  <c r="Z20" i="30"/>
  <c r="Z21" i="30"/>
  <c r="Y23" i="30"/>
  <c r="Z23" i="30"/>
  <c r="Z24" i="30"/>
  <c r="Z15" i="30" l="1"/>
  <c r="Z9" i="125"/>
  <c r="I13" i="125"/>
  <c r="Z15" i="125"/>
  <c r="I15" i="30"/>
  <c r="Z7" i="30"/>
  <c r="I15" i="125"/>
  <c r="Z10" i="125"/>
  <c r="Z7" i="125"/>
  <c r="Y15" i="30"/>
  <c r="I16" i="125"/>
  <c r="Z19" i="125" s="1"/>
  <c r="N13" i="125"/>
  <c r="N16" i="125" s="1"/>
  <c r="N15" i="125"/>
  <c r="N15" i="30"/>
  <c r="N13" i="30"/>
  <c r="N16" i="30" s="1"/>
  <c r="Z11" i="30"/>
  <c r="I16" i="30"/>
  <c r="Z19" i="30" s="1"/>
  <c r="Z9" i="30"/>
  <c r="Y10" i="30"/>
  <c r="Y9" i="30"/>
  <c r="H15" i="30"/>
  <c r="H16" i="30"/>
  <c r="Y19" i="30" s="1"/>
  <c r="Z25" i="30"/>
  <c r="Y7" i="30"/>
  <c r="Z10" i="30"/>
  <c r="W14" i="11"/>
  <c r="R14" i="32"/>
  <c r="Z16" i="114"/>
  <c r="AA16" i="114"/>
  <c r="AB16" i="114"/>
  <c r="AC16" i="114"/>
  <c r="Y16" i="114"/>
  <c r="X13" i="114"/>
  <c r="X14" i="114"/>
  <c r="X15" i="114" s="1"/>
  <c r="X16" i="114"/>
  <c r="X20" i="114"/>
  <c r="X21" i="114"/>
  <c r="X23" i="114"/>
  <c r="AJ13" i="114"/>
  <c r="H21" i="114"/>
  <c r="H19" i="114"/>
  <c r="H20" i="114" s="1"/>
  <c r="X7" i="114" s="1"/>
  <c r="H14" i="114"/>
  <c r="X11" i="114" s="1"/>
  <c r="H10" i="114"/>
  <c r="X3" i="114" s="1"/>
  <c r="H8" i="114"/>
  <c r="H11" i="114" s="1"/>
  <c r="H13" i="114" s="1"/>
  <c r="M14" i="114"/>
  <c r="M10" i="114"/>
  <c r="AC3" i="114" s="1"/>
  <c r="M8" i="114"/>
  <c r="M11" i="114" s="1"/>
  <c r="AB16" i="127"/>
  <c r="AC16" i="127"/>
  <c r="AD16" i="127"/>
  <c r="AE16" i="127"/>
  <c r="AA16" i="127"/>
  <c r="Z13" i="127"/>
  <c r="Z14" i="127"/>
  <c r="Z16" i="127"/>
  <c r="Z20" i="127"/>
  <c r="Z23" i="127"/>
  <c r="I19" i="127"/>
  <c r="I20" i="127" s="1"/>
  <c r="Z5" i="127" s="1"/>
  <c r="I14" i="127"/>
  <c r="Z11" i="127" s="1"/>
  <c r="I10" i="127"/>
  <c r="Z3" i="127" s="1"/>
  <c r="I8" i="127"/>
  <c r="I11" i="127" s="1"/>
  <c r="I13" i="127" s="1"/>
  <c r="N14" i="127"/>
  <c r="M14" i="127"/>
  <c r="N10" i="127"/>
  <c r="AE3" i="127" s="1"/>
  <c r="N8" i="127"/>
  <c r="N11" i="127" s="1"/>
  <c r="N13" i="127" s="1"/>
  <c r="AB16" i="35"/>
  <c r="AC16" i="35"/>
  <c r="AD16" i="35"/>
  <c r="AE16" i="35"/>
  <c r="AA16" i="35"/>
  <c r="AL13" i="35"/>
  <c r="X5" i="114" l="1"/>
  <c r="Z15" i="127"/>
  <c r="H15" i="114"/>
  <c r="X10" i="114"/>
  <c r="X9" i="114"/>
  <c r="Z10" i="127"/>
  <c r="Z9" i="127"/>
  <c r="Z7" i="127"/>
  <c r="H16" i="114"/>
  <c r="X19" i="114" s="1"/>
  <c r="M15" i="114"/>
  <c r="M13" i="114"/>
  <c r="M16" i="114" s="1"/>
  <c r="I15" i="127"/>
  <c r="N15" i="127"/>
  <c r="I16" i="127"/>
  <c r="Z19" i="127" s="1"/>
  <c r="N16" i="127"/>
  <c r="Z5" i="35" l="1"/>
  <c r="Z7" i="35"/>
  <c r="Z11" i="35"/>
  <c r="Z13" i="35"/>
  <c r="Z14" i="35"/>
  <c r="Z16" i="35"/>
  <c r="Z20" i="35"/>
  <c r="Z21" i="35"/>
  <c r="Z23" i="35"/>
  <c r="N14" i="35"/>
  <c r="N8" i="35"/>
  <c r="N11" i="35" s="1"/>
  <c r="N13" i="35" s="1"/>
  <c r="I8" i="35"/>
  <c r="I11" i="35" s="1"/>
  <c r="I15" i="35" s="1"/>
  <c r="N10" i="35"/>
  <c r="AE3" i="35" s="1"/>
  <c r="I10" i="35"/>
  <c r="Z3" i="35" s="1"/>
  <c r="N16" i="35" l="1"/>
  <c r="N15" i="35"/>
  <c r="Z15" i="35"/>
  <c r="Z9" i="35"/>
  <c r="Z10" i="35"/>
  <c r="I13" i="35"/>
  <c r="I16" i="35" s="1"/>
  <c r="Z19" i="35" s="1"/>
  <c r="AB16" i="33"/>
  <c r="AC16" i="33"/>
  <c r="AD16" i="33"/>
  <c r="AE16" i="33"/>
  <c r="AA16" i="33"/>
  <c r="Z5" i="33"/>
  <c r="Z7" i="33"/>
  <c r="Z13" i="33"/>
  <c r="Z14" i="33"/>
  <c r="Z16" i="33"/>
  <c r="Z20" i="33"/>
  <c r="Z21" i="33"/>
  <c r="Z23" i="33"/>
  <c r="N21" i="33"/>
  <c r="AE5" i="33" s="1"/>
  <c r="I14" i="33"/>
  <c r="Z11" i="33" s="1"/>
  <c r="I10" i="33"/>
  <c r="Z3" i="33" s="1"/>
  <c r="I8" i="33"/>
  <c r="I11" i="33" s="1"/>
  <c r="AL13" i="33"/>
  <c r="AL13" i="127"/>
  <c r="AB16" i="113"/>
  <c r="AC16" i="113"/>
  <c r="AD16" i="113"/>
  <c r="AE16" i="113"/>
  <c r="AA16" i="113"/>
  <c r="Y16" i="113"/>
  <c r="Z16" i="113"/>
  <c r="Z20" i="113"/>
  <c r="Z23" i="113"/>
  <c r="Y14" i="113"/>
  <c r="Y15" i="113"/>
  <c r="AL13" i="113"/>
  <c r="Z15" i="33" l="1"/>
  <c r="Z9" i="33"/>
  <c r="Z10" i="33"/>
  <c r="I13" i="33"/>
  <c r="I16" i="33" s="1"/>
  <c r="Z19" i="33" s="1"/>
  <c r="I15" i="33"/>
  <c r="O6" i="112" l="1"/>
  <c r="Q31" i="91" s="1"/>
  <c r="O8" i="112"/>
  <c r="Q33" i="91" s="1"/>
  <c r="O14" i="112"/>
  <c r="Q39" i="91" s="1"/>
  <c r="O15" i="112"/>
  <c r="Q40" i="91" s="1"/>
  <c r="O17" i="112"/>
  <c r="Q44" i="91" s="1"/>
  <c r="O20" i="112"/>
  <c r="Q47" i="91" s="1"/>
  <c r="O21" i="112"/>
  <c r="Q48" i="91" s="1"/>
  <c r="O23" i="112"/>
  <c r="Q50" i="91" s="1"/>
  <c r="F15" i="112"/>
  <c r="O12" i="112" s="1"/>
  <c r="Q37" i="91" s="1"/>
  <c r="F11" i="112"/>
  <c r="O4" i="112" s="1"/>
  <c r="Q29" i="91" s="1"/>
  <c r="F9" i="112"/>
  <c r="F12" i="112" s="1"/>
  <c r="V14" i="112"/>
  <c r="AB16" i="15"/>
  <c r="AC16" i="15"/>
  <c r="AD16" i="15"/>
  <c r="AE16" i="15"/>
  <c r="AA16" i="15"/>
  <c r="N14" i="15"/>
  <c r="N10" i="15"/>
  <c r="AE3" i="15" s="1"/>
  <c r="N8" i="15"/>
  <c r="N11" i="15" s="1"/>
  <c r="N13" i="15" s="1"/>
  <c r="Z5" i="15"/>
  <c r="Z7" i="15"/>
  <c r="Z13" i="15"/>
  <c r="Z14" i="15"/>
  <c r="Z16" i="15"/>
  <c r="Z20" i="15"/>
  <c r="Z21" i="15"/>
  <c r="Z23" i="15"/>
  <c r="I14" i="15"/>
  <c r="Z11" i="15" s="1"/>
  <c r="AL13" i="15"/>
  <c r="O16" i="112" l="1"/>
  <c r="Q41" i="91" s="1"/>
  <c r="Z15" i="15"/>
  <c r="F16" i="112"/>
  <c r="F14" i="112"/>
  <c r="F17" i="112" s="1"/>
  <c r="O19" i="112" s="1"/>
  <c r="Q46" i="91" s="1"/>
  <c r="O10" i="112"/>
  <c r="Q35" i="91" s="1"/>
  <c r="O11" i="112"/>
  <c r="Q36" i="91" s="1"/>
  <c r="N15" i="15"/>
  <c r="N16" i="15"/>
  <c r="I10" i="15" l="1"/>
  <c r="Z3" i="15" s="1"/>
  <c r="I8" i="15"/>
  <c r="I11" i="15" s="1"/>
  <c r="Z9" i="15" l="1"/>
  <c r="Z10" i="15"/>
  <c r="I15" i="15"/>
  <c r="I13" i="15"/>
  <c r="I16" i="15" s="1"/>
  <c r="Z19" i="15" s="1"/>
  <c r="U14" i="13"/>
  <c r="L6" i="7"/>
  <c r="L8" i="7"/>
  <c r="L12" i="7"/>
  <c r="L14" i="7"/>
  <c r="L15" i="7"/>
  <c r="L16" i="7"/>
  <c r="L19" i="7"/>
  <c r="L20" i="7"/>
  <c r="L22" i="7"/>
  <c r="L4" i="7"/>
  <c r="S14" i="7"/>
  <c r="AG16" i="5"/>
  <c r="O14" i="5"/>
  <c r="O10" i="5"/>
  <c r="AG3" i="5" s="1"/>
  <c r="O8" i="5"/>
  <c r="O11" i="5" s="1"/>
  <c r="O13" i="5" s="1"/>
  <c r="AD16" i="5"/>
  <c r="AE16" i="5"/>
  <c r="AF16" i="5"/>
  <c r="AC16" i="5"/>
  <c r="I21" i="5"/>
  <c r="I19" i="5"/>
  <c r="I20" i="5" s="1"/>
  <c r="I10" i="5"/>
  <c r="I8" i="5"/>
  <c r="I11" i="5" s="1"/>
  <c r="I13" i="5" s="1"/>
  <c r="AN13" i="5"/>
  <c r="AE16" i="24"/>
  <c r="N14" i="24"/>
  <c r="N10" i="24"/>
  <c r="AE3" i="24" s="1"/>
  <c r="N8" i="24"/>
  <c r="N11" i="24" s="1"/>
  <c r="AB16" i="24"/>
  <c r="AC16" i="24"/>
  <c r="AD16" i="24"/>
  <c r="AA16" i="24"/>
  <c r="Z5" i="24"/>
  <c r="Z7" i="24"/>
  <c r="Z11" i="24"/>
  <c r="Z13" i="24"/>
  <c r="Z14" i="24"/>
  <c r="Z16" i="24"/>
  <c r="Z20" i="24"/>
  <c r="Z21" i="24"/>
  <c r="Z23" i="24"/>
  <c r="H10" i="24"/>
  <c r="I10" i="24"/>
  <c r="Z3" i="24" s="1"/>
  <c r="I8" i="24"/>
  <c r="I11" i="24" s="1"/>
  <c r="AL13" i="24"/>
  <c r="I10" i="18"/>
  <c r="Z3" i="18" s="1"/>
  <c r="I8" i="18"/>
  <c r="I11" i="18" s="1"/>
  <c r="Z16" i="18"/>
  <c r="AB16" i="18"/>
  <c r="AC16" i="18"/>
  <c r="AD16" i="18"/>
  <c r="AE16" i="18"/>
  <c r="AA16" i="18"/>
  <c r="N21" i="18"/>
  <c r="N20" i="18"/>
  <c r="N14" i="18"/>
  <c r="N10" i="18"/>
  <c r="AE3" i="18" s="1"/>
  <c r="N8" i="18"/>
  <c r="N11" i="18" s="1"/>
  <c r="AK12" i="18"/>
  <c r="Z15" i="24" l="1"/>
  <c r="I15" i="24"/>
  <c r="I13" i="24"/>
  <c r="I16" i="24" s="1"/>
  <c r="Z19" i="24" s="1"/>
  <c r="Z10" i="24"/>
  <c r="Z9" i="24"/>
  <c r="I15" i="18"/>
  <c r="I13" i="18"/>
  <c r="I16" i="18" s="1"/>
  <c r="L18" i="7"/>
  <c r="L10" i="7"/>
  <c r="L11" i="7"/>
  <c r="O15" i="5"/>
  <c r="O16" i="5"/>
  <c r="N13" i="24"/>
  <c r="N16" i="24" s="1"/>
  <c r="N15" i="24"/>
  <c r="N13" i="18"/>
  <c r="N16" i="18" s="1"/>
  <c r="N15" i="18"/>
  <c r="I21" i="113" l="1"/>
  <c r="I14" i="113"/>
  <c r="Z11" i="113" s="1"/>
  <c r="N14" i="113"/>
  <c r="I20" i="113"/>
  <c r="I10" i="113"/>
  <c r="Z3" i="113" s="1"/>
  <c r="I8" i="113"/>
  <c r="I11" i="113" s="1"/>
  <c r="N10" i="113"/>
  <c r="AE3" i="113" s="1"/>
  <c r="N8" i="113"/>
  <c r="N11" i="113" s="1"/>
  <c r="N13" i="113" s="1"/>
  <c r="Z10" i="113" l="1"/>
  <c r="Z9" i="113"/>
  <c r="I13" i="113"/>
  <c r="N15" i="113"/>
  <c r="I15" i="113"/>
  <c r="Z5" i="113"/>
  <c r="Z7" i="113"/>
  <c r="I16" i="113"/>
  <c r="Z19" i="113" s="1"/>
  <c r="N16" i="113"/>
  <c r="L21" i="123"/>
  <c r="AA5" i="123" s="1"/>
  <c r="L19" i="123"/>
  <c r="L14" i="123"/>
  <c r="L10" i="123"/>
  <c r="L8" i="123"/>
  <c r="L11" i="123" s="1"/>
  <c r="L13" i="123" s="1"/>
  <c r="L15" i="123" l="1"/>
  <c r="L16" i="123"/>
  <c r="N14" i="33" l="1"/>
  <c r="N10" i="33"/>
  <c r="AE3" i="33" s="1"/>
  <c r="N8" i="33"/>
  <c r="N11" i="33" s="1"/>
  <c r="N13" i="33" s="1"/>
  <c r="N16" i="33" l="1"/>
  <c r="N15" i="33"/>
  <c r="D22" i="130"/>
  <c r="C22" i="130"/>
  <c r="O25" i="130" s="1"/>
  <c r="D20" i="130"/>
  <c r="C20" i="130"/>
  <c r="C21" i="130" s="1"/>
  <c r="N8" i="130" s="1"/>
  <c r="D15" i="130"/>
  <c r="O12" i="130" s="1"/>
  <c r="C15" i="130"/>
  <c r="N12" i="130" s="1"/>
  <c r="O14" i="130"/>
  <c r="O15" i="130"/>
  <c r="O24" i="130"/>
  <c r="N24" i="130"/>
  <c r="O21" i="130"/>
  <c r="N21" i="130"/>
  <c r="J21" i="130"/>
  <c r="I21" i="130"/>
  <c r="G21" i="130"/>
  <c r="H21" i="130"/>
  <c r="O17" i="130"/>
  <c r="N17" i="130"/>
  <c r="N15" i="130"/>
  <c r="N14" i="130"/>
  <c r="J11" i="130"/>
  <c r="I11" i="130"/>
  <c r="H11" i="130"/>
  <c r="G11" i="130"/>
  <c r="D11" i="130"/>
  <c r="O4" i="130" s="1"/>
  <c r="C11" i="130"/>
  <c r="N4" i="130" s="1"/>
  <c r="J9" i="130"/>
  <c r="J12" i="130" s="1"/>
  <c r="I9" i="130"/>
  <c r="I12" i="130" s="1"/>
  <c r="I16" i="130" s="1"/>
  <c r="H9" i="130"/>
  <c r="H12" i="130" s="1"/>
  <c r="G9" i="130"/>
  <c r="G12" i="130" s="1"/>
  <c r="G16" i="130" s="1"/>
  <c r="D9" i="130"/>
  <c r="D12" i="130" s="1"/>
  <c r="C9" i="130"/>
  <c r="C12" i="130" s="1"/>
  <c r="J14" i="130" l="1"/>
  <c r="J17" i="130" s="1"/>
  <c r="J16" i="130"/>
  <c r="N22" i="130"/>
  <c r="O22" i="130"/>
  <c r="O16" i="130"/>
  <c r="D21" i="130"/>
  <c r="O8" i="130" s="1"/>
  <c r="N6" i="130"/>
  <c r="N16" i="130"/>
  <c r="O26" i="130"/>
  <c r="H14" i="130"/>
  <c r="H17" i="130" s="1"/>
  <c r="H16" i="130"/>
  <c r="O11" i="130"/>
  <c r="D16" i="130"/>
  <c r="D14" i="130"/>
  <c r="D17" i="130" s="1"/>
  <c r="O20" i="130" s="1"/>
  <c r="O10" i="130"/>
  <c r="C14" i="130"/>
  <c r="C17" i="130" s="1"/>
  <c r="N20" i="130" s="1"/>
  <c r="N10" i="130"/>
  <c r="N11" i="130"/>
  <c r="C16" i="130"/>
  <c r="G14" i="130"/>
  <c r="G17" i="130" s="1"/>
  <c r="I14" i="130"/>
  <c r="I17" i="130" s="1"/>
  <c r="N25" i="130"/>
  <c r="N26" i="130" s="1"/>
  <c r="O6" i="130" l="1"/>
  <c r="M21" i="44" l="1"/>
  <c r="M19" i="44"/>
  <c r="M20" i="44" s="1"/>
  <c r="L20" i="44"/>
  <c r="M14" i="44"/>
  <c r="M21" i="37" l="1"/>
  <c r="M19" i="37"/>
  <c r="M14" i="37"/>
  <c r="M21" i="36" l="1"/>
  <c r="M19" i="36"/>
  <c r="M14" i="36"/>
  <c r="M21" i="35" l="1"/>
  <c r="M19" i="35"/>
  <c r="M20" i="35" s="1"/>
  <c r="AD5" i="35" s="1"/>
  <c r="M14" i="35"/>
  <c r="M21" i="24" l="1"/>
  <c r="M14" i="24"/>
  <c r="M21" i="20"/>
  <c r="M14" i="20"/>
  <c r="M5" i="20"/>
  <c r="L21" i="14"/>
  <c r="L14" i="14"/>
  <c r="N21" i="58"/>
  <c r="N14" i="58"/>
  <c r="L20" i="98"/>
  <c r="AA5" i="98" s="1"/>
  <c r="L14" i="98"/>
  <c r="H14" i="108" l="1"/>
  <c r="W11" i="108"/>
  <c r="W15" i="108"/>
  <c r="W20" i="108"/>
  <c r="W21" i="108"/>
  <c r="I14" i="108"/>
  <c r="I17" i="108"/>
  <c r="H17" i="108"/>
  <c r="I23" i="108"/>
  <c r="I21" i="108"/>
  <c r="M21" i="15" l="1"/>
  <c r="M14" i="15"/>
  <c r="M10" i="15"/>
  <c r="AD3" i="15" s="1"/>
  <c r="M21" i="79" l="1"/>
  <c r="M20" i="79"/>
  <c r="M14" i="79"/>
  <c r="N14" i="5" l="1"/>
  <c r="K4" i="75" l="1"/>
  <c r="K29" i="87" s="1"/>
  <c r="K12" i="75"/>
  <c r="K37" i="87" s="1"/>
  <c r="K14" i="75"/>
  <c r="K39" i="87" s="1"/>
  <c r="K15" i="75"/>
  <c r="K40" i="87" s="1"/>
  <c r="K17" i="75"/>
  <c r="K42" i="87" s="1"/>
  <c r="K21" i="75"/>
  <c r="K45" i="87" s="1"/>
  <c r="K24" i="75"/>
  <c r="K48" i="87" s="1"/>
  <c r="K20" i="75" l="1"/>
  <c r="K44" i="87" s="1"/>
  <c r="K10" i="75"/>
  <c r="K35" i="87" s="1"/>
  <c r="K11" i="75"/>
  <c r="K36" i="87" s="1"/>
  <c r="K16" i="75"/>
  <c r="K41" i="87" s="1"/>
  <c r="K6" i="75" l="1"/>
  <c r="K31" i="87" s="1"/>
  <c r="K8" i="75"/>
  <c r="K33" i="87" s="1"/>
  <c r="J9" i="129" l="1"/>
  <c r="J18" i="129"/>
  <c r="J16" i="129"/>
  <c r="J15" i="129"/>
  <c r="J13" i="129"/>
  <c r="J5" i="129"/>
  <c r="G14" i="121"/>
  <c r="F21" i="121"/>
  <c r="G20" i="121"/>
  <c r="H20" i="121"/>
  <c r="T5" i="121" s="1"/>
  <c r="F19" i="121"/>
  <c r="F20" i="121" s="1"/>
  <c r="R5" i="121" s="1"/>
  <c r="J17" i="129" l="1"/>
  <c r="J7" i="129"/>
  <c r="J20" i="129"/>
  <c r="J11" i="129"/>
  <c r="J12" i="129"/>
  <c r="F14" i="121"/>
  <c r="E14" i="121"/>
  <c r="F10" i="121"/>
  <c r="G10" i="121"/>
  <c r="H10" i="121"/>
  <c r="F8" i="121"/>
  <c r="F11" i="121" s="1"/>
  <c r="F13" i="121" s="1"/>
  <c r="G8" i="121"/>
  <c r="G11" i="121" s="1"/>
  <c r="H8" i="121"/>
  <c r="H11" i="121" s="1"/>
  <c r="H13" i="121" s="1"/>
  <c r="H16" i="121" s="1"/>
  <c r="C21" i="121"/>
  <c r="P24" i="121" s="1"/>
  <c r="P25" i="121" s="1"/>
  <c r="B21" i="121"/>
  <c r="C19" i="121"/>
  <c r="P21" i="121" s="1"/>
  <c r="B19" i="121"/>
  <c r="B20" i="121" s="1"/>
  <c r="N7" i="121" s="1"/>
  <c r="B14" i="121"/>
  <c r="N11" i="121" s="1"/>
  <c r="C84" i="121"/>
  <c r="E84" i="121"/>
  <c r="F84" i="121"/>
  <c r="C121" i="121"/>
  <c r="C128" i="121"/>
  <c r="C116" i="121"/>
  <c r="C96" i="121"/>
  <c r="E96" i="121"/>
  <c r="F96" i="121"/>
  <c r="E118" i="121"/>
  <c r="O23" i="121"/>
  <c r="N23" i="121"/>
  <c r="O21" i="121"/>
  <c r="N21" i="121"/>
  <c r="O20" i="121"/>
  <c r="N20" i="121"/>
  <c r="E20" i="121"/>
  <c r="O16" i="121"/>
  <c r="N16" i="121"/>
  <c r="Q15" i="121"/>
  <c r="O14" i="121"/>
  <c r="N14" i="121"/>
  <c r="O11" i="121"/>
  <c r="O13" i="121"/>
  <c r="N13" i="121"/>
  <c r="E10" i="121"/>
  <c r="C10" i="121"/>
  <c r="O3" i="121" s="1"/>
  <c r="B10" i="121"/>
  <c r="N3" i="121" s="1"/>
  <c r="E8" i="121"/>
  <c r="E11" i="121" s="1"/>
  <c r="C8" i="121"/>
  <c r="C11" i="121" s="1"/>
  <c r="B8" i="121"/>
  <c r="B11" i="121" s="1"/>
  <c r="J40" i="124"/>
  <c r="M31" i="124"/>
  <c r="L31" i="124"/>
  <c r="M30" i="124"/>
  <c r="L30" i="124"/>
  <c r="K30" i="124"/>
  <c r="AA28" i="124"/>
  <c r="Z28" i="124"/>
  <c r="Y28" i="124"/>
  <c r="W28" i="124"/>
  <c r="V28" i="124"/>
  <c r="U28" i="124"/>
  <c r="T28" i="124"/>
  <c r="S28" i="124"/>
  <c r="AA27" i="124"/>
  <c r="Z27" i="124"/>
  <c r="AA26" i="124"/>
  <c r="Z26" i="124"/>
  <c r="T26" i="124"/>
  <c r="AA25" i="124"/>
  <c r="Z25" i="124"/>
  <c r="Y25" i="124"/>
  <c r="T25" i="124"/>
  <c r="S25" i="124"/>
  <c r="R25" i="124"/>
  <c r="P25" i="124"/>
  <c r="P27" i="124" s="1"/>
  <c r="F25" i="124"/>
  <c r="AA23" i="124"/>
  <c r="Z23" i="124"/>
  <c r="AA22" i="124"/>
  <c r="Z22" i="124"/>
  <c r="Y22" i="124"/>
  <c r="U22" i="124"/>
  <c r="T22" i="124"/>
  <c r="S22" i="124"/>
  <c r="R22" i="124"/>
  <c r="Q22" i="124"/>
  <c r="J20" i="124"/>
  <c r="I20" i="124"/>
  <c r="W25" i="124" s="1"/>
  <c r="G20" i="124"/>
  <c r="K31" i="124" s="1"/>
  <c r="D20" i="124"/>
  <c r="R18" i="124" s="1"/>
  <c r="C20" i="124"/>
  <c r="Q17" i="124" s="1"/>
  <c r="B20" i="124"/>
  <c r="P17" i="124" s="1"/>
  <c r="AA19" i="124"/>
  <c r="Z19" i="124"/>
  <c r="Y19" i="124"/>
  <c r="X19" i="124"/>
  <c r="J19" i="124"/>
  <c r="H19" i="124"/>
  <c r="V22" i="124" s="1"/>
  <c r="X18" i="124"/>
  <c r="W18" i="124"/>
  <c r="V18" i="124"/>
  <c r="U18" i="124"/>
  <c r="T18" i="124"/>
  <c r="S18" i="124"/>
  <c r="J18" i="124"/>
  <c r="I18" i="124"/>
  <c r="W26" i="124" s="1"/>
  <c r="G18" i="124"/>
  <c r="U26" i="124" s="1"/>
  <c r="D18" i="124"/>
  <c r="S26" i="124" s="1"/>
  <c r="S27" i="124" s="1"/>
  <c r="S30" i="124" s="1"/>
  <c r="C18" i="124"/>
  <c r="Q26" i="124" s="1"/>
  <c r="B18" i="124"/>
  <c r="P10" i="124" s="1"/>
  <c r="X17" i="124"/>
  <c r="W17" i="124"/>
  <c r="W19" i="124" s="1"/>
  <c r="V17" i="124"/>
  <c r="V19" i="124" s="1"/>
  <c r="U17" i="124"/>
  <c r="U19" i="124" s="1"/>
  <c r="T17" i="124"/>
  <c r="T19" i="124" s="1"/>
  <c r="S17" i="124"/>
  <c r="S19" i="124" s="1"/>
  <c r="R17" i="124"/>
  <c r="H17" i="124"/>
  <c r="V10" i="124" s="1"/>
  <c r="F17" i="124"/>
  <c r="T10" i="124" s="1"/>
  <c r="E17" i="124"/>
  <c r="T23" i="124" s="1"/>
  <c r="D17" i="124"/>
  <c r="S23" i="124" s="1"/>
  <c r="C17" i="124"/>
  <c r="R23" i="124" s="1"/>
  <c r="B17" i="124"/>
  <c r="J16" i="124"/>
  <c r="J17" i="124" s="1"/>
  <c r="I16" i="124"/>
  <c r="I17" i="124" s="1"/>
  <c r="H16" i="124"/>
  <c r="G16" i="124"/>
  <c r="F16" i="124"/>
  <c r="P15" i="124"/>
  <c r="J15" i="124"/>
  <c r="X22" i="124" s="1"/>
  <c r="J14" i="124"/>
  <c r="X28" i="124" s="1"/>
  <c r="C14" i="124"/>
  <c r="B14" i="124"/>
  <c r="AA12" i="124"/>
  <c r="Z12" i="124"/>
  <c r="Y12" i="124"/>
  <c r="J12" i="124"/>
  <c r="I12" i="124"/>
  <c r="I13" i="124" s="1"/>
  <c r="G12" i="124"/>
  <c r="E12" i="124"/>
  <c r="S15" i="124" s="1"/>
  <c r="D12" i="124"/>
  <c r="R15" i="124" s="1"/>
  <c r="C12" i="124"/>
  <c r="B12" i="124"/>
  <c r="J11" i="124"/>
  <c r="H11" i="124"/>
  <c r="F11" i="124"/>
  <c r="E11" i="124"/>
  <c r="D11" i="124"/>
  <c r="C11" i="124"/>
  <c r="B11" i="124"/>
  <c r="AA10" i="124"/>
  <c r="Z10" i="124"/>
  <c r="Y10" i="124"/>
  <c r="M10" i="124"/>
  <c r="AA15" i="124" s="1"/>
  <c r="L10" i="124"/>
  <c r="Z15" i="124" s="1"/>
  <c r="K10" i="124"/>
  <c r="Y14" i="124" s="1"/>
  <c r="I10" i="124"/>
  <c r="H10" i="124"/>
  <c r="H13" i="124" s="1"/>
  <c r="G10" i="124"/>
  <c r="G13" i="124" s="1"/>
  <c r="F10" i="124"/>
  <c r="T15" i="124" s="1"/>
  <c r="E10" i="124"/>
  <c r="D10" i="124"/>
  <c r="C10" i="124"/>
  <c r="Q14" i="124" s="1"/>
  <c r="B10" i="124"/>
  <c r="B13" i="124" s="1"/>
  <c r="M9" i="124"/>
  <c r="L9" i="124"/>
  <c r="Z8" i="124" s="1"/>
  <c r="K9" i="124"/>
  <c r="Y8" i="124" s="1"/>
  <c r="I9" i="124"/>
  <c r="W8" i="124" s="1"/>
  <c r="H9" i="124"/>
  <c r="V8" i="124" s="1"/>
  <c r="G9" i="124"/>
  <c r="U8" i="124" s="1"/>
  <c r="F9" i="124"/>
  <c r="T8" i="124" s="1"/>
  <c r="E9" i="124"/>
  <c r="D9" i="124"/>
  <c r="B9" i="124"/>
  <c r="AA8" i="124"/>
  <c r="S8" i="124"/>
  <c r="R8" i="124"/>
  <c r="J8" i="124"/>
  <c r="J7" i="124"/>
  <c r="J9" i="124" s="1"/>
  <c r="X8" i="124" s="1"/>
  <c r="C7" i="124"/>
  <c r="C9" i="124" s="1"/>
  <c r="Q8" i="124" s="1"/>
  <c r="J6" i="124"/>
  <c r="Y5" i="124"/>
  <c r="V5" i="124"/>
  <c r="U5" i="124"/>
  <c r="T5" i="124"/>
  <c r="S5" i="124"/>
  <c r="R5" i="124"/>
  <c r="Q5" i="124"/>
  <c r="P5" i="124"/>
  <c r="Y4" i="124"/>
  <c r="V4" i="124"/>
  <c r="U4" i="124"/>
  <c r="T4" i="124"/>
  <c r="S4" i="124"/>
  <c r="R4" i="124"/>
  <c r="Q4" i="124"/>
  <c r="P4" i="124"/>
  <c r="Y3" i="124"/>
  <c r="V3" i="124"/>
  <c r="U3" i="124"/>
  <c r="T3" i="124"/>
  <c r="S3" i="124"/>
  <c r="R3" i="124"/>
  <c r="Q3" i="124"/>
  <c r="P3" i="124"/>
  <c r="W14" i="124" l="1"/>
  <c r="T12" i="124"/>
  <c r="C114" i="121"/>
  <c r="V12" i="124"/>
  <c r="V15" i="124"/>
  <c r="X26" i="124"/>
  <c r="F30" i="124"/>
  <c r="C20" i="121"/>
  <c r="O7" i="121" s="1"/>
  <c r="W22" i="124"/>
  <c r="R19" i="124"/>
  <c r="C13" i="124"/>
  <c r="T27" i="124"/>
  <c r="T30" i="124" s="1"/>
  <c r="U15" i="124"/>
  <c r="K13" i="124"/>
  <c r="S12" i="124"/>
  <c r="Q25" i="124"/>
  <c r="Q27" i="124" s="1"/>
  <c r="P8" i="124"/>
  <c r="D13" i="124"/>
  <c r="J10" i="124"/>
  <c r="E13" i="124"/>
  <c r="Q23" i="124"/>
  <c r="X25" i="124"/>
  <c r="X27" i="124" s="1"/>
  <c r="F106" i="121"/>
  <c r="C110" i="121"/>
  <c r="E116" i="121"/>
  <c r="F119" i="121"/>
  <c r="F76" i="121"/>
  <c r="F115" i="121"/>
  <c r="E76" i="121"/>
  <c r="F114" i="121"/>
  <c r="C95" i="121"/>
  <c r="H15" i="121"/>
  <c r="F15" i="121"/>
  <c r="E128" i="121"/>
  <c r="G15" i="121"/>
  <c r="G13" i="121"/>
  <c r="G16" i="121" s="1"/>
  <c r="F16" i="121"/>
  <c r="E113" i="121"/>
  <c r="O24" i="121"/>
  <c r="O25" i="121" s="1"/>
  <c r="F116" i="121"/>
  <c r="E114" i="121"/>
  <c r="C112" i="121"/>
  <c r="C76" i="121"/>
  <c r="C126" i="121" s="1"/>
  <c r="F128" i="121"/>
  <c r="F118" i="121"/>
  <c r="C72" i="121"/>
  <c r="C77" i="121" s="1"/>
  <c r="C80" i="121" s="1"/>
  <c r="C124" i="121" s="1"/>
  <c r="E95" i="121"/>
  <c r="E119" i="121"/>
  <c r="C104" i="121"/>
  <c r="N15" i="121"/>
  <c r="F102" i="121"/>
  <c r="O15" i="121"/>
  <c r="F127" i="121"/>
  <c r="E115" i="121"/>
  <c r="C115" i="121"/>
  <c r="F104" i="121"/>
  <c r="C118" i="121"/>
  <c r="F121" i="121"/>
  <c r="C122" i="121"/>
  <c r="C123" i="121" s="1"/>
  <c r="F95" i="121"/>
  <c r="F110" i="121"/>
  <c r="E72" i="121"/>
  <c r="E108" i="121" s="1"/>
  <c r="E104" i="121"/>
  <c r="E121" i="121"/>
  <c r="F113" i="121"/>
  <c r="E112" i="121"/>
  <c r="E110" i="121"/>
  <c r="E127" i="121"/>
  <c r="E102" i="121"/>
  <c r="C113" i="121"/>
  <c r="C102" i="121"/>
  <c r="E106" i="121"/>
  <c r="F122" i="121"/>
  <c r="C119" i="121"/>
  <c r="F112" i="121"/>
  <c r="F72" i="121"/>
  <c r="C127" i="121"/>
  <c r="C106" i="121"/>
  <c r="E122" i="121"/>
  <c r="N5" i="121"/>
  <c r="O5" i="121"/>
  <c r="N24" i="121"/>
  <c r="N25" i="121" s="1"/>
  <c r="N9" i="121"/>
  <c r="N10" i="121"/>
  <c r="B13" i="121"/>
  <c r="B16" i="121" s="1"/>
  <c r="N19" i="121" s="1"/>
  <c r="B15" i="121"/>
  <c r="E13" i="121"/>
  <c r="E16" i="121" s="1"/>
  <c r="E15" i="121"/>
  <c r="O10" i="121"/>
  <c r="C13" i="121"/>
  <c r="C16" i="121" s="1"/>
  <c r="O19" i="121" s="1"/>
  <c r="C15" i="121"/>
  <c r="O9" i="121"/>
  <c r="X14" i="124"/>
  <c r="J13" i="124"/>
  <c r="X15" i="124"/>
  <c r="W27" i="124"/>
  <c r="X23" i="124"/>
  <c r="W10" i="124"/>
  <c r="W12" i="124"/>
  <c r="X12" i="124"/>
  <c r="X10" i="124"/>
  <c r="W23" i="124"/>
  <c r="R14" i="124"/>
  <c r="Z14" i="124"/>
  <c r="S14" i="124"/>
  <c r="L13" i="124"/>
  <c r="T14" i="124"/>
  <c r="W15" i="124"/>
  <c r="Q10" i="124"/>
  <c r="M13" i="124"/>
  <c r="U14" i="124"/>
  <c r="P28" i="124"/>
  <c r="R10" i="124"/>
  <c r="Q15" i="124"/>
  <c r="P18" i="124"/>
  <c r="P19" i="124" s="1"/>
  <c r="Q12" i="124"/>
  <c r="U25" i="124"/>
  <c r="U27" i="124" s="1"/>
  <c r="U30" i="124" s="1"/>
  <c r="R26" i="124"/>
  <c r="R27" i="124" s="1"/>
  <c r="R28" i="124"/>
  <c r="AA14" i="124"/>
  <c r="P12" i="124"/>
  <c r="F13" i="124"/>
  <c r="V14" i="124"/>
  <c r="Y15" i="124"/>
  <c r="Y26" i="124"/>
  <c r="Y27" i="124" s="1"/>
  <c r="Q28" i="124"/>
  <c r="S10" i="124"/>
  <c r="Q18" i="124"/>
  <c r="Q19" i="124" s="1"/>
  <c r="R12" i="124"/>
  <c r="V25" i="124"/>
  <c r="G17" i="124"/>
  <c r="V26" i="124"/>
  <c r="U10" i="124"/>
  <c r="F126" i="121" l="1"/>
  <c r="E77" i="121"/>
  <c r="E80" i="121" s="1"/>
  <c r="E124" i="121" s="1"/>
  <c r="E109" i="121"/>
  <c r="C109" i="121"/>
  <c r="E123" i="121"/>
  <c r="F123" i="121"/>
  <c r="C78" i="121"/>
  <c r="C101" i="121"/>
  <c r="C108" i="121"/>
  <c r="E126" i="121"/>
  <c r="E78" i="121"/>
  <c r="E101" i="121"/>
  <c r="F77" i="121"/>
  <c r="F80" i="121" s="1"/>
  <c r="F124" i="121" s="1"/>
  <c r="F108" i="121"/>
  <c r="F78" i="121"/>
  <c r="F109" i="121"/>
  <c r="F101" i="121"/>
  <c r="V27" i="124"/>
  <c r="V23" i="124"/>
  <c r="Y23" i="124"/>
  <c r="U12" i="124"/>
  <c r="U23" i="124"/>
  <c r="H21" i="127" l="1"/>
  <c r="Z24" i="127" s="1"/>
  <c r="Z25" i="127" s="1"/>
  <c r="G21" i="127"/>
  <c r="H19" i="127"/>
  <c r="Z21" i="127" s="1"/>
  <c r="G19" i="127"/>
  <c r="H14" i="127"/>
  <c r="G14" i="127"/>
  <c r="L14" i="104" l="1"/>
  <c r="K21" i="104" l="1"/>
  <c r="K19" i="104"/>
  <c r="K20" i="104" s="1"/>
  <c r="L20" i="104"/>
  <c r="K14" i="104"/>
  <c r="J14" i="104"/>
  <c r="R75" i="105" l="1"/>
  <c r="S75" i="105" s="1"/>
  <c r="R74" i="105"/>
  <c r="S74" i="105" s="1"/>
  <c r="R73" i="105"/>
  <c r="S73" i="105" s="1"/>
  <c r="S71" i="105"/>
  <c r="T71" i="105" s="1"/>
  <c r="S70" i="105"/>
  <c r="T70" i="105" s="1"/>
  <c r="S69" i="105"/>
  <c r="T69" i="105" s="1"/>
  <c r="S54" i="105"/>
  <c r="Q54" i="105"/>
  <c r="P54" i="105"/>
  <c r="O54" i="105"/>
  <c r="N54" i="105"/>
  <c r="M54" i="105"/>
  <c r="K54" i="105"/>
  <c r="L54" i="105" s="1"/>
  <c r="M34" i="105"/>
  <c r="J25" i="105"/>
  <c r="Y24" i="105"/>
  <c r="X24" i="105"/>
  <c r="X16" i="105" s="1"/>
  <c r="W24" i="105"/>
  <c r="V24" i="105"/>
  <c r="U24" i="105"/>
  <c r="T24" i="105"/>
  <c r="S24" i="105"/>
  <c r="R24" i="105"/>
  <c r="Q24" i="105"/>
  <c r="P24" i="105"/>
  <c r="P16" i="105" s="1"/>
  <c r="J24" i="105"/>
  <c r="Y22" i="105"/>
  <c r="X22" i="105"/>
  <c r="W22" i="105"/>
  <c r="V22" i="105"/>
  <c r="U22" i="105"/>
  <c r="U23" i="105" s="1"/>
  <c r="T22" i="105"/>
  <c r="R22" i="105"/>
  <c r="R23" i="105" s="1"/>
  <c r="P22" i="105"/>
  <c r="Y21" i="105"/>
  <c r="Y23" i="105" s="1"/>
  <c r="X21" i="105"/>
  <c r="X23" i="105" s="1"/>
  <c r="W21" i="105"/>
  <c r="V21" i="105"/>
  <c r="T21" i="105"/>
  <c r="R21" i="105"/>
  <c r="P21" i="105"/>
  <c r="Y19" i="105"/>
  <c r="X19" i="105"/>
  <c r="W19" i="105"/>
  <c r="V19" i="105"/>
  <c r="U19" i="105"/>
  <c r="T19" i="105"/>
  <c r="R19" i="105"/>
  <c r="P19" i="105"/>
  <c r="Y18" i="105"/>
  <c r="X18" i="105"/>
  <c r="W18" i="105"/>
  <c r="V18" i="105"/>
  <c r="U18" i="105"/>
  <c r="T18" i="105"/>
  <c r="R18" i="105"/>
  <c r="P18" i="105"/>
  <c r="M18" i="105"/>
  <c r="Y8" i="105" s="1"/>
  <c r="L18" i="105"/>
  <c r="X8" i="105" s="1"/>
  <c r="K18" i="105"/>
  <c r="W8" i="105" s="1"/>
  <c r="J18" i="105"/>
  <c r="I18" i="105"/>
  <c r="U8" i="105" s="1"/>
  <c r="H18" i="105"/>
  <c r="T8" i="105" s="1"/>
  <c r="F18" i="105"/>
  <c r="D18" i="105"/>
  <c r="P8" i="105" s="1"/>
  <c r="C18" i="105"/>
  <c r="Y16" i="105"/>
  <c r="W16" i="105"/>
  <c r="V16" i="105"/>
  <c r="U16" i="105"/>
  <c r="T16" i="105"/>
  <c r="R16" i="105"/>
  <c r="Y14" i="105"/>
  <c r="Y15" i="105" s="1"/>
  <c r="X14" i="105"/>
  <c r="X15" i="105" s="1"/>
  <c r="W14" i="105"/>
  <c r="W15" i="105" s="1"/>
  <c r="V14" i="105"/>
  <c r="V15" i="105" s="1"/>
  <c r="U14" i="105"/>
  <c r="T14" i="105"/>
  <c r="S14" i="105"/>
  <c r="R14" i="105"/>
  <c r="Q14" i="105"/>
  <c r="P14" i="105"/>
  <c r="M14" i="105"/>
  <c r="L14" i="105"/>
  <c r="K14" i="105"/>
  <c r="J14" i="105"/>
  <c r="I14" i="105"/>
  <c r="H14" i="105"/>
  <c r="C14" i="105"/>
  <c r="U13" i="105"/>
  <c r="T13" i="105"/>
  <c r="T15" i="105" s="1"/>
  <c r="S13" i="105"/>
  <c r="R13" i="105"/>
  <c r="R15" i="105" s="1"/>
  <c r="Q13" i="105"/>
  <c r="P13" i="105"/>
  <c r="P15" i="105" s="1"/>
  <c r="D13" i="105"/>
  <c r="P11" i="105" s="1"/>
  <c r="M11" i="105"/>
  <c r="Y11" i="105" s="1"/>
  <c r="L11" i="105"/>
  <c r="X11" i="105" s="1"/>
  <c r="K11" i="105"/>
  <c r="W11" i="105" s="1"/>
  <c r="J11" i="105"/>
  <c r="V11" i="105" s="1"/>
  <c r="I11" i="105"/>
  <c r="U11" i="105" s="1"/>
  <c r="H11" i="105"/>
  <c r="T11" i="105" s="1"/>
  <c r="F11" i="105"/>
  <c r="R11" i="105" s="1"/>
  <c r="D11" i="105"/>
  <c r="C11" i="105"/>
  <c r="M10" i="105"/>
  <c r="L10" i="105"/>
  <c r="X6" i="105" s="1"/>
  <c r="K10" i="105"/>
  <c r="W6" i="105" s="1"/>
  <c r="J10" i="105"/>
  <c r="I10" i="105"/>
  <c r="U6" i="105" s="1"/>
  <c r="H10" i="105"/>
  <c r="T6" i="105" s="1"/>
  <c r="F10" i="105"/>
  <c r="R6" i="105" s="1"/>
  <c r="D10" i="105"/>
  <c r="C10" i="105"/>
  <c r="V8" i="105"/>
  <c r="R8" i="105"/>
  <c r="Y6" i="105"/>
  <c r="V6" i="105"/>
  <c r="P6" i="105"/>
  <c r="M5" i="105"/>
  <c r="L5" i="105"/>
  <c r="K5" i="105"/>
  <c r="J5" i="105"/>
  <c r="H5" i="105"/>
  <c r="F5" i="105"/>
  <c r="F12" i="105" s="1"/>
  <c r="F14" i="105" s="1"/>
  <c r="D5" i="105"/>
  <c r="D12" i="105" s="1"/>
  <c r="C5" i="105"/>
  <c r="Y4" i="105"/>
  <c r="X4" i="105"/>
  <c r="W4" i="105"/>
  <c r="V4" i="105"/>
  <c r="U4" i="105"/>
  <c r="T4" i="105"/>
  <c r="R4" i="105"/>
  <c r="P4" i="105"/>
  <c r="Y3" i="105"/>
  <c r="X3" i="105"/>
  <c r="W3" i="105"/>
  <c r="V3" i="105"/>
  <c r="U3" i="105"/>
  <c r="T3" i="105"/>
  <c r="R3" i="105"/>
  <c r="P3" i="105"/>
  <c r="Y2" i="105"/>
  <c r="X2" i="105"/>
  <c r="W2" i="105"/>
  <c r="V2" i="105"/>
  <c r="U2" i="105"/>
  <c r="T2" i="105"/>
  <c r="R2" i="105"/>
  <c r="P2" i="105"/>
  <c r="S1" i="105"/>
  <c r="P1" i="105"/>
  <c r="Q1" i="105" s="1"/>
  <c r="U15" i="105" l="1"/>
  <c r="P23" i="105"/>
  <c r="D14" i="105"/>
  <c r="T23" i="105"/>
  <c r="V23" i="105"/>
  <c r="W23" i="105"/>
  <c r="V13" i="104"/>
  <c r="V14" i="104"/>
  <c r="V16" i="104"/>
  <c r="V20" i="104"/>
  <c r="V21" i="104"/>
  <c r="V23" i="104"/>
  <c r="H21" i="104"/>
  <c r="H14" i="104"/>
  <c r="V11" i="104" s="1"/>
  <c r="H20" i="104"/>
  <c r="V7" i="104" s="1"/>
  <c r="H10" i="104"/>
  <c r="V3" i="104" s="1"/>
  <c r="H8" i="104"/>
  <c r="H11" i="104" s="1"/>
  <c r="K14" i="107"/>
  <c r="J21" i="107"/>
  <c r="J14" i="107"/>
  <c r="I14" i="107"/>
  <c r="J20" i="107"/>
  <c r="H21" i="107"/>
  <c r="H19" i="107"/>
  <c r="H20" i="107" s="1"/>
  <c r="W5" i="107" s="1"/>
  <c r="H14" i="107"/>
  <c r="H10" i="107"/>
  <c r="W3" i="107" s="1"/>
  <c r="H8" i="107"/>
  <c r="H11" i="107" s="1"/>
  <c r="H13" i="107" s="1"/>
  <c r="M8" i="107"/>
  <c r="M11" i="107" s="1"/>
  <c r="M10" i="107"/>
  <c r="M20" i="107"/>
  <c r="W13" i="107"/>
  <c r="W14" i="107"/>
  <c r="W16" i="107"/>
  <c r="W20" i="107"/>
  <c r="W23" i="107"/>
  <c r="V5" i="104" l="1"/>
  <c r="W24" i="104"/>
  <c r="W25" i="104" s="1"/>
  <c r="M13" i="107"/>
  <c r="M16" i="107" s="1"/>
  <c r="V10" i="104"/>
  <c r="V9" i="104"/>
  <c r="V15" i="104"/>
  <c r="H15" i="104"/>
  <c r="H13" i="104"/>
  <c r="H16" i="104" s="1"/>
  <c r="V19" i="104" s="1"/>
  <c r="H15" i="107"/>
  <c r="H16" i="107"/>
  <c r="W19" i="107" s="1"/>
  <c r="W11" i="107"/>
  <c r="W9" i="107"/>
  <c r="W7" i="107"/>
  <c r="W10" i="107"/>
  <c r="M15" i="107"/>
  <c r="W15" i="107"/>
  <c r="K14" i="118"/>
  <c r="J21" i="118"/>
  <c r="J19" i="118"/>
  <c r="J14" i="118"/>
  <c r="I14" i="118"/>
  <c r="J20" i="118"/>
  <c r="K20" i="118"/>
  <c r="L20" i="118"/>
  <c r="J10" i="118"/>
  <c r="K10" i="118"/>
  <c r="L10" i="118"/>
  <c r="J8" i="118"/>
  <c r="J11" i="118" s="1"/>
  <c r="J13" i="118" s="1"/>
  <c r="K8" i="118"/>
  <c r="K11" i="118" s="1"/>
  <c r="L8" i="118"/>
  <c r="L11" i="118" s="1"/>
  <c r="L15" i="118" l="1"/>
  <c r="L13" i="118"/>
  <c r="L16" i="118" s="1"/>
  <c r="J15" i="118"/>
  <c r="K15" i="118"/>
  <c r="K13" i="118"/>
  <c r="K16" i="118" s="1"/>
  <c r="J16" i="118"/>
  <c r="K20" i="108" l="1"/>
  <c r="L20" i="108"/>
  <c r="M20" i="108"/>
  <c r="K10" i="108" l="1"/>
  <c r="L10" i="108"/>
  <c r="M10" i="108"/>
  <c r="K8" i="108"/>
  <c r="K11" i="108" s="1"/>
  <c r="K13" i="108" s="1"/>
  <c r="K16" i="108" s="1"/>
  <c r="L8" i="108"/>
  <c r="L11" i="108" s="1"/>
  <c r="M8" i="108"/>
  <c r="M11" i="108" s="1"/>
  <c r="N8" i="108"/>
  <c r="M15" i="108" l="1"/>
  <c r="M13" i="108"/>
  <c r="M16" i="108" s="1"/>
  <c r="L13" i="108"/>
  <c r="L16" i="108" s="1"/>
  <c r="L15" i="108"/>
  <c r="K14" i="120"/>
  <c r="K14" i="57" l="1"/>
  <c r="L14" i="57"/>
  <c r="K21" i="57"/>
  <c r="K20" i="57"/>
  <c r="L14" i="80" l="1"/>
  <c r="K21" i="80"/>
  <c r="K14" i="80"/>
  <c r="J14" i="79" l="1"/>
  <c r="K14" i="79"/>
  <c r="L14" i="79"/>
  <c r="K21" i="79"/>
  <c r="L14" i="69"/>
  <c r="K21" i="69"/>
  <c r="J14" i="69"/>
  <c r="L14" i="62" l="1"/>
  <c r="K14" i="55"/>
  <c r="J14" i="55"/>
  <c r="I14" i="55"/>
  <c r="H21" i="55"/>
  <c r="U5" i="55" s="1"/>
  <c r="H14" i="55"/>
  <c r="U11" i="55" s="1"/>
  <c r="U13" i="55"/>
  <c r="U14" i="55"/>
  <c r="U16" i="55"/>
  <c r="U20" i="55"/>
  <c r="U21" i="55"/>
  <c r="U23" i="55"/>
  <c r="H20" i="55"/>
  <c r="U7" i="55" s="1"/>
  <c r="H10" i="55"/>
  <c r="U3" i="55" s="1"/>
  <c r="H8" i="55"/>
  <c r="H11" i="55" s="1"/>
  <c r="U15" i="55" l="1"/>
  <c r="H13" i="55"/>
  <c r="H16" i="55" s="1"/>
  <c r="U19" i="55" s="1"/>
  <c r="H15" i="55"/>
  <c r="U9" i="55"/>
  <c r="U10" i="55"/>
  <c r="K14" i="48" l="1"/>
  <c r="J21" i="48"/>
  <c r="J14" i="48"/>
  <c r="I14" i="48"/>
  <c r="L14" i="42"/>
  <c r="L14" i="36" l="1"/>
  <c r="J21" i="34" l="1"/>
  <c r="J14" i="34"/>
  <c r="K14" i="40"/>
  <c r="L14" i="37"/>
  <c r="L14" i="26"/>
  <c r="L5" i="26"/>
  <c r="J20" i="98"/>
  <c r="Y5" i="98" s="1"/>
  <c r="J14" i="98"/>
  <c r="K14" i="98"/>
  <c r="L14" i="47" l="1"/>
  <c r="K21" i="47"/>
  <c r="K14" i="47"/>
  <c r="J14" i="47"/>
  <c r="K12" i="47"/>
  <c r="Y13" i="47" l="1"/>
  <c r="Y14" i="47"/>
  <c r="Y16" i="47"/>
  <c r="Y20" i="47"/>
  <c r="Y23" i="47"/>
  <c r="H21" i="47"/>
  <c r="Z24" i="47" s="1"/>
  <c r="Z25" i="47" s="1"/>
  <c r="H19" i="47"/>
  <c r="H14" i="47"/>
  <c r="H10" i="47"/>
  <c r="Y3" i="47" s="1"/>
  <c r="H5" i="47"/>
  <c r="H8" i="47" s="1"/>
  <c r="H11" i="47" s="1"/>
  <c r="L14" i="44"/>
  <c r="H20" i="47" l="1"/>
  <c r="Y7" i="47" s="1"/>
  <c r="Z21" i="47"/>
  <c r="Y21" i="47"/>
  <c r="Y9" i="47"/>
  <c r="Y15" i="47"/>
  <c r="Y11" i="47"/>
  <c r="Y10" i="47"/>
  <c r="H13" i="47"/>
  <c r="H16" i="47" s="1"/>
  <c r="Y19" i="47" s="1"/>
  <c r="H15" i="47"/>
  <c r="K14" i="44"/>
  <c r="J14" i="44"/>
  <c r="H6" i="44"/>
  <c r="H8" i="44" s="1"/>
  <c r="H11" i="44" s="1"/>
  <c r="H21" i="44"/>
  <c r="Z24" i="44" s="1"/>
  <c r="Z25" i="44" s="1"/>
  <c r="H14" i="44"/>
  <c r="Y11" i="44" s="1"/>
  <c r="H20" i="44"/>
  <c r="Y13" i="44"/>
  <c r="Y14" i="44"/>
  <c r="Y16" i="44"/>
  <c r="Y20" i="44"/>
  <c r="Y21" i="44"/>
  <c r="Y5" i="47" l="1"/>
  <c r="Y15" i="44"/>
  <c r="Y9" i="44"/>
  <c r="H15" i="44"/>
  <c r="H13" i="44"/>
  <c r="H16" i="44" s="1"/>
  <c r="Y19" i="44" s="1"/>
  <c r="Y23" i="44"/>
  <c r="H10" i="44"/>
  <c r="Y3" i="44" s="1"/>
  <c r="Y5" i="44"/>
  <c r="Y7" i="44"/>
  <c r="Y10" i="44"/>
  <c r="Y15" i="120" l="1"/>
  <c r="J21" i="120"/>
  <c r="Y5" i="120" s="1"/>
  <c r="J19" i="120"/>
  <c r="J14" i="120"/>
  <c r="J20" i="120"/>
  <c r="K20" i="120"/>
  <c r="L20" i="120"/>
  <c r="AA5" i="120" s="1"/>
  <c r="J10" i="120"/>
  <c r="K10" i="120"/>
  <c r="L10" i="120"/>
  <c r="J8" i="120"/>
  <c r="J11" i="120" s="1"/>
  <c r="J15" i="120" s="1"/>
  <c r="K8" i="120"/>
  <c r="K11" i="120" s="1"/>
  <c r="L8" i="120"/>
  <c r="L11" i="120" s="1"/>
  <c r="L15" i="120" l="1"/>
  <c r="L13" i="120"/>
  <c r="L16" i="120" s="1"/>
  <c r="K15" i="120"/>
  <c r="K13" i="120"/>
  <c r="K16" i="120" s="1"/>
  <c r="J13" i="120"/>
  <c r="J16" i="120" s="1"/>
  <c r="L14" i="113"/>
  <c r="K21" i="113" l="1"/>
  <c r="K19" i="113"/>
  <c r="K14" i="113"/>
  <c r="J14" i="113"/>
  <c r="L14" i="115" l="1"/>
  <c r="K21" i="115"/>
  <c r="K19" i="115"/>
  <c r="K14" i="115"/>
  <c r="J14" i="115"/>
  <c r="K14" i="123" l="1"/>
  <c r="K10" i="123"/>
  <c r="K8" i="123"/>
  <c r="K11" i="123" s="1"/>
  <c r="K13" i="123" s="1"/>
  <c r="K15" i="123" l="1"/>
  <c r="K16" i="123"/>
  <c r="K21" i="26"/>
  <c r="K19" i="26"/>
  <c r="K20" i="26" s="1"/>
  <c r="K14" i="26"/>
  <c r="J14" i="26"/>
  <c r="X13" i="26"/>
  <c r="X15" i="26" s="1"/>
  <c r="X14" i="26"/>
  <c r="X16" i="26"/>
  <c r="X20" i="26"/>
  <c r="H6" i="26"/>
  <c r="X23" i="26" s="1"/>
  <c r="H21" i="26"/>
  <c r="Y24" i="26" s="1"/>
  <c r="Y25" i="26" s="1"/>
  <c r="H19" i="26"/>
  <c r="Y21" i="26" s="1"/>
  <c r="H14" i="26"/>
  <c r="X11" i="26" s="1"/>
  <c r="X21" i="26" l="1"/>
  <c r="H20" i="26"/>
  <c r="H10" i="26"/>
  <c r="X3" i="26" s="1"/>
  <c r="H8" i="26"/>
  <c r="H11" i="26" s="1"/>
  <c r="L14" i="23"/>
  <c r="L14" i="15"/>
  <c r="M14" i="58"/>
  <c r="X9" i="26" l="1"/>
  <c r="X10" i="26"/>
  <c r="X5" i="26"/>
  <c r="X7" i="26"/>
  <c r="H15" i="26"/>
  <c r="H13" i="26"/>
  <c r="H16" i="26" s="1"/>
  <c r="X19" i="26" s="1"/>
  <c r="K21" i="35"/>
  <c r="L14" i="35"/>
  <c r="L14" i="24"/>
  <c r="L14" i="18"/>
  <c r="X23" i="78"/>
  <c r="J21" i="78"/>
  <c r="J19" i="78"/>
  <c r="I14" i="78"/>
  <c r="V13" i="78"/>
  <c r="V14" i="78"/>
  <c r="V15" i="78"/>
  <c r="V16" i="78"/>
  <c r="V20" i="78"/>
  <c r="V23" i="78"/>
  <c r="H19" i="78"/>
  <c r="V21" i="78" s="1"/>
  <c r="H14" i="78"/>
  <c r="V10" i="78" s="1"/>
  <c r="H10" i="78"/>
  <c r="V3" i="78" s="1"/>
  <c r="H8" i="78"/>
  <c r="H11" i="78" s="1"/>
  <c r="V9" i="78" s="1"/>
  <c r="K14" i="78"/>
  <c r="J14" i="78"/>
  <c r="H20" i="78" l="1"/>
  <c r="V11" i="78"/>
  <c r="H15" i="78"/>
  <c r="H13" i="78"/>
  <c r="H16" i="78" s="1"/>
  <c r="V19" i="78" s="1"/>
  <c r="K14" i="14"/>
  <c r="V5" i="78" l="1"/>
  <c r="V7" i="78"/>
  <c r="M14" i="5"/>
  <c r="L14" i="127"/>
  <c r="K14" i="114"/>
  <c r="J20" i="128"/>
  <c r="W5" i="128" s="1"/>
  <c r="U24" i="128"/>
  <c r="T24" i="128"/>
  <c r="S24" i="128"/>
  <c r="S25" i="128" s="1"/>
  <c r="R24" i="128"/>
  <c r="Q24" i="128"/>
  <c r="U23" i="128"/>
  <c r="T23" i="128"/>
  <c r="S23" i="128"/>
  <c r="R23" i="128"/>
  <c r="Q23" i="128"/>
  <c r="U21" i="128"/>
  <c r="T21" i="128"/>
  <c r="S21" i="128"/>
  <c r="R21" i="128"/>
  <c r="Q21" i="128"/>
  <c r="U20" i="128"/>
  <c r="T20" i="128"/>
  <c r="S20" i="128"/>
  <c r="R20" i="128"/>
  <c r="I20" i="128"/>
  <c r="H20" i="128"/>
  <c r="U5" i="128" s="1"/>
  <c r="G20" i="128"/>
  <c r="F20" i="128"/>
  <c r="S7" i="128" s="1"/>
  <c r="E20" i="128"/>
  <c r="R5" i="128" s="1"/>
  <c r="D20" i="128"/>
  <c r="Q7" i="128" s="1"/>
  <c r="U16" i="128"/>
  <c r="T16" i="128"/>
  <c r="S16" i="128"/>
  <c r="R16" i="128"/>
  <c r="Q16" i="128"/>
  <c r="V15" i="128"/>
  <c r="U14" i="128"/>
  <c r="T14" i="128"/>
  <c r="S14" i="128"/>
  <c r="R14" i="128"/>
  <c r="Q14" i="128"/>
  <c r="U13" i="128"/>
  <c r="U15" i="128" s="1"/>
  <c r="T13" i="128"/>
  <c r="T15" i="128" s="1"/>
  <c r="S13" i="128"/>
  <c r="S15" i="128" s="1"/>
  <c r="R13" i="128"/>
  <c r="Q13" i="128"/>
  <c r="U11" i="128"/>
  <c r="T11" i="128"/>
  <c r="S11" i="128"/>
  <c r="R11" i="128"/>
  <c r="Q11" i="128"/>
  <c r="C11" i="128"/>
  <c r="B11" i="128"/>
  <c r="L10" i="128"/>
  <c r="J10" i="128"/>
  <c r="H10" i="128"/>
  <c r="U3" i="128" s="1"/>
  <c r="G10" i="128"/>
  <c r="T3" i="128" s="1"/>
  <c r="F10" i="128"/>
  <c r="E10" i="128"/>
  <c r="R3" i="128" s="1"/>
  <c r="D10" i="128"/>
  <c r="Q3" i="128" s="1"/>
  <c r="C10" i="128"/>
  <c r="B10" i="128"/>
  <c r="L8" i="128"/>
  <c r="L11" i="128" s="1"/>
  <c r="K8" i="128"/>
  <c r="K11" i="128" s="1"/>
  <c r="J8" i="128"/>
  <c r="J11" i="128" s="1"/>
  <c r="I8" i="128"/>
  <c r="I11" i="128" s="1"/>
  <c r="H8" i="128"/>
  <c r="H11" i="128" s="1"/>
  <c r="G8" i="128"/>
  <c r="G11" i="128" s="1"/>
  <c r="F8" i="128"/>
  <c r="F11" i="128" s="1"/>
  <c r="E8" i="128"/>
  <c r="E11" i="128" s="1"/>
  <c r="D8" i="128"/>
  <c r="D11" i="128" s="1"/>
  <c r="T7" i="128"/>
  <c r="T5" i="128"/>
  <c r="S5" i="128"/>
  <c r="Q5" i="128"/>
  <c r="S3" i="128"/>
  <c r="K19" i="127"/>
  <c r="K20" i="127" s="1"/>
  <c r="AB5" i="127" s="1"/>
  <c r="K14" i="127"/>
  <c r="J14" i="127"/>
  <c r="Q25" i="128" l="1"/>
  <c r="R25" i="128"/>
  <c r="Q15" i="128"/>
  <c r="R15" i="128"/>
  <c r="U25" i="128"/>
  <c r="T25" i="128"/>
  <c r="G15" i="128"/>
  <c r="G13" i="128"/>
  <c r="G16" i="128" s="1"/>
  <c r="T19" i="128" s="1"/>
  <c r="T10" i="128"/>
  <c r="T9" i="128"/>
  <c r="H13" i="128"/>
  <c r="H16" i="128" s="1"/>
  <c r="U19" i="128" s="1"/>
  <c r="H15" i="128"/>
  <c r="U10" i="128"/>
  <c r="U9" i="128"/>
  <c r="I13" i="128"/>
  <c r="I16" i="128" s="1"/>
  <c r="I15" i="128"/>
  <c r="J15" i="128"/>
  <c r="J13" i="128"/>
  <c r="J16" i="128" s="1"/>
  <c r="K15" i="128"/>
  <c r="K16" i="128"/>
  <c r="S10" i="128"/>
  <c r="S9" i="128"/>
  <c r="F13" i="128"/>
  <c r="F16" i="128" s="1"/>
  <c r="S19" i="128" s="1"/>
  <c r="F15" i="128"/>
  <c r="D15" i="128"/>
  <c r="D13" i="128"/>
  <c r="D16" i="128" s="1"/>
  <c r="Q10" i="128"/>
  <c r="Q9" i="128"/>
  <c r="L15" i="128"/>
  <c r="L13" i="128"/>
  <c r="L16" i="128" s="1"/>
  <c r="R10" i="128"/>
  <c r="R9" i="128"/>
  <c r="E13" i="128"/>
  <c r="E16" i="128" s="1"/>
  <c r="R19" i="128" s="1"/>
  <c r="E15" i="128"/>
  <c r="R7" i="128"/>
  <c r="U7" i="128"/>
  <c r="Y24" i="127" l="1"/>
  <c r="W24" i="127"/>
  <c r="V24" i="127"/>
  <c r="U24" i="127"/>
  <c r="Y23" i="127"/>
  <c r="X23" i="127"/>
  <c r="W23" i="127"/>
  <c r="W25" i="127" s="1"/>
  <c r="V23" i="127"/>
  <c r="U23" i="127"/>
  <c r="W21" i="127"/>
  <c r="V21" i="127"/>
  <c r="U21" i="127"/>
  <c r="X24" i="127"/>
  <c r="Y20" i="127"/>
  <c r="X20" i="127"/>
  <c r="W20" i="127"/>
  <c r="V20" i="127"/>
  <c r="J20" i="127"/>
  <c r="AA5" i="127" s="1"/>
  <c r="H20" i="127"/>
  <c r="Y7" i="127" s="1"/>
  <c r="G20" i="127"/>
  <c r="X7" i="127" s="1"/>
  <c r="F20" i="127"/>
  <c r="W7" i="127" s="1"/>
  <c r="E20" i="127"/>
  <c r="V7" i="127" s="1"/>
  <c r="D20" i="127"/>
  <c r="U7" i="127" s="1"/>
  <c r="X21" i="127"/>
  <c r="Y16" i="127"/>
  <c r="X16" i="127"/>
  <c r="W16" i="127"/>
  <c r="V16" i="127"/>
  <c r="U16" i="127"/>
  <c r="AA15" i="127"/>
  <c r="Y14" i="127"/>
  <c r="X14" i="127"/>
  <c r="W14" i="127"/>
  <c r="V14" i="127"/>
  <c r="U14" i="127"/>
  <c r="Y13" i="127"/>
  <c r="X13" i="127"/>
  <c r="W13" i="127"/>
  <c r="V13" i="127"/>
  <c r="U13" i="127"/>
  <c r="Y11" i="127"/>
  <c r="X11" i="127"/>
  <c r="W11" i="127"/>
  <c r="V11" i="127"/>
  <c r="U11" i="127"/>
  <c r="C11" i="127"/>
  <c r="B11" i="127"/>
  <c r="M10" i="127"/>
  <c r="AD3" i="127" s="1"/>
  <c r="L10" i="127"/>
  <c r="AC3" i="127" s="1"/>
  <c r="K10" i="127"/>
  <c r="AB3" i="127" s="1"/>
  <c r="J10" i="127"/>
  <c r="AA3" i="127" s="1"/>
  <c r="H10" i="127"/>
  <c r="Y3" i="127" s="1"/>
  <c r="G10" i="127"/>
  <c r="X3" i="127" s="1"/>
  <c r="F10" i="127"/>
  <c r="W3" i="127" s="1"/>
  <c r="E10" i="127"/>
  <c r="V3" i="127" s="1"/>
  <c r="D10" i="127"/>
  <c r="U3" i="127" s="1"/>
  <c r="C10" i="127"/>
  <c r="B10" i="127"/>
  <c r="M8" i="127"/>
  <c r="M11" i="127" s="1"/>
  <c r="L8" i="127"/>
  <c r="L11" i="127" s="1"/>
  <c r="K8" i="127"/>
  <c r="K11" i="127" s="1"/>
  <c r="J8" i="127"/>
  <c r="J11" i="127" s="1"/>
  <c r="H8" i="127"/>
  <c r="H11" i="127" s="1"/>
  <c r="G8" i="127"/>
  <c r="G11" i="127" s="1"/>
  <c r="F8" i="127"/>
  <c r="F11" i="127" s="1"/>
  <c r="E8" i="127"/>
  <c r="E11" i="127" s="1"/>
  <c r="D8" i="127"/>
  <c r="D11" i="127" s="1"/>
  <c r="W5" i="127"/>
  <c r="V5" i="127"/>
  <c r="V15" i="127" l="1"/>
  <c r="U25" i="127"/>
  <c r="W15" i="127"/>
  <c r="U5" i="127"/>
  <c r="U15" i="127"/>
  <c r="V25" i="127"/>
  <c r="Y15" i="127"/>
  <c r="X15" i="127"/>
  <c r="X5" i="127"/>
  <c r="Y5" i="127"/>
  <c r="Y25" i="127"/>
  <c r="L15" i="127"/>
  <c r="L13" i="127"/>
  <c r="L16" i="127" s="1"/>
  <c r="X25" i="127"/>
  <c r="W9" i="127"/>
  <c r="F15" i="127"/>
  <c r="F13" i="127"/>
  <c r="F16" i="127" s="1"/>
  <c r="W19" i="127" s="1"/>
  <c r="W10" i="127"/>
  <c r="J15" i="127"/>
  <c r="J13" i="127"/>
  <c r="J16" i="127" s="1"/>
  <c r="D15" i="127"/>
  <c r="D13" i="127"/>
  <c r="D16" i="127" s="1"/>
  <c r="U10" i="127"/>
  <c r="U9" i="127"/>
  <c r="E15" i="127"/>
  <c r="V10" i="127"/>
  <c r="V9" i="127"/>
  <c r="E13" i="127"/>
  <c r="E16" i="127" s="1"/>
  <c r="V19" i="127" s="1"/>
  <c r="G15" i="127"/>
  <c r="G13" i="127"/>
  <c r="G16" i="127" s="1"/>
  <c r="X19" i="127" s="1"/>
  <c r="X10" i="127"/>
  <c r="X9" i="127"/>
  <c r="K15" i="127"/>
  <c r="K13" i="127"/>
  <c r="K16" i="127" s="1"/>
  <c r="M15" i="127"/>
  <c r="M13" i="127"/>
  <c r="M16" i="127" s="1"/>
  <c r="Y10" i="127"/>
  <c r="Y9" i="127"/>
  <c r="H15" i="127"/>
  <c r="H13" i="127"/>
  <c r="H16" i="127" s="1"/>
  <c r="Y19" i="127" s="1"/>
  <c r="Y21" i="127"/>
  <c r="L14" i="20" l="1"/>
  <c r="L5" i="20"/>
  <c r="L14" i="125" l="1"/>
  <c r="W24" i="125"/>
  <c r="V24" i="125"/>
  <c r="U24" i="125"/>
  <c r="Y23" i="125"/>
  <c r="X23" i="125"/>
  <c r="W23" i="125"/>
  <c r="V23" i="125"/>
  <c r="U23" i="125"/>
  <c r="W21" i="125"/>
  <c r="V21" i="125"/>
  <c r="U21" i="125"/>
  <c r="K21" i="125"/>
  <c r="H21" i="125"/>
  <c r="Z24" i="125" s="1"/>
  <c r="Z25" i="125" s="1"/>
  <c r="G21" i="125"/>
  <c r="Y24" i="125" s="1"/>
  <c r="Y20" i="125"/>
  <c r="X20" i="125"/>
  <c r="W20" i="125"/>
  <c r="V20" i="125"/>
  <c r="K20" i="125"/>
  <c r="AB5" i="125" s="1"/>
  <c r="J20" i="125"/>
  <c r="AA5" i="125" s="1"/>
  <c r="F20" i="125"/>
  <c r="W5" i="125" s="1"/>
  <c r="E20" i="125"/>
  <c r="V5" i="125" s="1"/>
  <c r="D20" i="125"/>
  <c r="K19" i="125"/>
  <c r="H19" i="125"/>
  <c r="G19" i="125"/>
  <c r="Y21" i="125" s="1"/>
  <c r="Y16" i="125"/>
  <c r="X16" i="125"/>
  <c r="W16" i="125"/>
  <c r="V16" i="125"/>
  <c r="U16" i="125"/>
  <c r="AA15" i="125"/>
  <c r="Y14" i="125"/>
  <c r="X14" i="125"/>
  <c r="W14" i="125"/>
  <c r="V14" i="125"/>
  <c r="U14" i="125"/>
  <c r="K14" i="125"/>
  <c r="J14" i="125"/>
  <c r="H14" i="125"/>
  <c r="Y11" i="125" s="1"/>
  <c r="G14" i="125"/>
  <c r="X11" i="125" s="1"/>
  <c r="Y13" i="125"/>
  <c r="X13" i="125"/>
  <c r="W13" i="125"/>
  <c r="V13" i="125"/>
  <c r="U13" i="125"/>
  <c r="W11" i="125"/>
  <c r="V11" i="125"/>
  <c r="U11" i="125"/>
  <c r="C11" i="125"/>
  <c r="B11" i="125"/>
  <c r="M10" i="125"/>
  <c r="AD3" i="125" s="1"/>
  <c r="L10" i="125"/>
  <c r="AC3" i="125" s="1"/>
  <c r="K10" i="125"/>
  <c r="AB3" i="125" s="1"/>
  <c r="J10" i="125"/>
  <c r="AA3" i="125" s="1"/>
  <c r="H10" i="125"/>
  <c r="Y3" i="125" s="1"/>
  <c r="G10" i="125"/>
  <c r="X3" i="125" s="1"/>
  <c r="F10" i="125"/>
  <c r="W3" i="125" s="1"/>
  <c r="E10" i="125"/>
  <c r="V3" i="125" s="1"/>
  <c r="D10" i="125"/>
  <c r="U3" i="125" s="1"/>
  <c r="C10" i="125"/>
  <c r="B10" i="125"/>
  <c r="M8" i="125"/>
  <c r="M11" i="125" s="1"/>
  <c r="L8" i="125"/>
  <c r="L11" i="125" s="1"/>
  <c r="K8" i="125"/>
  <c r="K11" i="125" s="1"/>
  <c r="J8" i="125"/>
  <c r="J11" i="125" s="1"/>
  <c r="H8" i="125"/>
  <c r="H11" i="125" s="1"/>
  <c r="G8" i="125"/>
  <c r="G11" i="125" s="1"/>
  <c r="F8" i="125"/>
  <c r="F11" i="125" s="1"/>
  <c r="E8" i="125"/>
  <c r="E11" i="125" s="1"/>
  <c r="D8" i="125"/>
  <c r="D11" i="125" s="1"/>
  <c r="U7" i="125"/>
  <c r="U5" i="125"/>
  <c r="Y15" i="125" l="1"/>
  <c r="V25" i="125"/>
  <c r="Y25" i="125"/>
  <c r="H20" i="125"/>
  <c r="Z21" i="125"/>
  <c r="W15" i="125"/>
  <c r="X15" i="125"/>
  <c r="U25" i="125"/>
  <c r="V15" i="125"/>
  <c r="U15" i="125"/>
  <c r="W25" i="125"/>
  <c r="F13" i="125"/>
  <c r="F16" i="125" s="1"/>
  <c r="W19" i="125" s="1"/>
  <c r="F15" i="125"/>
  <c r="W10" i="125"/>
  <c r="W9" i="125"/>
  <c r="Y7" i="125"/>
  <c r="Y5" i="125"/>
  <c r="G13" i="125"/>
  <c r="G16" i="125" s="1"/>
  <c r="X19" i="125" s="1"/>
  <c r="G15" i="125"/>
  <c r="X10" i="125"/>
  <c r="X9" i="125"/>
  <c r="H15" i="125"/>
  <c r="H13" i="125"/>
  <c r="H16" i="125" s="1"/>
  <c r="Y19" i="125" s="1"/>
  <c r="Y10" i="125"/>
  <c r="Y9" i="125"/>
  <c r="J15" i="125"/>
  <c r="J13" i="125"/>
  <c r="J16" i="125" s="1"/>
  <c r="L13" i="125"/>
  <c r="L16" i="125" s="1"/>
  <c r="L15" i="125"/>
  <c r="U10" i="125"/>
  <c r="U9" i="125"/>
  <c r="D13" i="125"/>
  <c r="D16" i="125" s="1"/>
  <c r="D15" i="125"/>
  <c r="M13" i="125"/>
  <c r="M16" i="125" s="1"/>
  <c r="M15" i="125"/>
  <c r="K15" i="125"/>
  <c r="K13" i="125"/>
  <c r="K16" i="125" s="1"/>
  <c r="E13" i="125"/>
  <c r="E16" i="125" s="1"/>
  <c r="V19" i="125" s="1"/>
  <c r="V10" i="125"/>
  <c r="E15" i="125"/>
  <c r="V9" i="125"/>
  <c r="X21" i="125"/>
  <c r="V7" i="125"/>
  <c r="G20" i="125"/>
  <c r="X24" i="125"/>
  <c r="X25" i="125" s="1"/>
  <c r="W7" i="125"/>
  <c r="X5" i="125" l="1"/>
  <c r="X7" i="125"/>
  <c r="L14" i="33" l="1"/>
  <c r="K21" i="33"/>
  <c r="K14" i="33"/>
  <c r="K21" i="62" l="1"/>
  <c r="K14" i="62"/>
  <c r="J14" i="62"/>
  <c r="W13" i="62" l="1"/>
  <c r="W14" i="62"/>
  <c r="W16" i="62"/>
  <c r="W20" i="62"/>
  <c r="W23" i="62"/>
  <c r="H21" i="62"/>
  <c r="X24" i="62" s="1"/>
  <c r="X25" i="62" s="1"/>
  <c r="H19" i="62"/>
  <c r="X21" i="62" s="1"/>
  <c r="H14" i="62"/>
  <c r="W11" i="62" s="1"/>
  <c r="H20" i="62"/>
  <c r="H10" i="62"/>
  <c r="W3" i="62" s="1"/>
  <c r="H8" i="62"/>
  <c r="H11" i="62" s="1"/>
  <c r="W5" i="62" l="1"/>
  <c r="W21" i="62"/>
  <c r="W15" i="62"/>
  <c r="W9" i="62"/>
  <c r="W10" i="62"/>
  <c r="W7" i="62"/>
  <c r="H15" i="62"/>
  <c r="H13" i="62"/>
  <c r="H16" i="62" s="1"/>
  <c r="W19" i="62" s="1"/>
  <c r="J21" i="59"/>
  <c r="J14" i="59"/>
  <c r="I14" i="59" l="1"/>
  <c r="G6" i="59"/>
  <c r="H6" i="59"/>
  <c r="H10" i="59" s="1"/>
  <c r="U3" i="59" s="1"/>
  <c r="H21" i="59"/>
  <c r="H14" i="59"/>
  <c r="H20" i="59"/>
  <c r="U7" i="59" s="1"/>
  <c r="U11" i="59"/>
  <c r="U13" i="59"/>
  <c r="U14" i="59"/>
  <c r="U16" i="59"/>
  <c r="U20" i="59"/>
  <c r="U21" i="59"/>
  <c r="J21" i="123"/>
  <c r="Y5" i="123" s="1"/>
  <c r="J14" i="123"/>
  <c r="I14" i="123"/>
  <c r="J10" i="123"/>
  <c r="J8" i="123"/>
  <c r="J11" i="123" s="1"/>
  <c r="I21" i="54"/>
  <c r="I14" i="54"/>
  <c r="H14" i="54"/>
  <c r="U5" i="59" l="1"/>
  <c r="U15" i="59"/>
  <c r="H8" i="59"/>
  <c r="H11" i="59" s="1"/>
  <c r="U10" i="59" s="1"/>
  <c r="U23" i="59"/>
  <c r="J15" i="123"/>
  <c r="J13" i="123"/>
  <c r="J16" i="123" s="1"/>
  <c r="G21" i="54"/>
  <c r="F21" i="54"/>
  <c r="G14" i="54"/>
  <c r="F14" i="54"/>
  <c r="E52" i="101"/>
  <c r="C52" i="101"/>
  <c r="B52" i="101"/>
  <c r="D49" i="101"/>
  <c r="D52" i="101" s="1"/>
  <c r="E48" i="101"/>
  <c r="D47" i="101"/>
  <c r="C47" i="101"/>
  <c r="C44" i="101"/>
  <c r="D43" i="101"/>
  <c r="D44" i="101" s="1"/>
  <c r="C43" i="101"/>
  <c r="D42" i="101"/>
  <c r="C42" i="101"/>
  <c r="F40" i="101"/>
  <c r="D40" i="101"/>
  <c r="C40" i="101"/>
  <c r="B40" i="101"/>
  <c r="B47" i="101" s="1"/>
  <c r="H36" i="101"/>
  <c r="G36" i="101"/>
  <c r="R33" i="101"/>
  <c r="O33" i="101"/>
  <c r="N33" i="101"/>
  <c r="H33" i="101"/>
  <c r="G33" i="101"/>
  <c r="H32" i="101"/>
  <c r="G32" i="101"/>
  <c r="Q27" i="101"/>
  <c r="Q19" i="101" s="1"/>
  <c r="P27" i="101"/>
  <c r="P33" i="101" s="1"/>
  <c r="O27" i="101"/>
  <c r="O19" i="101" s="1"/>
  <c r="N27" i="101"/>
  <c r="N19" i="101" s="1"/>
  <c r="M27" i="101"/>
  <c r="M33" i="101" s="1"/>
  <c r="L27" i="101"/>
  <c r="L33" i="101" s="1"/>
  <c r="F27" i="101"/>
  <c r="O26" i="101"/>
  <c r="Q25" i="101"/>
  <c r="M25" i="101"/>
  <c r="Q24" i="101"/>
  <c r="P24" i="101"/>
  <c r="N24" i="101"/>
  <c r="M24" i="101"/>
  <c r="M26" i="101" s="1"/>
  <c r="L24" i="101"/>
  <c r="N17" i="101"/>
  <c r="M17" i="101"/>
  <c r="M18" i="101" s="1"/>
  <c r="L17" i="101"/>
  <c r="N16" i="101"/>
  <c r="Q22" i="101"/>
  <c r="P22" i="101"/>
  <c r="H22" i="101"/>
  <c r="J22" i="101" s="1"/>
  <c r="Q21" i="101"/>
  <c r="P21" i="101"/>
  <c r="O21" i="101"/>
  <c r="N21" i="101"/>
  <c r="M21" i="101"/>
  <c r="L21" i="101"/>
  <c r="D20" i="101"/>
  <c r="P25" i="101" s="1"/>
  <c r="P26" i="101" s="1"/>
  <c r="C20" i="101"/>
  <c r="B20" i="101"/>
  <c r="L25" i="101" s="1"/>
  <c r="G19" i="101"/>
  <c r="Q11" i="101" s="1"/>
  <c r="F19" i="101"/>
  <c r="P9" i="101" s="1"/>
  <c r="P18" i="101"/>
  <c r="D18" i="101"/>
  <c r="O22" i="101" s="1"/>
  <c r="C18" i="101"/>
  <c r="B18" i="101"/>
  <c r="L22" i="101" s="1"/>
  <c r="Q17" i="101"/>
  <c r="P17" i="101"/>
  <c r="O17" i="101"/>
  <c r="Q16" i="101"/>
  <c r="P16" i="101"/>
  <c r="O16" i="101"/>
  <c r="O18" i="101" s="1"/>
  <c r="M16" i="101"/>
  <c r="L16" i="101"/>
  <c r="F15" i="101"/>
  <c r="E15" i="101"/>
  <c r="D15" i="101"/>
  <c r="P14" i="101"/>
  <c r="C14" i="101"/>
  <c r="B14" i="101"/>
  <c r="P13" i="101"/>
  <c r="N13" i="101"/>
  <c r="G12" i="101"/>
  <c r="G15" i="101" s="1"/>
  <c r="F12" i="101"/>
  <c r="E12" i="101"/>
  <c r="O14" i="101" s="1"/>
  <c r="D12" i="101"/>
  <c r="N14" i="101" s="1"/>
  <c r="B12" i="101"/>
  <c r="O11" i="101"/>
  <c r="G11" i="101"/>
  <c r="Q7" i="101" s="1"/>
  <c r="F11" i="101"/>
  <c r="P7" i="101" s="1"/>
  <c r="E11" i="101"/>
  <c r="O7" i="101" s="1"/>
  <c r="D11" i="101"/>
  <c r="N7" i="101" s="1"/>
  <c r="B11" i="101"/>
  <c r="L7" i="101" s="1"/>
  <c r="Q9" i="101"/>
  <c r="O9" i="101"/>
  <c r="C9" i="101"/>
  <c r="B9" i="101"/>
  <c r="C8" i="101"/>
  <c r="C7" i="101"/>
  <c r="C6" i="101" s="1"/>
  <c r="G6" i="101"/>
  <c r="B6" i="101"/>
  <c r="R5" i="101"/>
  <c r="Q5" i="101"/>
  <c r="P5" i="101"/>
  <c r="N5" i="101"/>
  <c r="M5" i="101"/>
  <c r="L5" i="101"/>
  <c r="R4" i="101"/>
  <c r="Q4" i="101"/>
  <c r="P4" i="101"/>
  <c r="N4" i="101"/>
  <c r="L4" i="101"/>
  <c r="R3" i="101"/>
  <c r="Q3" i="101"/>
  <c r="P3" i="101"/>
  <c r="N3" i="101"/>
  <c r="L3" i="101"/>
  <c r="E2" i="101"/>
  <c r="N18" i="101" l="1"/>
  <c r="L14" i="101"/>
  <c r="Q13" i="101"/>
  <c r="M22" i="101"/>
  <c r="Q18" i="101"/>
  <c r="C12" i="101"/>
  <c r="G13" i="101"/>
  <c r="L18" i="101"/>
  <c r="N26" i="101"/>
  <c r="P19" i="101"/>
  <c r="L26" i="101"/>
  <c r="N25" i="101"/>
  <c r="G2" i="101"/>
  <c r="Q14" i="101"/>
  <c r="Q26" i="101"/>
  <c r="U9" i="59"/>
  <c r="H13" i="59"/>
  <c r="H16" i="59" s="1"/>
  <c r="U19" i="59" s="1"/>
  <c r="H15" i="59"/>
  <c r="F52" i="101"/>
  <c r="Q33" i="101"/>
  <c r="C11" i="101"/>
  <c r="M7" i="101" s="1"/>
  <c r="B15" i="101"/>
  <c r="L19" i="101"/>
  <c r="F36" i="101"/>
  <c r="B48" i="101"/>
  <c r="P11" i="101"/>
  <c r="M19" i="101"/>
  <c r="C48" i="101"/>
  <c r="N22" i="101"/>
  <c r="L13" i="101"/>
  <c r="D48" i="101"/>
  <c r="G28" i="101"/>
  <c r="O13" i="101"/>
  <c r="E53" i="101"/>
  <c r="E54" i="101" s="1"/>
  <c r="E55" i="101" s="1"/>
  <c r="C15" i="101" l="1"/>
  <c r="M13" i="101"/>
  <c r="M14" i="101"/>
  <c r="C53" i="101"/>
  <c r="C54" i="101" s="1"/>
  <c r="C55" i="101" s="1"/>
  <c r="C19" i="101" s="1"/>
  <c r="B53" i="101"/>
  <c r="B54" i="101" s="1"/>
  <c r="B55" i="101" s="1"/>
  <c r="B19" i="101" s="1"/>
  <c r="D53" i="101"/>
  <c r="D54" i="101" s="1"/>
  <c r="D55" i="101" s="1"/>
  <c r="D19" i="101" s="1"/>
  <c r="L11" i="101" l="1"/>
  <c r="L9" i="101"/>
  <c r="N9" i="101"/>
  <c r="N11" i="101"/>
  <c r="M11" i="101"/>
  <c r="M9" i="101"/>
  <c r="V11" i="48" l="1"/>
  <c r="V15" i="48"/>
  <c r="V16" i="48"/>
  <c r="V20" i="48"/>
  <c r="V21" i="48"/>
  <c r="V23" i="48"/>
  <c r="H21" i="48"/>
  <c r="H14" i="48"/>
  <c r="H20" i="48"/>
  <c r="V7" i="48" s="1"/>
  <c r="H10" i="48"/>
  <c r="V3" i="48" s="1"/>
  <c r="H8" i="48"/>
  <c r="H11" i="48" s="1"/>
  <c r="V10" i="48" l="1"/>
  <c r="V9" i="48"/>
  <c r="H13" i="48"/>
  <c r="H16" i="48" s="1"/>
  <c r="V19" i="48" s="1"/>
  <c r="V5" i="48"/>
  <c r="H15" i="48"/>
  <c r="Z15" i="42"/>
  <c r="K21" i="42"/>
  <c r="K14" i="42"/>
  <c r="J14" i="42"/>
  <c r="W13" i="42"/>
  <c r="W14" i="42"/>
  <c r="W16" i="42"/>
  <c r="W20" i="42"/>
  <c r="W21" i="42"/>
  <c r="W23" i="42"/>
  <c r="H21" i="42"/>
  <c r="X24" i="42" s="1"/>
  <c r="X25" i="42" s="1"/>
  <c r="H14" i="42"/>
  <c r="H20" i="42"/>
  <c r="W7" i="42" s="1"/>
  <c r="H10" i="42"/>
  <c r="W3" i="42" s="1"/>
  <c r="H8" i="42"/>
  <c r="H11" i="42" s="1"/>
  <c r="W9" i="42" s="1"/>
  <c r="K21" i="36"/>
  <c r="K14" i="36"/>
  <c r="J14" i="36"/>
  <c r="W11" i="36"/>
  <c r="W13" i="36"/>
  <c r="W14" i="36"/>
  <c r="W15" i="36"/>
  <c r="W16" i="36"/>
  <c r="W19" i="36"/>
  <c r="W20" i="36"/>
  <c r="W21" i="36"/>
  <c r="W23" i="36"/>
  <c r="H21" i="36"/>
  <c r="W5" i="36" s="1"/>
  <c r="H14" i="36"/>
  <c r="W10" i="36" s="1"/>
  <c r="H20" i="36"/>
  <c r="W7" i="36" s="1"/>
  <c r="H10" i="36"/>
  <c r="W3" i="36" s="1"/>
  <c r="H8" i="36"/>
  <c r="H11" i="36" s="1"/>
  <c r="H13" i="36" s="1"/>
  <c r="H16" i="36" s="1"/>
  <c r="J14" i="33"/>
  <c r="J21" i="40"/>
  <c r="J19" i="40"/>
  <c r="J14" i="40"/>
  <c r="I14" i="40"/>
  <c r="U11" i="40"/>
  <c r="U13" i="40"/>
  <c r="U14" i="40"/>
  <c r="U16" i="40"/>
  <c r="U20" i="40"/>
  <c r="U23" i="40"/>
  <c r="H21" i="40"/>
  <c r="U5" i="40" s="1"/>
  <c r="H19" i="40"/>
  <c r="H14" i="40"/>
  <c r="U9" i="40" s="1"/>
  <c r="H20" i="40"/>
  <c r="U7" i="40" s="1"/>
  <c r="H10" i="40"/>
  <c r="U3" i="40" s="1"/>
  <c r="H8" i="40"/>
  <c r="H11" i="40" s="1"/>
  <c r="U10" i="40" s="1"/>
  <c r="U3" i="39"/>
  <c r="U7" i="39"/>
  <c r="U11" i="39"/>
  <c r="U13" i="39"/>
  <c r="U14" i="39"/>
  <c r="U16" i="39"/>
  <c r="U19" i="39"/>
  <c r="U20" i="39"/>
  <c r="U21" i="39"/>
  <c r="U23" i="39"/>
  <c r="H21" i="39"/>
  <c r="U5" i="39" s="1"/>
  <c r="H14" i="39"/>
  <c r="U9" i="39" s="1"/>
  <c r="H20" i="39"/>
  <c r="H10" i="39"/>
  <c r="H8" i="39"/>
  <c r="H11" i="39" s="1"/>
  <c r="H13" i="39" s="1"/>
  <c r="H16" i="39" s="1"/>
  <c r="I21" i="51"/>
  <c r="I14" i="51"/>
  <c r="I20" i="51"/>
  <c r="J21" i="38"/>
  <c r="J14" i="38"/>
  <c r="I14" i="38"/>
  <c r="K21" i="37"/>
  <c r="K14" i="37"/>
  <c r="J14" i="37"/>
  <c r="K21" i="43"/>
  <c r="K14" i="43"/>
  <c r="J14" i="43"/>
  <c r="W9" i="36" l="1"/>
  <c r="U10" i="39"/>
  <c r="U15" i="40"/>
  <c r="W10" i="42"/>
  <c r="W5" i="42"/>
  <c r="W11" i="42"/>
  <c r="W15" i="42"/>
  <c r="H15" i="42"/>
  <c r="H13" i="42"/>
  <c r="H16" i="42" s="1"/>
  <c r="W19" i="42" s="1"/>
  <c r="H15" i="36"/>
  <c r="H13" i="40"/>
  <c r="H16" i="40" s="1"/>
  <c r="U19" i="40" s="1"/>
  <c r="H15" i="40"/>
  <c r="U15" i="39"/>
  <c r="H15" i="39"/>
  <c r="Y13" i="43"/>
  <c r="Y14" i="43"/>
  <c r="Y16" i="43"/>
  <c r="Y20" i="43"/>
  <c r="Y21" i="43"/>
  <c r="Y23" i="43"/>
  <c r="H21" i="43"/>
  <c r="Z24" i="43" s="1"/>
  <c r="Z25" i="43" s="1"/>
  <c r="H20" i="43"/>
  <c r="Y7" i="43" s="1"/>
  <c r="H14" i="43"/>
  <c r="Y11" i="43" s="1"/>
  <c r="H10" i="43"/>
  <c r="Y3" i="43" s="1"/>
  <c r="H8" i="43"/>
  <c r="H11" i="43" s="1"/>
  <c r="Y9" i="43" s="1"/>
  <c r="Y5" i="43" l="1"/>
  <c r="Y10" i="43"/>
  <c r="Y15" i="43"/>
  <c r="H15" i="43"/>
  <c r="H13" i="43"/>
  <c r="H16" i="43" s="1"/>
  <c r="Y19" i="43" s="1"/>
  <c r="K21" i="23"/>
  <c r="K14" i="23"/>
  <c r="J14" i="23"/>
  <c r="K21" i="22"/>
  <c r="K20" i="22"/>
  <c r="L20" i="22"/>
  <c r="K14" i="22"/>
  <c r="J14" i="22"/>
  <c r="U13" i="41" l="1"/>
  <c r="U14" i="41"/>
  <c r="U16" i="41"/>
  <c r="U20" i="41"/>
  <c r="U21" i="41"/>
  <c r="U23" i="41"/>
  <c r="H20" i="41"/>
  <c r="U5" i="41" s="1"/>
  <c r="H14" i="41"/>
  <c r="U11" i="41" s="1"/>
  <c r="H10" i="41"/>
  <c r="U3" i="41" s="1"/>
  <c r="H8" i="41"/>
  <c r="H11" i="41" s="1"/>
  <c r="H15" i="41" l="1"/>
  <c r="H13" i="41"/>
  <c r="H16" i="41" s="1"/>
  <c r="U19" i="41" s="1"/>
  <c r="U10" i="41"/>
  <c r="U9" i="41"/>
  <c r="U7" i="41"/>
  <c r="U15" i="41"/>
  <c r="X13" i="37" l="1"/>
  <c r="X14" i="37"/>
  <c r="X16" i="37"/>
  <c r="X20" i="37"/>
  <c r="X21" i="37"/>
  <c r="X23" i="37"/>
  <c r="H21" i="37"/>
  <c r="Y24" i="37" s="1"/>
  <c r="Y25" i="37" s="1"/>
  <c r="H14" i="37"/>
  <c r="X11" i="37" s="1"/>
  <c r="H10" i="37"/>
  <c r="X3" i="37" s="1"/>
  <c r="H20" i="37"/>
  <c r="H8" i="37"/>
  <c r="H11" i="37" s="1"/>
  <c r="X15" i="37" l="1"/>
  <c r="X9" i="37"/>
  <c r="X5" i="37"/>
  <c r="X10" i="37"/>
  <c r="X7" i="37"/>
  <c r="H15" i="37"/>
  <c r="H13" i="37"/>
  <c r="H16" i="37" s="1"/>
  <c r="X19" i="37" s="1"/>
  <c r="J21" i="31"/>
  <c r="J14" i="31"/>
  <c r="I14" i="31"/>
  <c r="U3" i="31"/>
  <c r="U5" i="31"/>
  <c r="U11" i="31"/>
  <c r="U13" i="31"/>
  <c r="U14" i="31"/>
  <c r="U16" i="31"/>
  <c r="U20" i="31"/>
  <c r="U21" i="31"/>
  <c r="U23" i="31"/>
  <c r="H21" i="31"/>
  <c r="H20" i="31"/>
  <c r="U7" i="31" s="1"/>
  <c r="H14" i="31"/>
  <c r="U9" i="31" s="1"/>
  <c r="H10" i="31"/>
  <c r="H8" i="31"/>
  <c r="H11" i="31" s="1"/>
  <c r="K21" i="24"/>
  <c r="K20" i="24"/>
  <c r="U15" i="31" l="1"/>
  <c r="U10" i="31"/>
  <c r="H15" i="31"/>
  <c r="H13" i="31"/>
  <c r="H16" i="31" s="1"/>
  <c r="U19" i="31" s="1"/>
  <c r="K14" i="24"/>
  <c r="J14" i="24"/>
  <c r="Y3" i="24"/>
  <c r="Y13" i="24"/>
  <c r="Y14" i="24"/>
  <c r="Y16" i="24"/>
  <c r="Y20" i="24"/>
  <c r="Y21" i="24"/>
  <c r="Y23" i="24"/>
  <c r="H21" i="24"/>
  <c r="Z24" i="24" s="1"/>
  <c r="Z25" i="24" s="1"/>
  <c r="H20" i="24"/>
  <c r="Y5" i="24" s="1"/>
  <c r="Y15" i="24" l="1"/>
  <c r="Y7" i="24"/>
  <c r="H14" i="24"/>
  <c r="Y11" i="24" s="1"/>
  <c r="H8" i="24"/>
  <c r="H11" i="24" s="1"/>
  <c r="Y10" i="24" l="1"/>
  <c r="Y9" i="24"/>
  <c r="H15" i="24"/>
  <c r="H13" i="24"/>
  <c r="H16" i="24" s="1"/>
  <c r="Y19" i="24" s="1"/>
  <c r="J21" i="114"/>
  <c r="J14" i="114"/>
  <c r="I14" i="114"/>
  <c r="G21" i="114"/>
  <c r="X24" i="114" s="1"/>
  <c r="X25" i="114" s="1"/>
  <c r="F21" i="114"/>
  <c r="G14" i="114"/>
  <c r="F14" i="114"/>
  <c r="X13" i="81" l="1"/>
  <c r="X14" i="81"/>
  <c r="X16" i="81"/>
  <c r="X20" i="81"/>
  <c r="X21" i="81"/>
  <c r="X23" i="81"/>
  <c r="H21" i="81"/>
  <c r="Y24" i="81" s="1"/>
  <c r="Y25" i="81" s="1"/>
  <c r="H14" i="81"/>
  <c r="X11" i="81" s="1"/>
  <c r="H20" i="81"/>
  <c r="X5" i="81" s="1"/>
  <c r="H10" i="81"/>
  <c r="X3" i="81" s="1"/>
  <c r="H5" i="81"/>
  <c r="H8" i="81" s="1"/>
  <c r="H11" i="81" s="1"/>
  <c r="H13" i="81" s="1"/>
  <c r="H16" i="81" s="1"/>
  <c r="X19" i="81" s="1"/>
  <c r="L21" i="58"/>
  <c r="L14" i="58"/>
  <c r="K21" i="15"/>
  <c r="K14" i="15"/>
  <c r="X15" i="81" l="1"/>
  <c r="X10" i="81"/>
  <c r="X9" i="81"/>
  <c r="X7" i="81"/>
  <c r="H15" i="81"/>
  <c r="K14" i="35" l="1"/>
  <c r="J14" i="35"/>
  <c r="J8" i="35"/>
  <c r="K8" i="35"/>
  <c r="Y13" i="35"/>
  <c r="Y14" i="35"/>
  <c r="Y16" i="35"/>
  <c r="Y20" i="35"/>
  <c r="Y21" i="35"/>
  <c r="Y23" i="35"/>
  <c r="H21" i="35"/>
  <c r="Z24" i="35" s="1"/>
  <c r="Z25" i="35" s="1"/>
  <c r="H20" i="35"/>
  <c r="Y7" i="35" s="1"/>
  <c r="H14" i="35"/>
  <c r="H10" i="35"/>
  <c r="Y3" i="35" s="1"/>
  <c r="H8" i="35"/>
  <c r="H11" i="35" s="1"/>
  <c r="Y15" i="35" l="1"/>
  <c r="Y5" i="35"/>
  <c r="H13" i="35"/>
  <c r="H16" i="35" s="1"/>
  <c r="Y19" i="35" s="1"/>
  <c r="Y9" i="35"/>
  <c r="Y10" i="35"/>
  <c r="Y11" i="35"/>
  <c r="H15" i="35"/>
  <c r="J21" i="16" l="1"/>
  <c r="J14" i="16"/>
  <c r="I14" i="16"/>
  <c r="K21" i="18"/>
  <c r="K14" i="18"/>
  <c r="AA15" i="20" l="1"/>
  <c r="K21" i="20"/>
  <c r="K14" i="20"/>
  <c r="J14" i="20"/>
  <c r="K5" i="20"/>
  <c r="J5" i="20"/>
  <c r="J21" i="14" l="1"/>
  <c r="J14" i="14"/>
  <c r="AD15" i="5"/>
  <c r="L21" i="5"/>
  <c r="L19" i="5"/>
  <c r="L14" i="5"/>
  <c r="X13" i="22" l="1"/>
  <c r="X14" i="22"/>
  <c r="X16" i="22"/>
  <c r="X20" i="22"/>
  <c r="X21" i="22"/>
  <c r="X23" i="22"/>
  <c r="X3" i="22"/>
  <c r="H21" i="22"/>
  <c r="Y24" i="22" s="1"/>
  <c r="Y25" i="22" s="1"/>
  <c r="H14" i="22"/>
  <c r="X11" i="22" s="1"/>
  <c r="H20" i="22"/>
  <c r="H10" i="22"/>
  <c r="H8" i="22"/>
  <c r="H11" i="22" s="1"/>
  <c r="H13" i="22" s="1"/>
  <c r="X5" i="22" l="1"/>
  <c r="X15" i="22"/>
  <c r="X7" i="22"/>
  <c r="X10" i="22"/>
  <c r="X9" i="22"/>
  <c r="H15" i="22"/>
  <c r="H16" i="22"/>
  <c r="X19" i="22" s="1"/>
  <c r="X13" i="20"/>
  <c r="X14" i="20"/>
  <c r="X20" i="20"/>
  <c r="X21" i="20"/>
  <c r="X23" i="20"/>
  <c r="H21" i="20"/>
  <c r="Y24" i="20" s="1"/>
  <c r="Y25" i="20" s="1"/>
  <c r="H14" i="20"/>
  <c r="X11" i="20" s="1"/>
  <c r="H20" i="20"/>
  <c r="X7" i="20" s="1"/>
  <c r="H10" i="20"/>
  <c r="X3" i="20" s="1"/>
  <c r="H8" i="20"/>
  <c r="H11" i="20" s="1"/>
  <c r="X15" i="20" l="1"/>
  <c r="X9" i="20"/>
  <c r="X10" i="20"/>
  <c r="X5" i="20"/>
  <c r="H15" i="20"/>
  <c r="H13" i="20"/>
  <c r="H16" i="20" s="1"/>
  <c r="X19" i="20" s="1"/>
  <c r="W3" i="69"/>
  <c r="W9" i="69"/>
  <c r="W10" i="69"/>
  <c r="W13" i="69"/>
  <c r="W14" i="69"/>
  <c r="W16" i="69"/>
  <c r="W19" i="69"/>
  <c r="W20" i="69"/>
  <c r="W23" i="69"/>
  <c r="H19" i="69"/>
  <c r="W21" i="69" s="1"/>
  <c r="H21" i="69"/>
  <c r="H14" i="69"/>
  <c r="W11" i="69" s="1"/>
  <c r="H10" i="69"/>
  <c r="H8" i="69"/>
  <c r="H11" i="69" s="1"/>
  <c r="H13" i="69" s="1"/>
  <c r="H16" i="69" s="1"/>
  <c r="H20" i="69" l="1"/>
  <c r="W7" i="69" s="1"/>
  <c r="W24" i="69"/>
  <c r="W25" i="69" s="1"/>
  <c r="W15" i="69"/>
  <c r="H15" i="69"/>
  <c r="W5" i="69" l="1"/>
  <c r="I21" i="21" l="1"/>
  <c r="AA15" i="18"/>
  <c r="J14" i="18"/>
  <c r="U11" i="16" l="1"/>
  <c r="V11" i="16"/>
  <c r="U13" i="16"/>
  <c r="U14" i="16"/>
  <c r="U15" i="16" s="1"/>
  <c r="U16" i="16"/>
  <c r="V16" i="16"/>
  <c r="U20" i="16"/>
  <c r="U21" i="16"/>
  <c r="U23" i="16"/>
  <c r="H21" i="16"/>
  <c r="U5" i="16" s="1"/>
  <c r="H14" i="16"/>
  <c r="U10" i="16" s="1"/>
  <c r="H20" i="16"/>
  <c r="U7" i="16" s="1"/>
  <c r="H10" i="16"/>
  <c r="U3" i="16" s="1"/>
  <c r="H8" i="16"/>
  <c r="H11" i="16" s="1"/>
  <c r="U9" i="16" s="1"/>
  <c r="H15" i="16" l="1"/>
  <c r="H13" i="16"/>
  <c r="H16" i="16" s="1"/>
  <c r="U19" i="16" s="1"/>
  <c r="I14" i="98"/>
  <c r="H20" i="98" l="1"/>
  <c r="W5" i="98" s="1"/>
  <c r="H14" i="98"/>
  <c r="W11" i="98" s="1"/>
  <c r="H10" i="98"/>
  <c r="W3" i="98" s="1"/>
  <c r="H8" i="98"/>
  <c r="H11" i="98" s="1"/>
  <c r="W7" i="98"/>
  <c r="W13" i="98"/>
  <c r="W14" i="98"/>
  <c r="W16" i="98"/>
  <c r="W20" i="98"/>
  <c r="W21" i="98"/>
  <c r="W23" i="98"/>
  <c r="W15" i="98" l="1"/>
  <c r="W10" i="98"/>
  <c r="W9" i="98"/>
  <c r="H13" i="98"/>
  <c r="H16" i="98" s="1"/>
  <c r="W19" i="98" s="1"/>
  <c r="H15" i="98"/>
  <c r="J14" i="15" l="1"/>
  <c r="Y11" i="15"/>
  <c r="Y13" i="15"/>
  <c r="Y14" i="15"/>
  <c r="Y15" i="15" s="1"/>
  <c r="Y16" i="15"/>
  <c r="Y20" i="15"/>
  <c r="Y21" i="15"/>
  <c r="Y23" i="15"/>
  <c r="H21" i="15"/>
  <c r="Z24" i="15" s="1"/>
  <c r="Z25" i="15" s="1"/>
  <c r="H20" i="15"/>
  <c r="Y5" i="15" s="1"/>
  <c r="H14" i="15"/>
  <c r="H10" i="15"/>
  <c r="Y3" i="15" s="1"/>
  <c r="H8" i="15"/>
  <c r="H11" i="15" s="1"/>
  <c r="Y10" i="15" s="1"/>
  <c r="H13" i="15" l="1"/>
  <c r="Y9" i="15"/>
  <c r="Y7" i="15"/>
  <c r="H15" i="15"/>
  <c r="H16" i="15"/>
  <c r="Y19" i="15" s="1"/>
  <c r="K14" i="58"/>
  <c r="J14" i="57" l="1"/>
  <c r="J10" i="57"/>
  <c r="Z3" i="57" s="1"/>
  <c r="X11" i="57"/>
  <c r="X13" i="57"/>
  <c r="X15" i="57" s="1"/>
  <c r="X14" i="57"/>
  <c r="X16" i="57"/>
  <c r="X20" i="57"/>
  <c r="X21" i="57"/>
  <c r="X23" i="57"/>
  <c r="H21" i="57"/>
  <c r="Y24" i="57" s="1"/>
  <c r="Y25" i="57" s="1"/>
  <c r="H20" i="57"/>
  <c r="X5" i="57" s="1"/>
  <c r="H14" i="57"/>
  <c r="H10" i="57"/>
  <c r="X3" i="57" s="1"/>
  <c r="H8" i="57"/>
  <c r="H11" i="57" s="1"/>
  <c r="H13" i="57" s="1"/>
  <c r="X10" i="57" l="1"/>
  <c r="X9" i="57"/>
  <c r="X7" i="57"/>
  <c r="H16" i="57"/>
  <c r="X19" i="57" s="1"/>
  <c r="H15" i="57"/>
  <c r="U5" i="82"/>
  <c r="U7" i="82"/>
  <c r="U13" i="82"/>
  <c r="U14" i="82"/>
  <c r="U16" i="82"/>
  <c r="U20" i="82"/>
  <c r="U21" i="82"/>
  <c r="U23" i="82"/>
  <c r="H21" i="82"/>
  <c r="U15" i="82" l="1"/>
  <c r="H14" i="82"/>
  <c r="U11" i="82" s="1"/>
  <c r="H10" i="82"/>
  <c r="U3" i="82" s="1"/>
  <c r="H8" i="82"/>
  <c r="H11" i="82" s="1"/>
  <c r="U9" i="82" l="1"/>
  <c r="U10" i="82"/>
  <c r="H15" i="82"/>
  <c r="H13" i="82"/>
  <c r="H16" i="82" s="1"/>
  <c r="U19" i="82" s="1"/>
  <c r="J14" i="80"/>
  <c r="W3" i="80"/>
  <c r="W5" i="80"/>
  <c r="W7" i="80"/>
  <c r="W11" i="80"/>
  <c r="W13" i="80"/>
  <c r="W14" i="80"/>
  <c r="W15" i="80"/>
  <c r="W16" i="80"/>
  <c r="W20" i="80"/>
  <c r="W21" i="80"/>
  <c r="W23" i="80"/>
  <c r="H21" i="80"/>
  <c r="X24" i="80" s="1"/>
  <c r="X25" i="80" s="1"/>
  <c r="H14" i="80"/>
  <c r="H10" i="80"/>
  <c r="H8" i="80"/>
  <c r="H11" i="80" s="1"/>
  <c r="W9" i="80" s="1"/>
  <c r="W10" i="80" l="1"/>
  <c r="H15" i="80"/>
  <c r="H13" i="80"/>
  <c r="H16" i="80" s="1"/>
  <c r="W19" i="80" s="1"/>
  <c r="J14" i="32" l="1"/>
  <c r="J15" i="32"/>
  <c r="J17" i="32"/>
  <c r="J20" i="32"/>
  <c r="J21" i="32"/>
  <c r="J23" i="32"/>
  <c r="J12" i="32"/>
  <c r="J6" i="32"/>
  <c r="J4" i="32"/>
  <c r="G21" i="123"/>
  <c r="W24" i="123" s="1"/>
  <c r="W25" i="123" s="1"/>
  <c r="F21" i="123"/>
  <c r="G14" i="123"/>
  <c r="F14" i="123"/>
  <c r="U11" i="123" s="1"/>
  <c r="T7" i="123"/>
  <c r="S24" i="123"/>
  <c r="V23" i="123"/>
  <c r="U23" i="123"/>
  <c r="T23" i="123"/>
  <c r="S23" i="123"/>
  <c r="V21" i="123"/>
  <c r="U21" i="123"/>
  <c r="T21" i="123"/>
  <c r="S21" i="123"/>
  <c r="U24" i="123"/>
  <c r="V20" i="123"/>
  <c r="U20" i="123"/>
  <c r="T20" i="123"/>
  <c r="V7" i="123"/>
  <c r="U7" i="123"/>
  <c r="S7" i="123"/>
  <c r="V16" i="123"/>
  <c r="U16" i="123"/>
  <c r="T16" i="123"/>
  <c r="S16" i="123"/>
  <c r="X15" i="123"/>
  <c r="V14" i="123"/>
  <c r="U14" i="123"/>
  <c r="T14" i="123"/>
  <c r="S14" i="123"/>
  <c r="T11" i="123"/>
  <c r="V13" i="123"/>
  <c r="U13" i="123"/>
  <c r="T13" i="123"/>
  <c r="T15" i="123" s="1"/>
  <c r="S13" i="123"/>
  <c r="S11" i="123"/>
  <c r="C11" i="123"/>
  <c r="B11" i="123"/>
  <c r="I10" i="123"/>
  <c r="G10" i="123"/>
  <c r="V3" i="123" s="1"/>
  <c r="F10" i="123"/>
  <c r="U3" i="123" s="1"/>
  <c r="E10" i="123"/>
  <c r="T3" i="123" s="1"/>
  <c r="D10" i="123"/>
  <c r="S3" i="123" s="1"/>
  <c r="C10" i="123"/>
  <c r="B10" i="123"/>
  <c r="I8" i="123"/>
  <c r="I11" i="123" s="1"/>
  <c r="I15" i="123" s="1"/>
  <c r="G8" i="123"/>
  <c r="G11" i="123" s="1"/>
  <c r="F8" i="123"/>
  <c r="F11" i="123" s="1"/>
  <c r="E8" i="123"/>
  <c r="E11" i="123" s="1"/>
  <c r="D8" i="123"/>
  <c r="D11" i="123" s="1"/>
  <c r="S9" i="123" s="1"/>
  <c r="J16" i="32" l="1"/>
  <c r="J10" i="32"/>
  <c r="J11" i="32"/>
  <c r="J8" i="32"/>
  <c r="J19" i="32"/>
  <c r="S15" i="123"/>
  <c r="U15" i="123"/>
  <c r="V15" i="123"/>
  <c r="G15" i="123"/>
  <c r="V9" i="123"/>
  <c r="F15" i="123"/>
  <c r="V24" i="123"/>
  <c r="V25" i="123" s="1"/>
  <c r="E13" i="123"/>
  <c r="E16" i="123" s="1"/>
  <c r="T19" i="123" s="1"/>
  <c r="T9" i="123"/>
  <c r="V10" i="123"/>
  <c r="U9" i="123"/>
  <c r="V11" i="123"/>
  <c r="S25" i="123"/>
  <c r="V5" i="123"/>
  <c r="U25" i="123"/>
  <c r="I13" i="123"/>
  <c r="I16" i="123" s="1"/>
  <c r="S5" i="123"/>
  <c r="T10" i="123"/>
  <c r="F13" i="123"/>
  <c r="F16" i="123" s="1"/>
  <c r="U19" i="123" s="1"/>
  <c r="E15" i="123"/>
  <c r="U10" i="123"/>
  <c r="G13" i="123"/>
  <c r="G16" i="123" s="1"/>
  <c r="V19" i="123" s="1"/>
  <c r="T24" i="123"/>
  <c r="T25" i="123" s="1"/>
  <c r="S10" i="123"/>
  <c r="D15" i="123"/>
  <c r="T5" i="123"/>
  <c r="U5" i="123"/>
  <c r="D13" i="123"/>
  <c r="D16" i="123" s="1"/>
  <c r="V7" i="117" l="1"/>
  <c r="V11" i="117"/>
  <c r="V13" i="117"/>
  <c r="V14" i="117"/>
  <c r="V16" i="117"/>
  <c r="V20" i="117"/>
  <c r="V21" i="117"/>
  <c r="V23" i="117"/>
  <c r="H21" i="117"/>
  <c r="W24" i="117" s="1"/>
  <c r="W25" i="117" s="1"/>
  <c r="H14" i="117"/>
  <c r="V10" i="117" s="1"/>
  <c r="H20" i="117"/>
  <c r="H10" i="117"/>
  <c r="V3" i="117" s="1"/>
  <c r="H8" i="117"/>
  <c r="H11" i="117" s="1"/>
  <c r="V9" i="117" s="1"/>
  <c r="I14" i="120"/>
  <c r="I14" i="34"/>
  <c r="U3" i="34"/>
  <c r="U5" i="34"/>
  <c r="U7" i="34"/>
  <c r="U11" i="34"/>
  <c r="U13" i="34"/>
  <c r="U15" i="34" s="1"/>
  <c r="U14" i="34"/>
  <c r="U16" i="34"/>
  <c r="U20" i="34"/>
  <c r="U21" i="34"/>
  <c r="U23" i="34"/>
  <c r="H21" i="34"/>
  <c r="H14" i="34"/>
  <c r="U9" i="34" s="1"/>
  <c r="H20" i="34"/>
  <c r="H10" i="34"/>
  <c r="H11" i="34"/>
  <c r="H13" i="34" s="1"/>
  <c r="H16" i="34" s="1"/>
  <c r="U19" i="34" s="1"/>
  <c r="H8" i="34"/>
  <c r="V15" i="117" l="1"/>
  <c r="V5" i="117"/>
  <c r="U10" i="34"/>
  <c r="H15" i="117"/>
  <c r="H13" i="117"/>
  <c r="H16" i="117" s="1"/>
  <c r="V19" i="117" s="1"/>
  <c r="H15" i="34"/>
  <c r="P15" i="11" l="1"/>
  <c r="P16" i="11"/>
  <c r="P17" i="11" l="1"/>
  <c r="P7" i="11" l="1"/>
  <c r="P11" i="11"/>
  <c r="P12" i="11"/>
  <c r="I14" i="45"/>
  <c r="H21" i="45"/>
  <c r="P9" i="11" l="1"/>
  <c r="H14" i="45"/>
  <c r="H20" i="45"/>
  <c r="H10" i="45"/>
  <c r="H8" i="45"/>
  <c r="H11" i="45" s="1"/>
  <c r="H13" i="45" s="1"/>
  <c r="Y13" i="18"/>
  <c r="Y14" i="18"/>
  <c r="Y16" i="18"/>
  <c r="Y20" i="18"/>
  <c r="Y21" i="18"/>
  <c r="Y23" i="18"/>
  <c r="H21" i="18"/>
  <c r="H14" i="18"/>
  <c r="Y11" i="18" s="1"/>
  <c r="H20" i="18"/>
  <c r="Y7" i="18" s="1"/>
  <c r="H10" i="18"/>
  <c r="Y3" i="18" s="1"/>
  <c r="H8" i="18"/>
  <c r="H11" i="18" s="1"/>
  <c r="H13" i="18" s="1"/>
  <c r="I14" i="14"/>
  <c r="Y15" i="18" l="1"/>
  <c r="Y10" i="18"/>
  <c r="Y9" i="18"/>
  <c r="Y5" i="18"/>
  <c r="H15" i="45"/>
  <c r="H16" i="45"/>
  <c r="H15" i="18"/>
  <c r="H16" i="18"/>
  <c r="Y19" i="18" s="1"/>
  <c r="Z13" i="5"/>
  <c r="Z14" i="5"/>
  <c r="H21" i="5"/>
  <c r="H14" i="5"/>
  <c r="H20" i="5"/>
  <c r="Z7" i="5" s="1"/>
  <c r="H10" i="5"/>
  <c r="H8" i="5"/>
  <c r="H11" i="5" s="1"/>
  <c r="Z15" i="5" l="1"/>
  <c r="Z5" i="5"/>
  <c r="H13" i="5"/>
  <c r="Z10" i="5"/>
  <c r="Z9" i="5"/>
  <c r="H15" i="5"/>
  <c r="H16" i="5"/>
  <c r="K14" i="5"/>
  <c r="V11" i="108" l="1"/>
  <c r="V13" i="108"/>
  <c r="V14" i="108"/>
  <c r="V15" i="108"/>
  <c r="V16" i="108"/>
  <c r="V20" i="108"/>
  <c r="V21" i="108"/>
  <c r="G23" i="108"/>
  <c r="V23" i="108" s="1"/>
  <c r="H23" i="108"/>
  <c r="W23" i="108" l="1"/>
  <c r="W16" i="108"/>
  <c r="G21" i="108"/>
  <c r="H21" i="108"/>
  <c r="H20" i="108"/>
  <c r="V7" i="108" s="1"/>
  <c r="G14" i="108"/>
  <c r="H10" i="108"/>
  <c r="V3" i="108" s="1"/>
  <c r="H8" i="108"/>
  <c r="H11" i="108" s="1"/>
  <c r="H15" i="108" l="1"/>
  <c r="V9" i="108"/>
  <c r="V10" i="108"/>
  <c r="W24" i="108"/>
  <c r="V5" i="108"/>
  <c r="V24" i="108"/>
  <c r="V25" i="108" s="1"/>
  <c r="W25" i="108"/>
  <c r="H13" i="108"/>
  <c r="H16" i="108"/>
  <c r="V19" i="108" s="1"/>
  <c r="U3" i="51"/>
  <c r="U5" i="51"/>
  <c r="U7" i="51"/>
  <c r="U13" i="51"/>
  <c r="U14" i="51"/>
  <c r="U15" i="51"/>
  <c r="U16" i="51"/>
  <c r="U20" i="51"/>
  <c r="U21" i="51"/>
  <c r="U23" i="51"/>
  <c r="H21" i="51"/>
  <c r="H20" i="51"/>
  <c r="H14" i="51"/>
  <c r="H10" i="51"/>
  <c r="H8" i="51"/>
  <c r="H11" i="51" s="1"/>
  <c r="H13" i="51" s="1"/>
  <c r="H16" i="51" s="1"/>
  <c r="U19" i="51" s="1"/>
  <c r="U9" i="51" l="1"/>
  <c r="U11" i="51"/>
  <c r="U10" i="51"/>
  <c r="H15" i="51"/>
  <c r="U7" i="14"/>
  <c r="U11" i="14"/>
  <c r="U13" i="14"/>
  <c r="U15" i="14" s="1"/>
  <c r="U14" i="14"/>
  <c r="U16" i="14"/>
  <c r="U20" i="14"/>
  <c r="U21" i="14"/>
  <c r="U23" i="14"/>
  <c r="H21" i="14"/>
  <c r="U5" i="14" s="1"/>
  <c r="H14" i="14"/>
  <c r="U9" i="14" s="1"/>
  <c r="H10" i="14"/>
  <c r="U3" i="14" s="1"/>
  <c r="H11" i="14"/>
  <c r="H13" i="14" s="1"/>
  <c r="H8" i="14"/>
  <c r="U10" i="14" l="1"/>
  <c r="H15" i="14"/>
  <c r="H16" i="14"/>
  <c r="U19" i="14" s="1"/>
  <c r="L23" i="7"/>
  <c r="L24" i="7" s="1"/>
  <c r="Y13" i="113" l="1"/>
  <c r="Y20" i="113"/>
  <c r="Y23" i="113"/>
  <c r="H21" i="113"/>
  <c r="Z24" i="113" s="1"/>
  <c r="Z25" i="113" s="1"/>
  <c r="H19" i="113"/>
  <c r="H14" i="113"/>
  <c r="Y11" i="113" s="1"/>
  <c r="H10" i="113"/>
  <c r="Y3" i="113" s="1"/>
  <c r="H8" i="113"/>
  <c r="H11" i="113" s="1"/>
  <c r="Y9" i="113" s="1"/>
  <c r="H20" i="113" l="1"/>
  <c r="Y7" i="113" s="1"/>
  <c r="Z21" i="113"/>
  <c r="Y10" i="113"/>
  <c r="H15" i="113"/>
  <c r="H13" i="113"/>
  <c r="H16" i="113" s="1"/>
  <c r="Y19" i="113" s="1"/>
  <c r="H85" i="121"/>
  <c r="S85" i="121" s="1"/>
  <c r="H79" i="121"/>
  <c r="N158" i="121"/>
  <c r="N152" i="121"/>
  <c r="H115" i="121"/>
  <c r="H110" i="121"/>
  <c r="T105" i="121"/>
  <c r="S105" i="121"/>
  <c r="R105" i="121"/>
  <c r="Q105" i="121"/>
  <c r="O105" i="121"/>
  <c r="N105" i="121"/>
  <c r="V96" i="121"/>
  <c r="T96" i="121"/>
  <c r="S96" i="121"/>
  <c r="R96" i="121"/>
  <c r="N96" i="121"/>
  <c r="Q96" i="121"/>
  <c r="O96" i="121"/>
  <c r="T94" i="121"/>
  <c r="H95" i="121"/>
  <c r="R94" i="121"/>
  <c r="Q94" i="121"/>
  <c r="N94" i="121"/>
  <c r="S93" i="121"/>
  <c r="O93" i="121"/>
  <c r="N93" i="121"/>
  <c r="S92" i="121"/>
  <c r="R92" i="121"/>
  <c r="Q92" i="121"/>
  <c r="O92" i="121"/>
  <c r="N92" i="121"/>
  <c r="T92" i="121"/>
  <c r="T91" i="121"/>
  <c r="S91" i="121"/>
  <c r="R91" i="121"/>
  <c r="Q91" i="121"/>
  <c r="O91" i="121"/>
  <c r="N91" i="121"/>
  <c r="S90" i="121"/>
  <c r="T90" i="121"/>
  <c r="N90" i="121"/>
  <c r="S89" i="121"/>
  <c r="I116" i="121"/>
  <c r="Q89" i="121"/>
  <c r="O89" i="121"/>
  <c r="N89" i="121"/>
  <c r="S88" i="121"/>
  <c r="T88" i="121"/>
  <c r="R88" i="121"/>
  <c r="N128" i="121"/>
  <c r="T87" i="121"/>
  <c r="S87" i="121"/>
  <c r="H116" i="121"/>
  <c r="Q87" i="121"/>
  <c r="O87" i="121"/>
  <c r="N87" i="121"/>
  <c r="T86" i="121"/>
  <c r="S86" i="121"/>
  <c r="R86" i="121"/>
  <c r="Q86" i="121"/>
  <c r="O86" i="121"/>
  <c r="N86" i="121"/>
  <c r="T85" i="121"/>
  <c r="R85" i="121"/>
  <c r="Q85" i="121"/>
  <c r="O85" i="121"/>
  <c r="N85" i="121"/>
  <c r="R83" i="121"/>
  <c r="Q83" i="121"/>
  <c r="O84" i="121"/>
  <c r="I127" i="121"/>
  <c r="S82" i="121"/>
  <c r="Q82" i="121"/>
  <c r="N118" i="121"/>
  <c r="T81" i="121"/>
  <c r="S81" i="121"/>
  <c r="R81" i="121"/>
  <c r="N81" i="121"/>
  <c r="Q79" i="121"/>
  <c r="O79" i="121"/>
  <c r="N79" i="121"/>
  <c r="H76" i="121"/>
  <c r="H102" i="121" s="1"/>
  <c r="S75" i="121"/>
  <c r="Q75" i="121"/>
  <c r="N75" i="121"/>
  <c r="S74" i="121"/>
  <c r="T74" i="121"/>
  <c r="R74" i="121"/>
  <c r="Q74" i="121"/>
  <c r="O74" i="121"/>
  <c r="N74" i="121"/>
  <c r="I121" i="121"/>
  <c r="S73" i="121"/>
  <c r="O73" i="121"/>
  <c r="G21" i="120"/>
  <c r="W24" i="120" s="1"/>
  <c r="W25" i="120" s="1"/>
  <c r="F21" i="120"/>
  <c r="G14" i="120"/>
  <c r="F14" i="120"/>
  <c r="I84" i="121" l="1"/>
  <c r="W87" i="121"/>
  <c r="Y5" i="113"/>
  <c r="N159" i="121"/>
  <c r="T128" i="121"/>
  <c r="T110" i="121"/>
  <c r="G122" i="121"/>
  <c r="N110" i="121"/>
  <c r="I122" i="121"/>
  <c r="I123" i="121" s="1"/>
  <c r="N121" i="121"/>
  <c r="G121" i="121"/>
  <c r="R87" i="121"/>
  <c r="R110" i="121" s="1"/>
  <c r="G113" i="121"/>
  <c r="H122" i="121"/>
  <c r="T83" i="121"/>
  <c r="T115" i="121" s="1"/>
  <c r="G116" i="121"/>
  <c r="N88" i="121"/>
  <c r="Q73" i="121"/>
  <c r="Q76" i="121" s="1"/>
  <c r="G118" i="121"/>
  <c r="L83" i="121"/>
  <c r="N122" i="121"/>
  <c r="O83" i="121"/>
  <c r="O81" i="121"/>
  <c r="O110" i="121" s="1"/>
  <c r="N83" i="121"/>
  <c r="N115" i="121" s="1"/>
  <c r="G114" i="121"/>
  <c r="H128" i="121"/>
  <c r="T73" i="121"/>
  <c r="T121" i="121" s="1"/>
  <c r="I72" i="121"/>
  <c r="I109" i="121" s="1"/>
  <c r="I76" i="121"/>
  <c r="I102" i="121" s="1"/>
  <c r="Q81" i="121"/>
  <c r="Q110" i="121" s="1"/>
  <c r="T82" i="121"/>
  <c r="T127" i="121" s="1"/>
  <c r="G97" i="121"/>
  <c r="H114" i="121"/>
  <c r="I114" i="121"/>
  <c r="G115" i="121"/>
  <c r="R89" i="121"/>
  <c r="R116" i="121" s="1"/>
  <c r="R90" i="121"/>
  <c r="R115" i="121" s="1"/>
  <c r="N114" i="121"/>
  <c r="G110" i="121"/>
  <c r="Q84" i="121"/>
  <c r="Q106" i="121" s="1"/>
  <c r="N95" i="121"/>
  <c r="S128" i="121"/>
  <c r="I95" i="121"/>
  <c r="N116" i="121"/>
  <c r="U83" i="121"/>
  <c r="N72" i="121"/>
  <c r="N109" i="121" s="1"/>
  <c r="R75" i="121"/>
  <c r="U75" i="121" s="1"/>
  <c r="S110" i="121"/>
  <c r="O104" i="121"/>
  <c r="T93" i="121"/>
  <c r="O94" i="121"/>
  <c r="O95" i="121" s="1"/>
  <c r="G128" i="121"/>
  <c r="S94" i="121"/>
  <c r="S95" i="121" s="1"/>
  <c r="S114" i="121"/>
  <c r="S122" i="121"/>
  <c r="I126" i="121"/>
  <c r="S76" i="121"/>
  <c r="U74" i="121"/>
  <c r="I106" i="121"/>
  <c r="T84" i="121"/>
  <c r="T106" i="121" s="1"/>
  <c r="O116" i="121"/>
  <c r="O112" i="121"/>
  <c r="O114" i="121"/>
  <c r="Q122" i="121"/>
  <c r="Q118" i="121"/>
  <c r="Q116" i="121"/>
  <c r="Q112" i="121"/>
  <c r="S118" i="121"/>
  <c r="O121" i="121"/>
  <c r="N84" i="121"/>
  <c r="N106" i="121" s="1"/>
  <c r="O106" i="121"/>
  <c r="N112" i="121"/>
  <c r="T113" i="121"/>
  <c r="Q95" i="121"/>
  <c r="H118" i="121"/>
  <c r="N119" i="121"/>
  <c r="N127" i="121"/>
  <c r="O132" i="121"/>
  <c r="T75" i="121"/>
  <c r="T122" i="121" s="1"/>
  <c r="R79" i="121"/>
  <c r="G84" i="121"/>
  <c r="O88" i="121"/>
  <c r="T89" i="121"/>
  <c r="O90" i="121"/>
  <c r="Q93" i="121"/>
  <c r="Q114" i="121" s="1"/>
  <c r="I110" i="121"/>
  <c r="I113" i="121"/>
  <c r="I115" i="121"/>
  <c r="I118" i="121"/>
  <c r="I128" i="121"/>
  <c r="Q132" i="121"/>
  <c r="N73" i="121"/>
  <c r="N76" i="121" s="1"/>
  <c r="S79" i="121"/>
  <c r="N82" i="121"/>
  <c r="H84" i="121"/>
  <c r="H104" i="121" s="1"/>
  <c r="Q88" i="121"/>
  <c r="Q90" i="121"/>
  <c r="R93" i="121"/>
  <c r="S112" i="121"/>
  <c r="N113" i="121"/>
  <c r="H113" i="121"/>
  <c r="H121" i="121"/>
  <c r="H123" i="121" s="1"/>
  <c r="G72" i="121"/>
  <c r="G101" i="121" s="1"/>
  <c r="T79" i="121"/>
  <c r="O82" i="121"/>
  <c r="Q127" i="121" s="1"/>
  <c r="S83" i="121"/>
  <c r="S115" i="121" s="1"/>
  <c r="G112" i="121"/>
  <c r="G127" i="121"/>
  <c r="H112" i="121"/>
  <c r="H127" i="121"/>
  <c r="G95" i="121"/>
  <c r="R73" i="121"/>
  <c r="O75" i="121"/>
  <c r="O122" i="121" s="1"/>
  <c r="R82" i="121"/>
  <c r="S127" i="121" s="1"/>
  <c r="I104" i="121"/>
  <c r="I112" i="121"/>
  <c r="H109" i="121"/>
  <c r="G76" i="121"/>
  <c r="H126" i="121" s="1"/>
  <c r="S113" i="121"/>
  <c r="Q119" i="121" l="1"/>
  <c r="N123" i="121"/>
  <c r="G123" i="121"/>
  <c r="Q121" i="121"/>
  <c r="Q123" i="121" s="1"/>
  <c r="S121" i="121"/>
  <c r="S123" i="121" s="1"/>
  <c r="V87" i="121"/>
  <c r="I119" i="121"/>
  <c r="H119" i="121"/>
  <c r="R122" i="121"/>
  <c r="T123" i="121"/>
  <c r="R113" i="121"/>
  <c r="T104" i="121"/>
  <c r="I101" i="121"/>
  <c r="U87" i="121"/>
  <c r="T118" i="121"/>
  <c r="O128" i="121"/>
  <c r="S116" i="121"/>
  <c r="R112" i="121"/>
  <c r="I108" i="121"/>
  <c r="U84" i="121"/>
  <c r="R114" i="121"/>
  <c r="I78" i="121"/>
  <c r="O72" i="121"/>
  <c r="O78" i="121" s="1"/>
  <c r="Q72" i="121"/>
  <c r="G119" i="121"/>
  <c r="N78" i="121"/>
  <c r="Q128" i="121"/>
  <c r="N77" i="121"/>
  <c r="N80" i="121" s="1"/>
  <c r="N124" i="121" s="1"/>
  <c r="N101" i="121"/>
  <c r="N104" i="121"/>
  <c r="N108" i="121"/>
  <c r="Q104" i="121"/>
  <c r="R95" i="121"/>
  <c r="I77" i="121"/>
  <c r="I80" i="121" s="1"/>
  <c r="I124" i="121" s="1"/>
  <c r="T72" i="121"/>
  <c r="T109" i="121" s="1"/>
  <c r="S132" i="121"/>
  <c r="Q102" i="121"/>
  <c r="O76" i="121"/>
  <c r="T116" i="121"/>
  <c r="T112" i="121"/>
  <c r="T95" i="121"/>
  <c r="G109" i="121"/>
  <c r="H101" i="121"/>
  <c r="N126" i="121"/>
  <c r="N102" i="121"/>
  <c r="T114" i="121"/>
  <c r="G108" i="121"/>
  <c r="G77" i="121"/>
  <c r="G80" i="121" s="1"/>
  <c r="G124" i="121" s="1"/>
  <c r="R72" i="121"/>
  <c r="R101" i="121" s="1"/>
  <c r="G78" i="121"/>
  <c r="G126" i="121"/>
  <c r="G102" i="121"/>
  <c r="O123" i="121"/>
  <c r="H78" i="121"/>
  <c r="H77" i="121"/>
  <c r="H80" i="121" s="1"/>
  <c r="H124" i="121" s="1"/>
  <c r="H108" i="121"/>
  <c r="S72" i="121"/>
  <c r="O127" i="121"/>
  <c r="O119" i="121"/>
  <c r="O118" i="121"/>
  <c r="H106" i="121"/>
  <c r="S84" i="121"/>
  <c r="R128" i="121"/>
  <c r="R121" i="121"/>
  <c r="R76" i="121"/>
  <c r="S126" i="121" s="1"/>
  <c r="U73" i="121"/>
  <c r="O115" i="121"/>
  <c r="O113" i="121"/>
  <c r="T76" i="121"/>
  <c r="Q115" i="121"/>
  <c r="Q113" i="121"/>
  <c r="R84" i="121"/>
  <c r="R119" i="121" s="1"/>
  <c r="G106" i="121"/>
  <c r="R118" i="121"/>
  <c r="R127" i="121"/>
  <c r="R132" i="121"/>
  <c r="T132" i="121"/>
  <c r="G104" i="121"/>
  <c r="S102" i="121"/>
  <c r="R123" i="121" l="1"/>
  <c r="T108" i="121"/>
  <c r="O109" i="121"/>
  <c r="O77" i="121"/>
  <c r="O80" i="121" s="1"/>
  <c r="O124" i="121" s="1"/>
  <c r="O108" i="121"/>
  <c r="T77" i="121"/>
  <c r="T80" i="121" s="1"/>
  <c r="T124" i="121" s="1"/>
  <c r="O101" i="121"/>
  <c r="T78" i="121"/>
  <c r="T101" i="121"/>
  <c r="R109" i="121"/>
  <c r="Q109" i="121"/>
  <c r="Q78" i="121"/>
  <c r="Q77" i="121"/>
  <c r="Q80" i="121" s="1"/>
  <c r="Q124" i="121" s="1"/>
  <c r="Q108" i="121"/>
  <c r="Q101" i="121"/>
  <c r="T126" i="121"/>
  <c r="T102" i="121"/>
  <c r="O126" i="121"/>
  <c r="O102" i="121"/>
  <c r="R108" i="121"/>
  <c r="R78" i="121"/>
  <c r="R77" i="121"/>
  <c r="R80" i="121" s="1"/>
  <c r="R124" i="121" s="1"/>
  <c r="Q126" i="121"/>
  <c r="U76" i="121"/>
  <c r="R126" i="121"/>
  <c r="R102" i="121"/>
  <c r="R106" i="121"/>
  <c r="R104" i="121"/>
  <c r="S119" i="121"/>
  <c r="S108" i="121"/>
  <c r="S78" i="121"/>
  <c r="S77" i="121"/>
  <c r="S80" i="121" s="1"/>
  <c r="S124" i="121" s="1"/>
  <c r="S101" i="121"/>
  <c r="S106" i="121"/>
  <c r="T119" i="121"/>
  <c r="S104" i="121"/>
  <c r="S109" i="121"/>
  <c r="U24" i="120" l="1"/>
  <c r="T24" i="120"/>
  <c r="S24" i="120"/>
  <c r="V23" i="120"/>
  <c r="U23" i="120"/>
  <c r="T23" i="120"/>
  <c r="T25" i="120" s="1"/>
  <c r="S23" i="120"/>
  <c r="S25" i="120" s="1"/>
  <c r="V21" i="120"/>
  <c r="U21" i="120"/>
  <c r="T21" i="120"/>
  <c r="S21" i="120"/>
  <c r="V20" i="120"/>
  <c r="U20" i="120"/>
  <c r="T20" i="120"/>
  <c r="I20" i="120"/>
  <c r="G20" i="120"/>
  <c r="V5" i="120" s="1"/>
  <c r="F20" i="120"/>
  <c r="U7" i="120" s="1"/>
  <c r="E20" i="120"/>
  <c r="T7" i="120" s="1"/>
  <c r="D20" i="120"/>
  <c r="S7" i="120" s="1"/>
  <c r="V16" i="120"/>
  <c r="U16" i="120"/>
  <c r="T16" i="120"/>
  <c r="S16" i="120"/>
  <c r="X15" i="120"/>
  <c r="U14" i="120"/>
  <c r="T14" i="120"/>
  <c r="S14" i="120"/>
  <c r="U11" i="120"/>
  <c r="U13" i="120"/>
  <c r="T13" i="120"/>
  <c r="S13" i="120"/>
  <c r="S15" i="120" s="1"/>
  <c r="V11" i="120"/>
  <c r="T11" i="120"/>
  <c r="S11" i="120"/>
  <c r="C11" i="120"/>
  <c r="B11" i="120"/>
  <c r="I10" i="120"/>
  <c r="G10" i="120"/>
  <c r="V3" i="120" s="1"/>
  <c r="F10" i="120"/>
  <c r="U3" i="120" s="1"/>
  <c r="E10" i="120"/>
  <c r="T3" i="120" s="1"/>
  <c r="D10" i="120"/>
  <c r="S3" i="120" s="1"/>
  <c r="C10" i="120"/>
  <c r="B10" i="120"/>
  <c r="I8" i="120"/>
  <c r="I11" i="120" s="1"/>
  <c r="G8" i="120"/>
  <c r="G11" i="120" s="1"/>
  <c r="F8" i="120"/>
  <c r="F11" i="120" s="1"/>
  <c r="E8" i="120"/>
  <c r="E11" i="120" s="1"/>
  <c r="D8" i="120"/>
  <c r="D11" i="120" s="1"/>
  <c r="S9" i="120" s="1"/>
  <c r="T5" i="120"/>
  <c r="S5" i="120"/>
  <c r="E15" i="120" l="1"/>
  <c r="T9" i="120"/>
  <c r="T15" i="120"/>
  <c r="V7" i="120"/>
  <c r="U5" i="120"/>
  <c r="U25" i="120"/>
  <c r="V15" i="120"/>
  <c r="U15" i="120"/>
  <c r="F13" i="120"/>
  <c r="F16" i="120" s="1"/>
  <c r="U19" i="120" s="1"/>
  <c r="U9" i="120"/>
  <c r="V10" i="120"/>
  <c r="G13" i="120"/>
  <c r="G16" i="120" s="1"/>
  <c r="V19" i="120" s="1"/>
  <c r="G15" i="120"/>
  <c r="V9" i="120"/>
  <c r="I13" i="120"/>
  <c r="I16" i="120" s="1"/>
  <c r="I15" i="120"/>
  <c r="D13" i="120"/>
  <c r="D16" i="120" s="1"/>
  <c r="S10" i="120"/>
  <c r="E13" i="120"/>
  <c r="E16" i="120" s="1"/>
  <c r="T19" i="120" s="1"/>
  <c r="F15" i="120"/>
  <c r="T10" i="120"/>
  <c r="V24" i="120"/>
  <c r="V25" i="120" s="1"/>
  <c r="U10" i="120"/>
  <c r="D15" i="120"/>
  <c r="U11" i="99"/>
  <c r="U13" i="99"/>
  <c r="U14" i="99"/>
  <c r="U15" i="99"/>
  <c r="U16" i="99"/>
  <c r="U20" i="99"/>
  <c r="U21" i="99"/>
  <c r="U23" i="99"/>
  <c r="U24" i="99"/>
  <c r="U25" i="99" s="1"/>
  <c r="H14" i="99"/>
  <c r="U9" i="99" s="1"/>
  <c r="H20" i="99"/>
  <c r="U5" i="99" s="1"/>
  <c r="H10" i="99"/>
  <c r="U3" i="99" s="1"/>
  <c r="H8" i="99"/>
  <c r="H11" i="99" s="1"/>
  <c r="H13" i="99" l="1"/>
  <c r="U10" i="99"/>
  <c r="U7" i="99"/>
  <c r="H15" i="99"/>
  <c r="H16" i="99"/>
  <c r="U19" i="99" s="1"/>
  <c r="Y3" i="58"/>
  <c r="Y11" i="58"/>
  <c r="Y13" i="58"/>
  <c r="Y14" i="58"/>
  <c r="Y16" i="58"/>
  <c r="Y20" i="58"/>
  <c r="Y21" i="58"/>
  <c r="Y23" i="58"/>
  <c r="H21" i="58"/>
  <c r="Z24" i="58" s="1"/>
  <c r="Z25" i="58" s="1"/>
  <c r="H14" i="58"/>
  <c r="H20" i="58"/>
  <c r="H10" i="58"/>
  <c r="H8" i="58"/>
  <c r="H11" i="58" s="1"/>
  <c r="Y9" i="58" s="1"/>
  <c r="Y5" i="58" l="1"/>
  <c r="Y15" i="58"/>
  <c r="Y10" i="58"/>
  <c r="Y7" i="58"/>
  <c r="H15" i="58"/>
  <c r="H13" i="58"/>
  <c r="H16" i="58" s="1"/>
  <c r="Y19" i="58" s="1"/>
  <c r="H21" i="17" l="1"/>
  <c r="H14" i="17"/>
  <c r="H20" i="17"/>
  <c r="H10" i="17"/>
  <c r="H8" i="17"/>
  <c r="H11" i="17" s="1"/>
  <c r="H13" i="17" s="1"/>
  <c r="H16" i="17" s="1"/>
  <c r="H15" i="17" l="1"/>
  <c r="U13" i="38"/>
  <c r="U14" i="38"/>
  <c r="U15" i="38"/>
  <c r="U16" i="38"/>
  <c r="U20" i="38"/>
  <c r="U21" i="38"/>
  <c r="U23" i="38"/>
  <c r="H21" i="38"/>
  <c r="U5" i="38" s="1"/>
  <c r="H14" i="38"/>
  <c r="U10" i="38" s="1"/>
  <c r="H20" i="38"/>
  <c r="U7" i="38" s="1"/>
  <c r="H10" i="38"/>
  <c r="U3" i="38" s="1"/>
  <c r="H8" i="38"/>
  <c r="H11" i="38" s="1"/>
  <c r="H13" i="38" l="1"/>
  <c r="U9" i="38"/>
  <c r="U11" i="38"/>
  <c r="H15" i="38"/>
  <c r="H16" i="38"/>
  <c r="U19" i="38" s="1"/>
  <c r="Y11" i="33"/>
  <c r="Y13" i="33"/>
  <c r="Y14" i="33"/>
  <c r="Y16" i="33"/>
  <c r="Y20" i="33"/>
  <c r="Y21" i="33"/>
  <c r="Y23" i="33"/>
  <c r="H21" i="33"/>
  <c r="Z24" i="33" s="1"/>
  <c r="Z25" i="33" s="1"/>
  <c r="H14" i="33"/>
  <c r="H20" i="33"/>
  <c r="Y5" i="33" s="1"/>
  <c r="H10" i="33"/>
  <c r="Y3" i="33" s="1"/>
  <c r="H8" i="33"/>
  <c r="H11" i="33" s="1"/>
  <c r="Y15" i="33" l="1"/>
  <c r="H15" i="33"/>
  <c r="Y10" i="33"/>
  <c r="Y9" i="33"/>
  <c r="Y7" i="33"/>
  <c r="H13" i="33"/>
  <c r="H16" i="33" s="1"/>
  <c r="Y19" i="33" s="1"/>
  <c r="Y3" i="79"/>
  <c r="Y5" i="79"/>
  <c r="Y7" i="79"/>
  <c r="Y11" i="79"/>
  <c r="Y15" i="79"/>
  <c r="Y16" i="79"/>
  <c r="Y20" i="79"/>
  <c r="Y21" i="79"/>
  <c r="Y23" i="79"/>
  <c r="H14" i="79"/>
  <c r="H10" i="79"/>
  <c r="H8" i="79"/>
  <c r="H11" i="79" s="1"/>
  <c r="H21" i="79"/>
  <c r="Z24" i="79" s="1"/>
  <c r="Z25" i="79" s="1"/>
  <c r="M21" i="33"/>
  <c r="AB15" i="79"/>
  <c r="AC15" i="79"/>
  <c r="AD15" i="79"/>
  <c r="Y9" i="79" l="1"/>
  <c r="Y10" i="79"/>
  <c r="H13" i="79"/>
  <c r="H16" i="79" s="1"/>
  <c r="Y19" i="79" s="1"/>
  <c r="H15" i="79"/>
  <c r="X13" i="115"/>
  <c r="X15" i="115" s="1"/>
  <c r="X14" i="115"/>
  <c r="X16" i="115"/>
  <c r="X20" i="115"/>
  <c r="X21" i="115"/>
  <c r="X23" i="115"/>
  <c r="H21" i="115"/>
  <c r="Y24" i="115" s="1"/>
  <c r="Y25" i="115" s="1"/>
  <c r="H14" i="115"/>
  <c r="X11" i="115" s="1"/>
  <c r="H20" i="115" l="1"/>
  <c r="H10" i="115"/>
  <c r="X3" i="115" s="1"/>
  <c r="H8" i="115"/>
  <c r="H11" i="115" s="1"/>
  <c r="X10" i="115" l="1"/>
  <c r="X9" i="115"/>
  <c r="X5" i="115"/>
  <c r="X7" i="115"/>
  <c r="H13" i="115"/>
  <c r="H16" i="115" s="1"/>
  <c r="X19" i="115" s="1"/>
  <c r="H15" i="115"/>
  <c r="G21" i="33" l="1"/>
  <c r="Y24" i="33" s="1"/>
  <c r="Y25" i="33" s="1"/>
  <c r="F21" i="33"/>
  <c r="G14" i="33"/>
  <c r="F14" i="33"/>
  <c r="AC15" i="33"/>
  <c r="AD15" i="33"/>
  <c r="L20" i="33"/>
  <c r="AD5" i="33"/>
  <c r="M14" i="33"/>
  <c r="L10" i="33"/>
  <c r="AC3" i="33" s="1"/>
  <c r="M10" i="33"/>
  <c r="AD3" i="33" s="1"/>
  <c r="L8" i="33"/>
  <c r="L11" i="33" s="1"/>
  <c r="M8" i="33"/>
  <c r="M11" i="33" s="1"/>
  <c r="M15" i="33" l="1"/>
  <c r="M13" i="33"/>
  <c r="M16" i="33" s="1"/>
  <c r="L15" i="33"/>
  <c r="L13" i="33"/>
  <c r="L16" i="33" s="1"/>
  <c r="AB16" i="107"/>
  <c r="X16" i="107"/>
  <c r="Y16" i="107"/>
  <c r="Z16" i="107"/>
  <c r="AA16" i="107"/>
  <c r="AB20" i="107"/>
  <c r="X20" i="107"/>
  <c r="Y20" i="107"/>
  <c r="Z20" i="107"/>
  <c r="AA20" i="107"/>
  <c r="X15" i="107"/>
  <c r="Y15" i="107"/>
  <c r="Z15" i="107"/>
  <c r="AA15" i="107"/>
  <c r="AB23" i="107"/>
  <c r="AB3" i="107"/>
  <c r="X23" i="107"/>
  <c r="Y23" i="107"/>
  <c r="Z23" i="107"/>
  <c r="AA23" i="107"/>
  <c r="AB9" i="107"/>
  <c r="X13" i="23"/>
  <c r="X14" i="23"/>
  <c r="X16" i="23"/>
  <c r="X20" i="23"/>
  <c r="X23" i="23"/>
  <c r="H21" i="23"/>
  <c r="Y24" i="23" s="1"/>
  <c r="Y25" i="23" s="1"/>
  <c r="H19" i="23"/>
  <c r="X21" i="23" s="1"/>
  <c r="H14" i="23"/>
  <c r="X11" i="23" s="1"/>
  <c r="H10" i="23"/>
  <c r="X3" i="23" s="1"/>
  <c r="H8" i="23"/>
  <c r="H11" i="23" s="1"/>
  <c r="H20" i="23" l="1"/>
  <c r="X5" i="23" s="1"/>
  <c r="Y21" i="23"/>
  <c r="H13" i="23"/>
  <c r="H16" i="23" s="1"/>
  <c r="X19" i="23" s="1"/>
  <c r="X9" i="23"/>
  <c r="X10" i="23"/>
  <c r="X15" i="23"/>
  <c r="X7" i="23"/>
  <c r="H15" i="23"/>
  <c r="AB10" i="107"/>
  <c r="H21" i="86"/>
  <c r="H20" i="86"/>
  <c r="V7" i="86" s="1"/>
  <c r="H10" i="86"/>
  <c r="V3" i="86" s="1"/>
  <c r="H8" i="86"/>
  <c r="H11" i="86" s="1"/>
  <c r="W24" i="86" l="1"/>
  <c r="W25" i="86" s="1"/>
  <c r="V24" i="86"/>
  <c r="V25" i="86" s="1"/>
  <c r="V5" i="86"/>
  <c r="V9" i="86"/>
  <c r="V10" i="86"/>
  <c r="H15" i="86"/>
  <c r="H13" i="86"/>
  <c r="H16" i="86" s="1"/>
  <c r="V19" i="86" s="1"/>
  <c r="U15" i="106" l="1"/>
  <c r="U16" i="106"/>
  <c r="U20" i="106"/>
  <c r="U21" i="106"/>
  <c r="U23" i="106"/>
  <c r="X15" i="16" l="1"/>
  <c r="Y15" i="16"/>
  <c r="H21" i="106"/>
  <c r="H14" i="106"/>
  <c r="H20" i="106"/>
  <c r="U7" i="106" s="1"/>
  <c r="H10" i="106"/>
  <c r="U3" i="106" s="1"/>
  <c r="H5" i="106"/>
  <c r="H8" i="106" s="1"/>
  <c r="H11" i="106" s="1"/>
  <c r="H13" i="106" s="1"/>
  <c r="H15" i="106" l="1"/>
  <c r="U9" i="106"/>
  <c r="U10" i="106"/>
  <c r="U11" i="106"/>
  <c r="U24" i="106"/>
  <c r="U25" i="106" s="1"/>
  <c r="U5" i="106"/>
  <c r="H16" i="106"/>
  <c r="U19" i="106" s="1"/>
  <c r="E22" i="112"/>
  <c r="E21" i="112"/>
  <c r="E15" i="112"/>
  <c r="E11" i="112"/>
  <c r="N14" i="112"/>
  <c r="P39" i="91" s="1"/>
  <c r="N15" i="112"/>
  <c r="P40" i="91" s="1"/>
  <c r="N17" i="112"/>
  <c r="P44" i="91" s="1"/>
  <c r="N20" i="112"/>
  <c r="P47" i="91" s="1"/>
  <c r="N21" i="112"/>
  <c r="P48" i="91" s="1"/>
  <c r="N23" i="112"/>
  <c r="P50" i="91" s="1"/>
  <c r="E9" i="112"/>
  <c r="O24" i="112" l="1"/>
  <c r="O25" i="112" s="1"/>
  <c r="Q52" i="91" s="1"/>
  <c r="N12" i="112"/>
  <c r="P37" i="91" s="1"/>
  <c r="N4" i="112"/>
  <c r="P29" i="91" s="1"/>
  <c r="P11" i="91"/>
  <c r="N8" i="112"/>
  <c r="P33" i="91" s="1"/>
  <c r="E12" i="112"/>
  <c r="E16" i="112" s="1"/>
  <c r="P9" i="91"/>
  <c r="N24" i="112"/>
  <c r="N16" i="112"/>
  <c r="P41" i="91" s="1"/>
  <c r="N6" i="112"/>
  <c r="P31" i="91" s="1"/>
  <c r="M21" i="117"/>
  <c r="M14" i="117"/>
  <c r="M10" i="117"/>
  <c r="M8" i="117"/>
  <c r="M11" i="117" s="1"/>
  <c r="M13" i="117" s="1"/>
  <c r="M10" i="115"/>
  <c r="M8" i="115"/>
  <c r="M11" i="115" s="1"/>
  <c r="M13" i="115" s="1"/>
  <c r="M16" i="115" s="1"/>
  <c r="M21" i="113"/>
  <c r="N25" i="112" l="1"/>
  <c r="P52" i="91" s="1"/>
  <c r="P51" i="91"/>
  <c r="Q51" i="91"/>
  <c r="N10" i="112"/>
  <c r="P35" i="91" s="1"/>
  <c r="N11" i="112"/>
  <c r="P36" i="91" s="1"/>
  <c r="E14" i="112"/>
  <c r="P12" i="91"/>
  <c r="P14" i="91" s="1"/>
  <c r="P17" i="91" s="1"/>
  <c r="M15" i="117"/>
  <c r="M15" i="115"/>
  <c r="M16" i="117"/>
  <c r="E17" i="112" l="1"/>
  <c r="M14" i="113"/>
  <c r="M20" i="113"/>
  <c r="AD5" i="113" s="1"/>
  <c r="M10" i="113"/>
  <c r="AD3" i="113" s="1"/>
  <c r="M8" i="113"/>
  <c r="M11" i="113" s="1"/>
  <c r="M13" i="113" s="1"/>
  <c r="AA24" i="107"/>
  <c r="AA25" i="107" s="1"/>
  <c r="L20" i="107"/>
  <c r="L10" i="107"/>
  <c r="AA3" i="107" s="1"/>
  <c r="L8" i="107"/>
  <c r="L11" i="107" s="1"/>
  <c r="N19" i="112" l="1"/>
  <c r="P46" i="91" s="1"/>
  <c r="M15" i="113"/>
  <c r="AA5" i="107"/>
  <c r="AA10" i="107"/>
  <c r="L15" i="107"/>
  <c r="L13" i="107"/>
  <c r="L16" i="107" s="1"/>
  <c r="M16" i="113"/>
  <c r="K21" i="94" l="1"/>
  <c r="K14" i="94"/>
  <c r="M21" i="104" l="1"/>
  <c r="AA5" i="104" s="1"/>
  <c r="M14" i="104"/>
  <c r="M10" i="104"/>
  <c r="AA3" i="104" s="1"/>
  <c r="M8" i="104"/>
  <c r="M11" i="104" s="1"/>
  <c r="M13" i="104" s="1"/>
  <c r="M16" i="104" s="1"/>
  <c r="K21" i="85"/>
  <c r="K14" i="85"/>
  <c r="K10" i="85"/>
  <c r="K8" i="85"/>
  <c r="K11" i="85" s="1"/>
  <c r="AD5" i="79"/>
  <c r="M10" i="79"/>
  <c r="AD3" i="79" s="1"/>
  <c r="M8" i="79"/>
  <c r="M11" i="79" s="1"/>
  <c r="AA5" i="69"/>
  <c r="M10" i="69"/>
  <c r="M8" i="69"/>
  <c r="M11" i="69" s="1"/>
  <c r="K15" i="85" l="1"/>
  <c r="K13" i="85"/>
  <c r="K16" i="85" s="1"/>
  <c r="M15" i="104"/>
  <c r="M13" i="69"/>
  <c r="M16" i="69" s="1"/>
  <c r="M15" i="69"/>
  <c r="M15" i="79"/>
  <c r="M13" i="79"/>
  <c r="M16" i="79" s="1"/>
  <c r="M21" i="47"/>
  <c r="M14" i="47"/>
  <c r="M10" i="47"/>
  <c r="AD3" i="47" s="1"/>
  <c r="M8" i="47"/>
  <c r="M11" i="47" s="1"/>
  <c r="M10" i="44"/>
  <c r="AD3" i="44" s="1"/>
  <c r="M8" i="44"/>
  <c r="M11" i="44" s="1"/>
  <c r="AB5" i="42"/>
  <c r="L21" i="41"/>
  <c r="L16" i="41"/>
  <c r="L14" i="41"/>
  <c r="L10" i="41"/>
  <c r="L11" i="41"/>
  <c r="L15" i="41" s="1"/>
  <c r="L8" i="41"/>
  <c r="M15" i="47" l="1"/>
  <c r="M13" i="47"/>
  <c r="M16" i="47" s="1"/>
  <c r="M15" i="44"/>
  <c r="M13" i="44"/>
  <c r="M16" i="44" s="1"/>
  <c r="L10" i="40"/>
  <c r="L8" i="40"/>
  <c r="L11" i="40" s="1"/>
  <c r="AA5" i="26"/>
  <c r="AC5" i="26"/>
  <c r="L15" i="40" l="1"/>
  <c r="L13" i="40"/>
  <c r="L16" i="40" s="1"/>
  <c r="M10" i="26"/>
  <c r="M8" i="26"/>
  <c r="M11" i="26" s="1"/>
  <c r="M13" i="26" l="1"/>
  <c r="M16" i="26" s="1"/>
  <c r="M15" i="26"/>
  <c r="AC5" i="22"/>
  <c r="M10" i="22"/>
  <c r="AC3" i="22" s="1"/>
  <c r="M8" i="22"/>
  <c r="M11" i="22" s="1"/>
  <c r="M13" i="22" l="1"/>
  <c r="M16" i="22" s="1"/>
  <c r="M15" i="22"/>
  <c r="L21" i="16"/>
  <c r="L14" i="16"/>
  <c r="L10" i="16"/>
  <c r="L8" i="16"/>
  <c r="L11" i="16" s="1"/>
  <c r="L13" i="16" s="1"/>
  <c r="L15" i="16" l="1"/>
  <c r="L16" i="16"/>
  <c r="L21" i="82"/>
  <c r="L20" i="82"/>
  <c r="L14" i="82"/>
  <c r="L10" i="82"/>
  <c r="L8" i="82"/>
  <c r="L11" i="82" s="1"/>
  <c r="L20" i="80"/>
  <c r="M20" i="80"/>
  <c r="M10" i="80"/>
  <c r="AB3" i="80" s="1"/>
  <c r="M8" i="80"/>
  <c r="M11" i="80" s="1"/>
  <c r="M21" i="65"/>
  <c r="M14" i="65"/>
  <c r="M20" i="65"/>
  <c r="M10" i="65"/>
  <c r="AD3" i="65" s="1"/>
  <c r="M8" i="65"/>
  <c r="M11" i="65" s="1"/>
  <c r="K21" i="56"/>
  <c r="K19" i="56"/>
  <c r="K20" i="56" s="1"/>
  <c r="K14" i="56"/>
  <c r="K10" i="56"/>
  <c r="K8" i="56"/>
  <c r="K11" i="56" s="1"/>
  <c r="K21" i="54"/>
  <c r="K20" i="54"/>
  <c r="K14" i="54"/>
  <c r="K10" i="54"/>
  <c r="K8" i="54"/>
  <c r="K11" i="54" s="1"/>
  <c r="S35" i="43"/>
  <c r="W5" i="56" l="1"/>
  <c r="L13" i="82"/>
  <c r="L16" i="82" s="1"/>
  <c r="L15" i="82"/>
  <c r="K15" i="56"/>
  <c r="K13" i="56"/>
  <c r="K16" i="56" s="1"/>
  <c r="M15" i="80"/>
  <c r="M13" i="80"/>
  <c r="M16" i="80" s="1"/>
  <c r="M15" i="65"/>
  <c r="M13" i="65"/>
  <c r="M16" i="65" s="1"/>
  <c r="K13" i="54"/>
  <c r="K16" i="54" s="1"/>
  <c r="K15" i="54"/>
  <c r="M14" i="43"/>
  <c r="M20" i="43" l="1"/>
  <c r="S36" i="43" s="1"/>
  <c r="L20" i="43"/>
  <c r="M10" i="43"/>
  <c r="AD3" i="43" s="1"/>
  <c r="M8" i="43"/>
  <c r="M11" i="43" s="1"/>
  <c r="M13" i="43" l="1"/>
  <c r="M16" i="43" s="1"/>
  <c r="M15" i="43"/>
  <c r="L21" i="31"/>
  <c r="Y5" i="31" s="1"/>
  <c r="L14" i="31"/>
  <c r="L10" i="31"/>
  <c r="L8" i="31"/>
  <c r="L11" i="31" s="1"/>
  <c r="L15" i="31" l="1"/>
  <c r="L13" i="31"/>
  <c r="L16" i="31" s="1"/>
  <c r="L20" i="30"/>
  <c r="AC5" i="30" s="1"/>
  <c r="M10" i="30"/>
  <c r="AD3" i="30" s="1"/>
  <c r="M8" i="30"/>
  <c r="M11" i="30" s="1"/>
  <c r="M13" i="30" l="1"/>
  <c r="M16" i="30" s="1"/>
  <c r="M15" i="30"/>
  <c r="G14" i="118"/>
  <c r="F14" i="118"/>
  <c r="K20" i="48" l="1"/>
  <c r="Z5" i="48"/>
  <c r="L10" i="48"/>
  <c r="Z3" i="48" s="1"/>
  <c r="L8" i="48"/>
  <c r="L11" i="48" s="1"/>
  <c r="L13" i="48" s="1"/>
  <c r="L21" i="45"/>
  <c r="K20" i="45"/>
  <c r="L20" i="45"/>
  <c r="L14" i="45"/>
  <c r="L10" i="45"/>
  <c r="L8" i="45"/>
  <c r="L11" i="45" s="1"/>
  <c r="L13" i="45" s="1"/>
  <c r="L15" i="45" l="1"/>
  <c r="L15" i="48"/>
  <c r="L16" i="48"/>
  <c r="L16" i="45"/>
  <c r="M20" i="20" l="1"/>
  <c r="M10" i="20"/>
  <c r="AC3" i="20" s="1"/>
  <c r="M8" i="20"/>
  <c r="M11" i="20" s="1"/>
  <c r="M13" i="20" s="1"/>
  <c r="M16" i="20" s="1"/>
  <c r="M15" i="20" l="1"/>
  <c r="N21" i="73"/>
  <c r="N14" i="73"/>
  <c r="N10" i="73"/>
  <c r="AE3" i="73" s="1"/>
  <c r="N8" i="73"/>
  <c r="N11" i="73" s="1"/>
  <c r="K21" i="71"/>
  <c r="K14" i="71"/>
  <c r="K20" i="71"/>
  <c r="K10" i="71"/>
  <c r="K8" i="71"/>
  <c r="K11" i="71" s="1"/>
  <c r="K13" i="71" s="1"/>
  <c r="K21" i="68"/>
  <c r="K14" i="68"/>
  <c r="K13" i="68"/>
  <c r="K10" i="68"/>
  <c r="K11" i="68"/>
  <c r="K8" i="68"/>
  <c r="K21" i="67"/>
  <c r="K20" i="67"/>
  <c r="K14" i="67"/>
  <c r="K10" i="67"/>
  <c r="K11" i="67"/>
  <c r="K13" i="67" s="1"/>
  <c r="K8" i="67"/>
  <c r="L21" i="55"/>
  <c r="L20" i="55"/>
  <c r="L14" i="55"/>
  <c r="L10" i="55"/>
  <c r="L8" i="55"/>
  <c r="L11" i="55" s="1"/>
  <c r="L15" i="55" l="1"/>
  <c r="L13" i="55"/>
  <c r="L16" i="55" s="1"/>
  <c r="K15" i="71"/>
  <c r="K15" i="67"/>
  <c r="N15" i="73"/>
  <c r="K15" i="68"/>
  <c r="N13" i="73"/>
  <c r="N16" i="73" s="1"/>
  <c r="K16" i="71"/>
  <c r="K16" i="68"/>
  <c r="K16" i="67"/>
  <c r="M10" i="57" l="1"/>
  <c r="AC3" i="57" s="1"/>
  <c r="M8" i="57"/>
  <c r="M11" i="57" s="1"/>
  <c r="M13" i="57" s="1"/>
  <c r="M16" i="57" s="1"/>
  <c r="M15" i="57" l="1"/>
  <c r="L21" i="59" l="1"/>
  <c r="L20" i="59"/>
  <c r="L10" i="59"/>
  <c r="L8" i="59"/>
  <c r="L11" i="59" s="1"/>
  <c r="L15" i="59" l="1"/>
  <c r="L13" i="59"/>
  <c r="L16" i="59" s="1"/>
  <c r="M10" i="42"/>
  <c r="M8" i="42"/>
  <c r="M11" i="42" s="1"/>
  <c r="M13" i="42" s="1"/>
  <c r="M16" i="42" s="1"/>
  <c r="M15" i="42" l="1"/>
  <c r="L21" i="34"/>
  <c r="Y5" i="34" s="1"/>
  <c r="L14" i="34"/>
  <c r="L10" i="34"/>
  <c r="L8" i="34"/>
  <c r="L11" i="34" s="1"/>
  <c r="L15" i="34" l="1"/>
  <c r="L13" i="34"/>
  <c r="L16" i="34" s="1"/>
  <c r="L20" i="36"/>
  <c r="M20" i="36"/>
  <c r="AA5" i="36" s="1"/>
  <c r="M10" i="36"/>
  <c r="M8" i="36"/>
  <c r="M11" i="36" s="1"/>
  <c r="L20" i="23"/>
  <c r="M20" i="23"/>
  <c r="M10" i="23"/>
  <c r="M8" i="23"/>
  <c r="M11" i="23" s="1"/>
  <c r="M15" i="23" l="1"/>
  <c r="M13" i="23"/>
  <c r="M16" i="23" s="1"/>
  <c r="M15" i="36"/>
  <c r="M13" i="36"/>
  <c r="M16" i="36" s="1"/>
  <c r="K21" i="10" l="1"/>
  <c r="J20" i="10"/>
  <c r="K20" i="10"/>
  <c r="K14" i="10"/>
  <c r="K10" i="10"/>
  <c r="K8" i="10"/>
  <c r="K11" i="10" s="1"/>
  <c r="K15" i="10" l="1"/>
  <c r="K13" i="10"/>
  <c r="K16" i="10"/>
  <c r="L10" i="98"/>
  <c r="L8" i="98"/>
  <c r="L11" i="98" s="1"/>
  <c r="L13" i="98" s="1"/>
  <c r="L16" i="98" s="1"/>
  <c r="N20" i="58"/>
  <c r="N10" i="58"/>
  <c r="N8" i="58"/>
  <c r="N11" i="58" s="1"/>
  <c r="N15" i="58" l="1"/>
  <c r="N13" i="58"/>
  <c r="N16" i="58" s="1"/>
  <c r="L15" i="98"/>
  <c r="L20" i="15"/>
  <c r="M20" i="15"/>
  <c r="AD5" i="15" s="1"/>
  <c r="M8" i="15"/>
  <c r="M11" i="15" s="1"/>
  <c r="M13" i="15" s="1"/>
  <c r="M16" i="15" l="1"/>
  <c r="M15" i="15"/>
  <c r="AD23" i="35" l="1"/>
  <c r="M10" i="35"/>
  <c r="AD3" i="35" s="1"/>
  <c r="M8" i="35"/>
  <c r="M11" i="35" s="1"/>
  <c r="M13" i="35" s="1"/>
  <c r="L21" i="114"/>
  <c r="K20" i="114"/>
  <c r="AA5" i="114" s="1"/>
  <c r="L20" i="114"/>
  <c r="K21" i="116"/>
  <c r="K20" i="116"/>
  <c r="AB5" i="114" l="1"/>
  <c r="M15" i="35"/>
  <c r="M16" i="35"/>
  <c r="K19" i="116" l="1"/>
  <c r="K14" i="116"/>
  <c r="K10" i="116"/>
  <c r="K8" i="116"/>
  <c r="K11" i="116" s="1"/>
  <c r="L14" i="114"/>
  <c r="L10" i="114"/>
  <c r="AB3" i="114" s="1"/>
  <c r="L8" i="114"/>
  <c r="L11" i="114" s="1"/>
  <c r="L13" i="114" s="1"/>
  <c r="K13" i="116" l="1"/>
  <c r="K16" i="116" s="1"/>
  <c r="K15" i="116"/>
  <c r="L16" i="114"/>
  <c r="L15" i="114"/>
  <c r="L20" i="24"/>
  <c r="M20" i="24"/>
  <c r="M10" i="24"/>
  <c r="AD3" i="24" s="1"/>
  <c r="M8" i="24"/>
  <c r="M11" i="24" s="1"/>
  <c r="M13" i="24" s="1"/>
  <c r="M16" i="24" s="1"/>
  <c r="AD5" i="24" l="1"/>
  <c r="M15" i="24"/>
  <c r="K21" i="25"/>
  <c r="K20" i="25"/>
  <c r="K14" i="25"/>
  <c r="K10" i="25"/>
  <c r="K8" i="25"/>
  <c r="K11" i="25" s="1"/>
  <c r="M21" i="18"/>
  <c r="M14" i="18"/>
  <c r="L20" i="18"/>
  <c r="M20" i="18"/>
  <c r="M10" i="18"/>
  <c r="AD3" i="18" s="1"/>
  <c r="M8" i="18"/>
  <c r="M11" i="18" s="1"/>
  <c r="K13" i="25" l="1"/>
  <c r="K16" i="25" s="1"/>
  <c r="K15" i="25"/>
  <c r="M15" i="18"/>
  <c r="M13" i="18"/>
  <c r="M16" i="18" s="1"/>
  <c r="O6" i="7"/>
  <c r="M21" i="27" l="1"/>
  <c r="M20" i="27"/>
  <c r="M19" i="27"/>
  <c r="M14" i="27"/>
  <c r="K20" i="14" l="1"/>
  <c r="L20" i="14"/>
  <c r="Y5" i="14" s="1"/>
  <c r="L10" i="14"/>
  <c r="L8" i="14"/>
  <c r="L11" i="14" s="1"/>
  <c r="L13" i="14" s="1"/>
  <c r="L15" i="14" l="1"/>
  <c r="L16" i="14"/>
  <c r="M20" i="5" l="1"/>
  <c r="N10" i="5"/>
  <c r="AF3" i="5" s="1"/>
  <c r="N8" i="5"/>
  <c r="N11" i="5" s="1"/>
  <c r="N13" i="5" s="1"/>
  <c r="N16" i="5" s="1"/>
  <c r="N15" i="5" l="1"/>
  <c r="L20" i="37"/>
  <c r="M20" i="37"/>
  <c r="AC5" i="37" s="1"/>
  <c r="M10" i="37"/>
  <c r="M8" i="37"/>
  <c r="M11" i="37" s="1"/>
  <c r="M15" i="37" l="1"/>
  <c r="M13" i="37"/>
  <c r="M16" i="37" s="1"/>
  <c r="M10" i="62"/>
  <c r="M8" i="62"/>
  <c r="M11" i="62" s="1"/>
  <c r="M15" i="62" l="1"/>
  <c r="M13" i="62"/>
  <c r="M16" i="62" s="1"/>
  <c r="J28" i="106"/>
  <c r="J21" i="85" l="1"/>
  <c r="J14" i="85"/>
  <c r="I21" i="85" l="1"/>
  <c r="I20" i="85"/>
  <c r="J20" i="85"/>
  <c r="I14" i="85"/>
  <c r="H14" i="85"/>
  <c r="I10" i="85"/>
  <c r="J10" i="85"/>
  <c r="I8" i="85"/>
  <c r="I11" i="85" s="1"/>
  <c r="J8" i="85"/>
  <c r="J11" i="85" s="1"/>
  <c r="J13" i="85" s="1"/>
  <c r="J16" i="85" s="1"/>
  <c r="L20" i="86"/>
  <c r="L10" i="86"/>
  <c r="L11" i="86"/>
  <c r="J14" i="66"/>
  <c r="J20" i="66"/>
  <c r="J10" i="66"/>
  <c r="J8" i="66"/>
  <c r="J11" i="66" s="1"/>
  <c r="J13" i="66" s="1"/>
  <c r="K20" i="40"/>
  <c r="K10" i="40"/>
  <c r="K8" i="40"/>
  <c r="K11" i="40" s="1"/>
  <c r="K13" i="40" s="1"/>
  <c r="K14" i="38"/>
  <c r="J15" i="66" l="1"/>
  <c r="L15" i="86"/>
  <c r="L13" i="86"/>
  <c r="L16" i="86" s="1"/>
  <c r="K15" i="40"/>
  <c r="J15" i="85"/>
  <c r="I15" i="85"/>
  <c r="I13" i="85"/>
  <c r="I16" i="85" s="1"/>
  <c r="J16" i="66"/>
  <c r="K16" i="40"/>
  <c r="J20" i="38" l="1"/>
  <c r="K20" i="38"/>
  <c r="J10" i="38"/>
  <c r="K10" i="38"/>
  <c r="J8" i="38"/>
  <c r="J11" i="38" s="1"/>
  <c r="J13" i="38" s="1"/>
  <c r="K8" i="38"/>
  <c r="K11" i="38" s="1"/>
  <c r="J15" i="38" l="1"/>
  <c r="K13" i="38"/>
  <c r="K16" i="38" s="1"/>
  <c r="K15" i="38"/>
  <c r="J16" i="38"/>
  <c r="K20" i="107"/>
  <c r="Z5" i="107" s="1"/>
  <c r="K10" i="107"/>
  <c r="Z3" i="107" s="1"/>
  <c r="K8" i="107"/>
  <c r="K11" i="107" s="1"/>
  <c r="Z10" i="107" l="1"/>
  <c r="K13" i="107"/>
  <c r="K16" i="107" s="1"/>
  <c r="K15" i="107"/>
  <c r="L20" i="57"/>
  <c r="L10" i="57"/>
  <c r="AB3" i="57" s="1"/>
  <c r="L8" i="57"/>
  <c r="L11" i="57" s="1"/>
  <c r="L13" i="57" s="1"/>
  <c r="J14" i="84"/>
  <c r="J20" i="84"/>
  <c r="J10" i="84"/>
  <c r="J8" i="84"/>
  <c r="J11" i="84" s="1"/>
  <c r="J13" i="84" s="1"/>
  <c r="L10" i="80"/>
  <c r="AA3" i="80" s="1"/>
  <c r="L8" i="80"/>
  <c r="L11" i="80" s="1"/>
  <c r="L13" i="80" s="1"/>
  <c r="J15" i="84" l="1"/>
  <c r="L15" i="57"/>
  <c r="L15" i="80"/>
  <c r="L16" i="57"/>
  <c r="J16" i="84"/>
  <c r="L16" i="80"/>
  <c r="L20" i="79" l="1"/>
  <c r="L10" i="79"/>
  <c r="AC3" i="79" s="1"/>
  <c r="L8" i="79"/>
  <c r="L11" i="79" s="1"/>
  <c r="L13" i="79" s="1"/>
  <c r="L15" i="79" l="1"/>
  <c r="L16" i="79"/>
  <c r="J14" i="74"/>
  <c r="J8" i="74"/>
  <c r="J14" i="71"/>
  <c r="J20" i="71"/>
  <c r="J10" i="71"/>
  <c r="J8" i="71"/>
  <c r="J11" i="71" s="1"/>
  <c r="J13" i="71" s="1"/>
  <c r="J16" i="71" s="1"/>
  <c r="L20" i="69"/>
  <c r="L10" i="69"/>
  <c r="L8" i="69"/>
  <c r="L11" i="69" s="1"/>
  <c r="L13" i="69" s="1"/>
  <c r="J14" i="68"/>
  <c r="J20" i="68"/>
  <c r="J10" i="68"/>
  <c r="J8" i="68"/>
  <c r="J11" i="68" s="1"/>
  <c r="J13" i="68" s="1"/>
  <c r="J15" i="68" l="1"/>
  <c r="J15" i="71"/>
  <c r="L15" i="69"/>
  <c r="L16" i="69"/>
  <c r="J16" i="68"/>
  <c r="J14" i="67" l="1"/>
  <c r="J20" i="67"/>
  <c r="J10" i="67"/>
  <c r="J8" i="67"/>
  <c r="J11" i="67" s="1"/>
  <c r="J13" i="67" s="1"/>
  <c r="L20" i="65"/>
  <c r="L10" i="65"/>
  <c r="AC3" i="65" s="1"/>
  <c r="L8" i="65"/>
  <c r="L11" i="65" s="1"/>
  <c r="L20" i="62"/>
  <c r="L10" i="62"/>
  <c r="L8" i="62"/>
  <c r="L11" i="62" s="1"/>
  <c r="J15" i="67" l="1"/>
  <c r="L13" i="65"/>
  <c r="L16" i="65" s="1"/>
  <c r="L15" i="65"/>
  <c r="J16" i="67"/>
  <c r="L15" i="62"/>
  <c r="L13" i="62"/>
  <c r="L16" i="62" s="1"/>
  <c r="K14" i="59"/>
  <c r="J21" i="56"/>
  <c r="J19" i="56"/>
  <c r="J20" i="56" s="1"/>
  <c r="J14" i="56"/>
  <c r="J15" i="56" s="1"/>
  <c r="J10" i="56"/>
  <c r="J11" i="56"/>
  <c r="J13" i="56" s="1"/>
  <c r="J8" i="56"/>
  <c r="J14" i="54"/>
  <c r="J20" i="54"/>
  <c r="J10" i="54"/>
  <c r="J8" i="54"/>
  <c r="J11" i="54" s="1"/>
  <c r="J13" i="54" s="1"/>
  <c r="J16" i="54" s="1"/>
  <c r="J20" i="55"/>
  <c r="K20" i="55"/>
  <c r="J10" i="55"/>
  <c r="K10" i="55"/>
  <c r="J8" i="55"/>
  <c r="J11" i="55" s="1"/>
  <c r="K8" i="55"/>
  <c r="K11" i="55" s="1"/>
  <c r="V5" i="56" l="1"/>
  <c r="J15" i="54"/>
  <c r="J16" i="56"/>
  <c r="K13" i="55"/>
  <c r="K16" i="55" s="1"/>
  <c r="K15" i="55"/>
  <c r="J15" i="55"/>
  <c r="J13" i="55"/>
  <c r="J16" i="55" s="1"/>
  <c r="K10" i="48" l="1"/>
  <c r="Y3" i="48" s="1"/>
  <c r="K8" i="48"/>
  <c r="K11" i="48" s="1"/>
  <c r="K14" i="45"/>
  <c r="K10" i="45"/>
  <c r="K8" i="45"/>
  <c r="K11" i="45" s="1"/>
  <c r="L10" i="42"/>
  <c r="L8" i="42"/>
  <c r="L11" i="42" s="1"/>
  <c r="L10" i="36"/>
  <c r="L8" i="36"/>
  <c r="L11" i="36" s="1"/>
  <c r="L13" i="36" s="1"/>
  <c r="J14" i="28"/>
  <c r="K15" i="28"/>
  <c r="K16" i="28"/>
  <c r="J10" i="28"/>
  <c r="J8" i="28"/>
  <c r="J11" i="28" s="1"/>
  <c r="K13" i="45" l="1"/>
  <c r="K16" i="45" s="1"/>
  <c r="K15" i="45"/>
  <c r="K13" i="48"/>
  <c r="K16" i="48" s="1"/>
  <c r="K15" i="48"/>
  <c r="L15" i="42"/>
  <c r="L13" i="42"/>
  <c r="L16" i="42" s="1"/>
  <c r="L15" i="36"/>
  <c r="L16" i="36"/>
  <c r="J15" i="28"/>
  <c r="J13" i="28"/>
  <c r="J16" i="28" s="1"/>
  <c r="L10" i="37"/>
  <c r="L8" i="37"/>
  <c r="L11" i="37" s="1"/>
  <c r="L13" i="37" s="1"/>
  <c r="L16" i="37" s="1"/>
  <c r="L15" i="37" l="1"/>
  <c r="K14" i="31"/>
  <c r="K13" i="31"/>
  <c r="K16" i="31" s="1"/>
  <c r="K8" i="31"/>
  <c r="K11" i="31" s="1"/>
  <c r="K15" i="31" s="1"/>
  <c r="K10" i="31"/>
  <c r="L10" i="26"/>
  <c r="L8" i="26"/>
  <c r="L11" i="26" s="1"/>
  <c r="L13" i="26" s="1"/>
  <c r="J14" i="25"/>
  <c r="J10" i="25"/>
  <c r="J8" i="25"/>
  <c r="J11" i="25" s="1"/>
  <c r="J15" i="25" l="1"/>
  <c r="J13" i="25"/>
  <c r="J16" i="25" s="1"/>
  <c r="L15" i="26"/>
  <c r="L16" i="26"/>
  <c r="L10" i="23" l="1"/>
  <c r="L8" i="23"/>
  <c r="L11" i="23" s="1"/>
  <c r="L10" i="22"/>
  <c r="AB3" i="22" s="1"/>
  <c r="L8" i="22"/>
  <c r="L11" i="22" s="1"/>
  <c r="L13" i="22" s="1"/>
  <c r="L15" i="23" l="1"/>
  <c r="L13" i="23"/>
  <c r="L16" i="23" s="1"/>
  <c r="L15" i="22"/>
  <c r="L16" i="22"/>
  <c r="J14" i="19"/>
  <c r="J10" i="19"/>
  <c r="J11" i="19"/>
  <c r="J13" i="19" s="1"/>
  <c r="J8" i="19"/>
  <c r="K10" i="98"/>
  <c r="K8" i="98"/>
  <c r="K11" i="98" s="1"/>
  <c r="K13" i="98" s="1"/>
  <c r="L10" i="81"/>
  <c r="L8" i="81"/>
  <c r="L11" i="81" s="1"/>
  <c r="M20" i="58"/>
  <c r="M10" i="58"/>
  <c r="M8" i="58"/>
  <c r="M11" i="58" s="1"/>
  <c r="M15" i="58" s="1"/>
  <c r="J15" i="19" l="1"/>
  <c r="L13" i="81"/>
  <c r="L16" i="81" s="1"/>
  <c r="L15" i="81"/>
  <c r="K15" i="98"/>
  <c r="M13" i="58"/>
  <c r="M16" i="58" s="1"/>
  <c r="J16" i="19"/>
  <c r="K16" i="98"/>
  <c r="L14" i="117" l="1"/>
  <c r="L10" i="117"/>
  <c r="L8" i="117"/>
  <c r="L11" i="117" s="1"/>
  <c r="L13" i="117" s="1"/>
  <c r="L16" i="117" s="1"/>
  <c r="K10" i="41"/>
  <c r="K8" i="41"/>
  <c r="K11" i="41" s="1"/>
  <c r="J21" i="41"/>
  <c r="K13" i="41" l="1"/>
  <c r="K16" i="41" s="1"/>
  <c r="K15" i="41"/>
  <c r="L15" i="117"/>
  <c r="L10" i="73"/>
  <c r="AC3" i="73" s="1"/>
  <c r="L8" i="73"/>
  <c r="L11" i="73" s="1"/>
  <c r="K20" i="73"/>
  <c r="L20" i="73"/>
  <c r="K10" i="73"/>
  <c r="AB3" i="73" s="1"/>
  <c r="J10" i="73"/>
  <c r="AA3" i="73" s="1"/>
  <c r="K8" i="73"/>
  <c r="K11" i="73" s="1"/>
  <c r="K13" i="73" s="1"/>
  <c r="K16" i="73" s="1"/>
  <c r="J8" i="73"/>
  <c r="J11" i="73" s="1"/>
  <c r="L15" i="73" l="1"/>
  <c r="L13" i="73"/>
  <c r="L16" i="73" s="1"/>
  <c r="K15" i="73"/>
  <c r="J15" i="73"/>
  <c r="J13" i="73"/>
  <c r="J16" i="73" s="1"/>
  <c r="K14" i="34" l="1"/>
  <c r="K10" i="34"/>
  <c r="K8" i="34"/>
  <c r="K11" i="34" s="1"/>
  <c r="K15" i="34" l="1"/>
  <c r="K13" i="34"/>
  <c r="K16" i="34" s="1"/>
  <c r="L10" i="44"/>
  <c r="AC3" i="44" s="1"/>
  <c r="L8" i="44"/>
  <c r="L11" i="44" s="1"/>
  <c r="L8" i="47"/>
  <c r="L11" i="47" s="1"/>
  <c r="L10" i="47"/>
  <c r="AC3" i="47" s="1"/>
  <c r="L13" i="47" l="1"/>
  <c r="L16" i="47" s="1"/>
  <c r="L15" i="47"/>
  <c r="L15" i="44"/>
  <c r="L13" i="44"/>
  <c r="L16" i="44" s="1"/>
  <c r="L10" i="30"/>
  <c r="AC3" i="30" s="1"/>
  <c r="L8" i="30"/>
  <c r="L11" i="30" s="1"/>
  <c r="L13" i="30" l="1"/>
  <c r="L16" i="30" s="1"/>
  <c r="L15" i="30"/>
  <c r="G21" i="117"/>
  <c r="V24" i="117" s="1"/>
  <c r="V25" i="117" s="1"/>
  <c r="F21" i="117"/>
  <c r="G14" i="117"/>
  <c r="F14" i="117"/>
  <c r="J20" i="117"/>
  <c r="K20" i="117"/>
  <c r="L20" i="117"/>
  <c r="K14" i="117"/>
  <c r="J14" i="117"/>
  <c r="K10" i="117"/>
  <c r="K8" i="117"/>
  <c r="K11" i="117" s="1"/>
  <c r="K13" i="117" s="1"/>
  <c r="T24" i="118"/>
  <c r="S24" i="118"/>
  <c r="R24" i="118"/>
  <c r="Q24" i="118"/>
  <c r="T23" i="118"/>
  <c r="S23" i="118"/>
  <c r="R23" i="118"/>
  <c r="R25" i="118" s="1"/>
  <c r="Q23" i="118"/>
  <c r="Q25" i="118" s="1"/>
  <c r="T21" i="118"/>
  <c r="S21" i="118"/>
  <c r="R21" i="118"/>
  <c r="Q21" i="118"/>
  <c r="T20" i="118"/>
  <c r="S20" i="118"/>
  <c r="R20" i="118"/>
  <c r="I20" i="118"/>
  <c r="G20" i="118"/>
  <c r="T5" i="118" s="1"/>
  <c r="F20" i="118"/>
  <c r="S7" i="118" s="1"/>
  <c r="E20" i="118"/>
  <c r="R5" i="118" s="1"/>
  <c r="D20" i="118"/>
  <c r="Q7" i="118" s="1"/>
  <c r="T16" i="118"/>
  <c r="S16" i="118"/>
  <c r="R16" i="118"/>
  <c r="Q16" i="118"/>
  <c r="V15" i="118"/>
  <c r="T14" i="118"/>
  <c r="S14" i="118"/>
  <c r="R14" i="118"/>
  <c r="Q14" i="118"/>
  <c r="T13" i="118"/>
  <c r="S13" i="118"/>
  <c r="R13" i="118"/>
  <c r="R15" i="118" s="1"/>
  <c r="Q13" i="118"/>
  <c r="T11" i="118"/>
  <c r="S11" i="118"/>
  <c r="R11" i="118"/>
  <c r="Q11" i="118"/>
  <c r="C11" i="118"/>
  <c r="B11" i="118"/>
  <c r="I10" i="118"/>
  <c r="G10" i="118"/>
  <c r="T3" i="118" s="1"/>
  <c r="F10" i="118"/>
  <c r="S3" i="118" s="1"/>
  <c r="E10" i="118"/>
  <c r="R3" i="118" s="1"/>
  <c r="D10" i="118"/>
  <c r="C10" i="118"/>
  <c r="B10" i="118"/>
  <c r="I8" i="118"/>
  <c r="I11" i="118" s="1"/>
  <c r="G8" i="118"/>
  <c r="G11" i="118" s="1"/>
  <c r="F8" i="118"/>
  <c r="F11" i="118" s="1"/>
  <c r="E8" i="118"/>
  <c r="E11" i="118" s="1"/>
  <c r="D8" i="118"/>
  <c r="D11" i="118" s="1"/>
  <c r="R7" i="118"/>
  <c r="Q3" i="118"/>
  <c r="Q10" i="118" l="1"/>
  <c r="D15" i="118"/>
  <c r="Q9" i="118"/>
  <c r="E15" i="118"/>
  <c r="R9" i="118"/>
  <c r="K15" i="117"/>
  <c r="Q5" i="118"/>
  <c r="Q15" i="118"/>
  <c r="T15" i="118"/>
  <c r="S15" i="118"/>
  <c r="T7" i="118"/>
  <c r="T25" i="118"/>
  <c r="S25" i="118"/>
  <c r="S10" i="118"/>
  <c r="F15" i="118"/>
  <c r="S9" i="118"/>
  <c r="K16" i="117"/>
  <c r="I13" i="118"/>
  <c r="I16" i="118" s="1"/>
  <c r="I15" i="118"/>
  <c r="T10" i="118"/>
  <c r="G13" i="118"/>
  <c r="G16" i="118" s="1"/>
  <c r="T19" i="118" s="1"/>
  <c r="T9" i="118"/>
  <c r="G15" i="118"/>
  <c r="D13" i="118"/>
  <c r="D16" i="118" s="1"/>
  <c r="E13" i="118"/>
  <c r="E16" i="118" s="1"/>
  <c r="R19" i="118" s="1"/>
  <c r="R10" i="118"/>
  <c r="F13" i="118"/>
  <c r="F16" i="118" s="1"/>
  <c r="S19" i="118" s="1"/>
  <c r="S5" i="118"/>
  <c r="K10" i="104" l="1"/>
  <c r="Y3" i="104" s="1"/>
  <c r="L10" i="104"/>
  <c r="Z3" i="104" s="1"/>
  <c r="K8" i="104"/>
  <c r="K11" i="104" s="1"/>
  <c r="L8" i="104"/>
  <c r="L11" i="104" s="1"/>
  <c r="L13" i="104" s="1"/>
  <c r="L15" i="104" l="1"/>
  <c r="K15" i="104"/>
  <c r="K13" i="104"/>
  <c r="K16" i="104" s="1"/>
  <c r="L16" i="104"/>
  <c r="G21" i="115" l="1"/>
  <c r="X24" i="115" s="1"/>
  <c r="X25" i="115" s="1"/>
  <c r="F21" i="115"/>
  <c r="G14" i="115"/>
  <c r="F14" i="115"/>
  <c r="G21" i="116"/>
  <c r="F21" i="116"/>
  <c r="G19" i="116"/>
  <c r="F19" i="116"/>
  <c r="G14" i="116"/>
  <c r="F14" i="116"/>
  <c r="I19" i="116"/>
  <c r="I14" i="116"/>
  <c r="H14" i="116"/>
  <c r="J14" i="116"/>
  <c r="I10" i="116" l="1"/>
  <c r="J10" i="116"/>
  <c r="I8" i="116"/>
  <c r="I11" i="116" s="1"/>
  <c r="J8" i="116"/>
  <c r="J11" i="116" s="1"/>
  <c r="J15" i="116" l="1"/>
  <c r="J13" i="116"/>
  <c r="J16" i="116" s="1"/>
  <c r="I15" i="116"/>
  <c r="I13" i="116"/>
  <c r="I16" i="116" s="1"/>
  <c r="U24" i="117"/>
  <c r="T24" i="117"/>
  <c r="S24" i="117"/>
  <c r="R24" i="117"/>
  <c r="U23" i="117"/>
  <c r="T23" i="117"/>
  <c r="S23" i="117"/>
  <c r="S25" i="117" s="1"/>
  <c r="R23" i="117"/>
  <c r="R25" i="117" s="1"/>
  <c r="U21" i="117"/>
  <c r="T21" i="117"/>
  <c r="S21" i="117"/>
  <c r="R21" i="117"/>
  <c r="U20" i="117"/>
  <c r="T20" i="117"/>
  <c r="S20" i="117"/>
  <c r="G20" i="117"/>
  <c r="U5" i="117" s="1"/>
  <c r="F20" i="117"/>
  <c r="T7" i="117" s="1"/>
  <c r="E20" i="117"/>
  <c r="S7" i="117" s="1"/>
  <c r="D20" i="117"/>
  <c r="R7" i="117" s="1"/>
  <c r="U16" i="117"/>
  <c r="T16" i="117"/>
  <c r="S16" i="117"/>
  <c r="R16" i="117"/>
  <c r="X15" i="117"/>
  <c r="U14" i="117"/>
  <c r="T14" i="117"/>
  <c r="S14" i="117"/>
  <c r="R14" i="117"/>
  <c r="U13" i="117"/>
  <c r="T13" i="117"/>
  <c r="S13" i="117"/>
  <c r="R13" i="117"/>
  <c r="U11" i="117"/>
  <c r="T11" i="117"/>
  <c r="S11" i="117"/>
  <c r="R11" i="117"/>
  <c r="G11" i="117"/>
  <c r="G15" i="117" s="1"/>
  <c r="C11" i="117"/>
  <c r="B11" i="117"/>
  <c r="J10" i="117"/>
  <c r="G10" i="117"/>
  <c r="U3" i="117" s="1"/>
  <c r="F10" i="117"/>
  <c r="T3" i="117" s="1"/>
  <c r="E10" i="117"/>
  <c r="S3" i="117" s="1"/>
  <c r="D10" i="117"/>
  <c r="R3" i="117" s="1"/>
  <c r="C10" i="117"/>
  <c r="B10" i="117"/>
  <c r="J8" i="117"/>
  <c r="J11" i="117" s="1"/>
  <c r="G8" i="117"/>
  <c r="F8" i="117"/>
  <c r="F11" i="117" s="1"/>
  <c r="T9" i="117" s="1"/>
  <c r="E8" i="117"/>
  <c r="E11" i="117" s="1"/>
  <c r="D8" i="117"/>
  <c r="D11" i="117" s="1"/>
  <c r="K10" i="114"/>
  <c r="AA3" i="114" s="1"/>
  <c r="K8" i="114"/>
  <c r="K11" i="114" s="1"/>
  <c r="K13" i="114" s="1"/>
  <c r="K16" i="114" s="1"/>
  <c r="K20" i="115"/>
  <c r="L20" i="115"/>
  <c r="K10" i="115"/>
  <c r="L10" i="115"/>
  <c r="K8" i="115"/>
  <c r="K11" i="115" s="1"/>
  <c r="K13" i="115" s="1"/>
  <c r="K16" i="115" s="1"/>
  <c r="L8" i="115"/>
  <c r="L11" i="115" s="1"/>
  <c r="L13" i="115" s="1"/>
  <c r="S24" i="116"/>
  <c r="R24" i="116"/>
  <c r="Q24" i="116"/>
  <c r="P24" i="116"/>
  <c r="S23" i="116"/>
  <c r="R23" i="116"/>
  <c r="Q23" i="116"/>
  <c r="P23" i="116"/>
  <c r="S21" i="116"/>
  <c r="R21" i="116"/>
  <c r="Q21" i="116"/>
  <c r="P21" i="116"/>
  <c r="S20" i="116"/>
  <c r="R20" i="116"/>
  <c r="Q20" i="116"/>
  <c r="H20" i="116"/>
  <c r="G20" i="116"/>
  <c r="S5" i="116" s="1"/>
  <c r="F20" i="116"/>
  <c r="R7" i="116" s="1"/>
  <c r="E20" i="116"/>
  <c r="Q7" i="116" s="1"/>
  <c r="D20" i="116"/>
  <c r="S16" i="116"/>
  <c r="R16" i="116"/>
  <c r="Q16" i="116"/>
  <c r="P16" i="116"/>
  <c r="T15" i="116"/>
  <c r="S14" i="116"/>
  <c r="R14" i="116"/>
  <c r="Q14" i="116"/>
  <c r="P14" i="116"/>
  <c r="S13" i="116"/>
  <c r="R13" i="116"/>
  <c r="Q13" i="116"/>
  <c r="P13" i="116"/>
  <c r="S11" i="116"/>
  <c r="R11" i="116"/>
  <c r="Q11" i="116"/>
  <c r="P11" i="116"/>
  <c r="C11" i="116"/>
  <c r="B11" i="116"/>
  <c r="H10" i="116"/>
  <c r="G10" i="116"/>
  <c r="S3" i="116" s="1"/>
  <c r="F10" i="116"/>
  <c r="R3" i="116" s="1"/>
  <c r="E10" i="116"/>
  <c r="Q3" i="116" s="1"/>
  <c r="D10" i="116"/>
  <c r="C10" i="116"/>
  <c r="B10" i="116"/>
  <c r="H8" i="116"/>
  <c r="H11" i="116" s="1"/>
  <c r="G8" i="116"/>
  <c r="G11" i="116" s="1"/>
  <c r="S9" i="116" s="1"/>
  <c r="F8" i="116"/>
  <c r="F11" i="116" s="1"/>
  <c r="E8" i="116"/>
  <c r="E11" i="116" s="1"/>
  <c r="D8" i="116"/>
  <c r="D11" i="116" s="1"/>
  <c r="P7" i="116"/>
  <c r="P5" i="116"/>
  <c r="P3" i="116"/>
  <c r="K14" i="82"/>
  <c r="K10" i="82"/>
  <c r="K8" i="82"/>
  <c r="K11" i="82" s="1"/>
  <c r="K15" i="82" l="1"/>
  <c r="K13" i="82"/>
  <c r="K16" i="82" s="1"/>
  <c r="Q5" i="116"/>
  <c r="R5" i="117"/>
  <c r="S5" i="117"/>
  <c r="R15" i="117"/>
  <c r="S15" i="117"/>
  <c r="P15" i="116"/>
  <c r="Q15" i="116"/>
  <c r="P25" i="116"/>
  <c r="L15" i="115"/>
  <c r="K15" i="115"/>
  <c r="U15" i="117"/>
  <c r="T15" i="117"/>
  <c r="U7" i="117"/>
  <c r="T5" i="117"/>
  <c r="U25" i="117"/>
  <c r="T25" i="117"/>
  <c r="U9" i="117"/>
  <c r="J13" i="117"/>
  <c r="J16" i="117" s="1"/>
  <c r="J15" i="117"/>
  <c r="S15" i="116"/>
  <c r="R15" i="116"/>
  <c r="S7" i="116"/>
  <c r="S25" i="116"/>
  <c r="P10" i="116"/>
  <c r="D15" i="116"/>
  <c r="P9" i="116"/>
  <c r="Q25" i="116"/>
  <c r="R25" i="116"/>
  <c r="D13" i="117"/>
  <c r="D16" i="117" s="1"/>
  <c r="R9" i="117"/>
  <c r="D15" i="117"/>
  <c r="R10" i="117"/>
  <c r="S9" i="117"/>
  <c r="E15" i="117"/>
  <c r="S10" i="117"/>
  <c r="E13" i="117"/>
  <c r="E16" i="117" s="1"/>
  <c r="S19" i="117" s="1"/>
  <c r="F13" i="117"/>
  <c r="F16" i="117" s="1"/>
  <c r="T19" i="117" s="1"/>
  <c r="T10" i="117"/>
  <c r="G13" i="117"/>
  <c r="G16" i="117" s="1"/>
  <c r="U19" i="117" s="1"/>
  <c r="U10" i="117"/>
  <c r="F15" i="117"/>
  <c r="K15" i="114"/>
  <c r="L16" i="115"/>
  <c r="E13" i="116"/>
  <c r="E16" i="116" s="1"/>
  <c r="Q19" i="116" s="1"/>
  <c r="Q9" i="116"/>
  <c r="E15" i="116"/>
  <c r="Q10" i="116"/>
  <c r="H15" i="116"/>
  <c r="H13" i="116"/>
  <c r="H16" i="116" s="1"/>
  <c r="F15" i="116"/>
  <c r="R9" i="116"/>
  <c r="R10" i="116"/>
  <c r="F13" i="116"/>
  <c r="F16" i="116" s="1"/>
  <c r="R19" i="116" s="1"/>
  <c r="R5" i="116"/>
  <c r="G13" i="116"/>
  <c r="G16" i="116" s="1"/>
  <c r="S19" i="116" s="1"/>
  <c r="S10" i="116"/>
  <c r="D13" i="116"/>
  <c r="D16" i="116" s="1"/>
  <c r="G15" i="116"/>
  <c r="J20" i="114" l="1"/>
  <c r="Z5" i="114" s="1"/>
  <c r="J10" i="114"/>
  <c r="Z3" i="114" s="1"/>
  <c r="J8" i="114"/>
  <c r="J11" i="114" s="1"/>
  <c r="J15" i="114" l="1"/>
  <c r="J13" i="114"/>
  <c r="J16" i="114" s="1"/>
  <c r="W24" i="115"/>
  <c r="V24" i="115"/>
  <c r="U24" i="115"/>
  <c r="T24" i="115"/>
  <c r="W23" i="115"/>
  <c r="V23" i="115"/>
  <c r="U23" i="115"/>
  <c r="T23" i="115"/>
  <c r="W21" i="115"/>
  <c r="V21" i="115"/>
  <c r="U21" i="115"/>
  <c r="T21" i="115"/>
  <c r="W20" i="115"/>
  <c r="V20" i="115"/>
  <c r="U20" i="115"/>
  <c r="J20" i="115"/>
  <c r="G20" i="115"/>
  <c r="W7" i="115" s="1"/>
  <c r="F20" i="115"/>
  <c r="V7" i="115" s="1"/>
  <c r="E20" i="115"/>
  <c r="U5" i="115" s="1"/>
  <c r="D20" i="115"/>
  <c r="T7" i="115" s="1"/>
  <c r="W16" i="115"/>
  <c r="V16" i="115"/>
  <c r="U16" i="115"/>
  <c r="T16" i="115"/>
  <c r="Z15" i="115"/>
  <c r="W14" i="115"/>
  <c r="V14" i="115"/>
  <c r="U14" i="115"/>
  <c r="T14" i="115"/>
  <c r="W13" i="115"/>
  <c r="V13" i="115"/>
  <c r="U13" i="115"/>
  <c r="T13" i="115"/>
  <c r="W11" i="115"/>
  <c r="V11" i="115"/>
  <c r="U11" i="115"/>
  <c r="T11" i="115"/>
  <c r="C11" i="115"/>
  <c r="B11" i="115"/>
  <c r="J10" i="115"/>
  <c r="G10" i="115"/>
  <c r="W3" i="115" s="1"/>
  <c r="F10" i="115"/>
  <c r="V3" i="115" s="1"/>
  <c r="E10" i="115"/>
  <c r="U3" i="115" s="1"/>
  <c r="D10" i="115"/>
  <c r="T3" i="115" s="1"/>
  <c r="C10" i="115"/>
  <c r="B10" i="115"/>
  <c r="J8" i="115"/>
  <c r="J11" i="115" s="1"/>
  <c r="G8" i="115"/>
  <c r="G11" i="115" s="1"/>
  <c r="F8" i="115"/>
  <c r="F11" i="115" s="1"/>
  <c r="V9" i="115" s="1"/>
  <c r="E8" i="115"/>
  <c r="E11" i="115" s="1"/>
  <c r="D8" i="115"/>
  <c r="D11" i="115" s="1"/>
  <c r="AB15" i="113"/>
  <c r="AC15" i="113"/>
  <c r="G21" i="113"/>
  <c r="Y24" i="113" s="1"/>
  <c r="Y25" i="113" s="1"/>
  <c r="F21" i="113"/>
  <c r="G19" i="113"/>
  <c r="Y21" i="113" s="1"/>
  <c r="F19" i="113"/>
  <c r="G14" i="113"/>
  <c r="F14" i="113"/>
  <c r="T15" i="115" l="1"/>
  <c r="U7" i="115"/>
  <c r="T5" i="115"/>
  <c r="U15" i="115"/>
  <c r="T25" i="115"/>
  <c r="U25" i="115"/>
  <c r="W15" i="115"/>
  <c r="V15" i="115"/>
  <c r="V5" i="115"/>
  <c r="W25" i="115"/>
  <c r="V25" i="115"/>
  <c r="G15" i="115"/>
  <c r="W9" i="115"/>
  <c r="J13" i="115"/>
  <c r="J16" i="115" s="1"/>
  <c r="J15" i="115"/>
  <c r="D13" i="115"/>
  <c r="D16" i="115" s="1"/>
  <c r="T9" i="115"/>
  <c r="T10" i="115"/>
  <c r="D15" i="115"/>
  <c r="U9" i="115"/>
  <c r="E15" i="115"/>
  <c r="U10" i="115"/>
  <c r="E13" i="115"/>
  <c r="E16" i="115" s="1"/>
  <c r="U19" i="115" s="1"/>
  <c r="W5" i="115"/>
  <c r="W10" i="115"/>
  <c r="F13" i="115"/>
  <c r="F16" i="115" s="1"/>
  <c r="V19" i="115" s="1"/>
  <c r="V10" i="115"/>
  <c r="G13" i="115"/>
  <c r="G16" i="115" s="1"/>
  <c r="W19" i="115" s="1"/>
  <c r="F15" i="115"/>
  <c r="K20" i="113"/>
  <c r="AB5" i="113" s="1"/>
  <c r="L20" i="113"/>
  <c r="AC5" i="113" s="1"/>
  <c r="K10" i="113"/>
  <c r="AB3" i="113" s="1"/>
  <c r="L10" i="113"/>
  <c r="AC3" i="113" s="1"/>
  <c r="K8" i="113"/>
  <c r="K11" i="113" s="1"/>
  <c r="K13" i="113" s="1"/>
  <c r="L8" i="113"/>
  <c r="L11" i="113" s="1"/>
  <c r="W24" i="114"/>
  <c r="V24" i="114"/>
  <c r="U24" i="114"/>
  <c r="T24" i="114"/>
  <c r="W23" i="114"/>
  <c r="V23" i="114"/>
  <c r="U23" i="114"/>
  <c r="U25" i="114" s="1"/>
  <c r="T23" i="114"/>
  <c r="T25" i="114" s="1"/>
  <c r="W21" i="114"/>
  <c r="V21" i="114"/>
  <c r="U21" i="114"/>
  <c r="T21" i="114"/>
  <c r="W20" i="114"/>
  <c r="V20" i="114"/>
  <c r="U20" i="114"/>
  <c r="G20" i="114"/>
  <c r="W7" i="114" s="1"/>
  <c r="F20" i="114"/>
  <c r="V7" i="114" s="1"/>
  <c r="E20" i="114"/>
  <c r="U5" i="114" s="1"/>
  <c r="D20" i="114"/>
  <c r="T5" i="114" s="1"/>
  <c r="W16" i="114"/>
  <c r="V16" i="114"/>
  <c r="U16" i="114"/>
  <c r="T16" i="114"/>
  <c r="Y15" i="114"/>
  <c r="W14" i="114"/>
  <c r="V14" i="114"/>
  <c r="U14" i="114"/>
  <c r="T14" i="114"/>
  <c r="W13" i="114"/>
  <c r="V13" i="114"/>
  <c r="V15" i="114" s="1"/>
  <c r="U13" i="114"/>
  <c r="U15" i="114" s="1"/>
  <c r="T13" i="114"/>
  <c r="T15" i="114" s="1"/>
  <c r="W11" i="114"/>
  <c r="V11" i="114"/>
  <c r="U11" i="114"/>
  <c r="T11" i="114"/>
  <c r="C11" i="114"/>
  <c r="B11" i="114"/>
  <c r="I10" i="114"/>
  <c r="Y3" i="114" s="1"/>
  <c r="G10" i="114"/>
  <c r="W3" i="114" s="1"/>
  <c r="F10" i="114"/>
  <c r="V3" i="114" s="1"/>
  <c r="E10" i="114"/>
  <c r="U3" i="114" s="1"/>
  <c r="D10" i="114"/>
  <c r="T3" i="114" s="1"/>
  <c r="C10" i="114"/>
  <c r="B10" i="114"/>
  <c r="I8" i="114"/>
  <c r="I11" i="114" s="1"/>
  <c r="I13" i="114" s="1"/>
  <c r="G8" i="114"/>
  <c r="G11" i="114" s="1"/>
  <c r="F8" i="114"/>
  <c r="F11" i="114" s="1"/>
  <c r="F13" i="114" s="1"/>
  <c r="F16" i="114" s="1"/>
  <c r="V19" i="114" s="1"/>
  <c r="E8" i="114"/>
  <c r="E11" i="114" s="1"/>
  <c r="D8" i="114"/>
  <c r="D11" i="114" s="1"/>
  <c r="T7" i="114" l="1"/>
  <c r="W15" i="114"/>
  <c r="W5" i="114"/>
  <c r="W25" i="114"/>
  <c r="V25" i="114"/>
  <c r="L15" i="113"/>
  <c r="L13" i="113"/>
  <c r="L16" i="113" s="1"/>
  <c r="K16" i="113"/>
  <c r="K15" i="113"/>
  <c r="T10" i="114"/>
  <c r="D13" i="114"/>
  <c r="D16" i="114" s="1"/>
  <c r="D15" i="114"/>
  <c r="T9" i="114"/>
  <c r="U10" i="114"/>
  <c r="U9" i="114"/>
  <c r="E15" i="114"/>
  <c r="E13" i="114"/>
  <c r="E16" i="114" s="1"/>
  <c r="U19" i="114" s="1"/>
  <c r="G15" i="114"/>
  <c r="W10" i="114"/>
  <c r="G13" i="114"/>
  <c r="G16" i="114" s="1"/>
  <c r="W19" i="114" s="1"/>
  <c r="W9" i="114"/>
  <c r="I16" i="114"/>
  <c r="I15" i="114"/>
  <c r="V5" i="114"/>
  <c r="V10" i="114"/>
  <c r="U7" i="114"/>
  <c r="F15" i="114"/>
  <c r="V9" i="114"/>
  <c r="G21" i="78" l="1"/>
  <c r="V24" i="78" s="1"/>
  <c r="V25" i="78" s="1"/>
  <c r="G14" i="78"/>
  <c r="U11" i="78" s="1"/>
  <c r="D8" i="78"/>
  <c r="D11" i="78" s="1"/>
  <c r="E8" i="78"/>
  <c r="E11" i="78" s="1"/>
  <c r="E13" i="78" s="1"/>
  <c r="F8" i="78"/>
  <c r="F11" i="78" s="1"/>
  <c r="F13" i="78" s="1"/>
  <c r="F16" i="78" s="1"/>
  <c r="T19" i="78" s="1"/>
  <c r="G8" i="78"/>
  <c r="G11" i="78" s="1"/>
  <c r="I8" i="78"/>
  <c r="I11" i="78" s="1"/>
  <c r="J8" i="78"/>
  <c r="J11" i="78" s="1"/>
  <c r="J13" i="78" s="1"/>
  <c r="J16" i="78" s="1"/>
  <c r="K8" i="78"/>
  <c r="K11" i="78" s="1"/>
  <c r="L8" i="78"/>
  <c r="L11" i="78" s="1"/>
  <c r="B10" i="78"/>
  <c r="C10" i="78"/>
  <c r="D10" i="78"/>
  <c r="R3" i="78" s="1"/>
  <c r="E10" i="78"/>
  <c r="S3" i="78" s="1"/>
  <c r="F10" i="78"/>
  <c r="T3" i="78" s="1"/>
  <c r="G10" i="78"/>
  <c r="U3" i="78" s="1"/>
  <c r="I10" i="78"/>
  <c r="J10" i="78"/>
  <c r="K10" i="78"/>
  <c r="L10" i="78"/>
  <c r="B11" i="78"/>
  <c r="C11" i="78"/>
  <c r="R11" i="78"/>
  <c r="R13" i="78"/>
  <c r="S13" i="78"/>
  <c r="S15" i="78" s="1"/>
  <c r="T13" i="78"/>
  <c r="T15" i="78" s="1"/>
  <c r="U13" i="78"/>
  <c r="E14" i="78"/>
  <c r="S11" i="78" s="1"/>
  <c r="F14" i="78"/>
  <c r="R14" i="78"/>
  <c r="S14" i="78"/>
  <c r="T14" i="78"/>
  <c r="U14" i="78"/>
  <c r="W15" i="78"/>
  <c r="R16" i="78"/>
  <c r="S16" i="78"/>
  <c r="T16" i="78"/>
  <c r="U16" i="78"/>
  <c r="D20" i="78"/>
  <c r="R5" i="78" s="1"/>
  <c r="E20" i="78"/>
  <c r="S7" i="78" s="1"/>
  <c r="F20" i="78"/>
  <c r="T7" i="78" s="1"/>
  <c r="G20" i="78"/>
  <c r="U7" i="78" s="1"/>
  <c r="I20" i="78"/>
  <c r="J20" i="78"/>
  <c r="X5" i="78" s="1"/>
  <c r="K20" i="78"/>
  <c r="L20" i="78"/>
  <c r="S20" i="78"/>
  <c r="T20" i="78"/>
  <c r="U20" i="78"/>
  <c r="R21" i="78"/>
  <c r="S21" i="78"/>
  <c r="T21" i="78"/>
  <c r="U21" i="78"/>
  <c r="R23" i="78"/>
  <c r="S23" i="78"/>
  <c r="T23" i="78"/>
  <c r="U23" i="78"/>
  <c r="R24" i="78"/>
  <c r="S24" i="78"/>
  <c r="T24" i="78"/>
  <c r="U24" i="78"/>
  <c r="R10" i="78" l="1"/>
  <c r="D15" i="78"/>
  <c r="R15" i="78"/>
  <c r="T25" i="78"/>
  <c r="T10" i="78"/>
  <c r="S25" i="78"/>
  <c r="I13" i="78"/>
  <c r="I16" i="78" s="1"/>
  <c r="I15" i="78"/>
  <c r="F15" i="78"/>
  <c r="T11" i="78"/>
  <c r="R25" i="78"/>
  <c r="T9" i="78"/>
  <c r="J15" i="78"/>
  <c r="L13" i="78"/>
  <c r="L16" i="78" s="1"/>
  <c r="L15" i="78"/>
  <c r="K13" i="78"/>
  <c r="K16" i="78" s="1"/>
  <c r="K15" i="78"/>
  <c r="U15" i="78"/>
  <c r="U25" i="78"/>
  <c r="U10" i="78"/>
  <c r="G15" i="78"/>
  <c r="G13" i="78"/>
  <c r="G16" i="78" s="1"/>
  <c r="U19" i="78" s="1"/>
  <c r="R7" i="78"/>
  <c r="U9" i="78"/>
  <c r="U5" i="78"/>
  <c r="E16" i="78"/>
  <c r="S19" i="78" s="1"/>
  <c r="T5" i="78"/>
  <c r="S9" i="78"/>
  <c r="S5" i="78"/>
  <c r="D13" i="78"/>
  <c r="D16" i="78" s="1"/>
  <c r="R9" i="78"/>
  <c r="S10" i="78"/>
  <c r="E15" i="78"/>
  <c r="K10" i="14"/>
  <c r="K8" i="14"/>
  <c r="K11" i="14" s="1"/>
  <c r="K13" i="14" l="1"/>
  <c r="K16" i="14" s="1"/>
  <c r="K15" i="14"/>
  <c r="L10" i="18"/>
  <c r="AC3" i="18" s="1"/>
  <c r="L8" i="18"/>
  <c r="L11" i="18" s="1"/>
  <c r="L13" i="18" l="1"/>
  <c r="L16" i="18" s="1"/>
  <c r="L15" i="18"/>
  <c r="L10" i="24"/>
  <c r="AC3" i="24" s="1"/>
  <c r="L8" i="24"/>
  <c r="L11" i="24" s="1"/>
  <c r="L15" i="24" l="1"/>
  <c r="L13" i="24"/>
  <c r="L16" i="24" s="1"/>
  <c r="L10" i="15" l="1"/>
  <c r="AC3" i="15" s="1"/>
  <c r="L8" i="15"/>
  <c r="L11" i="15" s="1"/>
  <c r="L15" i="15" l="1"/>
  <c r="L13" i="15"/>
  <c r="L16" i="15" s="1"/>
  <c r="M12" i="72"/>
  <c r="X24" i="113"/>
  <c r="W24" i="113"/>
  <c r="V24" i="113"/>
  <c r="U24" i="113"/>
  <c r="X23" i="113"/>
  <c r="W23" i="113"/>
  <c r="V23" i="113"/>
  <c r="U23" i="113"/>
  <c r="X21" i="113"/>
  <c r="W21" i="113"/>
  <c r="V21" i="113"/>
  <c r="U21" i="113"/>
  <c r="X20" i="113"/>
  <c r="W20" i="113"/>
  <c r="V20" i="113"/>
  <c r="J20" i="113"/>
  <c r="G20" i="113"/>
  <c r="X7" i="113" s="1"/>
  <c r="F20" i="113"/>
  <c r="W5" i="113" s="1"/>
  <c r="E20" i="113"/>
  <c r="V7" i="113" s="1"/>
  <c r="D20" i="113"/>
  <c r="U5" i="113" s="1"/>
  <c r="X16" i="113"/>
  <c r="W16" i="113"/>
  <c r="V16" i="113"/>
  <c r="U16" i="113"/>
  <c r="AA15" i="113"/>
  <c r="X14" i="113"/>
  <c r="W14" i="113"/>
  <c r="V14" i="113"/>
  <c r="U14" i="113"/>
  <c r="X13" i="113"/>
  <c r="W13" i="113"/>
  <c r="V13" i="113"/>
  <c r="U13" i="113"/>
  <c r="X11" i="113"/>
  <c r="W11" i="113"/>
  <c r="V11" i="113"/>
  <c r="U11" i="113"/>
  <c r="C11" i="113"/>
  <c r="B11" i="113"/>
  <c r="J10" i="113"/>
  <c r="AA3" i="113" s="1"/>
  <c r="G10" i="113"/>
  <c r="X3" i="113" s="1"/>
  <c r="F10" i="113"/>
  <c r="W3" i="113" s="1"/>
  <c r="E10" i="113"/>
  <c r="V3" i="113" s="1"/>
  <c r="D10" i="113"/>
  <c r="U3" i="113" s="1"/>
  <c r="C10" i="113"/>
  <c r="B10" i="113"/>
  <c r="J8" i="113"/>
  <c r="J11" i="113" s="1"/>
  <c r="G8" i="113"/>
  <c r="G11" i="113" s="1"/>
  <c r="G13" i="113" s="1"/>
  <c r="F8" i="113"/>
  <c r="F11" i="113" s="1"/>
  <c r="E8" i="113"/>
  <c r="E11" i="113" s="1"/>
  <c r="D8" i="113"/>
  <c r="D11" i="113" s="1"/>
  <c r="U7" i="113"/>
  <c r="U15" i="113" l="1"/>
  <c r="V25" i="113"/>
  <c r="V15" i="113"/>
  <c r="U25" i="113"/>
  <c r="U10" i="113"/>
  <c r="U9" i="113"/>
  <c r="D15" i="113"/>
  <c r="E13" i="113"/>
  <c r="E16" i="113" s="1"/>
  <c r="V19" i="113" s="1"/>
  <c r="E15" i="113"/>
  <c r="V9" i="113"/>
  <c r="W15" i="113"/>
  <c r="X15" i="113"/>
  <c r="W25" i="113"/>
  <c r="X5" i="113"/>
  <c r="X25" i="113"/>
  <c r="W9" i="113"/>
  <c r="W10" i="113"/>
  <c r="F13" i="113"/>
  <c r="F16" i="113" s="1"/>
  <c r="W19" i="113" s="1"/>
  <c r="F15" i="113"/>
  <c r="X10" i="113"/>
  <c r="X9" i="113"/>
  <c r="G15" i="113"/>
  <c r="G16" i="113"/>
  <c r="X19" i="113" s="1"/>
  <c r="J15" i="113"/>
  <c r="J13" i="113"/>
  <c r="J16" i="113" s="1"/>
  <c r="W7" i="113"/>
  <c r="V5" i="113"/>
  <c r="V10" i="113"/>
  <c r="D13" i="113"/>
  <c r="D16" i="113" s="1"/>
  <c r="O4" i="7" l="1"/>
  <c r="L10" i="43" l="1"/>
  <c r="AC3" i="43" s="1"/>
  <c r="L8" i="43"/>
  <c r="L11" i="43" s="1"/>
  <c r="L13" i="43" s="1"/>
  <c r="L15" i="43" l="1"/>
  <c r="L16" i="43"/>
  <c r="L20" i="35"/>
  <c r="L10" i="35"/>
  <c r="AC3" i="35" s="1"/>
  <c r="L8" i="35"/>
  <c r="L11" i="35" s="1"/>
  <c r="L15" i="35" l="1"/>
  <c r="L13" i="35"/>
  <c r="L16" i="35" s="1"/>
  <c r="M10" i="5"/>
  <c r="AE3" i="5" s="1"/>
  <c r="M8" i="5"/>
  <c r="M11" i="5" s="1"/>
  <c r="L20" i="20"/>
  <c r="L10" i="20"/>
  <c r="AB3" i="20" s="1"/>
  <c r="L8" i="20"/>
  <c r="L11" i="20" s="1"/>
  <c r="M15" i="5" l="1"/>
  <c r="M13" i="5"/>
  <c r="M16" i="5" s="1"/>
  <c r="L15" i="20"/>
  <c r="L13" i="20"/>
  <c r="L16" i="20" s="1"/>
  <c r="K14" i="16"/>
  <c r="K10" i="16" l="1"/>
  <c r="K8" i="16"/>
  <c r="K11" i="16" s="1"/>
  <c r="K13" i="16" l="1"/>
  <c r="K16" i="16" s="1"/>
  <c r="K15" i="16"/>
  <c r="J14" i="94"/>
  <c r="I14" i="94"/>
  <c r="H14" i="94"/>
  <c r="I20" i="94"/>
  <c r="J20" i="94"/>
  <c r="K20" i="94"/>
  <c r="I10" i="94"/>
  <c r="J10" i="94"/>
  <c r="K10" i="94"/>
  <c r="I8" i="94"/>
  <c r="I11" i="94" s="1"/>
  <c r="J8" i="94"/>
  <c r="J11" i="94" s="1"/>
  <c r="K8" i="94"/>
  <c r="K11" i="94" s="1"/>
  <c r="K13" i="94" l="1"/>
  <c r="K16" i="94" s="1"/>
  <c r="K15" i="94"/>
  <c r="J15" i="94"/>
  <c r="J13" i="94"/>
  <c r="J16" i="94" s="1"/>
  <c r="I15" i="94"/>
  <c r="I13" i="94"/>
  <c r="I16" i="94" s="1"/>
  <c r="J10" i="10"/>
  <c r="J8" i="10"/>
  <c r="J11" i="10" s="1"/>
  <c r="J13" i="10" l="1"/>
  <c r="J16" i="10" s="1"/>
  <c r="J15" i="10"/>
  <c r="L10" i="27"/>
  <c r="AC3" i="27" s="1"/>
  <c r="M10" i="27"/>
  <c r="AD3" i="27" s="1"/>
  <c r="L8" i="27"/>
  <c r="L11" i="27" s="1"/>
  <c r="M8" i="27"/>
  <c r="M11" i="27" s="1"/>
  <c r="L15" i="27" l="1"/>
  <c r="L13" i="27"/>
  <c r="L16" i="27" s="1"/>
  <c r="M15" i="27"/>
  <c r="M13" i="27"/>
  <c r="M16" i="27" s="1"/>
  <c r="G21" i="60"/>
  <c r="G14" i="60"/>
  <c r="J20" i="59"/>
  <c r="K20" i="59"/>
  <c r="J10" i="59"/>
  <c r="K10" i="59"/>
  <c r="J8" i="59"/>
  <c r="J11" i="59" s="1"/>
  <c r="K8" i="59"/>
  <c r="K11" i="59" s="1"/>
  <c r="G21" i="59"/>
  <c r="U24" i="59" s="1"/>
  <c r="U25" i="59" s="1"/>
  <c r="G14" i="59"/>
  <c r="G21" i="56"/>
  <c r="G19" i="56"/>
  <c r="G20" i="56" s="1"/>
  <c r="G14" i="56"/>
  <c r="I20" i="56"/>
  <c r="U5" i="56" s="1"/>
  <c r="I10" i="56"/>
  <c r="I8" i="56"/>
  <c r="I11" i="56" s="1"/>
  <c r="I13" i="56" s="1"/>
  <c r="K13" i="59" l="1"/>
  <c r="K16" i="59" s="1"/>
  <c r="K15" i="59"/>
  <c r="J15" i="59"/>
  <c r="J13" i="59"/>
  <c r="J16" i="59" s="1"/>
  <c r="I16" i="56"/>
  <c r="I15" i="56"/>
  <c r="H20" i="96" l="1"/>
  <c r="T5" i="96" s="1"/>
  <c r="H14" i="96"/>
  <c r="I21" i="70" l="1"/>
  <c r="I20" i="70"/>
  <c r="I14" i="70"/>
  <c r="I10" i="70"/>
  <c r="I8" i="70"/>
  <c r="I11" i="70" s="1"/>
  <c r="I13" i="70" s="1"/>
  <c r="I16" i="70" s="1"/>
  <c r="J21" i="82"/>
  <c r="J14" i="82"/>
  <c r="J20" i="82"/>
  <c r="K20" i="82"/>
  <c r="J10" i="82"/>
  <c r="J8" i="82"/>
  <c r="J11" i="82" s="1"/>
  <c r="J13" i="82" s="1"/>
  <c r="K20" i="80"/>
  <c r="Z5" i="80" s="1"/>
  <c r="K10" i="80"/>
  <c r="Z3" i="80" s="1"/>
  <c r="K8" i="80"/>
  <c r="K11" i="80" s="1"/>
  <c r="K13" i="80" s="1"/>
  <c r="K16" i="80" s="1"/>
  <c r="K25" i="75"/>
  <c r="K26" i="75" l="1"/>
  <c r="K50" i="87" s="1"/>
  <c r="K49" i="87"/>
  <c r="I15" i="70"/>
  <c r="J15" i="82"/>
  <c r="K15" i="80"/>
  <c r="J16" i="82"/>
  <c r="I21" i="74" l="1"/>
  <c r="I14" i="74"/>
  <c r="H14" i="74"/>
  <c r="I20" i="74"/>
  <c r="J20" i="74"/>
  <c r="I10" i="74"/>
  <c r="J10" i="74"/>
  <c r="J11" i="74"/>
  <c r="J13" i="74" s="1"/>
  <c r="J16" i="74" s="1"/>
  <c r="I8" i="74"/>
  <c r="I11" i="74" s="1"/>
  <c r="I21" i="71"/>
  <c r="I14" i="71"/>
  <c r="H14" i="71"/>
  <c r="I20" i="71"/>
  <c r="I10" i="71"/>
  <c r="I8" i="71"/>
  <c r="I11" i="71" s="1"/>
  <c r="I21" i="68"/>
  <c r="I14" i="68"/>
  <c r="I20" i="68"/>
  <c r="I10" i="68"/>
  <c r="I8" i="68"/>
  <c r="I11" i="68" s="1"/>
  <c r="I13" i="68" s="1"/>
  <c r="I16" i="68" s="1"/>
  <c r="I21" i="67"/>
  <c r="I14" i="67"/>
  <c r="I20" i="67"/>
  <c r="I10" i="67"/>
  <c r="I8" i="67"/>
  <c r="I11" i="67" s="1"/>
  <c r="I13" i="67" s="1"/>
  <c r="I21" i="66"/>
  <c r="I14" i="66"/>
  <c r="I20" i="66"/>
  <c r="I10" i="66"/>
  <c r="I8" i="66"/>
  <c r="I11" i="66" s="1"/>
  <c r="K20" i="65"/>
  <c r="K10" i="65"/>
  <c r="AB3" i="65" s="1"/>
  <c r="K8" i="65"/>
  <c r="K11" i="65" s="1"/>
  <c r="I13" i="74" l="1"/>
  <c r="I16" i="74" s="1"/>
  <c r="I15" i="74"/>
  <c r="I13" i="66"/>
  <c r="I16" i="66" s="1"/>
  <c r="I15" i="66"/>
  <c r="I15" i="71"/>
  <c r="I13" i="71"/>
  <c r="I16" i="71" s="1"/>
  <c r="U5" i="68"/>
  <c r="I15" i="68"/>
  <c r="I16" i="67"/>
  <c r="K15" i="65"/>
  <c r="K13" i="65"/>
  <c r="K16" i="65" s="1"/>
  <c r="J15" i="74"/>
  <c r="I15" i="67"/>
  <c r="K20" i="62"/>
  <c r="K10" i="62"/>
  <c r="K8" i="62"/>
  <c r="K11" i="62" s="1"/>
  <c r="K15" i="62" l="1"/>
  <c r="K13" i="62"/>
  <c r="K16" i="62" s="1"/>
  <c r="I20" i="54"/>
  <c r="I10" i="54"/>
  <c r="I8" i="54"/>
  <c r="I11" i="54" s="1"/>
  <c r="K20" i="69"/>
  <c r="K10" i="69"/>
  <c r="K8" i="69"/>
  <c r="K11" i="69" s="1"/>
  <c r="K15" i="69" s="1"/>
  <c r="K13" i="69" l="1"/>
  <c r="K16" i="69" s="1"/>
  <c r="I15" i="54"/>
  <c r="I13" i="54"/>
  <c r="I16" i="54" s="1"/>
  <c r="I14" i="84" l="1"/>
  <c r="H14" i="84"/>
  <c r="I20" i="84"/>
  <c r="I10" i="84"/>
  <c r="I8" i="84"/>
  <c r="I11" i="84" s="1"/>
  <c r="K20" i="86"/>
  <c r="Y5" i="86" s="1"/>
  <c r="K10" i="86"/>
  <c r="K8" i="86"/>
  <c r="K11" i="86" s="1"/>
  <c r="I15" i="84" l="1"/>
  <c r="I13" i="84"/>
  <c r="I16" i="84" s="1"/>
  <c r="K13" i="86"/>
  <c r="K16" i="86" s="1"/>
  <c r="K15" i="86"/>
  <c r="J20" i="48" l="1"/>
  <c r="X5" i="48" s="1"/>
  <c r="J10" i="48"/>
  <c r="X3" i="48" s="1"/>
  <c r="J8" i="48"/>
  <c r="J11" i="48" s="1"/>
  <c r="K10" i="44"/>
  <c r="AB3" i="44" s="1"/>
  <c r="K8" i="44"/>
  <c r="K11" i="44" s="1"/>
  <c r="K13" i="44" s="1"/>
  <c r="K16" i="44" s="1"/>
  <c r="K20" i="42"/>
  <c r="Z5" i="42" s="1"/>
  <c r="K10" i="42"/>
  <c r="K8" i="42"/>
  <c r="K11" i="42" s="1"/>
  <c r="K13" i="42" s="1"/>
  <c r="J15" i="48" l="1"/>
  <c r="J13" i="48"/>
  <c r="J16" i="48" s="1"/>
  <c r="K15" i="44"/>
  <c r="K15" i="42"/>
  <c r="K16" i="42"/>
  <c r="K20" i="36" l="1"/>
  <c r="Y5" i="36" s="1"/>
  <c r="K10" i="36"/>
  <c r="K8" i="36"/>
  <c r="K11" i="36" s="1"/>
  <c r="K13" i="36" l="1"/>
  <c r="K16" i="36" s="1"/>
  <c r="K15" i="36"/>
  <c r="G21" i="111"/>
  <c r="F21" i="111"/>
  <c r="G14" i="111"/>
  <c r="F14" i="111"/>
  <c r="M24" i="112"/>
  <c r="L24" i="112"/>
  <c r="M23" i="112"/>
  <c r="L23" i="112"/>
  <c r="M21" i="112"/>
  <c r="L21" i="112"/>
  <c r="M20" i="112"/>
  <c r="L20" i="112"/>
  <c r="D21" i="112"/>
  <c r="M8" i="112" s="1"/>
  <c r="C21" i="112"/>
  <c r="L8" i="112" s="1"/>
  <c r="M17" i="112"/>
  <c r="L17" i="112"/>
  <c r="M15" i="112"/>
  <c r="L15" i="112"/>
  <c r="M14" i="112"/>
  <c r="L14" i="112"/>
  <c r="M12" i="112"/>
  <c r="L12" i="112"/>
  <c r="D11" i="112"/>
  <c r="M4" i="112" s="1"/>
  <c r="C11" i="112"/>
  <c r="L4" i="112" s="1"/>
  <c r="D9" i="112"/>
  <c r="D12" i="112" s="1"/>
  <c r="M10" i="112" s="1"/>
  <c r="C9" i="112"/>
  <c r="C12" i="112" s="1"/>
  <c r="M16" i="112" l="1"/>
  <c r="M6" i="112"/>
  <c r="L16" i="112"/>
  <c r="M25" i="112"/>
  <c r="L6" i="112"/>
  <c r="L25" i="112"/>
  <c r="L10" i="112"/>
  <c r="C16" i="112"/>
  <c r="L11" i="112"/>
  <c r="C14" i="112"/>
  <c r="C17" i="112" s="1"/>
  <c r="L19" i="112" s="1"/>
  <c r="D14" i="112"/>
  <c r="D17" i="112" s="1"/>
  <c r="M19" i="112" s="1"/>
  <c r="M11" i="112"/>
  <c r="D16" i="112"/>
  <c r="AB15" i="33"/>
  <c r="AB5" i="33"/>
  <c r="K10" i="33"/>
  <c r="AB3" i="33" s="1"/>
  <c r="K8" i="33"/>
  <c r="K11" i="33" s="1"/>
  <c r="K13" i="33" s="1"/>
  <c r="K16" i="33" s="1"/>
  <c r="K15" i="33" l="1"/>
  <c r="J10" i="98" l="1"/>
  <c r="J8" i="98"/>
  <c r="J11" i="98" s="1"/>
  <c r="J13" i="98" s="1"/>
  <c r="L20" i="58"/>
  <c r="L10" i="58"/>
  <c r="L8" i="58"/>
  <c r="L11" i="58" s="1"/>
  <c r="L13" i="58" s="1"/>
  <c r="K20" i="81"/>
  <c r="AA5" i="81" s="1"/>
  <c r="K10" i="81"/>
  <c r="K8" i="81"/>
  <c r="K11" i="81" s="1"/>
  <c r="K15" i="81" l="1"/>
  <c r="K13" i="81"/>
  <c r="K16" i="81" s="1"/>
  <c r="J15" i="98"/>
  <c r="L15" i="58"/>
  <c r="J16" i="98"/>
  <c r="L16" i="58"/>
  <c r="G21" i="110"/>
  <c r="F21" i="110"/>
  <c r="G14" i="110"/>
  <c r="F14" i="110"/>
  <c r="S24" i="111"/>
  <c r="R24" i="111"/>
  <c r="Q24" i="111"/>
  <c r="P24" i="111"/>
  <c r="S23" i="111"/>
  <c r="R23" i="111"/>
  <c r="Q23" i="111"/>
  <c r="Q25" i="111" s="1"/>
  <c r="P23" i="111"/>
  <c r="P25" i="111" s="1"/>
  <c r="S21" i="111"/>
  <c r="R21" i="111"/>
  <c r="Q21" i="111"/>
  <c r="P21" i="111"/>
  <c r="S20" i="111"/>
  <c r="R20" i="111"/>
  <c r="Q20" i="111"/>
  <c r="H20" i="111"/>
  <c r="G20" i="111"/>
  <c r="S7" i="111" s="1"/>
  <c r="F20" i="111"/>
  <c r="R5" i="111" s="1"/>
  <c r="E20" i="111"/>
  <c r="D20" i="111"/>
  <c r="P7" i="111" s="1"/>
  <c r="S16" i="111"/>
  <c r="R16" i="111"/>
  <c r="Q16" i="111"/>
  <c r="P16" i="111"/>
  <c r="T15" i="111"/>
  <c r="S14" i="111"/>
  <c r="R14" i="111"/>
  <c r="Q14" i="111"/>
  <c r="P14" i="111"/>
  <c r="S13" i="111"/>
  <c r="R13" i="111"/>
  <c r="Q13" i="111"/>
  <c r="P13" i="111"/>
  <c r="S11" i="111"/>
  <c r="R11" i="111"/>
  <c r="Q11" i="111"/>
  <c r="P11" i="111"/>
  <c r="C11" i="111"/>
  <c r="B11" i="111"/>
  <c r="H10" i="111"/>
  <c r="G10" i="111"/>
  <c r="S3" i="111" s="1"/>
  <c r="F10" i="111"/>
  <c r="R3" i="111" s="1"/>
  <c r="E10" i="111"/>
  <c r="Q3" i="111" s="1"/>
  <c r="D10" i="111"/>
  <c r="P3" i="111" s="1"/>
  <c r="C10" i="111"/>
  <c r="B10" i="111"/>
  <c r="H8" i="111"/>
  <c r="H11" i="111" s="1"/>
  <c r="G8" i="111"/>
  <c r="G11" i="111" s="1"/>
  <c r="F8" i="111"/>
  <c r="F11" i="111" s="1"/>
  <c r="F15" i="111" s="1"/>
  <c r="E8" i="111"/>
  <c r="E11" i="111" s="1"/>
  <c r="Q9" i="111" s="1"/>
  <c r="D8" i="111"/>
  <c r="D11" i="111" s="1"/>
  <c r="Q7" i="111"/>
  <c r="Q5" i="111"/>
  <c r="P5" i="111"/>
  <c r="H13" i="111" l="1"/>
  <c r="H16" i="111" s="1"/>
  <c r="H15" i="111"/>
  <c r="P15" i="111"/>
  <c r="Q15" i="111"/>
  <c r="S15" i="111"/>
  <c r="R15" i="111"/>
  <c r="S5" i="111"/>
  <c r="R7" i="111"/>
  <c r="S25" i="111"/>
  <c r="R25" i="111"/>
  <c r="G13" i="111"/>
  <c r="G16" i="111" s="1"/>
  <c r="S19" i="111" s="1"/>
  <c r="S9" i="111"/>
  <c r="G15" i="111"/>
  <c r="R9" i="111"/>
  <c r="P9" i="111"/>
  <c r="D15" i="111"/>
  <c r="P10" i="111"/>
  <c r="D13" i="111"/>
  <c r="D16" i="111" s="1"/>
  <c r="E13" i="111"/>
  <c r="E16" i="111" s="1"/>
  <c r="Q19" i="111" s="1"/>
  <c r="Q10" i="111"/>
  <c r="F13" i="111"/>
  <c r="F16" i="111" s="1"/>
  <c r="R19" i="111" s="1"/>
  <c r="S10" i="111"/>
  <c r="R10" i="111"/>
  <c r="E15" i="111"/>
  <c r="G21" i="109" l="1"/>
  <c r="F21" i="109"/>
  <c r="G14" i="109"/>
  <c r="F14" i="109"/>
  <c r="S24" i="110"/>
  <c r="R24" i="110"/>
  <c r="Q24" i="110"/>
  <c r="P24" i="110"/>
  <c r="S23" i="110"/>
  <c r="R23" i="110"/>
  <c r="Q23" i="110"/>
  <c r="Q25" i="110" s="1"/>
  <c r="P23" i="110"/>
  <c r="P25" i="110" s="1"/>
  <c r="S21" i="110"/>
  <c r="R21" i="110"/>
  <c r="Q21" i="110"/>
  <c r="P21" i="110"/>
  <c r="S20" i="110"/>
  <c r="R20" i="110"/>
  <c r="Q20" i="110"/>
  <c r="H20" i="110"/>
  <c r="G20" i="110"/>
  <c r="S7" i="110" s="1"/>
  <c r="F20" i="110"/>
  <c r="R5" i="110" s="1"/>
  <c r="E20" i="110"/>
  <c r="Q5" i="110" s="1"/>
  <c r="D20" i="110"/>
  <c r="P7" i="110" s="1"/>
  <c r="S16" i="110"/>
  <c r="R16" i="110"/>
  <c r="Q16" i="110"/>
  <c r="P16" i="110"/>
  <c r="T15" i="110"/>
  <c r="S14" i="110"/>
  <c r="R14" i="110"/>
  <c r="Q14" i="110"/>
  <c r="P14" i="110"/>
  <c r="P15" i="110" s="1"/>
  <c r="S13" i="110"/>
  <c r="S15" i="110" s="1"/>
  <c r="R13" i="110"/>
  <c r="Q13" i="110"/>
  <c r="P13" i="110"/>
  <c r="S11" i="110"/>
  <c r="R11" i="110"/>
  <c r="Q11" i="110"/>
  <c r="P11" i="110"/>
  <c r="H11" i="110"/>
  <c r="H15" i="110" s="1"/>
  <c r="C11" i="110"/>
  <c r="B11" i="110"/>
  <c r="H10" i="110"/>
  <c r="G10" i="110"/>
  <c r="S3" i="110" s="1"/>
  <c r="F10" i="110"/>
  <c r="R3" i="110" s="1"/>
  <c r="E10" i="110"/>
  <c r="D10" i="110"/>
  <c r="C10" i="110"/>
  <c r="B10" i="110"/>
  <c r="H8" i="110"/>
  <c r="G8" i="110"/>
  <c r="G11" i="110" s="1"/>
  <c r="S9" i="110" s="1"/>
  <c r="F8" i="110"/>
  <c r="F11" i="110" s="1"/>
  <c r="E8" i="110"/>
  <c r="E11" i="110" s="1"/>
  <c r="D8" i="110"/>
  <c r="D11" i="110" s="1"/>
  <c r="Q7" i="110"/>
  <c r="Q3" i="110"/>
  <c r="P3" i="110"/>
  <c r="P10" i="110" l="1"/>
  <c r="P9" i="110"/>
  <c r="P5" i="110"/>
  <c r="Q15" i="110"/>
  <c r="R15" i="110"/>
  <c r="R7" i="110"/>
  <c r="S25" i="110"/>
  <c r="R25" i="110"/>
  <c r="E13" i="110"/>
  <c r="E16" i="110" s="1"/>
  <c r="Q19" i="110" s="1"/>
  <c r="Q9" i="110"/>
  <c r="E15" i="110"/>
  <c r="Q10" i="110"/>
  <c r="F13" i="110"/>
  <c r="F16" i="110" s="1"/>
  <c r="R19" i="110" s="1"/>
  <c r="R9" i="110"/>
  <c r="F15" i="110"/>
  <c r="R10" i="110"/>
  <c r="G13" i="110"/>
  <c r="G16" i="110" s="1"/>
  <c r="S19" i="110" s="1"/>
  <c r="S5" i="110"/>
  <c r="S10" i="110"/>
  <c r="H13" i="110"/>
  <c r="H16" i="110" s="1"/>
  <c r="D15" i="110"/>
  <c r="D13" i="110"/>
  <c r="D16" i="110" s="1"/>
  <c r="G15" i="110"/>
  <c r="K20" i="35"/>
  <c r="AB5" i="35" s="1"/>
  <c r="K10" i="35"/>
  <c r="AB3" i="35" s="1"/>
  <c r="K11" i="35"/>
  <c r="K15" i="35" l="1"/>
  <c r="K13" i="35"/>
  <c r="K16" i="35" s="1"/>
  <c r="S24" i="109"/>
  <c r="R24" i="109"/>
  <c r="Q24" i="109"/>
  <c r="P24" i="109"/>
  <c r="P25" i="109" s="1"/>
  <c r="S23" i="109"/>
  <c r="R23" i="109"/>
  <c r="Q23" i="109"/>
  <c r="Q25" i="109" s="1"/>
  <c r="P23" i="109"/>
  <c r="S21" i="109"/>
  <c r="R21" i="109"/>
  <c r="Q21" i="109"/>
  <c r="P21" i="109"/>
  <c r="S20" i="109"/>
  <c r="R20" i="109"/>
  <c r="Q20" i="109"/>
  <c r="H20" i="109"/>
  <c r="G20" i="109"/>
  <c r="S7" i="109" s="1"/>
  <c r="F20" i="109"/>
  <c r="R5" i="109" s="1"/>
  <c r="E20" i="109"/>
  <c r="Q5" i="109" s="1"/>
  <c r="D20" i="109"/>
  <c r="P5" i="109" s="1"/>
  <c r="S16" i="109"/>
  <c r="R16" i="109"/>
  <c r="Q16" i="109"/>
  <c r="P16" i="109"/>
  <c r="T15" i="109"/>
  <c r="S14" i="109"/>
  <c r="R14" i="109"/>
  <c r="Q14" i="109"/>
  <c r="P14" i="109"/>
  <c r="S13" i="109"/>
  <c r="R13" i="109"/>
  <c r="Q13" i="109"/>
  <c r="Q15" i="109" s="1"/>
  <c r="P13" i="109"/>
  <c r="P15" i="109" s="1"/>
  <c r="S11" i="109"/>
  <c r="R11" i="109"/>
  <c r="Q11" i="109"/>
  <c r="P11" i="109"/>
  <c r="C11" i="109"/>
  <c r="B11" i="109"/>
  <c r="H10" i="109"/>
  <c r="G10" i="109"/>
  <c r="S3" i="109" s="1"/>
  <c r="F10" i="109"/>
  <c r="R3" i="109" s="1"/>
  <c r="E10" i="109"/>
  <c r="Q3" i="109" s="1"/>
  <c r="D10" i="109"/>
  <c r="P3" i="109" s="1"/>
  <c r="C10" i="109"/>
  <c r="B10" i="109"/>
  <c r="H8" i="109"/>
  <c r="H11" i="109" s="1"/>
  <c r="H15" i="109" s="1"/>
  <c r="G8" i="109"/>
  <c r="G11" i="109" s="1"/>
  <c r="F8" i="109"/>
  <c r="F11" i="109" s="1"/>
  <c r="E8" i="109"/>
  <c r="E11" i="109" s="1"/>
  <c r="D8" i="109"/>
  <c r="D11" i="109" s="1"/>
  <c r="R7" i="109"/>
  <c r="P10" i="109" l="1"/>
  <c r="P9" i="109"/>
  <c r="S15" i="109"/>
  <c r="R15" i="109"/>
  <c r="S5" i="109"/>
  <c r="S25" i="109"/>
  <c r="R25" i="109"/>
  <c r="Q10" i="109"/>
  <c r="E13" i="109"/>
  <c r="E16" i="109" s="1"/>
  <c r="Q19" i="109" s="1"/>
  <c r="Q9" i="109"/>
  <c r="E15" i="109"/>
  <c r="F13" i="109"/>
  <c r="F16" i="109" s="1"/>
  <c r="R19" i="109" s="1"/>
  <c r="F15" i="109"/>
  <c r="R9" i="109"/>
  <c r="R10" i="109"/>
  <c r="S9" i="109"/>
  <c r="G15" i="109"/>
  <c r="S10" i="109"/>
  <c r="G13" i="109"/>
  <c r="G16" i="109" s="1"/>
  <c r="S19" i="109" s="1"/>
  <c r="P7" i="109"/>
  <c r="D15" i="109"/>
  <c r="H13" i="109"/>
  <c r="H16" i="109" s="1"/>
  <c r="D13" i="109"/>
  <c r="D16" i="109" s="1"/>
  <c r="Q7" i="109"/>
  <c r="K20" i="79"/>
  <c r="AB5" i="79" s="1"/>
  <c r="K10" i="79"/>
  <c r="AB3" i="79" s="1"/>
  <c r="K8" i="79"/>
  <c r="K11" i="79" s="1"/>
  <c r="K13" i="79" s="1"/>
  <c r="G21" i="79"/>
  <c r="Y24" i="79" s="1"/>
  <c r="Y25" i="79" s="1"/>
  <c r="G14" i="79"/>
  <c r="D7" i="92"/>
  <c r="D10" i="92" s="1"/>
  <c r="E7" i="92"/>
  <c r="E10" i="92" s="1"/>
  <c r="E19" i="92"/>
  <c r="D19" i="92"/>
  <c r="E13" i="92"/>
  <c r="D13" i="92"/>
  <c r="E9" i="92"/>
  <c r="D9" i="92"/>
  <c r="K15" i="79" l="1"/>
  <c r="K16" i="79"/>
  <c r="E14" i="92"/>
  <c r="E12" i="92"/>
  <c r="E15" i="92" s="1"/>
  <c r="D12" i="92"/>
  <c r="D15" i="92" s="1"/>
  <c r="D14" i="92"/>
  <c r="T7" i="98"/>
  <c r="U7" i="98"/>
  <c r="V7" i="98"/>
  <c r="S7" i="98"/>
  <c r="T5" i="98"/>
  <c r="S5" i="98"/>
  <c r="I14" i="41"/>
  <c r="J8" i="41"/>
  <c r="J11" i="41"/>
  <c r="J15" i="41" s="1"/>
  <c r="J10" i="41"/>
  <c r="K10" i="57"/>
  <c r="AA3" i="57" s="1"/>
  <c r="K8" i="57"/>
  <c r="K11" i="57" s="1"/>
  <c r="K13" i="57" s="1"/>
  <c r="K16" i="57" s="1"/>
  <c r="K15" i="57" l="1"/>
  <c r="J13" i="41"/>
  <c r="J16" i="41" s="1"/>
  <c r="J20" i="34" l="1"/>
  <c r="W5" i="34" s="1"/>
  <c r="J10" i="34"/>
  <c r="J8" i="34"/>
  <c r="J11" i="34" s="1"/>
  <c r="J13" i="34" s="1"/>
  <c r="J16" i="34" s="1"/>
  <c r="J20" i="40"/>
  <c r="J10" i="40"/>
  <c r="J8" i="40"/>
  <c r="J11" i="40" s="1"/>
  <c r="J13" i="40" s="1"/>
  <c r="K20" i="30"/>
  <c r="AB5" i="30" s="1"/>
  <c r="K10" i="30"/>
  <c r="AB3" i="30" s="1"/>
  <c r="J10" i="30"/>
  <c r="AA3" i="30" s="1"/>
  <c r="K8" i="30"/>
  <c r="K11" i="30" s="1"/>
  <c r="K13" i="30" s="1"/>
  <c r="K16" i="30" s="1"/>
  <c r="K15" i="30" l="1"/>
  <c r="J15" i="34"/>
  <c r="J15" i="40"/>
  <c r="J16" i="40"/>
  <c r="K20" i="37" l="1"/>
  <c r="AA5" i="37" s="1"/>
  <c r="K10" i="37"/>
  <c r="K8" i="37"/>
  <c r="K11" i="37" s="1"/>
  <c r="J20" i="31"/>
  <c r="W5" i="31" s="1"/>
  <c r="J10" i="31"/>
  <c r="J8" i="31"/>
  <c r="J11" i="31" s="1"/>
  <c r="K10" i="26"/>
  <c r="K8" i="26"/>
  <c r="K11" i="26" s="1"/>
  <c r="K10" i="24"/>
  <c r="AB3" i="24" s="1"/>
  <c r="K8" i="24"/>
  <c r="K11" i="24" s="1"/>
  <c r="K13" i="24" s="1"/>
  <c r="K10" i="22"/>
  <c r="AA3" i="22" s="1"/>
  <c r="K8" i="22"/>
  <c r="K11" i="22" s="1"/>
  <c r="K13" i="22" s="1"/>
  <c r="K16" i="22" s="1"/>
  <c r="I14" i="19"/>
  <c r="I20" i="19"/>
  <c r="I11" i="19"/>
  <c r="I15" i="19" s="1"/>
  <c r="I10" i="19"/>
  <c r="I8" i="19"/>
  <c r="Y5" i="107"/>
  <c r="I13" i="19" l="1"/>
  <c r="I16" i="19" s="1"/>
  <c r="Y24" i="107"/>
  <c r="Y25" i="107" s="1"/>
  <c r="Z24" i="107"/>
  <c r="Z25" i="107" s="1"/>
  <c r="K15" i="26"/>
  <c r="K13" i="26"/>
  <c r="K16" i="26" s="1"/>
  <c r="K13" i="37"/>
  <c r="K16" i="37" s="1"/>
  <c r="K15" i="37"/>
  <c r="J15" i="31"/>
  <c r="J13" i="31"/>
  <c r="J16" i="31" s="1"/>
  <c r="K16" i="24"/>
  <c r="AB5" i="24"/>
  <c r="K15" i="22"/>
  <c r="K15" i="24"/>
  <c r="J10" i="107"/>
  <c r="Y3" i="107" s="1"/>
  <c r="J8" i="107"/>
  <c r="J11" i="107" s="1"/>
  <c r="Y10" i="107" s="1"/>
  <c r="G21" i="107"/>
  <c r="F21" i="107"/>
  <c r="G19" i="107"/>
  <c r="W21" i="107" s="1"/>
  <c r="F19" i="107"/>
  <c r="G14" i="107"/>
  <c r="F14" i="107"/>
  <c r="W24" i="107" l="1"/>
  <c r="W25" i="107" s="1"/>
  <c r="AB24" i="107"/>
  <c r="AB25" i="107" s="1"/>
  <c r="X24" i="107"/>
  <c r="X25" i="107" s="1"/>
  <c r="J15" i="107"/>
  <c r="J13" i="107"/>
  <c r="J16" i="107" s="1"/>
  <c r="F14" i="17"/>
  <c r="U24" i="108"/>
  <c r="T24" i="108"/>
  <c r="S24" i="108"/>
  <c r="R24" i="108"/>
  <c r="U23" i="108"/>
  <c r="T23" i="108"/>
  <c r="S23" i="108"/>
  <c r="R23" i="108"/>
  <c r="U21" i="108"/>
  <c r="T21" i="108"/>
  <c r="S21" i="108"/>
  <c r="R21" i="108"/>
  <c r="U20" i="108"/>
  <c r="T20" i="108"/>
  <c r="S20" i="108"/>
  <c r="I20" i="108"/>
  <c r="G20" i="108"/>
  <c r="U5" i="108" s="1"/>
  <c r="F20" i="108"/>
  <c r="T7" i="108" s="1"/>
  <c r="E20" i="108"/>
  <c r="D20" i="108"/>
  <c r="R7" i="108" s="1"/>
  <c r="U16" i="108"/>
  <c r="T16" i="108"/>
  <c r="S16" i="108"/>
  <c r="R16" i="108"/>
  <c r="X15" i="108"/>
  <c r="U14" i="108"/>
  <c r="T14" i="108"/>
  <c r="S14" i="108"/>
  <c r="R14" i="108"/>
  <c r="U13" i="108"/>
  <c r="T13" i="108"/>
  <c r="S13" i="108"/>
  <c r="R13" i="108"/>
  <c r="U11" i="108"/>
  <c r="T11" i="108"/>
  <c r="S11" i="108"/>
  <c r="R11" i="108"/>
  <c r="C11" i="108"/>
  <c r="B11" i="108"/>
  <c r="I10" i="108"/>
  <c r="W3" i="108" s="1"/>
  <c r="G10" i="108"/>
  <c r="U3" i="108" s="1"/>
  <c r="F10" i="108"/>
  <c r="T3" i="108" s="1"/>
  <c r="E10" i="108"/>
  <c r="S3" i="108" s="1"/>
  <c r="D10" i="108"/>
  <c r="C10" i="108"/>
  <c r="B10" i="108"/>
  <c r="I8" i="108"/>
  <c r="I11" i="108" s="1"/>
  <c r="G8" i="108"/>
  <c r="G11" i="108" s="1"/>
  <c r="F8" i="108"/>
  <c r="F11" i="108" s="1"/>
  <c r="E8" i="108"/>
  <c r="E11" i="108" s="1"/>
  <c r="S10" i="108" s="1"/>
  <c r="D8" i="108"/>
  <c r="D11" i="108" s="1"/>
  <c r="U7" i="108"/>
  <c r="S7" i="108"/>
  <c r="S5" i="108"/>
  <c r="R5" i="108"/>
  <c r="R3" i="108"/>
  <c r="W7" i="108" l="1"/>
  <c r="W5" i="108"/>
  <c r="W9" i="108"/>
  <c r="W10" i="108"/>
  <c r="R25" i="108"/>
  <c r="R15" i="108"/>
  <c r="S15" i="108"/>
  <c r="T15" i="108"/>
  <c r="S25" i="108"/>
  <c r="U15" i="108"/>
  <c r="U25" i="108"/>
  <c r="T25" i="108"/>
  <c r="R10" i="108"/>
  <c r="R9" i="108"/>
  <c r="D15" i="108"/>
  <c r="D13" i="108"/>
  <c r="D16" i="108" s="1"/>
  <c r="F13" i="108"/>
  <c r="F16" i="108" s="1"/>
  <c r="T19" i="108" s="1"/>
  <c r="T9" i="108"/>
  <c r="F15" i="108"/>
  <c r="T10" i="108"/>
  <c r="U9" i="108"/>
  <c r="G15" i="108"/>
  <c r="U10" i="108"/>
  <c r="G13" i="108"/>
  <c r="G16" i="108" s="1"/>
  <c r="U19" i="108" s="1"/>
  <c r="I15" i="108"/>
  <c r="I13" i="108"/>
  <c r="I16" i="108" s="1"/>
  <c r="W19" i="108" s="1"/>
  <c r="T5" i="108"/>
  <c r="E15" i="108"/>
  <c r="S9" i="108"/>
  <c r="E13" i="108"/>
  <c r="E16" i="108" s="1"/>
  <c r="S19" i="108" s="1"/>
  <c r="I21" i="28" l="1"/>
  <c r="I19" i="28"/>
  <c r="I20" i="28" s="1"/>
  <c r="I14" i="28"/>
  <c r="I10" i="28"/>
  <c r="I8" i="28"/>
  <c r="I11" i="28" s="1"/>
  <c r="I15" i="28" l="1"/>
  <c r="I13" i="28"/>
  <c r="I16" i="28" s="1"/>
  <c r="H14" i="28" l="1"/>
  <c r="F21" i="28"/>
  <c r="G19" i="28"/>
  <c r="F19" i="28"/>
  <c r="G14" i="28"/>
  <c r="F14" i="28"/>
  <c r="K20" i="20"/>
  <c r="K10" i="20"/>
  <c r="AA3" i="20" s="1"/>
  <c r="K8" i="20"/>
  <c r="K11" i="20" s="1"/>
  <c r="K15" i="20" l="1"/>
  <c r="K13" i="20"/>
  <c r="K16" i="20" s="1"/>
  <c r="K20" i="47" l="1"/>
  <c r="K10" i="47"/>
  <c r="AB3" i="47" s="1"/>
  <c r="K8" i="47"/>
  <c r="K11" i="47" s="1"/>
  <c r="K13" i="47" l="1"/>
  <c r="K16" i="47" s="1"/>
  <c r="K15" i="47"/>
  <c r="I21" i="10"/>
  <c r="H20" i="10"/>
  <c r="I20" i="10"/>
  <c r="I14" i="10"/>
  <c r="I10" i="10"/>
  <c r="I8" i="10"/>
  <c r="I11" i="10" s="1"/>
  <c r="I13" i="10" l="1"/>
  <c r="I16" i="10" s="1"/>
  <c r="I15" i="10"/>
  <c r="I21" i="25" l="1"/>
  <c r="I20" i="25"/>
  <c r="J20" i="25"/>
  <c r="I14" i="25"/>
  <c r="I10" i="25"/>
  <c r="I8" i="25"/>
  <c r="I11" i="25" s="1"/>
  <c r="I15" i="25" l="1"/>
  <c r="I13" i="25"/>
  <c r="I16" i="25" s="1"/>
  <c r="W15" i="14"/>
  <c r="J20" i="14"/>
  <c r="W5" i="14" s="1"/>
  <c r="J10" i="14"/>
  <c r="J8" i="14"/>
  <c r="J11" i="14" s="1"/>
  <c r="J15" i="14" l="1"/>
  <c r="J13" i="14"/>
  <c r="J16" i="14" s="1"/>
  <c r="K20" i="15"/>
  <c r="AB5" i="15" s="1"/>
  <c r="K10" i="15"/>
  <c r="AB3" i="15" s="1"/>
  <c r="K8" i="15"/>
  <c r="K11" i="15" s="1"/>
  <c r="K13" i="15" l="1"/>
  <c r="K16" i="15" s="1"/>
  <c r="K15" i="15"/>
  <c r="J21" i="45"/>
  <c r="J20" i="45"/>
  <c r="J14" i="45"/>
  <c r="J10" i="45"/>
  <c r="J11" i="45"/>
  <c r="J15" i="45" s="1"/>
  <c r="J8" i="45"/>
  <c r="J13" i="45" l="1"/>
  <c r="J16" i="45" s="1"/>
  <c r="G21" i="77"/>
  <c r="G19" i="77"/>
  <c r="G20" i="77" s="1"/>
  <c r="G10" i="77"/>
  <c r="G8" i="77"/>
  <c r="G11" i="77" s="1"/>
  <c r="G15" i="77" l="1"/>
  <c r="G13" i="77"/>
  <c r="G16" i="77" s="1"/>
  <c r="G21" i="30"/>
  <c r="Y24" i="30" s="1"/>
  <c r="Y25" i="30" s="1"/>
  <c r="F21" i="30"/>
  <c r="G19" i="30"/>
  <c r="Y21" i="30" s="1"/>
  <c r="F19" i="30"/>
  <c r="G14" i="30"/>
  <c r="F14" i="30"/>
  <c r="G21" i="48"/>
  <c r="V24" i="48" s="1"/>
  <c r="V25" i="48" s="1"/>
  <c r="G14" i="48"/>
  <c r="K20" i="23" l="1"/>
  <c r="K10" i="23"/>
  <c r="J10" i="23"/>
  <c r="K8" i="23"/>
  <c r="K11" i="23" s="1"/>
  <c r="K13" i="23" l="1"/>
  <c r="K16" i="23" s="1"/>
  <c r="K15" i="23"/>
  <c r="J20" i="16"/>
  <c r="J10" i="16"/>
  <c r="J8" i="16"/>
  <c r="J11" i="16" s="1"/>
  <c r="J13" i="16" l="1"/>
  <c r="J16" i="16" s="1"/>
  <c r="J15" i="16"/>
  <c r="K20" i="43"/>
  <c r="K10" i="43"/>
  <c r="AB3" i="43" s="1"/>
  <c r="K8" i="43"/>
  <c r="K11" i="43" s="1"/>
  <c r="K13" i="43" s="1"/>
  <c r="I21" i="12"/>
  <c r="I16" i="12"/>
  <c r="I14" i="12"/>
  <c r="H14" i="12"/>
  <c r="I13" i="12"/>
  <c r="I11" i="12"/>
  <c r="I15" i="12" s="1"/>
  <c r="I10" i="12"/>
  <c r="I8" i="12"/>
  <c r="K10" i="27"/>
  <c r="AB3" i="27" s="1"/>
  <c r="K8" i="27"/>
  <c r="K11" i="27" s="1"/>
  <c r="K15" i="27" l="1"/>
  <c r="K13" i="27"/>
  <c r="K16" i="27" s="1"/>
  <c r="K15" i="43"/>
  <c r="K16" i="43"/>
  <c r="I21" i="72" l="1"/>
  <c r="I19" i="72"/>
  <c r="I20" i="72" s="1"/>
  <c r="I14" i="72"/>
  <c r="I10" i="72"/>
  <c r="I8" i="72"/>
  <c r="I11" i="72" s="1"/>
  <c r="K20" i="5"/>
  <c r="L20" i="5"/>
  <c r="L10" i="5"/>
  <c r="AD3" i="5" s="1"/>
  <c r="L8" i="5"/>
  <c r="L11" i="5" s="1"/>
  <c r="I15" i="72" l="1"/>
  <c r="I13" i="72"/>
  <c r="I16" i="72" s="1"/>
  <c r="L13" i="5"/>
  <c r="L16" i="5" s="1"/>
  <c r="L15" i="5"/>
  <c r="K20" i="18"/>
  <c r="K10" i="18"/>
  <c r="AB3" i="18" s="1"/>
  <c r="K8" i="18"/>
  <c r="K11" i="18" s="1"/>
  <c r="K13" i="18" l="1"/>
  <c r="K16" i="18" s="1"/>
  <c r="K15" i="18"/>
  <c r="G14" i="106"/>
  <c r="F14" i="106"/>
  <c r="V24" i="107"/>
  <c r="U24" i="107"/>
  <c r="T24" i="107"/>
  <c r="S24" i="107"/>
  <c r="V23" i="107"/>
  <c r="U23" i="107"/>
  <c r="T23" i="107"/>
  <c r="S23" i="107"/>
  <c r="V21" i="107"/>
  <c r="U21" i="107"/>
  <c r="T21" i="107"/>
  <c r="S21" i="107"/>
  <c r="V20" i="107"/>
  <c r="U20" i="107"/>
  <c r="T20" i="107"/>
  <c r="I20" i="107"/>
  <c r="X5" i="107" s="1"/>
  <c r="G20" i="107"/>
  <c r="V7" i="107" s="1"/>
  <c r="F20" i="107"/>
  <c r="U7" i="107" s="1"/>
  <c r="E20" i="107"/>
  <c r="T7" i="107" s="1"/>
  <c r="D20" i="107"/>
  <c r="S5" i="107" s="1"/>
  <c r="V16" i="107"/>
  <c r="U16" i="107"/>
  <c r="T16" i="107"/>
  <c r="S16" i="107"/>
  <c r="V14" i="107"/>
  <c r="U14" i="107"/>
  <c r="U15" i="107" s="1"/>
  <c r="T14" i="107"/>
  <c r="S14" i="107"/>
  <c r="V13" i="107"/>
  <c r="U13" i="107"/>
  <c r="T13" i="107"/>
  <c r="S13" i="107"/>
  <c r="V11" i="107"/>
  <c r="U11" i="107"/>
  <c r="T11" i="107"/>
  <c r="S11" i="107"/>
  <c r="C11" i="107"/>
  <c r="B11" i="107"/>
  <c r="I10" i="107"/>
  <c r="X3" i="107" s="1"/>
  <c r="G10" i="107"/>
  <c r="V3" i="107" s="1"/>
  <c r="F10" i="107"/>
  <c r="U3" i="107" s="1"/>
  <c r="E10" i="107"/>
  <c r="T3" i="107" s="1"/>
  <c r="D10" i="107"/>
  <c r="S3" i="107" s="1"/>
  <c r="C10" i="107"/>
  <c r="B10" i="107"/>
  <c r="I8" i="107"/>
  <c r="I11" i="107" s="1"/>
  <c r="G8" i="107"/>
  <c r="G11" i="107" s="1"/>
  <c r="F8" i="107"/>
  <c r="F11" i="107" s="1"/>
  <c r="E8" i="107"/>
  <c r="E11" i="107" s="1"/>
  <c r="D8" i="107"/>
  <c r="D11" i="107" s="1"/>
  <c r="V5" i="107" l="1"/>
  <c r="T15" i="107"/>
  <c r="S15" i="107"/>
  <c r="S10" i="107"/>
  <c r="S9" i="107"/>
  <c r="S25" i="107"/>
  <c r="T5" i="107"/>
  <c r="T25" i="107"/>
  <c r="I15" i="107"/>
  <c r="X10" i="107"/>
  <c r="V15" i="107"/>
  <c r="U5" i="107"/>
  <c r="V25" i="107"/>
  <c r="U25" i="107"/>
  <c r="T10" i="107"/>
  <c r="E13" i="107"/>
  <c r="E16" i="107" s="1"/>
  <c r="T19" i="107" s="1"/>
  <c r="T9" i="107"/>
  <c r="E15" i="107"/>
  <c r="F13" i="107"/>
  <c r="F16" i="107" s="1"/>
  <c r="U19" i="107" s="1"/>
  <c r="U9" i="107"/>
  <c r="F15" i="107"/>
  <c r="U10" i="107"/>
  <c r="V9" i="107"/>
  <c r="G15" i="107"/>
  <c r="G13" i="107"/>
  <c r="G16" i="107" s="1"/>
  <c r="V19" i="107" s="1"/>
  <c r="V10" i="107"/>
  <c r="I13" i="107"/>
  <c r="I16" i="107" s="1"/>
  <c r="S7" i="107"/>
  <c r="D15" i="107"/>
  <c r="D13" i="107"/>
  <c r="D16" i="107" s="1"/>
  <c r="T24" i="106"/>
  <c r="S24" i="106"/>
  <c r="R24" i="106"/>
  <c r="Q24" i="106"/>
  <c r="T23" i="106"/>
  <c r="S23" i="106"/>
  <c r="R23" i="106"/>
  <c r="Q23" i="106"/>
  <c r="T21" i="106"/>
  <c r="S21" i="106"/>
  <c r="R21" i="106"/>
  <c r="Q21" i="106"/>
  <c r="T20" i="106"/>
  <c r="S20" i="106"/>
  <c r="R20" i="106"/>
  <c r="I20" i="106"/>
  <c r="G20" i="106"/>
  <c r="T7" i="106" s="1"/>
  <c r="F20" i="106"/>
  <c r="S7" i="106" s="1"/>
  <c r="E20" i="106"/>
  <c r="R7" i="106" s="1"/>
  <c r="D20" i="106"/>
  <c r="Q5" i="106" s="1"/>
  <c r="T16" i="106"/>
  <c r="S16" i="106"/>
  <c r="R16" i="106"/>
  <c r="Q16" i="106"/>
  <c r="V15" i="106"/>
  <c r="T14" i="106"/>
  <c r="T15" i="106" s="1"/>
  <c r="S14" i="106"/>
  <c r="R14" i="106"/>
  <c r="Q14" i="106"/>
  <c r="Q15" i="106" s="1"/>
  <c r="T13" i="106"/>
  <c r="S13" i="106"/>
  <c r="R13" i="106"/>
  <c r="Q13" i="106"/>
  <c r="T11" i="106"/>
  <c r="S11" i="106"/>
  <c r="R11" i="106"/>
  <c r="Q11" i="106"/>
  <c r="C11" i="106"/>
  <c r="B11" i="106"/>
  <c r="I10" i="106"/>
  <c r="G10" i="106"/>
  <c r="T3" i="106" s="1"/>
  <c r="F10" i="106"/>
  <c r="S3" i="106" s="1"/>
  <c r="E10" i="106"/>
  <c r="R3" i="106" s="1"/>
  <c r="D10" i="106"/>
  <c r="Q3" i="106" s="1"/>
  <c r="C10" i="106"/>
  <c r="B10" i="106"/>
  <c r="I8" i="106"/>
  <c r="I11" i="106" s="1"/>
  <c r="G8" i="106"/>
  <c r="G11" i="106" s="1"/>
  <c r="T9" i="106" s="1"/>
  <c r="F8" i="106"/>
  <c r="F11" i="106" s="1"/>
  <c r="E8" i="106"/>
  <c r="E11" i="106" s="1"/>
  <c r="D8" i="106"/>
  <c r="D11" i="106" s="1"/>
  <c r="Q7" i="106"/>
  <c r="R5" i="106"/>
  <c r="R15" i="106" l="1"/>
  <c r="Q25" i="106"/>
  <c r="R25" i="106"/>
  <c r="S15" i="106"/>
  <c r="T25" i="106"/>
  <c r="T5" i="106"/>
  <c r="S5" i="106"/>
  <c r="S25" i="106"/>
  <c r="E13" i="106"/>
  <c r="E16" i="106" s="1"/>
  <c r="R19" i="106" s="1"/>
  <c r="E15" i="106"/>
  <c r="R10" i="106"/>
  <c r="R9" i="106"/>
  <c r="S9" i="106"/>
  <c r="F13" i="106"/>
  <c r="F16" i="106" s="1"/>
  <c r="S19" i="106" s="1"/>
  <c r="F15" i="106"/>
  <c r="S10" i="106"/>
  <c r="Q10" i="106"/>
  <c r="D13" i="106"/>
  <c r="D16" i="106" s="1"/>
  <c r="Q9" i="106"/>
  <c r="D15" i="106"/>
  <c r="I15" i="106"/>
  <c r="I13" i="106"/>
  <c r="I16" i="106" s="1"/>
  <c r="G13" i="106"/>
  <c r="G16" i="106" s="1"/>
  <c r="T19" i="106" s="1"/>
  <c r="T10" i="106"/>
  <c r="G15" i="106"/>
  <c r="G21" i="104" l="1"/>
  <c r="V24" i="104" s="1"/>
  <c r="V25" i="104" s="1"/>
  <c r="F21" i="104"/>
  <c r="G14" i="104"/>
  <c r="F14" i="104"/>
  <c r="U24" i="104" l="1"/>
  <c r="T24" i="104"/>
  <c r="S24" i="104"/>
  <c r="R24" i="104"/>
  <c r="U23" i="104"/>
  <c r="T23" i="104"/>
  <c r="S23" i="104"/>
  <c r="S25" i="104" s="1"/>
  <c r="R23" i="104"/>
  <c r="R25" i="104" s="1"/>
  <c r="U21" i="104"/>
  <c r="T21" i="104"/>
  <c r="S21" i="104"/>
  <c r="R21" i="104"/>
  <c r="U20" i="104"/>
  <c r="T20" i="104"/>
  <c r="S20" i="104"/>
  <c r="J20" i="104"/>
  <c r="G20" i="104"/>
  <c r="U5" i="104" s="1"/>
  <c r="F20" i="104"/>
  <c r="T7" i="104" s="1"/>
  <c r="E20" i="104"/>
  <c r="S7" i="104" s="1"/>
  <c r="D20" i="104"/>
  <c r="R7" i="104" s="1"/>
  <c r="U16" i="104"/>
  <c r="T16" i="104"/>
  <c r="S16" i="104"/>
  <c r="R16" i="104"/>
  <c r="X15" i="104"/>
  <c r="U14" i="104"/>
  <c r="T14" i="104"/>
  <c r="S14" i="104"/>
  <c r="R14" i="104"/>
  <c r="U13" i="104"/>
  <c r="U15" i="104" s="1"/>
  <c r="T13" i="104"/>
  <c r="S13" i="104"/>
  <c r="R13" i="104"/>
  <c r="U11" i="104"/>
  <c r="T11" i="104"/>
  <c r="S11" i="104"/>
  <c r="R11" i="104"/>
  <c r="C11" i="104"/>
  <c r="B11" i="104"/>
  <c r="J10" i="104"/>
  <c r="X3" i="104" s="1"/>
  <c r="G10" i="104"/>
  <c r="U3" i="104" s="1"/>
  <c r="F10" i="104"/>
  <c r="T3" i="104" s="1"/>
  <c r="E10" i="104"/>
  <c r="S3" i="104" s="1"/>
  <c r="D10" i="104"/>
  <c r="R3" i="104" s="1"/>
  <c r="C10" i="104"/>
  <c r="B10" i="104"/>
  <c r="J8" i="104"/>
  <c r="J11" i="104" s="1"/>
  <c r="G8" i="104"/>
  <c r="G11" i="104" s="1"/>
  <c r="F8" i="104"/>
  <c r="F11" i="104" s="1"/>
  <c r="E8" i="104"/>
  <c r="E11" i="104" s="1"/>
  <c r="D8" i="104"/>
  <c r="D11" i="104" s="1"/>
  <c r="S5" i="104"/>
  <c r="R10" i="104" l="1"/>
  <c r="D15" i="104"/>
  <c r="R9" i="104"/>
  <c r="S10" i="104"/>
  <c r="S9" i="104"/>
  <c r="E15" i="104"/>
  <c r="R5" i="104"/>
  <c r="S15" i="104"/>
  <c r="R15" i="104"/>
  <c r="T15" i="104"/>
  <c r="U25" i="104"/>
  <c r="T25" i="104"/>
  <c r="U10" i="104"/>
  <c r="G15" i="104"/>
  <c r="U9" i="104"/>
  <c r="F13" i="104"/>
  <c r="F16" i="104" s="1"/>
  <c r="T19" i="104" s="1"/>
  <c r="T9" i="104"/>
  <c r="F15" i="104"/>
  <c r="J13" i="104"/>
  <c r="J16" i="104" s="1"/>
  <c r="J15" i="104"/>
  <c r="D13" i="104"/>
  <c r="D16" i="104" s="1"/>
  <c r="E13" i="104"/>
  <c r="E16" i="104" s="1"/>
  <c r="S19" i="104" s="1"/>
  <c r="T5" i="104"/>
  <c r="T10" i="104"/>
  <c r="G13" i="104"/>
  <c r="G16" i="104" s="1"/>
  <c r="U19" i="104" s="1"/>
  <c r="U7" i="104"/>
  <c r="K22" i="75" l="1"/>
  <c r="K46" i="87" s="1"/>
  <c r="G21" i="31"/>
  <c r="U24" i="31" s="1"/>
  <c r="U25" i="31" s="1"/>
  <c r="F21" i="31"/>
  <c r="G14" i="31" l="1"/>
  <c r="F14" i="31"/>
  <c r="G14" i="99" l="1"/>
  <c r="F14" i="99"/>
  <c r="G20" i="98" l="1"/>
  <c r="F20" i="98"/>
  <c r="U5" i="98" s="1"/>
  <c r="G14" i="98"/>
  <c r="F14" i="98"/>
  <c r="T24" i="99"/>
  <c r="S24" i="99"/>
  <c r="R24" i="99"/>
  <c r="Q24" i="99"/>
  <c r="T23" i="99"/>
  <c r="S23" i="99"/>
  <c r="R23" i="99"/>
  <c r="R25" i="99" s="1"/>
  <c r="Q23" i="99"/>
  <c r="Q25" i="99" s="1"/>
  <c r="T21" i="99"/>
  <c r="S21" i="99"/>
  <c r="R21" i="99"/>
  <c r="Q21" i="99"/>
  <c r="T20" i="99"/>
  <c r="S20" i="99"/>
  <c r="R20" i="99"/>
  <c r="I20" i="99"/>
  <c r="G20" i="99"/>
  <c r="T5" i="99" s="1"/>
  <c r="F20" i="99"/>
  <c r="S5" i="99" s="1"/>
  <c r="E20" i="99"/>
  <c r="R7" i="99" s="1"/>
  <c r="D20" i="99"/>
  <c r="Q7" i="99" s="1"/>
  <c r="T16" i="99"/>
  <c r="S16" i="99"/>
  <c r="R16" i="99"/>
  <c r="Q16" i="99"/>
  <c r="V15" i="99"/>
  <c r="T14" i="99"/>
  <c r="S14" i="99"/>
  <c r="R14" i="99"/>
  <c r="Q14" i="99"/>
  <c r="T13" i="99"/>
  <c r="S13" i="99"/>
  <c r="R13" i="99"/>
  <c r="Q13" i="99"/>
  <c r="T11" i="99"/>
  <c r="S11" i="99"/>
  <c r="R11" i="99"/>
  <c r="Q11" i="99"/>
  <c r="D11" i="99"/>
  <c r="Q10" i="99" s="1"/>
  <c r="C11" i="99"/>
  <c r="B11" i="99"/>
  <c r="I10" i="99"/>
  <c r="G10" i="99"/>
  <c r="T3" i="99" s="1"/>
  <c r="F10" i="99"/>
  <c r="S3" i="99" s="1"/>
  <c r="E10" i="99"/>
  <c r="R3" i="99" s="1"/>
  <c r="D10" i="99"/>
  <c r="C10" i="99"/>
  <c r="B10" i="99"/>
  <c r="I8" i="99"/>
  <c r="I11" i="99" s="1"/>
  <c r="G8" i="99"/>
  <c r="G11" i="99" s="1"/>
  <c r="F8" i="99"/>
  <c r="F11" i="99" s="1"/>
  <c r="E8" i="99"/>
  <c r="E11" i="99" s="1"/>
  <c r="D8" i="99"/>
  <c r="Q3" i="99"/>
  <c r="R10" i="99" l="1"/>
  <c r="R9" i="99"/>
  <c r="E15" i="99"/>
  <c r="Q9" i="99"/>
  <c r="D15" i="99"/>
  <c r="Q5" i="99"/>
  <c r="R5" i="99"/>
  <c r="Q15" i="99"/>
  <c r="R15" i="99"/>
  <c r="W24" i="98"/>
  <c r="W25" i="98" s="1"/>
  <c r="V5" i="98"/>
  <c r="T25" i="99"/>
  <c r="T10" i="99"/>
  <c r="T9" i="99"/>
  <c r="G15" i="99"/>
  <c r="S25" i="99"/>
  <c r="F13" i="99"/>
  <c r="F16" i="99" s="1"/>
  <c r="S19" i="99" s="1"/>
  <c r="S9" i="99"/>
  <c r="F15" i="99"/>
  <c r="T15" i="99"/>
  <c r="S15" i="99"/>
  <c r="I13" i="99"/>
  <c r="I16" i="99" s="1"/>
  <c r="I15" i="99"/>
  <c r="S7" i="99"/>
  <c r="D13" i="99"/>
  <c r="D16" i="99" s="1"/>
  <c r="S10" i="99"/>
  <c r="G13" i="99"/>
  <c r="G16" i="99" s="1"/>
  <c r="T19" i="99" s="1"/>
  <c r="T7" i="99"/>
  <c r="E13" i="99"/>
  <c r="E16" i="99" s="1"/>
  <c r="R19" i="99" s="1"/>
  <c r="AO19" i="92" l="1"/>
  <c r="AO13" i="92"/>
  <c r="AO9" i="92"/>
  <c r="AO5" i="92"/>
  <c r="AO7" i="92" s="1"/>
  <c r="G21" i="81"/>
  <c r="X24" i="81" s="1"/>
  <c r="X25" i="81" s="1"/>
  <c r="G14" i="81"/>
  <c r="G5" i="81"/>
  <c r="G21" i="96"/>
  <c r="F21" i="96"/>
  <c r="G19" i="96"/>
  <c r="F19" i="96"/>
  <c r="G14" i="96"/>
  <c r="F14" i="96"/>
  <c r="AO10" i="92" l="1"/>
  <c r="AO14" i="92" s="1"/>
  <c r="AO12" i="92" l="1"/>
  <c r="AO15" i="92" s="1"/>
  <c r="V24" i="98" l="1"/>
  <c r="U24" i="98"/>
  <c r="T24" i="98"/>
  <c r="S24" i="98"/>
  <c r="V23" i="98"/>
  <c r="U23" i="98"/>
  <c r="T23" i="98"/>
  <c r="T25" i="98" s="1"/>
  <c r="S23" i="98"/>
  <c r="S25" i="98" s="1"/>
  <c r="V21" i="98"/>
  <c r="U21" i="98"/>
  <c r="T21" i="98"/>
  <c r="S21" i="98"/>
  <c r="V20" i="98"/>
  <c r="U20" i="98"/>
  <c r="T20" i="98"/>
  <c r="V16" i="98"/>
  <c r="U16" i="98"/>
  <c r="T16" i="98"/>
  <c r="S16" i="98"/>
  <c r="X15" i="98"/>
  <c r="V14" i="98"/>
  <c r="U14" i="98"/>
  <c r="T14" i="98"/>
  <c r="S14" i="98"/>
  <c r="V13" i="98"/>
  <c r="U13" i="98"/>
  <c r="T13" i="98"/>
  <c r="S13" i="98"/>
  <c r="V11" i="98"/>
  <c r="U11" i="98"/>
  <c r="T11" i="98"/>
  <c r="S11" i="98"/>
  <c r="C11" i="98"/>
  <c r="B11" i="98"/>
  <c r="I10" i="98"/>
  <c r="G10" i="98"/>
  <c r="V3" i="98" s="1"/>
  <c r="F10" i="98"/>
  <c r="U3" i="98" s="1"/>
  <c r="E10" i="98"/>
  <c r="T3" i="98" s="1"/>
  <c r="D10" i="98"/>
  <c r="S3" i="98" s="1"/>
  <c r="C10" i="98"/>
  <c r="B10" i="98"/>
  <c r="I8" i="98"/>
  <c r="I11" i="98" s="1"/>
  <c r="G8" i="98"/>
  <c r="G11" i="98" s="1"/>
  <c r="F8" i="98"/>
  <c r="F11" i="98" s="1"/>
  <c r="E8" i="98"/>
  <c r="E11" i="98" s="1"/>
  <c r="D8" i="98"/>
  <c r="D11" i="98" s="1"/>
  <c r="S15" i="98" l="1"/>
  <c r="T15" i="98"/>
  <c r="U15" i="98"/>
  <c r="T10" i="98"/>
  <c r="E15" i="98"/>
  <c r="T9" i="98"/>
  <c r="D15" i="98"/>
  <c r="S9" i="98"/>
  <c r="V15" i="98"/>
  <c r="V25" i="98"/>
  <c r="U25" i="98"/>
  <c r="V10" i="98"/>
  <c r="V9" i="98"/>
  <c r="G15" i="98"/>
  <c r="U10" i="98"/>
  <c r="F15" i="98"/>
  <c r="U9" i="98"/>
  <c r="I13" i="98"/>
  <c r="I16" i="98" s="1"/>
  <c r="I15" i="98"/>
  <c r="E13" i="98"/>
  <c r="E16" i="98" s="1"/>
  <c r="T19" i="98" s="1"/>
  <c r="D13" i="98"/>
  <c r="D16" i="98" s="1"/>
  <c r="S10" i="98"/>
  <c r="F13" i="98"/>
  <c r="F16" i="98" s="1"/>
  <c r="U19" i="98" s="1"/>
  <c r="G13" i="98"/>
  <c r="G16" i="98" s="1"/>
  <c r="V19" i="98" s="1"/>
  <c r="E21" i="94" l="1"/>
  <c r="D21" i="94"/>
  <c r="E14" i="94"/>
  <c r="D14" i="94"/>
  <c r="G21" i="94" l="1"/>
  <c r="F21" i="94"/>
  <c r="G14" i="94"/>
  <c r="F14" i="94"/>
  <c r="S24" i="96"/>
  <c r="R24" i="96"/>
  <c r="Q24" i="96"/>
  <c r="P24" i="96"/>
  <c r="S23" i="96"/>
  <c r="R23" i="96"/>
  <c r="Q23" i="96"/>
  <c r="Q25" i="96" s="1"/>
  <c r="P23" i="96"/>
  <c r="P25" i="96" s="1"/>
  <c r="S21" i="96"/>
  <c r="R21" i="96"/>
  <c r="Q21" i="96"/>
  <c r="P21" i="96"/>
  <c r="S20" i="96"/>
  <c r="R20" i="96"/>
  <c r="Q20" i="96"/>
  <c r="G20" i="96"/>
  <c r="S7" i="96" s="1"/>
  <c r="F20" i="96"/>
  <c r="R7" i="96" s="1"/>
  <c r="E20" i="96"/>
  <c r="Q5" i="96" s="1"/>
  <c r="D20" i="96"/>
  <c r="P5" i="96" s="1"/>
  <c r="S16" i="96"/>
  <c r="R16" i="96"/>
  <c r="Q16" i="96"/>
  <c r="P16" i="96"/>
  <c r="T15" i="96"/>
  <c r="S14" i="96"/>
  <c r="R14" i="96"/>
  <c r="Q14" i="96"/>
  <c r="P14" i="96"/>
  <c r="S13" i="96"/>
  <c r="S15" i="96" s="1"/>
  <c r="R13" i="96"/>
  <c r="R15" i="96" s="1"/>
  <c r="Q13" i="96"/>
  <c r="Q15" i="96" s="1"/>
  <c r="P13" i="96"/>
  <c r="S11" i="96"/>
  <c r="R11" i="96"/>
  <c r="Q11" i="96"/>
  <c r="P11" i="96"/>
  <c r="C11" i="96"/>
  <c r="B11" i="96"/>
  <c r="H10" i="96"/>
  <c r="G10" i="96"/>
  <c r="S3" i="96" s="1"/>
  <c r="F10" i="96"/>
  <c r="R3" i="96" s="1"/>
  <c r="E10" i="96"/>
  <c r="Q3" i="96" s="1"/>
  <c r="D10" i="96"/>
  <c r="P3" i="96" s="1"/>
  <c r="C10" i="96"/>
  <c r="B10" i="96"/>
  <c r="H8" i="96"/>
  <c r="H11" i="96" s="1"/>
  <c r="H15" i="96" s="1"/>
  <c r="G8" i="96"/>
  <c r="G11" i="96" s="1"/>
  <c r="F8" i="96"/>
  <c r="F11" i="96" s="1"/>
  <c r="E8" i="96"/>
  <c r="E11" i="96" s="1"/>
  <c r="D8" i="96"/>
  <c r="D11" i="96" s="1"/>
  <c r="P10" i="96" s="1"/>
  <c r="Q10" i="96" l="1"/>
  <c r="Q9" i="96"/>
  <c r="P15" i="96"/>
  <c r="S5" i="96"/>
  <c r="R5" i="96"/>
  <c r="S25" i="96"/>
  <c r="R25" i="96"/>
  <c r="F13" i="96"/>
  <c r="F16" i="96" s="1"/>
  <c r="R19" i="96" s="1"/>
  <c r="R9" i="96"/>
  <c r="R10" i="96"/>
  <c r="F15" i="96"/>
  <c r="S9" i="96"/>
  <c r="G15" i="96"/>
  <c r="S10" i="96"/>
  <c r="G13" i="96"/>
  <c r="G16" i="96" s="1"/>
  <c r="S19" i="96" s="1"/>
  <c r="H13" i="96"/>
  <c r="H16" i="96" s="1"/>
  <c r="P7" i="96"/>
  <c r="D15" i="96"/>
  <c r="Q7" i="96"/>
  <c r="P9" i="96"/>
  <c r="E15" i="96"/>
  <c r="D13" i="96"/>
  <c r="D16" i="96" s="1"/>
  <c r="E13" i="96"/>
  <c r="E16" i="96" s="1"/>
  <c r="Q19" i="96" s="1"/>
  <c r="U20" i="73"/>
  <c r="V20" i="73"/>
  <c r="W20" i="73"/>
  <c r="X20" i="73"/>
  <c r="E20" i="94" l="1"/>
  <c r="Q5" i="94" s="1"/>
  <c r="F20" i="94"/>
  <c r="R7" i="94" s="1"/>
  <c r="Q11" i="94"/>
  <c r="Q24" i="94"/>
  <c r="P24" i="94"/>
  <c r="S23" i="94"/>
  <c r="R23" i="94"/>
  <c r="Q23" i="94"/>
  <c r="P23" i="94"/>
  <c r="S21" i="94"/>
  <c r="R21" i="94"/>
  <c r="Q21" i="94"/>
  <c r="P21" i="94"/>
  <c r="S20" i="94"/>
  <c r="R20" i="94"/>
  <c r="Q20" i="94"/>
  <c r="H20" i="94"/>
  <c r="G20" i="94"/>
  <c r="S5" i="94" s="1"/>
  <c r="D20" i="94"/>
  <c r="P7" i="94" s="1"/>
  <c r="S16" i="94"/>
  <c r="R16" i="94"/>
  <c r="Q16" i="94"/>
  <c r="P16" i="94"/>
  <c r="T15" i="94"/>
  <c r="S14" i="94"/>
  <c r="R14" i="94"/>
  <c r="Q14" i="94"/>
  <c r="P14" i="94"/>
  <c r="S13" i="94"/>
  <c r="S15" i="94" s="1"/>
  <c r="R13" i="94"/>
  <c r="Q13" i="94"/>
  <c r="P13" i="94"/>
  <c r="S11" i="94"/>
  <c r="R11" i="94"/>
  <c r="P11" i="94"/>
  <c r="C11" i="94"/>
  <c r="B11" i="94"/>
  <c r="H10" i="94"/>
  <c r="G10" i="94"/>
  <c r="S3" i="94" s="1"/>
  <c r="F10" i="94"/>
  <c r="R3" i="94" s="1"/>
  <c r="E10" i="94"/>
  <c r="Q3" i="94" s="1"/>
  <c r="D10" i="94"/>
  <c r="P3" i="94" s="1"/>
  <c r="C10" i="94"/>
  <c r="B10" i="94"/>
  <c r="H8" i="94"/>
  <c r="H11" i="94" s="1"/>
  <c r="H13" i="94" s="1"/>
  <c r="H16" i="94" s="1"/>
  <c r="G8" i="94"/>
  <c r="G11" i="94" s="1"/>
  <c r="F8" i="94"/>
  <c r="F11" i="94" s="1"/>
  <c r="F15" i="94" s="1"/>
  <c r="E8" i="94"/>
  <c r="E11" i="94" s="1"/>
  <c r="E13" i="94" s="1"/>
  <c r="E16" i="94" s="1"/>
  <c r="D8" i="94"/>
  <c r="D11" i="94" s="1"/>
  <c r="G8" i="93"/>
  <c r="G11" i="93" s="1"/>
  <c r="G14" i="93"/>
  <c r="G10" i="93"/>
  <c r="G14" i="83"/>
  <c r="G15" i="93" l="1"/>
  <c r="P15" i="94"/>
  <c r="P5" i="94"/>
  <c r="P25" i="94"/>
  <c r="E15" i="94"/>
  <c r="P10" i="94"/>
  <c r="P9" i="94"/>
  <c r="S7" i="94"/>
  <c r="F13" i="94"/>
  <c r="F16" i="94" s="1"/>
  <c r="R19" i="94" s="1"/>
  <c r="Q7" i="94"/>
  <c r="Q19" i="94"/>
  <c r="Q15" i="94"/>
  <c r="R15" i="94"/>
  <c r="R5" i="94"/>
  <c r="Q25" i="94"/>
  <c r="Q9" i="94"/>
  <c r="R10" i="94"/>
  <c r="R9" i="94"/>
  <c r="G13" i="94"/>
  <c r="G16" i="94" s="1"/>
  <c r="S19" i="94" s="1"/>
  <c r="S10" i="94"/>
  <c r="G15" i="94"/>
  <c r="S9" i="94"/>
  <c r="D15" i="94"/>
  <c r="D13" i="94"/>
  <c r="D16" i="94" s="1"/>
  <c r="R24" i="94"/>
  <c r="R25" i="94" s="1"/>
  <c r="Q10" i="94"/>
  <c r="S24" i="94"/>
  <c r="S25" i="94" s="1"/>
  <c r="H15" i="94"/>
  <c r="G13" i="93"/>
  <c r="G16" i="93" s="1"/>
  <c r="W8" i="88" l="1"/>
  <c r="W11" i="88" s="1"/>
  <c r="W20" i="88"/>
  <c r="W14" i="88"/>
  <c r="W10" i="88"/>
  <c r="G21" i="45"/>
  <c r="G14" i="45"/>
  <c r="W15" i="88" l="1"/>
  <c r="W13" i="88"/>
  <c r="W16" i="88" s="1"/>
  <c r="G14" i="89"/>
  <c r="F14" i="89"/>
  <c r="G10" i="89"/>
  <c r="F10" i="89"/>
  <c r="G6" i="89"/>
  <c r="F6" i="89"/>
  <c r="F8" i="89" s="1"/>
  <c r="G8" i="89" l="1"/>
  <c r="G11" i="89" s="1"/>
  <c r="F11" i="89"/>
  <c r="F13" i="89" s="1"/>
  <c r="F16" i="89" s="1"/>
  <c r="G14" i="86"/>
  <c r="F14" i="86"/>
  <c r="G5" i="86"/>
  <c r="F5" i="86"/>
  <c r="G15" i="89" l="1"/>
  <c r="G13" i="89"/>
  <c r="G16" i="89" s="1"/>
  <c r="F15" i="89"/>
  <c r="I20" i="89"/>
  <c r="I14" i="89"/>
  <c r="I7" i="89"/>
  <c r="I8" i="89" s="1"/>
  <c r="G6" i="44"/>
  <c r="G21" i="44"/>
  <c r="Y24" i="44" s="1"/>
  <c r="Y25" i="44" s="1"/>
  <c r="G14" i="44"/>
  <c r="F14" i="44"/>
  <c r="AG7" i="92"/>
  <c r="AG10" i="92" s="1"/>
  <c r="AG19" i="92"/>
  <c r="AG13" i="92"/>
  <c r="AG9" i="92"/>
  <c r="G21" i="36"/>
  <c r="W24" i="36" s="1"/>
  <c r="W25" i="36" s="1"/>
  <c r="G14" i="36"/>
  <c r="D20" i="93"/>
  <c r="D19" i="93"/>
  <c r="D14" i="93"/>
  <c r="D10" i="93"/>
  <c r="D8" i="93"/>
  <c r="D11" i="93" s="1"/>
  <c r="I11" i="89" l="1"/>
  <c r="I10" i="89"/>
  <c r="AG14" i="92"/>
  <c r="AG12" i="92"/>
  <c r="AG15" i="92" s="1"/>
  <c r="D13" i="93"/>
  <c r="D16" i="93" s="1"/>
  <c r="D15" i="93"/>
  <c r="I15" i="89" l="1"/>
  <c r="I13" i="89"/>
  <c r="I16" i="89" s="1"/>
  <c r="F35" i="19"/>
  <c r="G35" i="19"/>
  <c r="H35" i="19"/>
  <c r="E35" i="19"/>
  <c r="I20" i="93"/>
  <c r="H20" i="93"/>
  <c r="I14" i="93"/>
  <c r="H14" i="93"/>
  <c r="I10" i="93"/>
  <c r="H10" i="93"/>
  <c r="I8" i="93"/>
  <c r="I11" i="93" s="1"/>
  <c r="I13" i="93" s="1"/>
  <c r="H8" i="93"/>
  <c r="H11" i="93" s="1"/>
  <c r="F20" i="93"/>
  <c r="F14" i="93"/>
  <c r="F10" i="93"/>
  <c r="F8" i="93"/>
  <c r="F11" i="93" s="1"/>
  <c r="C20" i="93"/>
  <c r="B20" i="93"/>
  <c r="C14" i="93"/>
  <c r="B14" i="93"/>
  <c r="C10" i="93"/>
  <c r="B10" i="93"/>
  <c r="C8" i="93"/>
  <c r="C11" i="93" s="1"/>
  <c r="B8" i="93"/>
  <c r="B11" i="93" s="1"/>
  <c r="I16" i="93" l="1"/>
  <c r="H15" i="93"/>
  <c r="I15" i="93"/>
  <c r="H13" i="93"/>
  <c r="H16" i="93" s="1"/>
  <c r="B13" i="93"/>
  <c r="B16" i="93" s="1"/>
  <c r="B15" i="93"/>
  <c r="F13" i="93"/>
  <c r="F16" i="93" s="1"/>
  <c r="F15" i="93"/>
  <c r="C13" i="93"/>
  <c r="C16" i="93" s="1"/>
  <c r="C15" i="93"/>
  <c r="M7" i="92"/>
  <c r="M10" i="92" s="1"/>
  <c r="L7" i="92"/>
  <c r="L10" i="92" s="1"/>
  <c r="M19" i="92"/>
  <c r="L19" i="92"/>
  <c r="M13" i="92"/>
  <c r="L13" i="92"/>
  <c r="M9" i="92"/>
  <c r="L9" i="92"/>
  <c r="J24" i="32"/>
  <c r="J25" i="32" s="1"/>
  <c r="AN19" i="92"/>
  <c r="AN13" i="92"/>
  <c r="AN9" i="92"/>
  <c r="AN5" i="92"/>
  <c r="AN7" i="92" s="1"/>
  <c r="AU7" i="92"/>
  <c r="AU10" i="92" s="1"/>
  <c r="AT7" i="92"/>
  <c r="AT10" i="92" s="1"/>
  <c r="AU19" i="92"/>
  <c r="AT19" i="92"/>
  <c r="AU18" i="92"/>
  <c r="AT18" i="92"/>
  <c r="AU13" i="92"/>
  <c r="AT13" i="92"/>
  <c r="AU9" i="92"/>
  <c r="AT9" i="92"/>
  <c r="Q7" i="92"/>
  <c r="Q10" i="92" s="1"/>
  <c r="P7" i="92"/>
  <c r="P10" i="92" s="1"/>
  <c r="P12" i="92" s="1"/>
  <c r="Q19" i="92"/>
  <c r="P19" i="92"/>
  <c r="P18" i="92"/>
  <c r="Q13" i="92"/>
  <c r="P13" i="92"/>
  <c r="Q9" i="92"/>
  <c r="P9" i="92"/>
  <c r="G21" i="80"/>
  <c r="W24" i="80" s="1"/>
  <c r="W25" i="80" s="1"/>
  <c r="G14" i="80"/>
  <c r="W7" i="92"/>
  <c r="W10" i="92" s="1"/>
  <c r="V7" i="92"/>
  <c r="V10" i="92" s="1"/>
  <c r="W13" i="92"/>
  <c r="V13" i="92"/>
  <c r="W9" i="92"/>
  <c r="V9" i="92"/>
  <c r="M14" i="92" l="1"/>
  <c r="M12" i="92"/>
  <c r="M15" i="92" s="1"/>
  <c r="L12" i="92"/>
  <c r="L15" i="92" s="1"/>
  <c r="L14" i="92"/>
  <c r="AN10" i="92"/>
  <c r="AN14" i="92" s="1"/>
  <c r="P15" i="92"/>
  <c r="AU14" i="92"/>
  <c r="AT14" i="92"/>
  <c r="AT12" i="92"/>
  <c r="AT15" i="92" s="1"/>
  <c r="AU12" i="92"/>
  <c r="AU15" i="92" s="1"/>
  <c r="Q12" i="92"/>
  <c r="Q15" i="92" s="1"/>
  <c r="Q14" i="92"/>
  <c r="P14" i="92"/>
  <c r="W14" i="92"/>
  <c r="W12" i="92"/>
  <c r="W15" i="92" s="1"/>
  <c r="V12" i="92"/>
  <c r="V15" i="92" s="1"/>
  <c r="V14" i="92"/>
  <c r="AN12" i="92" l="1"/>
  <c r="AN15" i="92" s="1"/>
  <c r="S9" i="77" l="1"/>
  <c r="K7" i="92"/>
  <c r="K10" i="92" s="1"/>
  <c r="J7" i="92"/>
  <c r="J10" i="92" s="1"/>
  <c r="J13" i="92"/>
  <c r="K9" i="92"/>
  <c r="J9" i="92"/>
  <c r="AR7" i="92"/>
  <c r="AR10" i="92" s="1"/>
  <c r="AR19" i="92"/>
  <c r="AR13" i="92"/>
  <c r="AR9" i="92"/>
  <c r="K8" i="89"/>
  <c r="K11" i="89" s="1"/>
  <c r="J8" i="89"/>
  <c r="J11" i="89" s="1"/>
  <c r="K20" i="89"/>
  <c r="J20" i="89"/>
  <c r="K14" i="89"/>
  <c r="J14" i="89"/>
  <c r="K10" i="89"/>
  <c r="J10" i="89"/>
  <c r="AC7" i="92"/>
  <c r="AC10" i="92" s="1"/>
  <c r="AB7" i="92"/>
  <c r="AB10" i="92" s="1"/>
  <c r="AC19" i="92"/>
  <c r="AB19" i="92"/>
  <c r="AC13" i="92"/>
  <c r="AB13" i="92"/>
  <c r="AC9" i="92"/>
  <c r="AB9" i="92"/>
  <c r="AQ7" i="92"/>
  <c r="AQ10" i="92" s="1"/>
  <c r="AP7" i="92"/>
  <c r="AP10" i="92" s="1"/>
  <c r="AQ19" i="92"/>
  <c r="AP19" i="92"/>
  <c r="AQ13" i="92"/>
  <c r="AP13" i="92"/>
  <c r="AQ9" i="92"/>
  <c r="AP9" i="92"/>
  <c r="AM7" i="92"/>
  <c r="AM10" i="92" s="1"/>
  <c r="AM12" i="92" s="1"/>
  <c r="AL7" i="92"/>
  <c r="AL10" i="92" s="1"/>
  <c r="AM19" i="92"/>
  <c r="AL19" i="92"/>
  <c r="AM13" i="92"/>
  <c r="AL13" i="92"/>
  <c r="AM9" i="92"/>
  <c r="AL9" i="92"/>
  <c r="J15" i="89" l="1"/>
  <c r="J12" i="92"/>
  <c r="J15" i="92" s="1"/>
  <c r="J14" i="92"/>
  <c r="K14" i="92"/>
  <c r="K12" i="92"/>
  <c r="K15" i="92" s="1"/>
  <c r="AR12" i="92"/>
  <c r="AR15" i="92" s="1"/>
  <c r="AR14" i="92"/>
  <c r="J13" i="89"/>
  <c r="J16" i="89" s="1"/>
  <c r="K13" i="89"/>
  <c r="K16" i="89" s="1"/>
  <c r="K15" i="89"/>
  <c r="AB12" i="92"/>
  <c r="AB15" i="92" s="1"/>
  <c r="AB14" i="92"/>
  <c r="AC12" i="92"/>
  <c r="AC15" i="92" s="1"/>
  <c r="AC14" i="92"/>
  <c r="AP14" i="92"/>
  <c r="AP12" i="92"/>
  <c r="AP15" i="92" s="1"/>
  <c r="AQ12" i="92"/>
  <c r="AQ15" i="92" s="1"/>
  <c r="AQ14" i="92"/>
  <c r="AM15" i="92"/>
  <c r="AL12" i="92"/>
  <c r="AL15" i="92" s="1"/>
  <c r="AL14" i="92"/>
  <c r="AM14" i="92"/>
  <c r="AK7" i="92" l="1"/>
  <c r="AK10" i="92" s="1"/>
  <c r="AJ7" i="92"/>
  <c r="AJ10" i="92" s="1"/>
  <c r="AK19" i="92"/>
  <c r="AJ19" i="92"/>
  <c r="AK13" i="92"/>
  <c r="AJ13" i="92"/>
  <c r="AK9" i="92"/>
  <c r="AJ9" i="92"/>
  <c r="AI7" i="92"/>
  <c r="AI10" i="92" s="1"/>
  <c r="AH7" i="92"/>
  <c r="AH10" i="92" s="1"/>
  <c r="AI19" i="92"/>
  <c r="AH19" i="92"/>
  <c r="AI13" i="92"/>
  <c r="AH13" i="92"/>
  <c r="AI9" i="92"/>
  <c r="AH9" i="92"/>
  <c r="AF7" i="92"/>
  <c r="AF10" i="92" s="1"/>
  <c r="AF19" i="92"/>
  <c r="AF13" i="92"/>
  <c r="AF9" i="92"/>
  <c r="AE19" i="92"/>
  <c r="AD19" i="92"/>
  <c r="AE13" i="92"/>
  <c r="AD13" i="92"/>
  <c r="AE9" i="92"/>
  <c r="AD9" i="92"/>
  <c r="AE5" i="92"/>
  <c r="AE7" i="92" s="1"/>
  <c r="AD5" i="92"/>
  <c r="AA7" i="92"/>
  <c r="AA10" i="92" s="1"/>
  <c r="AA12" i="92" s="1"/>
  <c r="Z7" i="92"/>
  <c r="Z10" i="92" s="1"/>
  <c r="AA19" i="92"/>
  <c r="Z19" i="92"/>
  <c r="AA13" i="92"/>
  <c r="Z13" i="92"/>
  <c r="AA9" i="92"/>
  <c r="Z9" i="92"/>
  <c r="Y7" i="92"/>
  <c r="Y10" i="92" s="1"/>
  <c r="X7" i="92"/>
  <c r="X10" i="92" s="1"/>
  <c r="X12" i="92" s="1"/>
  <c r="Y19" i="92"/>
  <c r="X19" i="92"/>
  <c r="Y13" i="92"/>
  <c r="X13" i="92"/>
  <c r="Y9" i="92"/>
  <c r="X9" i="92"/>
  <c r="S7" i="92"/>
  <c r="S10" i="92" s="1"/>
  <c r="R7" i="92"/>
  <c r="S19" i="92"/>
  <c r="R19" i="92"/>
  <c r="S13" i="92"/>
  <c r="R13" i="92"/>
  <c r="S9" i="92"/>
  <c r="R9" i="92"/>
  <c r="U7" i="92"/>
  <c r="U10" i="92" s="1"/>
  <c r="T7" i="92"/>
  <c r="T10" i="92" s="1"/>
  <c r="U19" i="92"/>
  <c r="T19" i="92"/>
  <c r="U13" i="92"/>
  <c r="T13" i="92"/>
  <c r="U9" i="92"/>
  <c r="T9" i="92"/>
  <c r="O7" i="92"/>
  <c r="O10" i="92" s="1"/>
  <c r="N7" i="92"/>
  <c r="N10" i="92" s="1"/>
  <c r="N12" i="92" s="1"/>
  <c r="O19" i="92"/>
  <c r="N19" i="92"/>
  <c r="O13" i="92"/>
  <c r="N13" i="92"/>
  <c r="O9" i="92"/>
  <c r="N9" i="92"/>
  <c r="G7" i="92"/>
  <c r="G10" i="92" s="1"/>
  <c r="F7" i="92"/>
  <c r="F10" i="92" s="1"/>
  <c r="G19" i="92"/>
  <c r="F19" i="92"/>
  <c r="G13" i="92"/>
  <c r="F13" i="92"/>
  <c r="G9" i="92"/>
  <c r="F9" i="92"/>
  <c r="I7" i="92"/>
  <c r="I10" i="92" s="1"/>
  <c r="I12" i="92" s="1"/>
  <c r="H7" i="92"/>
  <c r="H10" i="92" s="1"/>
  <c r="H12" i="92" s="1"/>
  <c r="I19" i="92"/>
  <c r="H19" i="92"/>
  <c r="I13" i="92"/>
  <c r="H13" i="92"/>
  <c r="I9" i="92"/>
  <c r="H9" i="92"/>
  <c r="C7" i="92"/>
  <c r="C10" i="92" s="1"/>
  <c r="C12" i="92" s="1"/>
  <c r="B7" i="92"/>
  <c r="B10" i="92" s="1"/>
  <c r="C19" i="92"/>
  <c r="B19" i="92"/>
  <c r="C13" i="92"/>
  <c r="B13" i="92"/>
  <c r="C9" i="92"/>
  <c r="B9" i="92"/>
  <c r="AI14" i="92" l="1"/>
  <c r="AJ12" i="92"/>
  <c r="AJ15" i="92" s="1"/>
  <c r="AJ14" i="92"/>
  <c r="AK12" i="92"/>
  <c r="AK15" i="92" s="1"/>
  <c r="AK14" i="92"/>
  <c r="AI12" i="92"/>
  <c r="AI15" i="92" s="1"/>
  <c r="AF14" i="92"/>
  <c r="AH12" i="92"/>
  <c r="AH15" i="92" s="1"/>
  <c r="AH14" i="92"/>
  <c r="AF12" i="92"/>
  <c r="AF15" i="92" s="1"/>
  <c r="AD7" i="92"/>
  <c r="AD10" i="92" s="1"/>
  <c r="AE10" i="92"/>
  <c r="AE12" i="92" s="1"/>
  <c r="AE15" i="92" s="1"/>
  <c r="AA15" i="92"/>
  <c r="X15" i="92"/>
  <c r="Z12" i="92"/>
  <c r="Z15" i="92" s="1"/>
  <c r="Z14" i="92"/>
  <c r="AA14" i="92"/>
  <c r="Y14" i="92"/>
  <c r="Y12" i="92"/>
  <c r="Y15" i="92" s="1"/>
  <c r="X14" i="92"/>
  <c r="R10" i="92"/>
  <c r="R14" i="92" s="1"/>
  <c r="S12" i="92"/>
  <c r="S15" i="92" s="1"/>
  <c r="S14" i="92"/>
  <c r="T12" i="92"/>
  <c r="T15" i="92" s="1"/>
  <c r="T14" i="92"/>
  <c r="U12" i="92"/>
  <c r="U15" i="92" s="1"/>
  <c r="U14" i="92"/>
  <c r="N15" i="92"/>
  <c r="O14" i="92"/>
  <c r="O12" i="92"/>
  <c r="O15" i="92" s="1"/>
  <c r="N14" i="92"/>
  <c r="I15" i="92"/>
  <c r="F12" i="92"/>
  <c r="F15" i="92" s="1"/>
  <c r="F14" i="92"/>
  <c r="G12" i="92"/>
  <c r="G15" i="92" s="1"/>
  <c r="G14" i="92"/>
  <c r="H15" i="92"/>
  <c r="C15" i="92"/>
  <c r="I14" i="92"/>
  <c r="H14" i="92"/>
  <c r="B12" i="92"/>
  <c r="B15" i="92" s="1"/>
  <c r="B14" i="92"/>
  <c r="C14" i="92"/>
  <c r="AD12" i="92" l="1"/>
  <c r="AD15" i="92" s="1"/>
  <c r="AD14" i="92"/>
  <c r="AE14" i="92"/>
  <c r="R12" i="92"/>
  <c r="R15" i="92" s="1"/>
  <c r="O9" i="91" l="1"/>
  <c r="O12" i="91" s="1"/>
  <c r="O14" i="91" s="1"/>
  <c r="N9" i="91"/>
  <c r="N12" i="91" s="1"/>
  <c r="O21" i="91"/>
  <c r="N21" i="91"/>
  <c r="O15" i="91"/>
  <c r="N15" i="91"/>
  <c r="O11" i="91"/>
  <c r="N11" i="91"/>
  <c r="O17" i="91" l="1"/>
  <c r="N14" i="91"/>
  <c r="N17" i="91" s="1"/>
  <c r="N16" i="91"/>
  <c r="O16" i="91"/>
  <c r="E8" i="90" l="1"/>
  <c r="E11" i="90" s="1"/>
  <c r="D8" i="90"/>
  <c r="D11" i="90" s="1"/>
  <c r="E20" i="90"/>
  <c r="D20" i="90"/>
  <c r="E14" i="90"/>
  <c r="D14" i="90"/>
  <c r="E10" i="90"/>
  <c r="D10" i="90"/>
  <c r="C8" i="90"/>
  <c r="C11" i="90" s="1"/>
  <c r="B8" i="90"/>
  <c r="B11" i="90" s="1"/>
  <c r="C20" i="90"/>
  <c r="B20" i="90"/>
  <c r="C14" i="90"/>
  <c r="B14" i="90"/>
  <c r="C10" i="90"/>
  <c r="B10" i="90"/>
  <c r="D8" i="89"/>
  <c r="D11" i="89" s="1"/>
  <c r="D20" i="89"/>
  <c r="D14" i="89"/>
  <c r="D10" i="89"/>
  <c r="M8" i="89"/>
  <c r="M11" i="89" s="1"/>
  <c r="L8" i="89"/>
  <c r="L11" i="89" s="1"/>
  <c r="M20" i="89"/>
  <c r="L20" i="89"/>
  <c r="M14" i="89"/>
  <c r="L14" i="89"/>
  <c r="M10" i="89"/>
  <c r="L10" i="89"/>
  <c r="H20" i="89"/>
  <c r="H14" i="89"/>
  <c r="H7" i="89"/>
  <c r="H10" i="89" s="1"/>
  <c r="B20" i="89"/>
  <c r="B14" i="89"/>
  <c r="B10" i="89"/>
  <c r="B6" i="89"/>
  <c r="B8" i="89" s="1"/>
  <c r="E13" i="90" l="1"/>
  <c r="E16" i="90" s="1"/>
  <c r="E15" i="90"/>
  <c r="D13" i="90"/>
  <c r="D16" i="90" s="1"/>
  <c r="D15" i="90"/>
  <c r="B13" i="90"/>
  <c r="B16" i="90" s="1"/>
  <c r="B15" i="90"/>
  <c r="C13" i="90"/>
  <c r="C16" i="90" s="1"/>
  <c r="C15" i="90"/>
  <c r="D13" i="89"/>
  <c r="D16" i="89" s="1"/>
  <c r="D15" i="89"/>
  <c r="L13" i="89"/>
  <c r="L16" i="89" s="1"/>
  <c r="L15" i="89"/>
  <c r="M13" i="89"/>
  <c r="M16" i="89" s="1"/>
  <c r="M15" i="89"/>
  <c r="H8" i="89"/>
  <c r="H11" i="89" s="1"/>
  <c r="H13" i="89" s="1"/>
  <c r="H16" i="89" s="1"/>
  <c r="B11" i="89"/>
  <c r="B15" i="89" s="1"/>
  <c r="H15" i="89" l="1"/>
  <c r="B13" i="89"/>
  <c r="B16" i="89" s="1"/>
  <c r="AE8" i="88" l="1"/>
  <c r="AE11" i="88" s="1"/>
  <c r="AD8" i="88"/>
  <c r="AD11" i="88" s="1"/>
  <c r="AD13" i="88" s="1"/>
  <c r="AE20" i="88"/>
  <c r="AD20" i="88"/>
  <c r="AE14" i="88"/>
  <c r="AD14" i="88"/>
  <c r="AE10" i="88"/>
  <c r="AD10" i="88"/>
  <c r="G8" i="88"/>
  <c r="G11" i="88" s="1"/>
  <c r="F8" i="88"/>
  <c r="F11" i="88" s="1"/>
  <c r="G20" i="88"/>
  <c r="F20" i="88"/>
  <c r="G14" i="88"/>
  <c r="F14" i="88"/>
  <c r="G10" i="88"/>
  <c r="F10" i="88"/>
  <c r="AA8" i="88"/>
  <c r="AA11" i="88" s="1"/>
  <c r="AA13" i="88" s="1"/>
  <c r="Z8" i="88"/>
  <c r="Z11" i="88" s="1"/>
  <c r="AA14" i="88"/>
  <c r="Z14" i="88"/>
  <c r="AA10" i="88"/>
  <c r="Z10" i="88"/>
  <c r="M8" i="88"/>
  <c r="M11" i="88" s="1"/>
  <c r="L8" i="88"/>
  <c r="L11" i="88" s="1"/>
  <c r="M20" i="88"/>
  <c r="L20" i="88"/>
  <c r="M14" i="88"/>
  <c r="L14" i="88"/>
  <c r="M10" i="88"/>
  <c r="L10" i="88"/>
  <c r="V8" i="88"/>
  <c r="V11" i="88" s="1"/>
  <c r="V14" i="88"/>
  <c r="V10" i="88"/>
  <c r="F14" i="45"/>
  <c r="E14" i="45"/>
  <c r="T8" i="88"/>
  <c r="T11" i="88" s="1"/>
  <c r="T14" i="88"/>
  <c r="T10" i="88"/>
  <c r="R8" i="88"/>
  <c r="R11" i="88" s="1"/>
  <c r="R13" i="88" s="1"/>
  <c r="S8" i="88"/>
  <c r="S11" i="88" s="1"/>
  <c r="S20" i="88"/>
  <c r="R20" i="88"/>
  <c r="S14" i="88"/>
  <c r="R14" i="88"/>
  <c r="S10" i="88"/>
  <c r="R10" i="88"/>
  <c r="Q8" i="88"/>
  <c r="Q11" i="88" s="1"/>
  <c r="Q13" i="88" s="1"/>
  <c r="Q20" i="88"/>
  <c r="Q14" i="88"/>
  <c r="Q10" i="88"/>
  <c r="P8" i="88"/>
  <c r="P11" i="88" s="1"/>
  <c r="P13" i="88" s="1"/>
  <c r="P20" i="88"/>
  <c r="P14" i="88"/>
  <c r="P10" i="88"/>
  <c r="N8" i="88"/>
  <c r="N11" i="88" s="1"/>
  <c r="N20" i="88"/>
  <c r="N14" i="88"/>
  <c r="N10" i="88"/>
  <c r="X8" i="88"/>
  <c r="X11" i="88" s="1"/>
  <c r="Y8" i="88"/>
  <c r="Y11" i="88" s="1"/>
  <c r="Y20" i="88"/>
  <c r="X20" i="88"/>
  <c r="Y14" i="88"/>
  <c r="X14" i="88"/>
  <c r="Y10" i="88"/>
  <c r="X10" i="88"/>
  <c r="K8" i="88"/>
  <c r="K11" i="88" s="1"/>
  <c r="J8" i="88"/>
  <c r="J11" i="88" s="1"/>
  <c r="K20" i="88"/>
  <c r="J20" i="88"/>
  <c r="K19" i="88"/>
  <c r="J19" i="88"/>
  <c r="K14" i="88"/>
  <c r="J14" i="88"/>
  <c r="K10" i="88"/>
  <c r="J10" i="88"/>
  <c r="H8" i="88"/>
  <c r="H11" i="88" s="1"/>
  <c r="I8" i="88"/>
  <c r="I11" i="88" s="1"/>
  <c r="I13" i="88" s="1"/>
  <c r="I20" i="88"/>
  <c r="H20" i="88"/>
  <c r="I14" i="88"/>
  <c r="H14" i="88"/>
  <c r="I10" i="88"/>
  <c r="H10" i="88"/>
  <c r="AD16" i="88" l="1"/>
  <c r="AD15" i="88"/>
  <c r="F15" i="88"/>
  <c r="AE13" i="88"/>
  <c r="AE16" i="88" s="1"/>
  <c r="AE15" i="88"/>
  <c r="F13" i="88"/>
  <c r="F16" i="88" s="1"/>
  <c r="G13" i="88"/>
  <c r="G16" i="88" s="1"/>
  <c r="G15" i="88"/>
  <c r="AA16" i="88"/>
  <c r="Z13" i="88"/>
  <c r="Z16" i="88" s="1"/>
  <c r="Z15" i="88"/>
  <c r="AA15" i="88"/>
  <c r="V15" i="88"/>
  <c r="M13" i="88"/>
  <c r="M16" i="88" s="1"/>
  <c r="M15" i="88"/>
  <c r="L13" i="88"/>
  <c r="L16" i="88" s="1"/>
  <c r="L15" i="88"/>
  <c r="V13" i="88"/>
  <c r="V16" i="88" s="1"/>
  <c r="R16" i="88"/>
  <c r="T15" i="88"/>
  <c r="T13" i="88"/>
  <c r="T16" i="88" s="1"/>
  <c r="P16" i="88"/>
  <c r="R15" i="88"/>
  <c r="Q16" i="88"/>
  <c r="S13" i="88"/>
  <c r="S16" i="88" s="1"/>
  <c r="S15" i="88"/>
  <c r="Q15" i="88"/>
  <c r="P15" i="88"/>
  <c r="Y15" i="88"/>
  <c r="N13" i="88"/>
  <c r="N16" i="88" s="1"/>
  <c r="N15" i="88"/>
  <c r="I16" i="88"/>
  <c r="J15" i="88"/>
  <c r="X15" i="88"/>
  <c r="X13" i="88"/>
  <c r="X16" i="88" s="1"/>
  <c r="Y13" i="88"/>
  <c r="Y16" i="88" s="1"/>
  <c r="K13" i="88"/>
  <c r="K16" i="88" s="1"/>
  <c r="K15" i="88"/>
  <c r="J13" i="88"/>
  <c r="J16" i="88" s="1"/>
  <c r="H13" i="88"/>
  <c r="H16" i="88" s="1"/>
  <c r="H15" i="88"/>
  <c r="I15" i="88"/>
  <c r="AC8" i="88" l="1"/>
  <c r="AC11" i="88" s="1"/>
  <c r="AB8" i="88"/>
  <c r="AB11" i="88" s="1"/>
  <c r="AB13" i="88" s="1"/>
  <c r="AC20" i="88"/>
  <c r="AB20" i="88"/>
  <c r="AC14" i="88"/>
  <c r="AB14" i="88"/>
  <c r="AC10" i="88"/>
  <c r="AB10" i="88"/>
  <c r="E8" i="88"/>
  <c r="E11" i="88" s="1"/>
  <c r="D8" i="88"/>
  <c r="D11" i="88" s="1"/>
  <c r="E20" i="88"/>
  <c r="D20" i="88"/>
  <c r="E14" i="88"/>
  <c r="D14" i="88"/>
  <c r="E10" i="88"/>
  <c r="D10" i="88"/>
  <c r="C8" i="88"/>
  <c r="C11" i="88" s="1"/>
  <c r="B8" i="88"/>
  <c r="B11" i="88" s="1"/>
  <c r="C20" i="88"/>
  <c r="B20" i="88"/>
  <c r="C14" i="88"/>
  <c r="B14" i="88"/>
  <c r="C10" i="88"/>
  <c r="B10" i="88"/>
  <c r="AB16" i="88" l="1"/>
  <c r="AC13" i="88"/>
  <c r="AC16" i="88" s="1"/>
  <c r="AC15" i="88"/>
  <c r="AB15" i="88"/>
  <c r="D15" i="88"/>
  <c r="D13" i="88"/>
  <c r="D16" i="88" s="1"/>
  <c r="E13" i="88"/>
  <c r="E16" i="88" s="1"/>
  <c r="E15" i="88"/>
  <c r="C15" i="88"/>
  <c r="B15" i="88"/>
  <c r="B13" i="88"/>
  <c r="B16" i="88" s="1"/>
  <c r="C13" i="88"/>
  <c r="C16" i="88" s="1"/>
  <c r="G21" i="85" l="1"/>
  <c r="F21" i="85"/>
  <c r="G14" i="85"/>
  <c r="F14" i="85"/>
  <c r="E21" i="85"/>
  <c r="D21" i="85"/>
  <c r="E14" i="85"/>
  <c r="D14" i="85"/>
  <c r="U24" i="86"/>
  <c r="T24" i="86"/>
  <c r="S24" i="86"/>
  <c r="R24" i="86"/>
  <c r="U23" i="86"/>
  <c r="T23" i="86"/>
  <c r="S23" i="86"/>
  <c r="R23" i="86"/>
  <c r="U21" i="86"/>
  <c r="T21" i="86"/>
  <c r="S21" i="86"/>
  <c r="R21" i="86"/>
  <c r="U20" i="86"/>
  <c r="T20" i="86"/>
  <c r="S20" i="86"/>
  <c r="J20" i="86"/>
  <c r="X5" i="86" s="1"/>
  <c r="G20" i="86"/>
  <c r="U5" i="86" s="1"/>
  <c r="F20" i="86"/>
  <c r="T5" i="86" s="1"/>
  <c r="E20" i="86"/>
  <c r="S5" i="86" s="1"/>
  <c r="D20" i="86"/>
  <c r="R7" i="86" s="1"/>
  <c r="U16" i="86"/>
  <c r="T16" i="86"/>
  <c r="S16" i="86"/>
  <c r="R16" i="86"/>
  <c r="X15" i="86"/>
  <c r="U14" i="86"/>
  <c r="T14" i="86"/>
  <c r="S14" i="86"/>
  <c r="R14" i="86"/>
  <c r="U13" i="86"/>
  <c r="T13" i="86"/>
  <c r="S13" i="86"/>
  <c r="R13" i="86"/>
  <c r="U11" i="86"/>
  <c r="T11" i="86"/>
  <c r="S11" i="86"/>
  <c r="R11" i="86"/>
  <c r="C11" i="86"/>
  <c r="B11" i="86"/>
  <c r="J10" i="86"/>
  <c r="G10" i="86"/>
  <c r="U3" i="86" s="1"/>
  <c r="F10" i="86"/>
  <c r="T3" i="86" s="1"/>
  <c r="E10" i="86"/>
  <c r="S3" i="86" s="1"/>
  <c r="D10" i="86"/>
  <c r="R3" i="86" s="1"/>
  <c r="C10" i="86"/>
  <c r="B10" i="86"/>
  <c r="J8" i="86"/>
  <c r="J11" i="86" s="1"/>
  <c r="J13" i="86" s="1"/>
  <c r="G8" i="86"/>
  <c r="G11" i="86" s="1"/>
  <c r="U9" i="86" s="1"/>
  <c r="F8" i="86"/>
  <c r="F11" i="86" s="1"/>
  <c r="T9" i="86" s="1"/>
  <c r="E8" i="86"/>
  <c r="E11" i="86" s="1"/>
  <c r="D8" i="86"/>
  <c r="D11" i="86" s="1"/>
  <c r="R9" i="86" s="1"/>
  <c r="S7" i="86"/>
  <c r="S15" i="86" l="1"/>
  <c r="R25" i="86"/>
  <c r="R5" i="86"/>
  <c r="S25" i="86"/>
  <c r="U15" i="86"/>
  <c r="R15" i="86"/>
  <c r="E15" i="86"/>
  <c r="S9" i="86"/>
  <c r="T15" i="86"/>
  <c r="U7" i="86"/>
  <c r="T7" i="86"/>
  <c r="U25" i="86"/>
  <c r="T25" i="86"/>
  <c r="U10" i="86"/>
  <c r="G15" i="86"/>
  <c r="F15" i="86"/>
  <c r="R10" i="86"/>
  <c r="D13" i="86"/>
  <c r="D16" i="86" s="1"/>
  <c r="D15" i="86"/>
  <c r="J15" i="86"/>
  <c r="J16" i="86"/>
  <c r="T10" i="86"/>
  <c r="G13" i="86"/>
  <c r="G16" i="86" s="1"/>
  <c r="U19" i="86" s="1"/>
  <c r="E13" i="86"/>
  <c r="E16" i="86" s="1"/>
  <c r="S19" i="86" s="1"/>
  <c r="S10" i="86"/>
  <c r="F13" i="86"/>
  <c r="F16" i="86" s="1"/>
  <c r="T19" i="86" s="1"/>
  <c r="E21" i="84"/>
  <c r="D21" i="84"/>
  <c r="E14" i="84"/>
  <c r="D14" i="84"/>
  <c r="G21" i="84"/>
  <c r="F21" i="84"/>
  <c r="G14" i="84"/>
  <c r="F14" i="84"/>
  <c r="F21" i="83" l="1"/>
  <c r="E21" i="83"/>
  <c r="R24" i="83" s="1"/>
  <c r="F14" i="83"/>
  <c r="E14" i="83"/>
  <c r="Q9" i="83" s="1"/>
  <c r="E21" i="82"/>
  <c r="D21" i="82"/>
  <c r="R24" i="82" s="1"/>
  <c r="E14" i="82"/>
  <c r="D14" i="82"/>
  <c r="Q9" i="82" s="1"/>
  <c r="I14" i="82"/>
  <c r="G21" i="82"/>
  <c r="U24" i="82" s="1"/>
  <c r="U25" i="82" s="1"/>
  <c r="F21" i="82"/>
  <c r="G14" i="82"/>
  <c r="F14" i="82"/>
  <c r="S24" i="85"/>
  <c r="R24" i="85"/>
  <c r="Q24" i="85"/>
  <c r="P24" i="85"/>
  <c r="S23" i="85"/>
  <c r="R23" i="85"/>
  <c r="Q23" i="85"/>
  <c r="P23" i="85"/>
  <c r="S21" i="85"/>
  <c r="R21" i="85"/>
  <c r="Q21" i="85"/>
  <c r="P21" i="85"/>
  <c r="S20" i="85"/>
  <c r="R20" i="85"/>
  <c r="Q20" i="85"/>
  <c r="H20" i="85"/>
  <c r="G20" i="85"/>
  <c r="S7" i="85" s="1"/>
  <c r="F20" i="85"/>
  <c r="R5" i="85" s="1"/>
  <c r="E20" i="85"/>
  <c r="Q7" i="85" s="1"/>
  <c r="D20" i="85"/>
  <c r="P5" i="85" s="1"/>
  <c r="S16" i="85"/>
  <c r="R16" i="85"/>
  <c r="Q16" i="85"/>
  <c r="P16" i="85"/>
  <c r="T15" i="85"/>
  <c r="S14" i="85"/>
  <c r="S15" i="85" s="1"/>
  <c r="R14" i="85"/>
  <c r="Q14" i="85"/>
  <c r="Q15" i="85" s="1"/>
  <c r="P14" i="85"/>
  <c r="S13" i="85"/>
  <c r="R13" i="85"/>
  <c r="Q13" i="85"/>
  <c r="P13" i="85"/>
  <c r="S11" i="85"/>
  <c r="R11" i="85"/>
  <c r="Q11" i="85"/>
  <c r="P11" i="85"/>
  <c r="C11" i="85"/>
  <c r="B11" i="85"/>
  <c r="H10" i="85"/>
  <c r="G10" i="85"/>
  <c r="S3" i="85" s="1"/>
  <c r="F10" i="85"/>
  <c r="R3" i="85" s="1"/>
  <c r="E10" i="85"/>
  <c r="Q3" i="85" s="1"/>
  <c r="D10" i="85"/>
  <c r="P3" i="85" s="1"/>
  <c r="C10" i="85"/>
  <c r="B10" i="85"/>
  <c r="H8" i="85"/>
  <c r="H11" i="85" s="1"/>
  <c r="H15" i="85" s="1"/>
  <c r="G8" i="85"/>
  <c r="G11" i="85" s="1"/>
  <c r="F8" i="85"/>
  <c r="F11" i="85" s="1"/>
  <c r="F13" i="85" s="1"/>
  <c r="F16" i="85" s="1"/>
  <c r="R19" i="85" s="1"/>
  <c r="E8" i="85"/>
  <c r="E11" i="85" s="1"/>
  <c r="D8" i="85"/>
  <c r="D11" i="85" s="1"/>
  <c r="R7" i="85"/>
  <c r="S24" i="84"/>
  <c r="R24" i="84"/>
  <c r="Q24" i="84"/>
  <c r="P24" i="84"/>
  <c r="S23" i="84"/>
  <c r="R23" i="84"/>
  <c r="R25" i="84" s="1"/>
  <c r="Q23" i="84"/>
  <c r="P23" i="84"/>
  <c r="S21" i="84"/>
  <c r="R21" i="84"/>
  <c r="Q21" i="84"/>
  <c r="P21" i="84"/>
  <c r="S20" i="84"/>
  <c r="R20" i="84"/>
  <c r="Q20" i="84"/>
  <c r="H20" i="84"/>
  <c r="G20" i="84"/>
  <c r="S5" i="84" s="1"/>
  <c r="F20" i="84"/>
  <c r="R5" i="84" s="1"/>
  <c r="E20" i="84"/>
  <c r="Q5" i="84" s="1"/>
  <c r="D20" i="84"/>
  <c r="P5" i="84" s="1"/>
  <c r="S16" i="84"/>
  <c r="R16" i="84"/>
  <c r="Q16" i="84"/>
  <c r="P16" i="84"/>
  <c r="T15" i="84"/>
  <c r="S14" i="84"/>
  <c r="R14" i="84"/>
  <c r="Q14" i="84"/>
  <c r="P14" i="84"/>
  <c r="S13" i="84"/>
  <c r="S15" i="84" s="1"/>
  <c r="R13" i="84"/>
  <c r="Q13" i="84"/>
  <c r="P13" i="84"/>
  <c r="S11" i="84"/>
  <c r="R11" i="84"/>
  <c r="Q11" i="84"/>
  <c r="P11" i="84"/>
  <c r="C11" i="84"/>
  <c r="B11" i="84"/>
  <c r="H10" i="84"/>
  <c r="G10" i="84"/>
  <c r="S3" i="84" s="1"/>
  <c r="F10" i="84"/>
  <c r="R3" i="84" s="1"/>
  <c r="E10" i="84"/>
  <c r="Q3" i="84" s="1"/>
  <c r="D10" i="84"/>
  <c r="P3" i="84" s="1"/>
  <c r="C10" i="84"/>
  <c r="B10" i="84"/>
  <c r="H8" i="84"/>
  <c r="H11" i="84" s="1"/>
  <c r="H15" i="84" s="1"/>
  <c r="G8" i="84"/>
  <c r="G11" i="84" s="1"/>
  <c r="S9" i="84" s="1"/>
  <c r="F8" i="84"/>
  <c r="F11" i="84" s="1"/>
  <c r="R9" i="84" s="1"/>
  <c r="E8" i="84"/>
  <c r="E11" i="84" s="1"/>
  <c r="Q9" i="84" s="1"/>
  <c r="D8" i="84"/>
  <c r="D11" i="84" s="1"/>
  <c r="P9" i="84" s="1"/>
  <c r="S24" i="83"/>
  <c r="P24" i="83"/>
  <c r="S23" i="83"/>
  <c r="R23" i="83"/>
  <c r="Q23" i="83"/>
  <c r="P23" i="83"/>
  <c r="P25" i="83" s="1"/>
  <c r="S21" i="83"/>
  <c r="R21" i="83"/>
  <c r="Q21" i="83"/>
  <c r="P21" i="83"/>
  <c r="S20" i="83"/>
  <c r="R20" i="83"/>
  <c r="Q20" i="83"/>
  <c r="H20" i="83"/>
  <c r="G20" i="83"/>
  <c r="S5" i="83" s="1"/>
  <c r="F20" i="83"/>
  <c r="R5" i="83" s="1"/>
  <c r="E20" i="83"/>
  <c r="Q7" i="83" s="1"/>
  <c r="D20" i="83"/>
  <c r="P5" i="83" s="1"/>
  <c r="S16" i="83"/>
  <c r="R16" i="83"/>
  <c r="Q16" i="83"/>
  <c r="P16" i="83"/>
  <c r="T15" i="83"/>
  <c r="S14" i="83"/>
  <c r="R14" i="83"/>
  <c r="Q14" i="83"/>
  <c r="P14" i="83"/>
  <c r="P15" i="83" s="1"/>
  <c r="S13" i="83"/>
  <c r="S15" i="83" s="1"/>
  <c r="R13" i="83"/>
  <c r="Q13" i="83"/>
  <c r="Q15" i="83" s="1"/>
  <c r="P13" i="83"/>
  <c r="S11" i="83"/>
  <c r="P11" i="83"/>
  <c r="C11" i="83"/>
  <c r="B11" i="83"/>
  <c r="H10" i="83"/>
  <c r="G10" i="83"/>
  <c r="S3" i="83" s="1"/>
  <c r="F10" i="83"/>
  <c r="R3" i="83" s="1"/>
  <c r="E10" i="83"/>
  <c r="D10" i="83"/>
  <c r="C10" i="83"/>
  <c r="B10" i="83"/>
  <c r="H8" i="83"/>
  <c r="H11" i="83" s="1"/>
  <c r="G8" i="83"/>
  <c r="G11" i="83" s="1"/>
  <c r="F8" i="83"/>
  <c r="F11" i="83" s="1"/>
  <c r="E8" i="83"/>
  <c r="E11" i="83" s="1"/>
  <c r="D8" i="83"/>
  <c r="D11" i="83" s="1"/>
  <c r="P9" i="83" s="1"/>
  <c r="Q3" i="83"/>
  <c r="P3" i="83"/>
  <c r="D21" i="81"/>
  <c r="U24" i="81" s="1"/>
  <c r="D14" i="81"/>
  <c r="T11" i="81" s="1"/>
  <c r="F21" i="81"/>
  <c r="E21" i="81"/>
  <c r="F14" i="81"/>
  <c r="V11" i="81" s="1"/>
  <c r="E14" i="81"/>
  <c r="F5" i="81"/>
  <c r="F8" i="81" s="1"/>
  <c r="F11" i="81" s="1"/>
  <c r="V9" i="81" s="1"/>
  <c r="E5" i="81"/>
  <c r="E8" i="81" s="1"/>
  <c r="E11" i="81" s="1"/>
  <c r="U9" i="81" s="1"/>
  <c r="Q24" i="82"/>
  <c r="T23" i="82"/>
  <c r="S23" i="82"/>
  <c r="R23" i="82"/>
  <c r="Q23" i="82"/>
  <c r="T21" i="82"/>
  <c r="S21" i="82"/>
  <c r="R21" i="82"/>
  <c r="Q21" i="82"/>
  <c r="T20" i="82"/>
  <c r="S20" i="82"/>
  <c r="R20" i="82"/>
  <c r="I20" i="82"/>
  <c r="G20" i="82"/>
  <c r="T7" i="82" s="1"/>
  <c r="F20" i="82"/>
  <c r="S7" i="82" s="1"/>
  <c r="E20" i="82"/>
  <c r="R7" i="82" s="1"/>
  <c r="D20" i="82"/>
  <c r="Q7" i="82" s="1"/>
  <c r="T16" i="82"/>
  <c r="S16" i="82"/>
  <c r="R16" i="82"/>
  <c r="Q16" i="82"/>
  <c r="V15" i="82"/>
  <c r="T14" i="82"/>
  <c r="S14" i="82"/>
  <c r="R14" i="82"/>
  <c r="Q14" i="82"/>
  <c r="T13" i="82"/>
  <c r="T15" i="82" s="1"/>
  <c r="S13" i="82"/>
  <c r="R13" i="82"/>
  <c r="Q13" i="82"/>
  <c r="T11" i="82"/>
  <c r="S11" i="82"/>
  <c r="C11" i="82"/>
  <c r="B11" i="82"/>
  <c r="I10" i="82"/>
  <c r="G10" i="82"/>
  <c r="T3" i="82" s="1"/>
  <c r="F10" i="82"/>
  <c r="S3" i="82" s="1"/>
  <c r="E10" i="82"/>
  <c r="R3" i="82" s="1"/>
  <c r="D10" i="82"/>
  <c r="Q3" i="82" s="1"/>
  <c r="C10" i="82"/>
  <c r="B10" i="82"/>
  <c r="I8" i="82"/>
  <c r="I11" i="82" s="1"/>
  <c r="G8" i="82"/>
  <c r="G11" i="82" s="1"/>
  <c r="F8" i="82"/>
  <c r="F11" i="82" s="1"/>
  <c r="E8" i="82"/>
  <c r="E11" i="82" s="1"/>
  <c r="D8" i="82"/>
  <c r="D11" i="82" s="1"/>
  <c r="F21" i="80"/>
  <c r="V24" i="80" s="1"/>
  <c r="E21" i="80"/>
  <c r="U24" i="80" s="1"/>
  <c r="F19" i="80"/>
  <c r="V21" i="80" s="1"/>
  <c r="E19" i="80"/>
  <c r="E20" i="80" s="1"/>
  <c r="T7" i="80" s="1"/>
  <c r="F14" i="80"/>
  <c r="U11" i="80" s="1"/>
  <c r="E14" i="80"/>
  <c r="T11" i="80" s="1"/>
  <c r="W24" i="81"/>
  <c r="V24" i="81"/>
  <c r="W23" i="81"/>
  <c r="V23" i="81"/>
  <c r="U23" i="81"/>
  <c r="T23" i="81"/>
  <c r="W21" i="81"/>
  <c r="V21" i="81"/>
  <c r="U21" i="81"/>
  <c r="T21" i="81"/>
  <c r="W20" i="81"/>
  <c r="V20" i="81"/>
  <c r="U20" i="81"/>
  <c r="J20" i="81"/>
  <c r="Z5" i="81" s="1"/>
  <c r="G20" i="81"/>
  <c r="W7" i="81" s="1"/>
  <c r="F20" i="81"/>
  <c r="V7" i="81" s="1"/>
  <c r="E20" i="81"/>
  <c r="U7" i="81" s="1"/>
  <c r="D20" i="81"/>
  <c r="T7" i="81" s="1"/>
  <c r="W16" i="81"/>
  <c r="V16" i="81"/>
  <c r="U16" i="81"/>
  <c r="T16" i="81"/>
  <c r="Z15" i="81"/>
  <c r="W14" i="81"/>
  <c r="V14" i="81"/>
  <c r="U14" i="81"/>
  <c r="T14" i="81"/>
  <c r="W13" i="81"/>
  <c r="V13" i="81"/>
  <c r="U13" i="81"/>
  <c r="T13" i="81"/>
  <c r="W11" i="81"/>
  <c r="U11" i="81"/>
  <c r="C11" i="81"/>
  <c r="B11" i="81"/>
  <c r="J10" i="81"/>
  <c r="G10" i="81"/>
  <c r="W3" i="81" s="1"/>
  <c r="F10" i="81"/>
  <c r="V3" i="81" s="1"/>
  <c r="E10" i="81"/>
  <c r="U3" i="81" s="1"/>
  <c r="D10" i="81"/>
  <c r="T3" i="81" s="1"/>
  <c r="C10" i="81"/>
  <c r="B10" i="81"/>
  <c r="J8" i="81"/>
  <c r="J11" i="81" s="1"/>
  <c r="G8" i="81"/>
  <c r="G11" i="81" s="1"/>
  <c r="D8" i="81"/>
  <c r="D11" i="81" s="1"/>
  <c r="T9" i="81" s="1"/>
  <c r="F21" i="79"/>
  <c r="E21" i="79"/>
  <c r="F14" i="79"/>
  <c r="E14" i="79"/>
  <c r="T24" i="80"/>
  <c r="S24" i="80"/>
  <c r="V23" i="80"/>
  <c r="U23" i="80"/>
  <c r="T23" i="80"/>
  <c r="S23" i="80"/>
  <c r="S21" i="80"/>
  <c r="V20" i="80"/>
  <c r="U20" i="80"/>
  <c r="T20" i="80"/>
  <c r="J20" i="80"/>
  <c r="G20" i="80"/>
  <c r="V5" i="80" s="1"/>
  <c r="D20" i="80"/>
  <c r="S7" i="80" s="1"/>
  <c r="V16" i="80"/>
  <c r="U16" i="80"/>
  <c r="T16" i="80"/>
  <c r="S16" i="80"/>
  <c r="Y15" i="80"/>
  <c r="V14" i="80"/>
  <c r="U14" i="80"/>
  <c r="T14" i="80"/>
  <c r="S14" i="80"/>
  <c r="S15" i="80" s="1"/>
  <c r="V13" i="80"/>
  <c r="U13" i="80"/>
  <c r="T13" i="80"/>
  <c r="S13" i="80"/>
  <c r="V11" i="80"/>
  <c r="S11" i="80"/>
  <c r="C11" i="80"/>
  <c r="B11" i="80"/>
  <c r="J10" i="80"/>
  <c r="Y3" i="80" s="1"/>
  <c r="G10" i="80"/>
  <c r="V3" i="80" s="1"/>
  <c r="F10" i="80"/>
  <c r="U3" i="80" s="1"/>
  <c r="E10" i="80"/>
  <c r="T3" i="80" s="1"/>
  <c r="D10" i="80"/>
  <c r="S3" i="80" s="1"/>
  <c r="C10" i="80"/>
  <c r="B10" i="80"/>
  <c r="J8" i="80"/>
  <c r="J11" i="80" s="1"/>
  <c r="G8" i="80"/>
  <c r="G11" i="80" s="1"/>
  <c r="F8" i="80"/>
  <c r="F11" i="80" s="1"/>
  <c r="U9" i="80" s="1"/>
  <c r="E8" i="80"/>
  <c r="E11" i="80" s="1"/>
  <c r="T9" i="80" s="1"/>
  <c r="D8" i="80"/>
  <c r="D11" i="80" s="1"/>
  <c r="S9" i="80" s="1"/>
  <c r="P7" i="83" l="1"/>
  <c r="S5" i="80"/>
  <c r="T24" i="81"/>
  <c r="Q7" i="84"/>
  <c r="Q11" i="82"/>
  <c r="R7" i="84"/>
  <c r="S9" i="82"/>
  <c r="R11" i="82"/>
  <c r="R9" i="82"/>
  <c r="R11" i="83"/>
  <c r="R9" i="83"/>
  <c r="T21" i="80"/>
  <c r="P15" i="85"/>
  <c r="T9" i="82"/>
  <c r="Q11" i="83"/>
  <c r="S25" i="80"/>
  <c r="R15" i="85"/>
  <c r="T5" i="81"/>
  <c r="E15" i="82"/>
  <c r="R15" i="82"/>
  <c r="P25" i="85"/>
  <c r="T15" i="81"/>
  <c r="J13" i="80"/>
  <c r="J16" i="80" s="1"/>
  <c r="J15" i="80"/>
  <c r="W15" i="81"/>
  <c r="W5" i="81"/>
  <c r="G15" i="81"/>
  <c r="W9" i="81"/>
  <c r="S7" i="83"/>
  <c r="S25" i="83"/>
  <c r="G15" i="83"/>
  <c r="S9" i="83"/>
  <c r="S10" i="83"/>
  <c r="V15" i="80"/>
  <c r="V7" i="80"/>
  <c r="V10" i="80"/>
  <c r="V9" i="80"/>
  <c r="G15" i="80"/>
  <c r="S5" i="85"/>
  <c r="S25" i="85"/>
  <c r="S9" i="85"/>
  <c r="R10" i="85"/>
  <c r="R25" i="85"/>
  <c r="Q5" i="85"/>
  <c r="Q25" i="85"/>
  <c r="P10" i="85"/>
  <c r="Q9" i="85"/>
  <c r="P25" i="84"/>
  <c r="Q25" i="84"/>
  <c r="P10" i="84"/>
  <c r="D13" i="84"/>
  <c r="D16" i="84" s="1"/>
  <c r="Q15" i="84"/>
  <c r="P15" i="84"/>
  <c r="S25" i="84"/>
  <c r="S7" i="84"/>
  <c r="R15" i="84"/>
  <c r="R15" i="83"/>
  <c r="Q5" i="83"/>
  <c r="Q24" i="83"/>
  <c r="Q25" i="83" s="1"/>
  <c r="R7" i="83"/>
  <c r="R25" i="83"/>
  <c r="F15" i="83"/>
  <c r="E15" i="83"/>
  <c r="E13" i="83"/>
  <c r="E16" i="83" s="1"/>
  <c r="Q19" i="83" s="1"/>
  <c r="Q10" i="83"/>
  <c r="Q15" i="82"/>
  <c r="Q25" i="82"/>
  <c r="Q5" i="82"/>
  <c r="R25" i="82"/>
  <c r="S15" i="82"/>
  <c r="T5" i="82"/>
  <c r="T24" i="82"/>
  <c r="S24" i="82"/>
  <c r="S25" i="82" s="1"/>
  <c r="S5" i="82"/>
  <c r="T25" i="82"/>
  <c r="G13" i="82"/>
  <c r="G16" i="82" s="1"/>
  <c r="T19" i="82" s="1"/>
  <c r="G15" i="82"/>
  <c r="T10" i="82"/>
  <c r="F15" i="82"/>
  <c r="G13" i="85"/>
  <c r="G16" i="85" s="1"/>
  <c r="S19" i="85" s="1"/>
  <c r="G15" i="85"/>
  <c r="S10" i="85"/>
  <c r="Q10" i="85"/>
  <c r="E13" i="85"/>
  <c r="E16" i="85" s="1"/>
  <c r="Q19" i="85" s="1"/>
  <c r="R9" i="85"/>
  <c r="E15" i="85"/>
  <c r="H13" i="85"/>
  <c r="H16" i="85" s="1"/>
  <c r="D15" i="85"/>
  <c r="P7" i="85"/>
  <c r="F15" i="85"/>
  <c r="D13" i="85"/>
  <c r="D16" i="85" s="1"/>
  <c r="F13" i="84"/>
  <c r="F16" i="84" s="1"/>
  <c r="R19" i="84" s="1"/>
  <c r="F15" i="84"/>
  <c r="R10" i="84"/>
  <c r="G15" i="84"/>
  <c r="G13" i="84"/>
  <c r="G16" i="84" s="1"/>
  <c r="S19" i="84" s="1"/>
  <c r="S10" i="84"/>
  <c r="Q10" i="84"/>
  <c r="E13" i="84"/>
  <c r="E16" i="84" s="1"/>
  <c r="Q19" i="84" s="1"/>
  <c r="E15" i="84"/>
  <c r="H13" i="84"/>
  <c r="H16" i="84" s="1"/>
  <c r="D15" i="84"/>
  <c r="P7" i="84"/>
  <c r="H13" i="83"/>
  <c r="H16" i="83" s="1"/>
  <c r="H15" i="83"/>
  <c r="P10" i="83"/>
  <c r="D13" i="83"/>
  <c r="D16" i="83" s="1"/>
  <c r="D15" i="83"/>
  <c r="F13" i="83"/>
  <c r="F16" i="83" s="1"/>
  <c r="R19" i="83" s="1"/>
  <c r="G13" i="83"/>
  <c r="G16" i="83" s="1"/>
  <c r="S19" i="83" s="1"/>
  <c r="R10" i="83"/>
  <c r="T25" i="81"/>
  <c r="V15" i="81"/>
  <c r="W25" i="81"/>
  <c r="V25" i="81"/>
  <c r="V5" i="81"/>
  <c r="U5" i="81"/>
  <c r="U25" i="81"/>
  <c r="F15" i="81"/>
  <c r="E15" i="81"/>
  <c r="E13" i="81"/>
  <c r="E16" i="81" s="1"/>
  <c r="U19" i="81" s="1"/>
  <c r="U10" i="81"/>
  <c r="U15" i="81"/>
  <c r="D15" i="82"/>
  <c r="Q10" i="82"/>
  <c r="D13" i="82"/>
  <c r="D16" i="82" s="1"/>
  <c r="I13" i="82"/>
  <c r="I16" i="82" s="1"/>
  <c r="I15" i="82"/>
  <c r="E13" i="82"/>
  <c r="E16" i="82" s="1"/>
  <c r="R19" i="82" s="1"/>
  <c r="R10" i="82"/>
  <c r="F13" i="82"/>
  <c r="F16" i="82" s="1"/>
  <c r="S19" i="82" s="1"/>
  <c r="R5" i="82"/>
  <c r="S10" i="82"/>
  <c r="T15" i="80"/>
  <c r="U15" i="80"/>
  <c r="V25" i="80"/>
  <c r="U21" i="80"/>
  <c r="F20" i="80"/>
  <c r="T5" i="80"/>
  <c r="U25" i="80"/>
  <c r="T25" i="80"/>
  <c r="F15" i="80"/>
  <c r="E15" i="80"/>
  <c r="J15" i="81"/>
  <c r="J13" i="81"/>
  <c r="J16" i="81" s="1"/>
  <c r="D13" i="81"/>
  <c r="D16" i="81" s="1"/>
  <c r="D15" i="81"/>
  <c r="T10" i="81"/>
  <c r="V10" i="81"/>
  <c r="G13" i="81"/>
  <c r="G16" i="81" s="1"/>
  <c r="W19" i="81" s="1"/>
  <c r="W10" i="81"/>
  <c r="F13" i="81"/>
  <c r="F16" i="81" s="1"/>
  <c r="V19" i="81" s="1"/>
  <c r="D15" i="80"/>
  <c r="S10" i="80"/>
  <c r="D13" i="80"/>
  <c r="D16" i="80" s="1"/>
  <c r="E13" i="80"/>
  <c r="E16" i="80" s="1"/>
  <c r="T19" i="80" s="1"/>
  <c r="T10" i="80"/>
  <c r="F13" i="80"/>
  <c r="F16" i="80" s="1"/>
  <c r="U19" i="80" s="1"/>
  <c r="U10" i="80"/>
  <c r="G13" i="80"/>
  <c r="G16" i="80" s="1"/>
  <c r="V19" i="80" s="1"/>
  <c r="U7" i="80" l="1"/>
  <c r="U5" i="80"/>
  <c r="X24" i="79" l="1"/>
  <c r="W24" i="79"/>
  <c r="V24" i="79"/>
  <c r="U24" i="79"/>
  <c r="X23" i="79"/>
  <c r="W23" i="79"/>
  <c r="V23" i="79"/>
  <c r="U23" i="79"/>
  <c r="X21" i="79"/>
  <c r="W21" i="79"/>
  <c r="V21" i="79"/>
  <c r="U21" i="79"/>
  <c r="X20" i="79"/>
  <c r="W20" i="79"/>
  <c r="V20" i="79"/>
  <c r="J20" i="79"/>
  <c r="G20" i="79"/>
  <c r="X5" i="79" s="1"/>
  <c r="F20" i="79"/>
  <c r="W7" i="79" s="1"/>
  <c r="E20" i="79"/>
  <c r="V5" i="79" s="1"/>
  <c r="D20" i="79"/>
  <c r="U7" i="79" s="1"/>
  <c r="X16" i="79"/>
  <c r="W16" i="79"/>
  <c r="V16" i="79"/>
  <c r="U16" i="79"/>
  <c r="X14" i="79"/>
  <c r="W14" i="79"/>
  <c r="V14" i="79"/>
  <c r="U14" i="79"/>
  <c r="X13" i="79"/>
  <c r="W13" i="79"/>
  <c r="V13" i="79"/>
  <c r="U13" i="79"/>
  <c r="X11" i="79"/>
  <c r="W11" i="79"/>
  <c r="V11" i="79"/>
  <c r="U11" i="79"/>
  <c r="C11" i="79"/>
  <c r="B11" i="79"/>
  <c r="J10" i="79"/>
  <c r="AA3" i="79" s="1"/>
  <c r="G10" i="79"/>
  <c r="X3" i="79" s="1"/>
  <c r="F10" i="79"/>
  <c r="W3" i="79" s="1"/>
  <c r="E10" i="79"/>
  <c r="V3" i="79" s="1"/>
  <c r="D10" i="79"/>
  <c r="U3" i="79" s="1"/>
  <c r="C10" i="79"/>
  <c r="B10" i="79"/>
  <c r="J8" i="79"/>
  <c r="J11" i="79" s="1"/>
  <c r="J13" i="79" s="1"/>
  <c r="J16" i="79" s="1"/>
  <c r="G8" i="79"/>
  <c r="G11" i="79" s="1"/>
  <c r="F8" i="79"/>
  <c r="F11" i="79" s="1"/>
  <c r="E8" i="79"/>
  <c r="E11" i="79" s="1"/>
  <c r="V9" i="79" s="1"/>
  <c r="D8" i="79"/>
  <c r="D11" i="79" s="1"/>
  <c r="U9" i="79" s="1"/>
  <c r="F21" i="77"/>
  <c r="E21" i="77"/>
  <c r="F19" i="77"/>
  <c r="E19" i="77"/>
  <c r="F14" i="77"/>
  <c r="E14" i="77"/>
  <c r="U15" i="79" l="1"/>
  <c r="X15" i="79"/>
  <c r="X7" i="79"/>
  <c r="F15" i="79"/>
  <c r="W9" i="79"/>
  <c r="J15" i="79"/>
  <c r="U5" i="79"/>
  <c r="G15" i="79"/>
  <c r="X9" i="79"/>
  <c r="U25" i="79"/>
  <c r="X25" i="79"/>
  <c r="W5" i="79"/>
  <c r="V7" i="79"/>
  <c r="W25" i="79"/>
  <c r="V25" i="79"/>
  <c r="W15" i="79"/>
  <c r="V15" i="79"/>
  <c r="D13" i="79"/>
  <c r="D16" i="79" s="1"/>
  <c r="D15" i="79"/>
  <c r="U10" i="79"/>
  <c r="E13" i="79"/>
  <c r="E16" i="79" s="1"/>
  <c r="V19" i="79" s="1"/>
  <c r="E15" i="79"/>
  <c r="V10" i="79"/>
  <c r="F13" i="79"/>
  <c r="F16" i="79" s="1"/>
  <c r="W19" i="79" s="1"/>
  <c r="W10" i="79"/>
  <c r="X10" i="79"/>
  <c r="G13" i="79"/>
  <c r="G16" i="79" s="1"/>
  <c r="X19" i="79" s="1"/>
  <c r="J22" i="75" l="1"/>
  <c r="S24" i="77"/>
  <c r="R24" i="77"/>
  <c r="Q24" i="77"/>
  <c r="P24" i="77"/>
  <c r="S23" i="77"/>
  <c r="S25" i="77" s="1"/>
  <c r="R23" i="77"/>
  <c r="Q23" i="77"/>
  <c r="P23" i="77"/>
  <c r="P25" i="77" s="1"/>
  <c r="S21" i="77"/>
  <c r="R21" i="77"/>
  <c r="Q21" i="77"/>
  <c r="P21" i="77"/>
  <c r="S20" i="77"/>
  <c r="R20" i="77"/>
  <c r="Q20" i="77"/>
  <c r="H20" i="77"/>
  <c r="F20" i="77"/>
  <c r="R7" i="77" s="1"/>
  <c r="E20" i="77"/>
  <c r="Q5" i="77" s="1"/>
  <c r="D20" i="77"/>
  <c r="P5" i="77" s="1"/>
  <c r="S16" i="77"/>
  <c r="R16" i="77"/>
  <c r="Q16" i="77"/>
  <c r="P16" i="77"/>
  <c r="T15" i="77"/>
  <c r="S14" i="77"/>
  <c r="R14" i="77"/>
  <c r="Q14" i="77"/>
  <c r="P14" i="77"/>
  <c r="S13" i="77"/>
  <c r="S15" i="77" s="1"/>
  <c r="R13" i="77"/>
  <c r="R15" i="77" s="1"/>
  <c r="Q13" i="77"/>
  <c r="P13" i="77"/>
  <c r="P15" i="77" s="1"/>
  <c r="S11" i="77"/>
  <c r="R11" i="77"/>
  <c r="Q11" i="77"/>
  <c r="P11" i="77"/>
  <c r="H11" i="77"/>
  <c r="H15" i="77" s="1"/>
  <c r="C11" i="77"/>
  <c r="B11" i="77"/>
  <c r="H10" i="77"/>
  <c r="F10" i="77"/>
  <c r="E10" i="77"/>
  <c r="Q3" i="77" s="1"/>
  <c r="D10" i="77"/>
  <c r="C10" i="77"/>
  <c r="B10" i="77"/>
  <c r="H8" i="77"/>
  <c r="F8" i="77"/>
  <c r="F11" i="77" s="1"/>
  <c r="R9" i="77" s="1"/>
  <c r="E8" i="77"/>
  <c r="E11" i="77" s="1"/>
  <c r="Q9" i="77" s="1"/>
  <c r="D8" i="77"/>
  <c r="D11" i="77" s="1"/>
  <c r="P9" i="77" s="1"/>
  <c r="S7" i="77"/>
  <c r="S5" i="77"/>
  <c r="S3" i="77"/>
  <c r="R3" i="77"/>
  <c r="P3" i="77"/>
  <c r="J24" i="76"/>
  <c r="J23" i="76"/>
  <c r="J21" i="76"/>
  <c r="J20" i="76"/>
  <c r="J6" i="76"/>
  <c r="J17" i="76"/>
  <c r="J15" i="76"/>
  <c r="J14" i="76"/>
  <c r="J12" i="76"/>
  <c r="J4" i="76"/>
  <c r="J19" i="76"/>
  <c r="J24" i="75"/>
  <c r="J25" i="75"/>
  <c r="J21" i="75"/>
  <c r="J8" i="75"/>
  <c r="J17" i="75"/>
  <c r="J15" i="75"/>
  <c r="J14" i="75"/>
  <c r="J12" i="75"/>
  <c r="J4" i="75"/>
  <c r="J10" i="75"/>
  <c r="E21" i="74"/>
  <c r="D21" i="74"/>
  <c r="P24" i="74" s="1"/>
  <c r="E19" i="74"/>
  <c r="E20" i="74" s="1"/>
  <c r="D19" i="74"/>
  <c r="E14" i="74"/>
  <c r="D14" i="74"/>
  <c r="G21" i="74"/>
  <c r="F21" i="74"/>
  <c r="G19" i="74"/>
  <c r="F19" i="74"/>
  <c r="G14" i="74"/>
  <c r="F14" i="74"/>
  <c r="V21" i="73"/>
  <c r="W21" i="73"/>
  <c r="X21" i="73"/>
  <c r="V23" i="73"/>
  <c r="W23" i="73"/>
  <c r="X23" i="73"/>
  <c r="V14" i="73"/>
  <c r="W14" i="73"/>
  <c r="X14" i="73"/>
  <c r="V16" i="73"/>
  <c r="W16" i="73"/>
  <c r="X16" i="73"/>
  <c r="V13" i="73"/>
  <c r="W13" i="73"/>
  <c r="X13" i="73"/>
  <c r="G21" i="73"/>
  <c r="Y24" i="73" s="1"/>
  <c r="Y25" i="73" s="1"/>
  <c r="G14" i="73"/>
  <c r="X11" i="73" s="1"/>
  <c r="G8" i="73"/>
  <c r="G11" i="73" s="1"/>
  <c r="X9" i="73" s="1"/>
  <c r="G10" i="73"/>
  <c r="X3" i="73" s="1"/>
  <c r="G20" i="73"/>
  <c r="X7" i="73" s="1"/>
  <c r="F21" i="73"/>
  <c r="E21" i="73"/>
  <c r="V24" i="73" s="1"/>
  <c r="F14" i="73"/>
  <c r="W11" i="73" s="1"/>
  <c r="E14" i="73"/>
  <c r="V11" i="73" s="1"/>
  <c r="H14" i="72"/>
  <c r="E21" i="72"/>
  <c r="D21" i="72"/>
  <c r="E14" i="72"/>
  <c r="D14" i="72"/>
  <c r="G21" i="72"/>
  <c r="F21" i="72"/>
  <c r="S24" i="72" s="1"/>
  <c r="G14" i="72"/>
  <c r="S9" i="72" s="1"/>
  <c r="F14" i="72"/>
  <c r="U24" i="73"/>
  <c r="U23" i="73"/>
  <c r="U21" i="73"/>
  <c r="J20" i="73"/>
  <c r="F20" i="73"/>
  <c r="W7" i="73" s="1"/>
  <c r="E20" i="73"/>
  <c r="V7" i="73" s="1"/>
  <c r="D20" i="73"/>
  <c r="U7" i="73" s="1"/>
  <c r="U16" i="73"/>
  <c r="AA15" i="73"/>
  <c r="U14" i="73"/>
  <c r="U13" i="73"/>
  <c r="U11" i="73"/>
  <c r="C11" i="73"/>
  <c r="B11" i="73"/>
  <c r="F10" i="73"/>
  <c r="W3" i="73" s="1"/>
  <c r="E10" i="73"/>
  <c r="V3" i="73" s="1"/>
  <c r="D10" i="73"/>
  <c r="U3" i="73" s="1"/>
  <c r="C10" i="73"/>
  <c r="B10" i="73"/>
  <c r="F8" i="73"/>
  <c r="F11" i="73" s="1"/>
  <c r="E8" i="73"/>
  <c r="E11" i="73" s="1"/>
  <c r="D8" i="73"/>
  <c r="D11" i="73" s="1"/>
  <c r="U5" i="73"/>
  <c r="S23" i="74"/>
  <c r="R23" i="74"/>
  <c r="Q23" i="74"/>
  <c r="P23" i="74"/>
  <c r="S21" i="74"/>
  <c r="S20" i="74"/>
  <c r="R20" i="74"/>
  <c r="Q20" i="74"/>
  <c r="G20" i="74"/>
  <c r="S16" i="74"/>
  <c r="R16" i="74"/>
  <c r="Q16" i="74"/>
  <c r="P16" i="74"/>
  <c r="T15" i="74"/>
  <c r="S14" i="74"/>
  <c r="R14" i="74"/>
  <c r="Q14" i="74"/>
  <c r="P14" i="74"/>
  <c r="S13" i="74"/>
  <c r="S15" i="74" s="1"/>
  <c r="R13" i="74"/>
  <c r="Q13" i="74"/>
  <c r="P13" i="74"/>
  <c r="R11" i="74"/>
  <c r="G11" i="74"/>
  <c r="S10" i="74" s="1"/>
  <c r="C11" i="74"/>
  <c r="B11" i="74"/>
  <c r="H10" i="74"/>
  <c r="G10" i="74"/>
  <c r="F10" i="74"/>
  <c r="R3" i="74" s="1"/>
  <c r="E10" i="74"/>
  <c r="Q3" i="74" s="1"/>
  <c r="D10" i="74"/>
  <c r="P3" i="74" s="1"/>
  <c r="C10" i="74"/>
  <c r="B10" i="74"/>
  <c r="H8" i="74"/>
  <c r="H11" i="74" s="1"/>
  <c r="G8" i="74"/>
  <c r="F8" i="74"/>
  <c r="F11" i="74" s="1"/>
  <c r="E8" i="74"/>
  <c r="E11" i="74" s="1"/>
  <c r="D8" i="74"/>
  <c r="D11" i="74" s="1"/>
  <c r="S3" i="74"/>
  <c r="E21" i="71"/>
  <c r="D21" i="71"/>
  <c r="E14" i="71"/>
  <c r="Q9" i="71" s="1"/>
  <c r="Q11" i="71"/>
  <c r="D14" i="71"/>
  <c r="G21" i="71"/>
  <c r="S5" i="71" s="1"/>
  <c r="F21" i="71"/>
  <c r="S24" i="71" s="1"/>
  <c r="G14" i="71"/>
  <c r="F14" i="71"/>
  <c r="H14" i="70"/>
  <c r="G21" i="70"/>
  <c r="F21" i="70"/>
  <c r="G14" i="70"/>
  <c r="F14" i="70"/>
  <c r="P24" i="72"/>
  <c r="S23" i="72"/>
  <c r="R23" i="72"/>
  <c r="Q23" i="72"/>
  <c r="P23" i="72"/>
  <c r="S21" i="72"/>
  <c r="R21" i="72"/>
  <c r="Q21" i="72"/>
  <c r="P21" i="72"/>
  <c r="S20" i="72"/>
  <c r="R20" i="72"/>
  <c r="Q20" i="72"/>
  <c r="H20" i="72"/>
  <c r="G20" i="72"/>
  <c r="S7" i="72" s="1"/>
  <c r="F20" i="72"/>
  <c r="R7" i="72" s="1"/>
  <c r="E20" i="72"/>
  <c r="Q7" i="72" s="1"/>
  <c r="D20" i="72"/>
  <c r="P7" i="72" s="1"/>
  <c r="S16" i="72"/>
  <c r="R16" i="72"/>
  <c r="Q16" i="72"/>
  <c r="P16" i="72"/>
  <c r="T15" i="72"/>
  <c r="S14" i="72"/>
  <c r="R14" i="72"/>
  <c r="Q14" i="72"/>
  <c r="P14" i="72"/>
  <c r="S13" i="72"/>
  <c r="R13" i="72"/>
  <c r="R15" i="72" s="1"/>
  <c r="Q13" i="72"/>
  <c r="P13" i="72"/>
  <c r="R11" i="72"/>
  <c r="C11" i="72"/>
  <c r="B11" i="72"/>
  <c r="H10" i="72"/>
  <c r="G10" i="72"/>
  <c r="S3" i="72" s="1"/>
  <c r="F10" i="72"/>
  <c r="R3" i="72" s="1"/>
  <c r="E10" i="72"/>
  <c r="Q3" i="72" s="1"/>
  <c r="D10" i="72"/>
  <c r="P3" i="72" s="1"/>
  <c r="C10" i="72"/>
  <c r="B10" i="72"/>
  <c r="H8" i="72"/>
  <c r="H11" i="72" s="1"/>
  <c r="G8" i="72"/>
  <c r="G11" i="72" s="1"/>
  <c r="F8" i="72"/>
  <c r="F11" i="72" s="1"/>
  <c r="E8" i="72"/>
  <c r="E11" i="72" s="1"/>
  <c r="D8" i="72"/>
  <c r="D11" i="72" s="1"/>
  <c r="Q24" i="71"/>
  <c r="P24" i="71"/>
  <c r="S23" i="71"/>
  <c r="R23" i="71"/>
  <c r="Q23" i="71"/>
  <c r="P23" i="71"/>
  <c r="S21" i="71"/>
  <c r="R21" i="71"/>
  <c r="Q21" i="71"/>
  <c r="P21" i="71"/>
  <c r="S20" i="71"/>
  <c r="R20" i="71"/>
  <c r="Q20" i="71"/>
  <c r="H20" i="71"/>
  <c r="G20" i="71"/>
  <c r="S7" i="71" s="1"/>
  <c r="F20" i="71"/>
  <c r="R7" i="71" s="1"/>
  <c r="E20" i="71"/>
  <c r="Q7" i="71" s="1"/>
  <c r="D20" i="71"/>
  <c r="P7" i="71" s="1"/>
  <c r="S16" i="71"/>
  <c r="R16" i="71"/>
  <c r="Q16" i="71"/>
  <c r="P16" i="71"/>
  <c r="T15" i="71"/>
  <c r="S14" i="71"/>
  <c r="R14" i="71"/>
  <c r="Q14" i="71"/>
  <c r="P14" i="71"/>
  <c r="S13" i="71"/>
  <c r="R13" i="71"/>
  <c r="Q13" i="71"/>
  <c r="P13" i="71"/>
  <c r="C11" i="71"/>
  <c r="B11" i="71"/>
  <c r="H10" i="71"/>
  <c r="G10" i="71"/>
  <c r="S3" i="71" s="1"/>
  <c r="F10" i="71"/>
  <c r="R3" i="71" s="1"/>
  <c r="E10" i="71"/>
  <c r="Q3" i="71" s="1"/>
  <c r="D10" i="71"/>
  <c r="P3" i="71" s="1"/>
  <c r="C10" i="71"/>
  <c r="B10" i="71"/>
  <c r="H8" i="71"/>
  <c r="H11" i="71" s="1"/>
  <c r="H15" i="71" s="1"/>
  <c r="G8" i="71"/>
  <c r="G11" i="71" s="1"/>
  <c r="G15" i="71" s="1"/>
  <c r="F8" i="71"/>
  <c r="F11" i="71" s="1"/>
  <c r="E8" i="71"/>
  <c r="E11" i="71" s="1"/>
  <c r="D8" i="71"/>
  <c r="D11" i="71" s="1"/>
  <c r="F14" i="69"/>
  <c r="H14" i="68"/>
  <c r="E21" i="68"/>
  <c r="D21" i="68"/>
  <c r="E19" i="68"/>
  <c r="D19" i="68"/>
  <c r="E14" i="68"/>
  <c r="D14" i="68"/>
  <c r="G21" i="68"/>
  <c r="F21" i="68"/>
  <c r="G19" i="68"/>
  <c r="F19" i="68"/>
  <c r="G14" i="68"/>
  <c r="F14" i="68"/>
  <c r="J8" i="76" l="1"/>
  <c r="R5" i="77"/>
  <c r="R24" i="71"/>
  <c r="R25" i="71" s="1"/>
  <c r="S15" i="72"/>
  <c r="P5" i="71"/>
  <c r="R24" i="74"/>
  <c r="R25" i="74" s="1"/>
  <c r="P11" i="72"/>
  <c r="P9" i="72"/>
  <c r="R9" i="74"/>
  <c r="U15" i="73"/>
  <c r="P11" i="74"/>
  <c r="P9" i="74"/>
  <c r="G15" i="74"/>
  <c r="S9" i="74"/>
  <c r="R11" i="71"/>
  <c r="R9" i="71"/>
  <c r="S11" i="71"/>
  <c r="S9" i="71"/>
  <c r="P11" i="71"/>
  <c r="P9" i="71"/>
  <c r="Q11" i="72"/>
  <c r="Q9" i="72"/>
  <c r="R24" i="72"/>
  <c r="R25" i="72" s="1"/>
  <c r="S24" i="74"/>
  <c r="Q11" i="74"/>
  <c r="Q9" i="74"/>
  <c r="S11" i="72"/>
  <c r="R9" i="72"/>
  <c r="X24" i="73"/>
  <c r="X25" i="73" s="1"/>
  <c r="X5" i="73"/>
  <c r="V9" i="73"/>
  <c r="W5" i="73"/>
  <c r="W10" i="73"/>
  <c r="V5" i="73"/>
  <c r="W24" i="73"/>
  <c r="W25" i="73" s="1"/>
  <c r="X15" i="73"/>
  <c r="W15" i="73"/>
  <c r="U25" i="73"/>
  <c r="V15" i="73"/>
  <c r="V25" i="73"/>
  <c r="U10" i="73"/>
  <c r="U9" i="73"/>
  <c r="X10" i="73"/>
  <c r="V10" i="73"/>
  <c r="F15" i="73"/>
  <c r="W9" i="73"/>
  <c r="J16" i="76"/>
  <c r="J10" i="76"/>
  <c r="H13" i="74"/>
  <c r="H16" i="74" s="1"/>
  <c r="H15" i="74"/>
  <c r="Q7" i="77"/>
  <c r="R25" i="77"/>
  <c r="Q25" i="77"/>
  <c r="Q15" i="77"/>
  <c r="J25" i="76"/>
  <c r="P10" i="77"/>
  <c r="D13" i="77"/>
  <c r="D16" i="77" s="1"/>
  <c r="D15" i="77"/>
  <c r="Q10" i="77"/>
  <c r="E13" i="77"/>
  <c r="E16" i="77" s="1"/>
  <c r="Q19" i="77" s="1"/>
  <c r="E15" i="77"/>
  <c r="F13" i="77"/>
  <c r="F16" i="77" s="1"/>
  <c r="R19" i="77" s="1"/>
  <c r="F15" i="77"/>
  <c r="R10" i="77"/>
  <c r="S19" i="77"/>
  <c r="S10" i="77"/>
  <c r="H13" i="77"/>
  <c r="H16" i="77" s="1"/>
  <c r="P7" i="77"/>
  <c r="J11" i="76"/>
  <c r="J6" i="75"/>
  <c r="J16" i="75"/>
  <c r="J20" i="75"/>
  <c r="J11" i="75"/>
  <c r="J26" i="75"/>
  <c r="Q15" i="74"/>
  <c r="P15" i="74"/>
  <c r="Q24" i="74"/>
  <c r="Q25" i="74" s="1"/>
  <c r="Q5" i="74"/>
  <c r="Q7" i="74"/>
  <c r="R21" i="74"/>
  <c r="Q21" i="74"/>
  <c r="P21" i="74"/>
  <c r="D20" i="74"/>
  <c r="P25" i="74"/>
  <c r="E15" i="74"/>
  <c r="S5" i="74"/>
  <c r="S7" i="74"/>
  <c r="F20" i="74"/>
  <c r="S11" i="74"/>
  <c r="S25" i="74"/>
  <c r="F15" i="74"/>
  <c r="R15" i="74"/>
  <c r="G13" i="73"/>
  <c r="G16" i="73" s="1"/>
  <c r="X19" i="73" s="1"/>
  <c r="G15" i="73"/>
  <c r="E15" i="73"/>
  <c r="Q24" i="72"/>
  <c r="Q5" i="72"/>
  <c r="P5" i="72"/>
  <c r="Q25" i="72"/>
  <c r="P25" i="72"/>
  <c r="Q15" i="72"/>
  <c r="P15" i="72"/>
  <c r="S5" i="72"/>
  <c r="S25" i="72"/>
  <c r="E13" i="73"/>
  <c r="E16" i="73" s="1"/>
  <c r="V19" i="73" s="1"/>
  <c r="F13" i="73"/>
  <c r="F16" i="73" s="1"/>
  <c r="W19" i="73" s="1"/>
  <c r="D15" i="73"/>
  <c r="D13" i="73"/>
  <c r="D16" i="73" s="1"/>
  <c r="D13" i="74"/>
  <c r="D16" i="74" s="1"/>
  <c r="D15" i="74"/>
  <c r="P10" i="74"/>
  <c r="E13" i="74"/>
  <c r="E16" i="74" s="1"/>
  <c r="Q19" i="74" s="1"/>
  <c r="Q10" i="74"/>
  <c r="F13" i="74"/>
  <c r="F16" i="74" s="1"/>
  <c r="R19" i="74" s="1"/>
  <c r="R10" i="74"/>
  <c r="G13" i="74"/>
  <c r="G16" i="74" s="1"/>
  <c r="S19" i="74" s="1"/>
  <c r="Q5" i="71"/>
  <c r="Q25" i="71"/>
  <c r="P25" i="71"/>
  <c r="P15" i="71"/>
  <c r="Q15" i="71"/>
  <c r="R5" i="71"/>
  <c r="S25" i="71"/>
  <c r="S15" i="71"/>
  <c r="R15" i="71"/>
  <c r="F15" i="72"/>
  <c r="R10" i="72"/>
  <c r="F13" i="72"/>
  <c r="F16" i="72" s="1"/>
  <c r="R19" i="72" s="1"/>
  <c r="G15" i="72"/>
  <c r="S10" i="72"/>
  <c r="G13" i="72"/>
  <c r="G16" i="72" s="1"/>
  <c r="S19" i="72" s="1"/>
  <c r="E13" i="72"/>
  <c r="E16" i="72" s="1"/>
  <c r="Q19" i="72" s="1"/>
  <c r="E15" i="72"/>
  <c r="Q10" i="72"/>
  <c r="H15" i="72"/>
  <c r="H13" i="72"/>
  <c r="H16" i="72" s="1"/>
  <c r="P10" i="72"/>
  <c r="D13" i="72"/>
  <c r="D16" i="72" s="1"/>
  <c r="D15" i="72"/>
  <c r="R5" i="72"/>
  <c r="Q10" i="71"/>
  <c r="E13" i="71"/>
  <c r="E16" i="71" s="1"/>
  <c r="Q19" i="71" s="1"/>
  <c r="E15" i="71"/>
  <c r="P10" i="71"/>
  <c r="D13" i="71"/>
  <c r="D16" i="71" s="1"/>
  <c r="D15" i="71"/>
  <c r="R10" i="71"/>
  <c r="F15" i="71"/>
  <c r="F13" i="71"/>
  <c r="F16" i="71" s="1"/>
  <c r="R19" i="71" s="1"/>
  <c r="G13" i="71"/>
  <c r="G16" i="71" s="1"/>
  <c r="S19" i="71" s="1"/>
  <c r="H13" i="71"/>
  <c r="H16" i="71" s="1"/>
  <c r="S10" i="71"/>
  <c r="P7" i="74" l="1"/>
  <c r="P5" i="74"/>
  <c r="R5" i="74"/>
  <c r="R7" i="74"/>
  <c r="S24" i="70" l="1"/>
  <c r="R24" i="70"/>
  <c r="Q24" i="70"/>
  <c r="P24" i="70"/>
  <c r="S23" i="70"/>
  <c r="R23" i="70"/>
  <c r="Q23" i="70"/>
  <c r="Q25" i="70" s="1"/>
  <c r="P23" i="70"/>
  <c r="P25" i="70" s="1"/>
  <c r="S21" i="70"/>
  <c r="R21" i="70"/>
  <c r="Q21" i="70"/>
  <c r="P21" i="70"/>
  <c r="S20" i="70"/>
  <c r="R20" i="70"/>
  <c r="Q20" i="70"/>
  <c r="H20" i="70"/>
  <c r="G20" i="70"/>
  <c r="S7" i="70" s="1"/>
  <c r="F20" i="70"/>
  <c r="R7" i="70" s="1"/>
  <c r="E20" i="70"/>
  <c r="Q5" i="70" s="1"/>
  <c r="D20" i="70"/>
  <c r="P5" i="70" s="1"/>
  <c r="S16" i="70"/>
  <c r="R16" i="70"/>
  <c r="Q16" i="70"/>
  <c r="P16" i="70"/>
  <c r="T15" i="70"/>
  <c r="S14" i="70"/>
  <c r="R14" i="70"/>
  <c r="Q14" i="70"/>
  <c r="P14" i="70"/>
  <c r="S13" i="70"/>
  <c r="R13" i="70"/>
  <c r="Q13" i="70"/>
  <c r="Q15" i="70" s="1"/>
  <c r="P13" i="70"/>
  <c r="P15" i="70" s="1"/>
  <c r="S11" i="70"/>
  <c r="R11" i="70"/>
  <c r="Q11" i="70"/>
  <c r="P11" i="70"/>
  <c r="C11" i="70"/>
  <c r="B11" i="70"/>
  <c r="H10" i="70"/>
  <c r="G10" i="70"/>
  <c r="S3" i="70" s="1"/>
  <c r="F10" i="70"/>
  <c r="R3" i="70" s="1"/>
  <c r="E10" i="70"/>
  <c r="Q3" i="70" s="1"/>
  <c r="D10" i="70"/>
  <c r="P3" i="70" s="1"/>
  <c r="C10" i="70"/>
  <c r="B10" i="70"/>
  <c r="H8" i="70"/>
  <c r="H11" i="70" s="1"/>
  <c r="G8" i="70"/>
  <c r="G11" i="70" s="1"/>
  <c r="S9" i="70" s="1"/>
  <c r="F8" i="70"/>
  <c r="F11" i="70" s="1"/>
  <c r="R9" i="70" s="1"/>
  <c r="E8" i="70"/>
  <c r="E11" i="70" s="1"/>
  <c r="D8" i="70"/>
  <c r="D11" i="70" s="1"/>
  <c r="V24" i="69"/>
  <c r="U24" i="69"/>
  <c r="T24" i="69"/>
  <c r="S24" i="69"/>
  <c r="V23" i="69"/>
  <c r="U23" i="69"/>
  <c r="T23" i="69"/>
  <c r="S23" i="69"/>
  <c r="V21" i="69"/>
  <c r="U21" i="69"/>
  <c r="T21" i="69"/>
  <c r="S21" i="69"/>
  <c r="V20" i="69"/>
  <c r="U20" i="69"/>
  <c r="T20" i="69"/>
  <c r="J20" i="69"/>
  <c r="G20" i="69"/>
  <c r="V7" i="69" s="1"/>
  <c r="F20" i="69"/>
  <c r="U5" i="69" s="1"/>
  <c r="E20" i="69"/>
  <c r="T7" i="69" s="1"/>
  <c r="D20" i="69"/>
  <c r="S7" i="69" s="1"/>
  <c r="V16" i="69"/>
  <c r="U16" i="69"/>
  <c r="T16" i="69"/>
  <c r="S16" i="69"/>
  <c r="X15" i="69"/>
  <c r="V14" i="69"/>
  <c r="U14" i="69"/>
  <c r="T14" i="69"/>
  <c r="T15" i="69" s="1"/>
  <c r="S14" i="69"/>
  <c r="S15" i="69" s="1"/>
  <c r="V13" i="69"/>
  <c r="U13" i="69"/>
  <c r="T13" i="69"/>
  <c r="S13" i="69"/>
  <c r="V11" i="69"/>
  <c r="U11" i="69"/>
  <c r="T11" i="69"/>
  <c r="S11" i="69"/>
  <c r="C11" i="69"/>
  <c r="B11" i="69"/>
  <c r="J10" i="69"/>
  <c r="G10" i="69"/>
  <c r="V3" i="69" s="1"/>
  <c r="F10" i="69"/>
  <c r="U3" i="69" s="1"/>
  <c r="E10" i="69"/>
  <c r="D10" i="69"/>
  <c r="S3" i="69" s="1"/>
  <c r="C10" i="69"/>
  <c r="B10" i="69"/>
  <c r="J8" i="69"/>
  <c r="J11" i="69" s="1"/>
  <c r="J15" i="69" s="1"/>
  <c r="G8" i="69"/>
  <c r="G11" i="69" s="1"/>
  <c r="F8" i="69"/>
  <c r="F11" i="69" s="1"/>
  <c r="U9" i="69" s="1"/>
  <c r="E8" i="69"/>
  <c r="E11" i="69" s="1"/>
  <c r="T9" i="69" s="1"/>
  <c r="D8" i="69"/>
  <c r="D11" i="69" s="1"/>
  <c r="S9" i="69" s="1"/>
  <c r="T5" i="69"/>
  <c r="T3" i="69"/>
  <c r="H14" i="67"/>
  <c r="E21" i="67"/>
  <c r="D21" i="67"/>
  <c r="E14" i="67"/>
  <c r="D14" i="67"/>
  <c r="G21" i="67"/>
  <c r="F21" i="67"/>
  <c r="G14" i="67"/>
  <c r="F14" i="67"/>
  <c r="P7" i="70" l="1"/>
  <c r="Q7" i="70"/>
  <c r="G15" i="69"/>
  <c r="V9" i="69"/>
  <c r="U7" i="69"/>
  <c r="S25" i="69"/>
  <c r="S5" i="69"/>
  <c r="T25" i="69"/>
  <c r="D13" i="70"/>
  <c r="D16" i="70" s="1"/>
  <c r="P9" i="70"/>
  <c r="Q10" i="70"/>
  <c r="Q9" i="70"/>
  <c r="S5" i="70"/>
  <c r="S15" i="70"/>
  <c r="R5" i="70"/>
  <c r="S25" i="70"/>
  <c r="R25" i="70"/>
  <c r="R15" i="70"/>
  <c r="V15" i="69"/>
  <c r="U15" i="69"/>
  <c r="V5" i="69"/>
  <c r="V25" i="69"/>
  <c r="U25" i="69"/>
  <c r="F13" i="70"/>
  <c r="F16" i="70" s="1"/>
  <c r="R19" i="70" s="1"/>
  <c r="F15" i="70"/>
  <c r="R10" i="70"/>
  <c r="G15" i="70"/>
  <c r="S10" i="70"/>
  <c r="G13" i="70"/>
  <c r="G16" i="70" s="1"/>
  <c r="S19" i="70" s="1"/>
  <c r="H15" i="70"/>
  <c r="H13" i="70"/>
  <c r="H16" i="70" s="1"/>
  <c r="D15" i="70"/>
  <c r="E15" i="70"/>
  <c r="P10" i="70"/>
  <c r="E13" i="70"/>
  <c r="E16" i="70" s="1"/>
  <c r="Q19" i="70" s="1"/>
  <c r="U10" i="69"/>
  <c r="F15" i="69"/>
  <c r="F13" i="69"/>
  <c r="F16" i="69" s="1"/>
  <c r="U19" i="69" s="1"/>
  <c r="S10" i="69"/>
  <c r="D13" i="69"/>
  <c r="D16" i="69" s="1"/>
  <c r="D15" i="69"/>
  <c r="E13" i="69"/>
  <c r="E16" i="69" s="1"/>
  <c r="T19" i="69" s="1"/>
  <c r="E15" i="69"/>
  <c r="T10" i="69"/>
  <c r="V10" i="69"/>
  <c r="J13" i="69"/>
  <c r="J16" i="69" s="1"/>
  <c r="G13" i="69"/>
  <c r="G16" i="69" s="1"/>
  <c r="V19" i="69" s="1"/>
  <c r="E21" i="66"/>
  <c r="D21" i="66"/>
  <c r="E14" i="66"/>
  <c r="D14" i="66"/>
  <c r="H14" i="66"/>
  <c r="H5" i="66"/>
  <c r="G21" i="66"/>
  <c r="F21" i="66"/>
  <c r="G14" i="66"/>
  <c r="F14" i="66"/>
  <c r="S24" i="68" l="1"/>
  <c r="R24" i="68"/>
  <c r="Q24" i="68"/>
  <c r="P24" i="68"/>
  <c r="S23" i="68"/>
  <c r="R23" i="68"/>
  <c r="Q23" i="68"/>
  <c r="P23" i="68"/>
  <c r="S21" i="68"/>
  <c r="R21" i="68"/>
  <c r="Q21" i="68"/>
  <c r="P21" i="68"/>
  <c r="S20" i="68"/>
  <c r="R20" i="68"/>
  <c r="Q20" i="68"/>
  <c r="H20" i="68"/>
  <c r="G20" i="68"/>
  <c r="S7" i="68" s="1"/>
  <c r="F20" i="68"/>
  <c r="R7" i="68" s="1"/>
  <c r="E20" i="68"/>
  <c r="Q5" i="68" s="1"/>
  <c r="D20" i="68"/>
  <c r="P5" i="68" s="1"/>
  <c r="S16" i="68"/>
  <c r="R16" i="68"/>
  <c r="Q16" i="68"/>
  <c r="P16" i="68"/>
  <c r="T15" i="68"/>
  <c r="S14" i="68"/>
  <c r="R14" i="68"/>
  <c r="Q14" i="68"/>
  <c r="P14" i="68"/>
  <c r="S13" i="68"/>
  <c r="R13" i="68"/>
  <c r="Q13" i="68"/>
  <c r="Q15" i="68" s="1"/>
  <c r="P13" i="68"/>
  <c r="S11" i="68"/>
  <c r="R11" i="68"/>
  <c r="Q11" i="68"/>
  <c r="P11" i="68"/>
  <c r="C11" i="68"/>
  <c r="B11" i="68"/>
  <c r="H10" i="68"/>
  <c r="G10" i="68"/>
  <c r="S3" i="68" s="1"/>
  <c r="F10" i="68"/>
  <c r="R3" i="68" s="1"/>
  <c r="E10" i="68"/>
  <c r="Q3" i="68" s="1"/>
  <c r="D10" i="68"/>
  <c r="P3" i="68" s="1"/>
  <c r="C10" i="68"/>
  <c r="B10" i="68"/>
  <c r="H8" i="68"/>
  <c r="H11" i="68" s="1"/>
  <c r="H15" i="68" s="1"/>
  <c r="G8" i="68"/>
  <c r="G11" i="68" s="1"/>
  <c r="F8" i="68"/>
  <c r="F11" i="68" s="1"/>
  <c r="E8" i="68"/>
  <c r="E11" i="68" s="1"/>
  <c r="D8" i="68"/>
  <c r="D11" i="68" s="1"/>
  <c r="S5" i="68"/>
  <c r="R5" i="68"/>
  <c r="S24" i="67"/>
  <c r="R24" i="67"/>
  <c r="Q24" i="67"/>
  <c r="P24" i="67"/>
  <c r="S23" i="67"/>
  <c r="R23" i="67"/>
  <c r="Q23" i="67"/>
  <c r="P23" i="67"/>
  <c r="P25" i="67" s="1"/>
  <c r="S21" i="67"/>
  <c r="R21" i="67"/>
  <c r="Q21" i="67"/>
  <c r="P21" i="67"/>
  <c r="S20" i="67"/>
  <c r="R20" i="67"/>
  <c r="Q20" i="67"/>
  <c r="H20" i="67"/>
  <c r="G20" i="67"/>
  <c r="S7" i="67" s="1"/>
  <c r="F20" i="67"/>
  <c r="R5" i="67" s="1"/>
  <c r="E20" i="67"/>
  <c r="Q7" i="67" s="1"/>
  <c r="D20" i="67"/>
  <c r="P7" i="67" s="1"/>
  <c r="S16" i="67"/>
  <c r="R16" i="67"/>
  <c r="Q16" i="67"/>
  <c r="P16" i="67"/>
  <c r="T15" i="67"/>
  <c r="S14" i="67"/>
  <c r="R14" i="67"/>
  <c r="Q14" i="67"/>
  <c r="P14" i="67"/>
  <c r="S13" i="67"/>
  <c r="R13" i="67"/>
  <c r="R15" i="67" s="1"/>
  <c r="Q13" i="67"/>
  <c r="Q15" i="67" s="1"/>
  <c r="P13" i="67"/>
  <c r="S11" i="67"/>
  <c r="R11" i="67"/>
  <c r="Q11" i="67"/>
  <c r="P11" i="67"/>
  <c r="C11" i="67"/>
  <c r="B11" i="67"/>
  <c r="H10" i="67"/>
  <c r="G10" i="67"/>
  <c r="S3" i="67" s="1"/>
  <c r="F10" i="67"/>
  <c r="R3" i="67" s="1"/>
  <c r="E10" i="67"/>
  <c r="Q3" i="67" s="1"/>
  <c r="D10" i="67"/>
  <c r="P3" i="67" s="1"/>
  <c r="C10" i="67"/>
  <c r="B10" i="67"/>
  <c r="H8" i="67"/>
  <c r="H11" i="67" s="1"/>
  <c r="G8" i="67"/>
  <c r="G11" i="67" s="1"/>
  <c r="F8" i="67"/>
  <c r="F11" i="67" s="1"/>
  <c r="R9" i="67" s="1"/>
  <c r="E8" i="67"/>
  <c r="E11" i="67" s="1"/>
  <c r="Q9" i="67" s="1"/>
  <c r="D8" i="67"/>
  <c r="D11" i="67" s="1"/>
  <c r="P9" i="67" s="1"/>
  <c r="R7" i="67"/>
  <c r="Q5" i="67"/>
  <c r="P5" i="67"/>
  <c r="E21" i="65"/>
  <c r="D21" i="65"/>
  <c r="E14" i="65"/>
  <c r="V11" i="65" s="1"/>
  <c r="D14" i="65"/>
  <c r="F21" i="65"/>
  <c r="G21" i="65"/>
  <c r="Y24" i="65" s="1"/>
  <c r="Y25" i="65" s="1"/>
  <c r="G14" i="65"/>
  <c r="F14" i="65"/>
  <c r="W11" i="65" s="1"/>
  <c r="F21" i="64"/>
  <c r="S24" i="64" s="1"/>
  <c r="E21" i="64"/>
  <c r="Q24" i="64" s="1"/>
  <c r="F14" i="64"/>
  <c r="E14" i="64"/>
  <c r="Q9" i="64" s="1"/>
  <c r="X23" i="65"/>
  <c r="W23" i="65"/>
  <c r="V23" i="65"/>
  <c r="U23" i="65"/>
  <c r="X21" i="65"/>
  <c r="W21" i="65"/>
  <c r="V21" i="65"/>
  <c r="U21" i="65"/>
  <c r="X20" i="65"/>
  <c r="W20" i="65"/>
  <c r="V20" i="65"/>
  <c r="J20" i="65"/>
  <c r="G20" i="65"/>
  <c r="X5" i="65" s="1"/>
  <c r="F20" i="65"/>
  <c r="W7" i="65" s="1"/>
  <c r="E20" i="65"/>
  <c r="V7" i="65" s="1"/>
  <c r="D20" i="65"/>
  <c r="U7" i="65" s="1"/>
  <c r="X16" i="65"/>
  <c r="W16" i="65"/>
  <c r="V16" i="65"/>
  <c r="U16" i="65"/>
  <c r="AA15" i="65"/>
  <c r="X14" i="65"/>
  <c r="W14" i="65"/>
  <c r="V14" i="65"/>
  <c r="U14" i="65"/>
  <c r="X13" i="65"/>
  <c r="W13" i="65"/>
  <c r="V13" i="65"/>
  <c r="U13" i="65"/>
  <c r="C11" i="65"/>
  <c r="B11" i="65"/>
  <c r="J10" i="65"/>
  <c r="AA3" i="65" s="1"/>
  <c r="G10" i="65"/>
  <c r="X3" i="65" s="1"/>
  <c r="F10" i="65"/>
  <c r="W3" i="65" s="1"/>
  <c r="E10" i="65"/>
  <c r="V3" i="65" s="1"/>
  <c r="D10" i="65"/>
  <c r="U3" i="65" s="1"/>
  <c r="C10" i="65"/>
  <c r="B10" i="65"/>
  <c r="J8" i="65"/>
  <c r="J11" i="65" s="1"/>
  <c r="G8" i="65"/>
  <c r="G11" i="65" s="1"/>
  <c r="F8" i="65"/>
  <c r="F11" i="65" s="1"/>
  <c r="E8" i="65"/>
  <c r="E11" i="65" s="1"/>
  <c r="D8" i="65"/>
  <c r="D11" i="65" s="1"/>
  <c r="S24" i="66"/>
  <c r="R24" i="66"/>
  <c r="Q24" i="66"/>
  <c r="P24" i="66"/>
  <c r="S23" i="66"/>
  <c r="R23" i="66"/>
  <c r="Q23" i="66"/>
  <c r="P23" i="66"/>
  <c r="S21" i="66"/>
  <c r="R21" i="66"/>
  <c r="Q21" i="66"/>
  <c r="P21" i="66"/>
  <c r="S20" i="66"/>
  <c r="R20" i="66"/>
  <c r="Q20" i="66"/>
  <c r="H20" i="66"/>
  <c r="G20" i="66"/>
  <c r="S7" i="66" s="1"/>
  <c r="F20" i="66"/>
  <c r="R7" i="66" s="1"/>
  <c r="E20" i="66"/>
  <c r="Q7" i="66" s="1"/>
  <c r="D20" i="66"/>
  <c r="P7" i="66" s="1"/>
  <c r="S16" i="66"/>
  <c r="R16" i="66"/>
  <c r="Q16" i="66"/>
  <c r="P16" i="66"/>
  <c r="T15" i="66"/>
  <c r="S14" i="66"/>
  <c r="R14" i="66"/>
  <c r="Q14" i="66"/>
  <c r="P14" i="66"/>
  <c r="P15" i="66" s="1"/>
  <c r="S13" i="66"/>
  <c r="R13" i="66"/>
  <c r="Q13" i="66"/>
  <c r="P13" i="66"/>
  <c r="S11" i="66"/>
  <c r="R11" i="66"/>
  <c r="Q11" i="66"/>
  <c r="P11" i="66"/>
  <c r="H11" i="66"/>
  <c r="H15" i="66" s="1"/>
  <c r="C11" i="66"/>
  <c r="B11" i="66"/>
  <c r="H10" i="66"/>
  <c r="G10" i="66"/>
  <c r="S3" i="66" s="1"/>
  <c r="F10" i="66"/>
  <c r="R3" i="66" s="1"/>
  <c r="E10" i="66"/>
  <c r="Q3" i="66" s="1"/>
  <c r="D10" i="66"/>
  <c r="P3" i="66" s="1"/>
  <c r="C10" i="66"/>
  <c r="B10" i="66"/>
  <c r="H8" i="66"/>
  <c r="G8" i="66"/>
  <c r="G11" i="66" s="1"/>
  <c r="G15" i="66" s="1"/>
  <c r="F8" i="66"/>
  <c r="F11" i="66" s="1"/>
  <c r="F15" i="66" s="1"/>
  <c r="E8" i="66"/>
  <c r="E11" i="66" s="1"/>
  <c r="Q9" i="66" s="1"/>
  <c r="D8" i="66"/>
  <c r="D11" i="66" s="1"/>
  <c r="P9" i="66" s="1"/>
  <c r="E21" i="63"/>
  <c r="E14" i="63"/>
  <c r="D14" i="63"/>
  <c r="P9" i="63" s="1"/>
  <c r="G14" i="63"/>
  <c r="F14" i="63"/>
  <c r="P24" i="64"/>
  <c r="S23" i="64"/>
  <c r="R23" i="64"/>
  <c r="Q23" i="64"/>
  <c r="P23" i="64"/>
  <c r="P25" i="64" s="1"/>
  <c r="S21" i="64"/>
  <c r="R21" i="64"/>
  <c r="Q21" i="64"/>
  <c r="P21" i="64"/>
  <c r="S20" i="64"/>
  <c r="R20" i="64"/>
  <c r="Q20" i="64"/>
  <c r="H20" i="64"/>
  <c r="G20" i="64"/>
  <c r="F20" i="64"/>
  <c r="R7" i="64" s="1"/>
  <c r="E20" i="64"/>
  <c r="D20" i="64"/>
  <c r="P7" i="64" s="1"/>
  <c r="S16" i="64"/>
  <c r="R16" i="64"/>
  <c r="Q16" i="64"/>
  <c r="P16" i="64"/>
  <c r="T15" i="64"/>
  <c r="S14" i="64"/>
  <c r="R14" i="64"/>
  <c r="Q14" i="64"/>
  <c r="P14" i="64"/>
  <c r="S13" i="64"/>
  <c r="S15" i="64" s="1"/>
  <c r="R13" i="64"/>
  <c r="Q13" i="64"/>
  <c r="P13" i="64"/>
  <c r="P15" i="64" s="1"/>
  <c r="S11" i="64"/>
  <c r="R11" i="64"/>
  <c r="P11" i="64"/>
  <c r="C11" i="64"/>
  <c r="B11" i="64"/>
  <c r="H10" i="64"/>
  <c r="G10" i="64"/>
  <c r="S3" i="64" s="1"/>
  <c r="F10" i="64"/>
  <c r="R3" i="64" s="1"/>
  <c r="E10" i="64"/>
  <c r="Q3" i="64" s="1"/>
  <c r="D10" i="64"/>
  <c r="C10" i="64"/>
  <c r="B10" i="64"/>
  <c r="H8" i="64"/>
  <c r="H11" i="64" s="1"/>
  <c r="G8" i="64"/>
  <c r="G11" i="64" s="1"/>
  <c r="S9" i="64" s="1"/>
  <c r="F8" i="64"/>
  <c r="F11" i="64" s="1"/>
  <c r="R10" i="64" s="1"/>
  <c r="E8" i="64"/>
  <c r="E11" i="64" s="1"/>
  <c r="D8" i="64"/>
  <c r="D11" i="64" s="1"/>
  <c r="S7" i="64"/>
  <c r="S5" i="64"/>
  <c r="R5" i="64"/>
  <c r="P5" i="64"/>
  <c r="P3" i="64"/>
  <c r="E21" i="62"/>
  <c r="D21" i="62"/>
  <c r="T24" i="62" s="1"/>
  <c r="E14" i="62"/>
  <c r="T11" i="62" s="1"/>
  <c r="D14" i="62"/>
  <c r="S11" i="62" s="1"/>
  <c r="G21" i="62"/>
  <c r="W24" i="62" s="1"/>
  <c r="W25" i="62" s="1"/>
  <c r="F21" i="62"/>
  <c r="G14" i="62"/>
  <c r="F14" i="62"/>
  <c r="U11" i="62" s="1"/>
  <c r="S24" i="63"/>
  <c r="R24" i="63"/>
  <c r="Q24" i="63"/>
  <c r="P24" i="63"/>
  <c r="S23" i="63"/>
  <c r="R23" i="63"/>
  <c r="Q23" i="63"/>
  <c r="P23" i="63"/>
  <c r="S21" i="63"/>
  <c r="R21" i="63"/>
  <c r="Q21" i="63"/>
  <c r="P21" i="63"/>
  <c r="S20" i="63"/>
  <c r="R20" i="63"/>
  <c r="Q20" i="63"/>
  <c r="H20" i="63"/>
  <c r="G20" i="63"/>
  <c r="S5" i="63" s="1"/>
  <c r="F20" i="63"/>
  <c r="R7" i="63" s="1"/>
  <c r="E20" i="63"/>
  <c r="Q7" i="63" s="1"/>
  <c r="D20" i="63"/>
  <c r="P5" i="63" s="1"/>
  <c r="S16" i="63"/>
  <c r="R16" i="63"/>
  <c r="Q16" i="63"/>
  <c r="P16" i="63"/>
  <c r="T15" i="63"/>
  <c r="S14" i="63"/>
  <c r="R14" i="63"/>
  <c r="R15" i="63" s="1"/>
  <c r="Q14" i="63"/>
  <c r="P14" i="63"/>
  <c r="S13" i="63"/>
  <c r="R13" i="63"/>
  <c r="Q13" i="63"/>
  <c r="P13" i="63"/>
  <c r="P15" i="63" s="1"/>
  <c r="S11" i="63"/>
  <c r="C11" i="63"/>
  <c r="B11" i="63"/>
  <c r="H10" i="63"/>
  <c r="G10" i="63"/>
  <c r="S3" i="63" s="1"/>
  <c r="F10" i="63"/>
  <c r="R3" i="63" s="1"/>
  <c r="E10" i="63"/>
  <c r="Q3" i="63" s="1"/>
  <c r="D10" i="63"/>
  <c r="P3" i="63" s="1"/>
  <c r="C10" i="63"/>
  <c r="B10" i="63"/>
  <c r="H8" i="63"/>
  <c r="H11" i="63" s="1"/>
  <c r="G8" i="63"/>
  <c r="G11" i="63" s="1"/>
  <c r="F8" i="63"/>
  <c r="F11" i="63" s="1"/>
  <c r="E8" i="63"/>
  <c r="E11" i="63" s="1"/>
  <c r="E15" i="63" s="1"/>
  <c r="D8" i="63"/>
  <c r="D11" i="63" s="1"/>
  <c r="P7" i="63"/>
  <c r="V24" i="62"/>
  <c r="U24" i="62"/>
  <c r="S24" i="62"/>
  <c r="V23" i="62"/>
  <c r="U23" i="62"/>
  <c r="T23" i="62"/>
  <c r="S23" i="62"/>
  <c r="V21" i="62"/>
  <c r="U21" i="62"/>
  <c r="T21" i="62"/>
  <c r="S21" i="62"/>
  <c r="V20" i="62"/>
  <c r="U20" i="62"/>
  <c r="T20" i="62"/>
  <c r="J20" i="62"/>
  <c r="G20" i="62"/>
  <c r="V7" i="62" s="1"/>
  <c r="F20" i="62"/>
  <c r="U7" i="62" s="1"/>
  <c r="E20" i="62"/>
  <c r="T5" i="62" s="1"/>
  <c r="D20" i="62"/>
  <c r="S7" i="62" s="1"/>
  <c r="V16" i="62"/>
  <c r="U16" i="62"/>
  <c r="T16" i="62"/>
  <c r="S16" i="62"/>
  <c r="V14" i="62"/>
  <c r="U14" i="62"/>
  <c r="T14" i="62"/>
  <c r="S14" i="62"/>
  <c r="V13" i="62"/>
  <c r="U13" i="62"/>
  <c r="T13" i="62"/>
  <c r="S13" i="62"/>
  <c r="V11" i="62"/>
  <c r="C11" i="62"/>
  <c r="B11" i="62"/>
  <c r="J10" i="62"/>
  <c r="G10" i="62"/>
  <c r="V3" i="62" s="1"/>
  <c r="F10" i="62"/>
  <c r="U3" i="62" s="1"/>
  <c r="E10" i="62"/>
  <c r="T3" i="62" s="1"/>
  <c r="D10" i="62"/>
  <c r="S3" i="62" s="1"/>
  <c r="C10" i="62"/>
  <c r="B10" i="62"/>
  <c r="J8" i="62"/>
  <c r="J11" i="62" s="1"/>
  <c r="G8" i="62"/>
  <c r="G11" i="62" s="1"/>
  <c r="F8" i="62"/>
  <c r="F11" i="62" s="1"/>
  <c r="E8" i="62"/>
  <c r="E11" i="62" s="1"/>
  <c r="T9" i="62" s="1"/>
  <c r="D8" i="62"/>
  <c r="D11" i="62" s="1"/>
  <c r="S9" i="62" s="1"/>
  <c r="P10" i="64" l="1"/>
  <c r="P9" i="64"/>
  <c r="D15" i="64"/>
  <c r="R5" i="66"/>
  <c r="R9" i="66"/>
  <c r="Q9" i="63"/>
  <c r="P11" i="63"/>
  <c r="V15" i="62"/>
  <c r="G15" i="67"/>
  <c r="S9" i="67"/>
  <c r="Q15" i="66"/>
  <c r="Q11" i="63"/>
  <c r="S15" i="63"/>
  <c r="R11" i="63"/>
  <c r="R9" i="63"/>
  <c r="W24" i="65"/>
  <c r="W25" i="65" s="1"/>
  <c r="U9" i="62"/>
  <c r="R9" i="64"/>
  <c r="V9" i="62"/>
  <c r="R5" i="63"/>
  <c r="Q11" i="64"/>
  <c r="S9" i="63"/>
  <c r="S9" i="66"/>
  <c r="X9" i="65"/>
  <c r="W15" i="65"/>
  <c r="X11" i="65"/>
  <c r="U11" i="65"/>
  <c r="U9" i="65"/>
  <c r="V9" i="65"/>
  <c r="U5" i="65"/>
  <c r="W9" i="65"/>
  <c r="P25" i="68"/>
  <c r="Q7" i="68"/>
  <c r="Q25" i="68"/>
  <c r="P15" i="68"/>
  <c r="R15" i="68"/>
  <c r="R25" i="68"/>
  <c r="S25" i="68"/>
  <c r="S15" i="68"/>
  <c r="Q25" i="67"/>
  <c r="R25" i="67"/>
  <c r="P15" i="67"/>
  <c r="S15" i="67"/>
  <c r="S25" i="67"/>
  <c r="P5" i="66"/>
  <c r="Q25" i="66"/>
  <c r="P25" i="66"/>
  <c r="H13" i="66"/>
  <c r="H16" i="66" s="1"/>
  <c r="S5" i="66"/>
  <c r="S25" i="66"/>
  <c r="R25" i="66"/>
  <c r="R15" i="66"/>
  <c r="S15" i="66"/>
  <c r="P10" i="68"/>
  <c r="D13" i="68"/>
  <c r="D16" i="68" s="1"/>
  <c r="Q9" i="68"/>
  <c r="D15" i="68"/>
  <c r="Q10" i="68"/>
  <c r="E13" i="68"/>
  <c r="E16" i="68" s="1"/>
  <c r="Q19" i="68" s="1"/>
  <c r="R9" i="68"/>
  <c r="E15" i="68"/>
  <c r="F13" i="68"/>
  <c r="F16" i="68" s="1"/>
  <c r="R19" i="68" s="1"/>
  <c r="S9" i="68"/>
  <c r="F15" i="68"/>
  <c r="R10" i="68"/>
  <c r="G15" i="68"/>
  <c r="S10" i="68"/>
  <c r="G13" i="68"/>
  <c r="G16" i="68" s="1"/>
  <c r="S19" i="68" s="1"/>
  <c r="H13" i="68"/>
  <c r="H16" i="68" s="1"/>
  <c r="P7" i="68"/>
  <c r="H15" i="67"/>
  <c r="H13" i="67"/>
  <c r="H16" i="67" s="1"/>
  <c r="P10" i="67"/>
  <c r="D13" i="67"/>
  <c r="D16" i="67" s="1"/>
  <c r="D15" i="67"/>
  <c r="E13" i="67"/>
  <c r="E16" i="67" s="1"/>
  <c r="Q19" i="67" s="1"/>
  <c r="E15" i="67"/>
  <c r="Q10" i="67"/>
  <c r="F15" i="67"/>
  <c r="R10" i="67"/>
  <c r="F13" i="67"/>
  <c r="F16" i="67" s="1"/>
  <c r="R19" i="67" s="1"/>
  <c r="G13" i="67"/>
  <c r="G16" i="67" s="1"/>
  <c r="S19" i="67" s="1"/>
  <c r="S10" i="67"/>
  <c r="S5" i="67"/>
  <c r="U24" i="65"/>
  <c r="U25" i="65" s="1"/>
  <c r="V24" i="65"/>
  <c r="V25" i="65" s="1"/>
  <c r="V5" i="65"/>
  <c r="V10" i="65"/>
  <c r="U10" i="65"/>
  <c r="D15" i="65"/>
  <c r="V15" i="65"/>
  <c r="U15" i="65"/>
  <c r="X15" i="65"/>
  <c r="X24" i="65"/>
  <c r="X25" i="65" s="1"/>
  <c r="X7" i="65"/>
  <c r="R15" i="64"/>
  <c r="Q15" i="64"/>
  <c r="R24" i="64"/>
  <c r="R25" i="64" s="1"/>
  <c r="S25" i="64"/>
  <c r="Q5" i="64"/>
  <c r="Q7" i="64"/>
  <c r="Q25" i="64"/>
  <c r="F15" i="64"/>
  <c r="E15" i="64"/>
  <c r="G15" i="65"/>
  <c r="X10" i="65"/>
  <c r="G13" i="65"/>
  <c r="G16" i="65" s="1"/>
  <c r="X19" i="65" s="1"/>
  <c r="F13" i="65"/>
  <c r="F16" i="65" s="1"/>
  <c r="W19" i="65" s="1"/>
  <c r="F15" i="65"/>
  <c r="W10" i="65"/>
  <c r="J15" i="65"/>
  <c r="J13" i="65"/>
  <c r="J16" i="65" s="1"/>
  <c r="W5" i="65"/>
  <c r="E15" i="65"/>
  <c r="D13" i="65"/>
  <c r="D16" i="65" s="1"/>
  <c r="E13" i="65"/>
  <c r="E16" i="65" s="1"/>
  <c r="V19" i="65" s="1"/>
  <c r="E15" i="66"/>
  <c r="E13" i="66"/>
  <c r="E16" i="66" s="1"/>
  <c r="Q19" i="66" s="1"/>
  <c r="Q10" i="66"/>
  <c r="D13" i="66"/>
  <c r="D16" i="66" s="1"/>
  <c r="P10" i="66"/>
  <c r="D15" i="66"/>
  <c r="F13" i="66"/>
  <c r="F16" i="66" s="1"/>
  <c r="R19" i="66" s="1"/>
  <c r="Q5" i="66"/>
  <c r="R10" i="66"/>
  <c r="G13" i="66"/>
  <c r="G16" i="66" s="1"/>
  <c r="S19" i="66" s="1"/>
  <c r="S10" i="66"/>
  <c r="Q15" i="63"/>
  <c r="Q25" i="63"/>
  <c r="P25" i="63"/>
  <c r="S7" i="63"/>
  <c r="S25" i="63"/>
  <c r="R25" i="63"/>
  <c r="H13" i="64"/>
  <c r="H16" i="64" s="1"/>
  <c r="H15" i="64"/>
  <c r="S10" i="64"/>
  <c r="G15" i="64"/>
  <c r="G13" i="64"/>
  <c r="G16" i="64" s="1"/>
  <c r="S19" i="64" s="1"/>
  <c r="Q10" i="64"/>
  <c r="F13" i="64"/>
  <c r="F16" i="64" s="1"/>
  <c r="R19" i="64" s="1"/>
  <c r="D13" i="64"/>
  <c r="D16" i="64" s="1"/>
  <c r="E13" i="64"/>
  <c r="E16" i="64" s="1"/>
  <c r="Q19" i="64" s="1"/>
  <c r="S5" i="62"/>
  <c r="T25" i="62"/>
  <c r="S25" i="62"/>
  <c r="T15" i="62"/>
  <c r="S15" i="62"/>
  <c r="T10" i="62"/>
  <c r="E15" i="62"/>
  <c r="S10" i="62"/>
  <c r="D15" i="62"/>
  <c r="V5" i="62"/>
  <c r="U5" i="62"/>
  <c r="V25" i="62"/>
  <c r="U25" i="62"/>
  <c r="U15" i="62"/>
  <c r="D13" i="63"/>
  <c r="D16" i="63" s="1"/>
  <c r="D15" i="63"/>
  <c r="P10" i="63"/>
  <c r="F15" i="63"/>
  <c r="R10" i="63"/>
  <c r="F13" i="63"/>
  <c r="F16" i="63" s="1"/>
  <c r="R19" i="63" s="1"/>
  <c r="G15" i="63"/>
  <c r="S10" i="63"/>
  <c r="G13" i="63"/>
  <c r="G16" i="63" s="1"/>
  <c r="S19" i="63" s="1"/>
  <c r="H13" i="63"/>
  <c r="H16" i="63" s="1"/>
  <c r="H15" i="63"/>
  <c r="E13" i="63"/>
  <c r="E16" i="63" s="1"/>
  <c r="Q19" i="63" s="1"/>
  <c r="Q10" i="63"/>
  <c r="Q5" i="63"/>
  <c r="J13" i="62"/>
  <c r="J16" i="62" s="1"/>
  <c r="J15" i="62"/>
  <c r="U10" i="62"/>
  <c r="F13" i="62"/>
  <c r="F16" i="62" s="1"/>
  <c r="U19" i="62" s="1"/>
  <c r="F15" i="62"/>
  <c r="V10" i="62"/>
  <c r="G13" i="62"/>
  <c r="G16" i="62" s="1"/>
  <c r="V19" i="62" s="1"/>
  <c r="G15" i="62"/>
  <c r="T7" i="62"/>
  <c r="D13" i="62"/>
  <c r="D16" i="62" s="1"/>
  <c r="E13" i="62"/>
  <c r="E16" i="62" s="1"/>
  <c r="T19" i="62" s="1"/>
  <c r="H14" i="60" l="1"/>
  <c r="F21" i="60"/>
  <c r="E21" i="60"/>
  <c r="F14" i="60"/>
  <c r="E14" i="60"/>
  <c r="R9" i="60" l="1"/>
  <c r="F21" i="59"/>
  <c r="T24" i="59" s="1"/>
  <c r="E21" i="59"/>
  <c r="R24" i="59" s="1"/>
  <c r="F14" i="59"/>
  <c r="S9" i="59" s="1"/>
  <c r="E14" i="59"/>
  <c r="S24" i="60"/>
  <c r="R24" i="60"/>
  <c r="Q24" i="60"/>
  <c r="P24" i="60"/>
  <c r="S23" i="60"/>
  <c r="R23" i="60"/>
  <c r="Q23" i="60"/>
  <c r="P23" i="60"/>
  <c r="P25" i="60" s="1"/>
  <c r="S21" i="60"/>
  <c r="R21" i="60"/>
  <c r="Q21" i="60"/>
  <c r="P21" i="60"/>
  <c r="S20" i="60"/>
  <c r="R20" i="60"/>
  <c r="Q20" i="60"/>
  <c r="H20" i="60"/>
  <c r="G20" i="60"/>
  <c r="S7" i="60" s="1"/>
  <c r="F20" i="60"/>
  <c r="R5" i="60" s="1"/>
  <c r="E20" i="60"/>
  <c r="Q7" i="60" s="1"/>
  <c r="D20" i="60"/>
  <c r="S16" i="60"/>
  <c r="R16" i="60"/>
  <c r="Q16" i="60"/>
  <c r="P16" i="60"/>
  <c r="T15" i="60"/>
  <c r="S14" i="60"/>
  <c r="R14" i="60"/>
  <c r="Q14" i="60"/>
  <c r="P14" i="60"/>
  <c r="S13" i="60"/>
  <c r="R13" i="60"/>
  <c r="Q13" i="60"/>
  <c r="P13" i="60"/>
  <c r="P15" i="60" s="1"/>
  <c r="S11" i="60"/>
  <c r="R11" i="60"/>
  <c r="Q11" i="60"/>
  <c r="P11" i="60"/>
  <c r="E11" i="60"/>
  <c r="E15" i="60" s="1"/>
  <c r="C11" i="60"/>
  <c r="B11" i="60"/>
  <c r="H10" i="60"/>
  <c r="G10" i="60"/>
  <c r="S3" i="60" s="1"/>
  <c r="F10" i="60"/>
  <c r="R3" i="60" s="1"/>
  <c r="E10" i="60"/>
  <c r="Q3" i="60" s="1"/>
  <c r="D10" i="60"/>
  <c r="P3" i="60" s="1"/>
  <c r="C10" i="60"/>
  <c r="B10" i="60"/>
  <c r="H8" i="60"/>
  <c r="H11" i="60" s="1"/>
  <c r="G8" i="60"/>
  <c r="G11" i="60" s="1"/>
  <c r="S9" i="60" s="1"/>
  <c r="F8" i="60"/>
  <c r="F11" i="60" s="1"/>
  <c r="E8" i="60"/>
  <c r="D8" i="60"/>
  <c r="D11" i="60" s="1"/>
  <c r="P7" i="60"/>
  <c r="S5" i="60"/>
  <c r="P5" i="60"/>
  <c r="G21" i="58"/>
  <c r="Y24" i="58" s="1"/>
  <c r="Y25" i="58" s="1"/>
  <c r="F21" i="58"/>
  <c r="G14" i="58"/>
  <c r="F14" i="58"/>
  <c r="E21" i="58"/>
  <c r="D21" i="58"/>
  <c r="E14" i="58"/>
  <c r="D14" i="58"/>
  <c r="Q24" i="59"/>
  <c r="T23" i="59"/>
  <c r="S23" i="59"/>
  <c r="R23" i="59"/>
  <c r="Q23" i="59"/>
  <c r="Q25" i="59" s="1"/>
  <c r="T21" i="59"/>
  <c r="S21" i="59"/>
  <c r="R21" i="59"/>
  <c r="Q21" i="59"/>
  <c r="T20" i="59"/>
  <c r="S20" i="59"/>
  <c r="R20" i="59"/>
  <c r="I20" i="59"/>
  <c r="G20" i="59"/>
  <c r="T7" i="59" s="1"/>
  <c r="F20" i="59"/>
  <c r="S7" i="59" s="1"/>
  <c r="E20" i="59"/>
  <c r="R7" i="59" s="1"/>
  <c r="D20" i="59"/>
  <c r="Q5" i="59" s="1"/>
  <c r="T16" i="59"/>
  <c r="S16" i="59"/>
  <c r="R16" i="59"/>
  <c r="Q16" i="59"/>
  <c r="V15" i="59"/>
  <c r="T14" i="59"/>
  <c r="S14" i="59"/>
  <c r="R14" i="59"/>
  <c r="Q14" i="59"/>
  <c r="T13" i="59"/>
  <c r="S13" i="59"/>
  <c r="R13" i="59"/>
  <c r="Q13" i="59"/>
  <c r="Q15" i="59" s="1"/>
  <c r="T11" i="59"/>
  <c r="Q11" i="59"/>
  <c r="C11" i="59"/>
  <c r="B11" i="59"/>
  <c r="I10" i="59"/>
  <c r="G10" i="59"/>
  <c r="T3" i="59" s="1"/>
  <c r="F10" i="59"/>
  <c r="S3" i="59" s="1"/>
  <c r="E10" i="59"/>
  <c r="R3" i="59" s="1"/>
  <c r="D10" i="59"/>
  <c r="Q3" i="59" s="1"/>
  <c r="C10" i="59"/>
  <c r="B10" i="59"/>
  <c r="I8" i="59"/>
  <c r="I11" i="59" s="1"/>
  <c r="I15" i="59" s="1"/>
  <c r="G8" i="59"/>
  <c r="G11" i="59" s="1"/>
  <c r="T9" i="59" s="1"/>
  <c r="F8" i="59"/>
  <c r="F11" i="59" s="1"/>
  <c r="E8" i="59"/>
  <c r="E11" i="59" s="1"/>
  <c r="D8" i="59"/>
  <c r="D11" i="59" s="1"/>
  <c r="Q9" i="59" s="1"/>
  <c r="P10" i="60" l="1"/>
  <c r="P9" i="60"/>
  <c r="D15" i="60"/>
  <c r="R11" i="59"/>
  <c r="R9" i="59"/>
  <c r="S24" i="59"/>
  <c r="S25" i="59" s="1"/>
  <c r="S11" i="59"/>
  <c r="Q9" i="60"/>
  <c r="S15" i="60"/>
  <c r="T15" i="59"/>
  <c r="T5" i="59"/>
  <c r="R15" i="60"/>
  <c r="Q15" i="60"/>
  <c r="S25" i="60"/>
  <c r="R7" i="60"/>
  <c r="Q5" i="60"/>
  <c r="R25" i="60"/>
  <c r="Q25" i="60"/>
  <c r="R10" i="60"/>
  <c r="F15" i="60"/>
  <c r="S15" i="59"/>
  <c r="R15" i="59"/>
  <c r="T25" i="59"/>
  <c r="S5" i="59"/>
  <c r="R5" i="59"/>
  <c r="R25" i="59"/>
  <c r="S10" i="60"/>
  <c r="G13" i="60"/>
  <c r="G16" i="60" s="1"/>
  <c r="S19" i="60" s="1"/>
  <c r="G15" i="60"/>
  <c r="H13" i="60"/>
  <c r="H16" i="60" s="1"/>
  <c r="H15" i="60"/>
  <c r="D13" i="60"/>
  <c r="D16" i="60" s="1"/>
  <c r="E13" i="60"/>
  <c r="E16" i="60" s="1"/>
  <c r="Q19" i="60" s="1"/>
  <c r="Q10" i="60"/>
  <c r="F13" i="60"/>
  <c r="F16" i="60" s="1"/>
  <c r="R19" i="60" s="1"/>
  <c r="Q10" i="59"/>
  <c r="D13" i="59"/>
  <c r="D16" i="59" s="1"/>
  <c r="D15" i="59"/>
  <c r="R10" i="59"/>
  <c r="E13" i="59"/>
  <c r="E16" i="59" s="1"/>
  <c r="R19" i="59" s="1"/>
  <c r="E15" i="59"/>
  <c r="F13" i="59"/>
  <c r="F16" i="59" s="1"/>
  <c r="S19" i="59" s="1"/>
  <c r="S10" i="59"/>
  <c r="F15" i="59"/>
  <c r="G13" i="59"/>
  <c r="G16" i="59" s="1"/>
  <c r="T19" i="59" s="1"/>
  <c r="G15" i="59"/>
  <c r="T10" i="59"/>
  <c r="Q7" i="59"/>
  <c r="I13" i="59"/>
  <c r="I16" i="59" s="1"/>
  <c r="E21" i="56"/>
  <c r="F19" i="56"/>
  <c r="E19" i="56"/>
  <c r="F14" i="56"/>
  <c r="E14" i="56"/>
  <c r="X24" i="58"/>
  <c r="W24" i="58"/>
  <c r="V24" i="58"/>
  <c r="U24" i="58"/>
  <c r="X23" i="58"/>
  <c r="W23" i="58"/>
  <c r="V23" i="58"/>
  <c r="U23" i="58"/>
  <c r="X21" i="58"/>
  <c r="W21" i="58"/>
  <c r="V21" i="58"/>
  <c r="U21" i="58"/>
  <c r="X20" i="58"/>
  <c r="W20" i="58"/>
  <c r="V20" i="58"/>
  <c r="K20" i="58"/>
  <c r="G20" i="58"/>
  <c r="X7" i="58" s="1"/>
  <c r="F20" i="58"/>
  <c r="W7" i="58" s="1"/>
  <c r="E20" i="58"/>
  <c r="V7" i="58" s="1"/>
  <c r="D20" i="58"/>
  <c r="U7" i="58" s="1"/>
  <c r="X16" i="58"/>
  <c r="W16" i="58"/>
  <c r="V16" i="58"/>
  <c r="U16" i="58"/>
  <c r="AA15" i="58"/>
  <c r="X14" i="58"/>
  <c r="W14" i="58"/>
  <c r="V14" i="58"/>
  <c r="U14" i="58"/>
  <c r="X13" i="58"/>
  <c r="W13" i="58"/>
  <c r="V13" i="58"/>
  <c r="U13" i="58"/>
  <c r="X11" i="58"/>
  <c r="W11" i="58"/>
  <c r="V11" i="58"/>
  <c r="U11" i="58"/>
  <c r="C11" i="58"/>
  <c r="B11" i="58"/>
  <c r="K10" i="58"/>
  <c r="G10" i="58"/>
  <c r="X3" i="58" s="1"/>
  <c r="F10" i="58"/>
  <c r="W3" i="58" s="1"/>
  <c r="E10" i="58"/>
  <c r="V3" i="58" s="1"/>
  <c r="D10" i="58"/>
  <c r="U3" i="58" s="1"/>
  <c r="C10" i="58"/>
  <c r="B10" i="58"/>
  <c r="K8" i="58"/>
  <c r="K11" i="58" s="1"/>
  <c r="K15" i="58" s="1"/>
  <c r="G8" i="58"/>
  <c r="G11" i="58" s="1"/>
  <c r="F8" i="58"/>
  <c r="F11" i="58" s="1"/>
  <c r="W9" i="58" s="1"/>
  <c r="E8" i="58"/>
  <c r="E11" i="58" s="1"/>
  <c r="V9" i="58" s="1"/>
  <c r="D8" i="58"/>
  <c r="D11" i="58" s="1"/>
  <c r="U9" i="58" s="1"/>
  <c r="G15" i="58" l="1"/>
  <c r="X9" i="58"/>
  <c r="X5" i="58"/>
  <c r="W5" i="58"/>
  <c r="X25" i="58"/>
  <c r="V15" i="58"/>
  <c r="W25" i="58"/>
  <c r="V5" i="58"/>
  <c r="U5" i="58"/>
  <c r="V25" i="58"/>
  <c r="U25" i="58"/>
  <c r="X15" i="58"/>
  <c r="W15" i="58"/>
  <c r="U15" i="58"/>
  <c r="U10" i="58"/>
  <c r="D13" i="58"/>
  <c r="D16" i="58" s="1"/>
  <c r="D15" i="58"/>
  <c r="F13" i="58"/>
  <c r="F16" i="58" s="1"/>
  <c r="W19" i="58" s="1"/>
  <c r="F15" i="58"/>
  <c r="W10" i="58"/>
  <c r="E13" i="58"/>
  <c r="E16" i="58" s="1"/>
  <c r="V19" i="58" s="1"/>
  <c r="E15" i="58"/>
  <c r="V10" i="58"/>
  <c r="X10" i="58"/>
  <c r="K13" i="58"/>
  <c r="K16" i="58" s="1"/>
  <c r="G13" i="58"/>
  <c r="G16" i="58" s="1"/>
  <c r="X19" i="58" s="1"/>
  <c r="E21" i="57" l="1"/>
  <c r="D21" i="57"/>
  <c r="T24" i="57" s="1"/>
  <c r="E14" i="57"/>
  <c r="D14" i="57"/>
  <c r="T11" i="57" s="1"/>
  <c r="G21" i="57"/>
  <c r="X24" i="57" s="1"/>
  <c r="X25" i="57" s="1"/>
  <c r="F21" i="57"/>
  <c r="W24" i="57" s="1"/>
  <c r="G14" i="57"/>
  <c r="W11" i="57" s="1"/>
  <c r="F14" i="57"/>
  <c r="V11" i="57" s="1"/>
  <c r="V24" i="57"/>
  <c r="W23" i="57"/>
  <c r="V23" i="57"/>
  <c r="U23" i="57"/>
  <c r="T23" i="57"/>
  <c r="W21" i="57"/>
  <c r="V21" i="57"/>
  <c r="U21" i="57"/>
  <c r="T21" i="57"/>
  <c r="W20" i="57"/>
  <c r="V20" i="57"/>
  <c r="U20" i="57"/>
  <c r="J20" i="57"/>
  <c r="G20" i="57"/>
  <c r="W5" i="57" s="1"/>
  <c r="F20" i="57"/>
  <c r="V7" i="57" s="1"/>
  <c r="E20" i="57"/>
  <c r="U7" i="57" s="1"/>
  <c r="D20" i="57"/>
  <c r="T7" i="57" s="1"/>
  <c r="W16" i="57"/>
  <c r="V16" i="57"/>
  <c r="U16" i="57"/>
  <c r="T16" i="57"/>
  <c r="Z15" i="57"/>
  <c r="W14" i="57"/>
  <c r="V14" i="57"/>
  <c r="U14" i="57"/>
  <c r="T14" i="57"/>
  <c r="W13" i="57"/>
  <c r="V13" i="57"/>
  <c r="U13" i="57"/>
  <c r="T13" i="57"/>
  <c r="U11" i="57"/>
  <c r="G11" i="57"/>
  <c r="C11" i="57"/>
  <c r="B11" i="57"/>
  <c r="G10" i="57"/>
  <c r="W3" i="57" s="1"/>
  <c r="F10" i="57"/>
  <c r="V3" i="57" s="1"/>
  <c r="E10" i="57"/>
  <c r="U3" i="57" s="1"/>
  <c r="D10" i="57"/>
  <c r="T3" i="57" s="1"/>
  <c r="C10" i="57"/>
  <c r="B10" i="57"/>
  <c r="J8" i="57"/>
  <c r="J11" i="57" s="1"/>
  <c r="G8" i="57"/>
  <c r="F8" i="57"/>
  <c r="F11" i="57" s="1"/>
  <c r="E8" i="57"/>
  <c r="E11" i="57" s="1"/>
  <c r="U9" i="57" s="1"/>
  <c r="D8" i="57"/>
  <c r="D11" i="57" s="1"/>
  <c r="T9" i="57" s="1"/>
  <c r="E21" i="55"/>
  <c r="R24" i="55" s="1"/>
  <c r="E14" i="55"/>
  <c r="R11" i="55" s="1"/>
  <c r="D14" i="55"/>
  <c r="G21" i="55"/>
  <c r="F21" i="55"/>
  <c r="G14" i="55"/>
  <c r="F14" i="55"/>
  <c r="S11" i="55"/>
  <c r="S24" i="56"/>
  <c r="R24" i="56"/>
  <c r="Q24" i="56"/>
  <c r="P24" i="56"/>
  <c r="S23" i="56"/>
  <c r="R23" i="56"/>
  <c r="Q23" i="56"/>
  <c r="P23" i="56"/>
  <c r="P25" i="56" s="1"/>
  <c r="S21" i="56"/>
  <c r="R21" i="56"/>
  <c r="Q21" i="56"/>
  <c r="P21" i="56"/>
  <c r="S20" i="56"/>
  <c r="R20" i="56"/>
  <c r="Q20" i="56"/>
  <c r="H20" i="56"/>
  <c r="S7" i="56"/>
  <c r="F20" i="56"/>
  <c r="R5" i="56" s="1"/>
  <c r="E20" i="56"/>
  <c r="Q5" i="56" s="1"/>
  <c r="D20" i="56"/>
  <c r="P7" i="56" s="1"/>
  <c r="S16" i="56"/>
  <c r="R16" i="56"/>
  <c r="Q16" i="56"/>
  <c r="P16" i="56"/>
  <c r="T15" i="56"/>
  <c r="S14" i="56"/>
  <c r="R14" i="56"/>
  <c r="Q14" i="56"/>
  <c r="P14" i="56"/>
  <c r="P15" i="56" s="1"/>
  <c r="S13" i="56"/>
  <c r="R13" i="56"/>
  <c r="Q13" i="56"/>
  <c r="P13" i="56"/>
  <c r="S11" i="56"/>
  <c r="R11" i="56"/>
  <c r="Q11" i="56"/>
  <c r="P11" i="56"/>
  <c r="C11" i="56"/>
  <c r="B11" i="56"/>
  <c r="H10" i="56"/>
  <c r="G10" i="56"/>
  <c r="S3" i="56" s="1"/>
  <c r="F10" i="56"/>
  <c r="R3" i="56" s="1"/>
  <c r="E10" i="56"/>
  <c r="Q3" i="56" s="1"/>
  <c r="D10" i="56"/>
  <c r="C10" i="56"/>
  <c r="B10" i="56"/>
  <c r="H8" i="56"/>
  <c r="H11" i="56" s="1"/>
  <c r="G8" i="56"/>
  <c r="G11" i="56" s="1"/>
  <c r="F8" i="56"/>
  <c r="F11" i="56" s="1"/>
  <c r="E8" i="56"/>
  <c r="E11" i="56" s="1"/>
  <c r="D8" i="56"/>
  <c r="D11" i="56" s="1"/>
  <c r="P9" i="56" s="1"/>
  <c r="P3" i="56"/>
  <c r="S24" i="54"/>
  <c r="Q24" i="55"/>
  <c r="T23" i="55"/>
  <c r="S23" i="55"/>
  <c r="R23" i="55"/>
  <c r="Q23" i="55"/>
  <c r="T21" i="55"/>
  <c r="S21" i="55"/>
  <c r="R21" i="55"/>
  <c r="Q21" i="55"/>
  <c r="T20" i="55"/>
  <c r="S20" i="55"/>
  <c r="R20" i="55"/>
  <c r="I20" i="55"/>
  <c r="G20" i="55"/>
  <c r="T7" i="55" s="1"/>
  <c r="F20" i="55"/>
  <c r="S7" i="55" s="1"/>
  <c r="E20" i="55"/>
  <c r="R7" i="55" s="1"/>
  <c r="D20" i="55"/>
  <c r="Q5" i="55" s="1"/>
  <c r="T16" i="55"/>
  <c r="S16" i="55"/>
  <c r="R16" i="55"/>
  <c r="Q16" i="55"/>
  <c r="V15" i="55"/>
  <c r="T14" i="55"/>
  <c r="S14" i="55"/>
  <c r="R14" i="55"/>
  <c r="Q14" i="55"/>
  <c r="T13" i="55"/>
  <c r="S13" i="55"/>
  <c r="R13" i="55"/>
  <c r="R15" i="55" s="1"/>
  <c r="Q13" i="55"/>
  <c r="C11" i="55"/>
  <c r="B11" i="55"/>
  <c r="I10" i="55"/>
  <c r="G10" i="55"/>
  <c r="T3" i="55" s="1"/>
  <c r="F10" i="55"/>
  <c r="S3" i="55" s="1"/>
  <c r="E10" i="55"/>
  <c r="R3" i="55" s="1"/>
  <c r="D10" i="55"/>
  <c r="Q3" i="55" s="1"/>
  <c r="C10" i="55"/>
  <c r="B10" i="55"/>
  <c r="I8" i="55"/>
  <c r="I11" i="55" s="1"/>
  <c r="G8" i="55"/>
  <c r="G11" i="55" s="1"/>
  <c r="F8" i="55"/>
  <c r="F11" i="55" s="1"/>
  <c r="E8" i="55"/>
  <c r="E11" i="55" s="1"/>
  <c r="D8" i="55"/>
  <c r="D11" i="55" s="1"/>
  <c r="R24" i="54"/>
  <c r="Q24" i="54"/>
  <c r="P24" i="54"/>
  <c r="S23" i="54"/>
  <c r="R23" i="54"/>
  <c r="Q23" i="54"/>
  <c r="Q25" i="54" s="1"/>
  <c r="P23" i="54"/>
  <c r="S21" i="54"/>
  <c r="R21" i="54"/>
  <c r="Q21" i="54"/>
  <c r="P21" i="54"/>
  <c r="S20" i="54"/>
  <c r="R20" i="54"/>
  <c r="Q20" i="54"/>
  <c r="H20" i="54"/>
  <c r="G20" i="54"/>
  <c r="S7" i="54" s="1"/>
  <c r="F20" i="54"/>
  <c r="R7" i="54" s="1"/>
  <c r="E20" i="54"/>
  <c r="Q7" i="54" s="1"/>
  <c r="D20" i="54"/>
  <c r="P7" i="54" s="1"/>
  <c r="S16" i="54"/>
  <c r="R16" i="54"/>
  <c r="Q16" i="54"/>
  <c r="P16" i="54"/>
  <c r="T15" i="54"/>
  <c r="S14" i="54"/>
  <c r="R14" i="54"/>
  <c r="Q14" i="54"/>
  <c r="P14" i="54"/>
  <c r="S13" i="54"/>
  <c r="R13" i="54"/>
  <c r="Q13" i="54"/>
  <c r="P13" i="54"/>
  <c r="Q11" i="54"/>
  <c r="P11" i="54"/>
  <c r="C11" i="54"/>
  <c r="B11" i="54"/>
  <c r="H10" i="54"/>
  <c r="G10" i="54"/>
  <c r="S3" i="54" s="1"/>
  <c r="F10" i="54"/>
  <c r="R3" i="54" s="1"/>
  <c r="E10" i="54"/>
  <c r="Q3" i="54" s="1"/>
  <c r="D10" i="54"/>
  <c r="P3" i="54" s="1"/>
  <c r="C10" i="54"/>
  <c r="B10" i="54"/>
  <c r="H8" i="54"/>
  <c r="H11" i="54" s="1"/>
  <c r="H15" i="54" s="1"/>
  <c r="G8" i="54"/>
  <c r="G11" i="54" s="1"/>
  <c r="F8" i="54"/>
  <c r="F11" i="54" s="1"/>
  <c r="E8" i="54"/>
  <c r="E11" i="54" s="1"/>
  <c r="Q9" i="54" s="1"/>
  <c r="D8" i="54"/>
  <c r="D11" i="54" s="1"/>
  <c r="P9" i="54" s="1"/>
  <c r="Q5" i="54"/>
  <c r="Q9" i="55" l="1"/>
  <c r="Q11" i="55"/>
  <c r="F15" i="56"/>
  <c r="R9" i="56"/>
  <c r="W7" i="57"/>
  <c r="S10" i="56"/>
  <c r="S9" i="56"/>
  <c r="W9" i="57"/>
  <c r="S9" i="55"/>
  <c r="V9" i="57"/>
  <c r="T5" i="55"/>
  <c r="U24" i="55"/>
  <c r="U25" i="55" s="1"/>
  <c r="Q15" i="54"/>
  <c r="T11" i="55"/>
  <c r="T9" i="55"/>
  <c r="P5" i="56"/>
  <c r="R9" i="55"/>
  <c r="E13" i="56"/>
  <c r="E16" i="56" s="1"/>
  <c r="Q19" i="56" s="1"/>
  <c r="Q9" i="56"/>
  <c r="Q15" i="56"/>
  <c r="S24" i="55"/>
  <c r="S25" i="55" s="1"/>
  <c r="U24" i="57"/>
  <c r="U25" i="57" s="1"/>
  <c r="P5" i="54"/>
  <c r="P15" i="54"/>
  <c r="S5" i="54"/>
  <c r="S15" i="54"/>
  <c r="R11" i="54"/>
  <c r="R9" i="54"/>
  <c r="S11" i="54"/>
  <c r="S9" i="54"/>
  <c r="P25" i="54"/>
  <c r="S15" i="56"/>
  <c r="G15" i="56"/>
  <c r="S5" i="56"/>
  <c r="R15" i="56"/>
  <c r="S25" i="56"/>
  <c r="R7" i="56"/>
  <c r="Q7" i="56"/>
  <c r="R25" i="56"/>
  <c r="Q25" i="56"/>
  <c r="F13" i="56"/>
  <c r="F16" i="56" s="1"/>
  <c r="R19" i="56" s="1"/>
  <c r="J15" i="57"/>
  <c r="J13" i="57"/>
  <c r="J16" i="57" s="1"/>
  <c r="T5" i="57"/>
  <c r="T25" i="57"/>
  <c r="T15" i="57"/>
  <c r="U15" i="57"/>
  <c r="V5" i="57"/>
  <c r="W10" i="57"/>
  <c r="W25" i="57"/>
  <c r="V25" i="57"/>
  <c r="W15" i="57"/>
  <c r="V15" i="57"/>
  <c r="T10" i="57"/>
  <c r="D13" i="57"/>
  <c r="D16" i="57" s="1"/>
  <c r="D15" i="57"/>
  <c r="E13" i="57"/>
  <c r="E16" i="57" s="1"/>
  <c r="U19" i="57" s="1"/>
  <c r="U10" i="57"/>
  <c r="E15" i="57"/>
  <c r="F15" i="57"/>
  <c r="F13" i="57"/>
  <c r="F16" i="57" s="1"/>
  <c r="V19" i="57" s="1"/>
  <c r="V10" i="57"/>
  <c r="U5" i="57"/>
  <c r="G13" i="57"/>
  <c r="G16" i="57" s="1"/>
  <c r="W19" i="57" s="1"/>
  <c r="G15" i="57"/>
  <c r="Q15" i="55"/>
  <c r="Q7" i="55"/>
  <c r="R25" i="55"/>
  <c r="Q25" i="55"/>
  <c r="T15" i="55"/>
  <c r="S15" i="55"/>
  <c r="T24" i="55"/>
  <c r="T25" i="55" s="1"/>
  <c r="S5" i="55"/>
  <c r="H15" i="56"/>
  <c r="H13" i="56"/>
  <c r="H16" i="56" s="1"/>
  <c r="P10" i="56"/>
  <c r="D13" i="56"/>
  <c r="D16" i="56" s="1"/>
  <c r="D15" i="56"/>
  <c r="R10" i="56"/>
  <c r="G13" i="56"/>
  <c r="G16" i="56" s="1"/>
  <c r="S19" i="56" s="1"/>
  <c r="E15" i="56"/>
  <c r="Q10" i="56"/>
  <c r="R15" i="54"/>
  <c r="S25" i="54"/>
  <c r="R5" i="54"/>
  <c r="G15" i="54"/>
  <c r="F15" i="54"/>
  <c r="R25" i="54"/>
  <c r="I15" i="55"/>
  <c r="I13" i="55"/>
  <c r="I16" i="55" s="1"/>
  <c r="E13" i="55"/>
  <c r="E16" i="55" s="1"/>
  <c r="R19" i="55" s="1"/>
  <c r="E15" i="55"/>
  <c r="R10" i="55"/>
  <c r="G15" i="55"/>
  <c r="T10" i="55"/>
  <c r="G13" i="55"/>
  <c r="G16" i="55" s="1"/>
  <c r="T19" i="55" s="1"/>
  <c r="Q10" i="55"/>
  <c r="D13" i="55"/>
  <c r="D16" i="55" s="1"/>
  <c r="D15" i="55"/>
  <c r="F15" i="55"/>
  <c r="S10" i="55"/>
  <c r="F13" i="55"/>
  <c r="F16" i="55" s="1"/>
  <c r="S19" i="55" s="1"/>
  <c r="R5" i="55"/>
  <c r="D13" i="54"/>
  <c r="D16" i="54" s="1"/>
  <c r="D15" i="54"/>
  <c r="P10" i="54"/>
  <c r="E13" i="54"/>
  <c r="E16" i="54" s="1"/>
  <c r="Q19" i="54" s="1"/>
  <c r="E15" i="54"/>
  <c r="Q10" i="54"/>
  <c r="G13" i="54"/>
  <c r="G16" i="54" s="1"/>
  <c r="S19" i="54" s="1"/>
  <c r="S10" i="54"/>
  <c r="F13" i="54"/>
  <c r="F16" i="54" s="1"/>
  <c r="R19" i="54" s="1"/>
  <c r="R10" i="54"/>
  <c r="H13" i="54"/>
  <c r="H16" i="54" s="1"/>
  <c r="G21" i="51" l="1"/>
  <c r="U24" i="51" s="1"/>
  <c r="U25" i="51" s="1"/>
  <c r="F21" i="51"/>
  <c r="G14" i="51"/>
  <c r="F14" i="51"/>
  <c r="G5" i="51"/>
  <c r="F5" i="51"/>
  <c r="H14" i="52" l="1"/>
  <c r="G21" i="52"/>
  <c r="F21" i="52"/>
  <c r="G14" i="52"/>
  <c r="F14" i="52"/>
  <c r="R11" i="52" s="1"/>
  <c r="R24" i="52"/>
  <c r="Q24" i="52"/>
  <c r="P24" i="52"/>
  <c r="S23" i="52"/>
  <c r="R23" i="52"/>
  <c r="Q23" i="52"/>
  <c r="P23" i="52"/>
  <c r="S21" i="52"/>
  <c r="R21" i="52"/>
  <c r="Q21" i="52"/>
  <c r="P21" i="52"/>
  <c r="S20" i="52"/>
  <c r="R20" i="52"/>
  <c r="Q20" i="52"/>
  <c r="H20" i="52"/>
  <c r="G20" i="52"/>
  <c r="S7" i="52" s="1"/>
  <c r="F20" i="52"/>
  <c r="R5" i="52" s="1"/>
  <c r="E20" i="52"/>
  <c r="D20" i="52"/>
  <c r="P5" i="52" s="1"/>
  <c r="S16" i="52"/>
  <c r="R16" i="52"/>
  <c r="Q16" i="52"/>
  <c r="P16" i="52"/>
  <c r="T15" i="52"/>
  <c r="S14" i="52"/>
  <c r="R14" i="52"/>
  <c r="Q14" i="52"/>
  <c r="Q15" i="52" s="1"/>
  <c r="P14" i="52"/>
  <c r="S13" i="52"/>
  <c r="R13" i="52"/>
  <c r="Q13" i="52"/>
  <c r="P13" i="52"/>
  <c r="Q11" i="52"/>
  <c r="P11" i="52"/>
  <c r="C11" i="52"/>
  <c r="B11" i="52"/>
  <c r="H10" i="52"/>
  <c r="G10" i="52"/>
  <c r="S3" i="52" s="1"/>
  <c r="F10" i="52"/>
  <c r="R3" i="52" s="1"/>
  <c r="E10" i="52"/>
  <c r="D10" i="52"/>
  <c r="P3" i="52" s="1"/>
  <c r="C10" i="52"/>
  <c r="B10" i="52"/>
  <c r="H8" i="52"/>
  <c r="H11" i="52" s="1"/>
  <c r="H15" i="52" s="1"/>
  <c r="G8" i="52"/>
  <c r="G11" i="52" s="1"/>
  <c r="F8" i="52"/>
  <c r="F11" i="52" s="1"/>
  <c r="E8" i="52"/>
  <c r="E11" i="52" s="1"/>
  <c r="Q9" i="52" s="1"/>
  <c r="D8" i="52"/>
  <c r="D11" i="52" s="1"/>
  <c r="Q7" i="52"/>
  <c r="Q5" i="52"/>
  <c r="Q3" i="52"/>
  <c r="T24" i="51"/>
  <c r="S24" i="51"/>
  <c r="R24" i="51"/>
  <c r="R25" i="51" s="1"/>
  <c r="Q24" i="51"/>
  <c r="T23" i="51"/>
  <c r="S23" i="51"/>
  <c r="R23" i="51"/>
  <c r="Q23" i="51"/>
  <c r="T21" i="51"/>
  <c r="S21" i="51"/>
  <c r="R21" i="51"/>
  <c r="Q21" i="51"/>
  <c r="T20" i="51"/>
  <c r="S20" i="51"/>
  <c r="R20" i="51"/>
  <c r="G20" i="51"/>
  <c r="T7" i="51" s="1"/>
  <c r="F20" i="51"/>
  <c r="S5" i="51" s="1"/>
  <c r="E20" i="51"/>
  <c r="R7" i="51" s="1"/>
  <c r="D20" i="51"/>
  <c r="Q5" i="51" s="1"/>
  <c r="T16" i="51"/>
  <c r="S16" i="51"/>
  <c r="R16" i="51"/>
  <c r="Q16" i="51"/>
  <c r="V15" i="51"/>
  <c r="T14" i="51"/>
  <c r="S14" i="51"/>
  <c r="R14" i="51"/>
  <c r="Q14" i="51"/>
  <c r="T13" i="51"/>
  <c r="S13" i="51"/>
  <c r="R13" i="51"/>
  <c r="Q13" i="51"/>
  <c r="Q15" i="51" s="1"/>
  <c r="T11" i="51"/>
  <c r="S11" i="51"/>
  <c r="R11" i="51"/>
  <c r="Q11" i="51"/>
  <c r="C11" i="51"/>
  <c r="B11" i="51"/>
  <c r="I10" i="51"/>
  <c r="G10" i="51"/>
  <c r="T3" i="51" s="1"/>
  <c r="F10" i="51"/>
  <c r="S3" i="51" s="1"/>
  <c r="E10" i="51"/>
  <c r="R3" i="51" s="1"/>
  <c r="D10" i="51"/>
  <c r="C10" i="51"/>
  <c r="B10" i="51"/>
  <c r="I8" i="51"/>
  <c r="I11" i="51" s="1"/>
  <c r="G8" i="51"/>
  <c r="G11" i="51" s="1"/>
  <c r="T9" i="51" s="1"/>
  <c r="F8" i="51"/>
  <c r="F11" i="51" s="1"/>
  <c r="S9" i="51" s="1"/>
  <c r="E8" i="51"/>
  <c r="E11" i="51" s="1"/>
  <c r="D8" i="51"/>
  <c r="D11" i="51" s="1"/>
  <c r="Q9" i="51" s="1"/>
  <c r="R5" i="51"/>
  <c r="Q3" i="51"/>
  <c r="P10" i="52" l="1"/>
  <c r="P9" i="52"/>
  <c r="R10" i="51"/>
  <c r="R9" i="51"/>
  <c r="E15" i="51"/>
  <c r="S9" i="52"/>
  <c r="S11" i="52"/>
  <c r="R9" i="52"/>
  <c r="P15" i="52"/>
  <c r="S5" i="52"/>
  <c r="R7" i="52"/>
  <c r="Q25" i="51"/>
  <c r="Q7" i="51"/>
  <c r="R15" i="51"/>
  <c r="P25" i="52"/>
  <c r="Q25" i="52"/>
  <c r="T15" i="51"/>
  <c r="S15" i="51"/>
  <c r="T25" i="51"/>
  <c r="T5" i="51"/>
  <c r="S7" i="51"/>
  <c r="S25" i="51"/>
  <c r="F13" i="51"/>
  <c r="F16" i="51" s="1"/>
  <c r="S19" i="51" s="1"/>
  <c r="S10" i="51"/>
  <c r="S15" i="52"/>
  <c r="R15" i="52"/>
  <c r="S24" i="52"/>
  <c r="S25" i="52"/>
  <c r="R25" i="52"/>
  <c r="Q10" i="52"/>
  <c r="E13" i="52"/>
  <c r="E16" i="52" s="1"/>
  <c r="Q19" i="52" s="1"/>
  <c r="E15" i="52"/>
  <c r="F13" i="52"/>
  <c r="F16" i="52" s="1"/>
  <c r="R19" i="52" s="1"/>
  <c r="F15" i="52"/>
  <c r="R10" i="52"/>
  <c r="G15" i="52"/>
  <c r="G13" i="52"/>
  <c r="G16" i="52" s="1"/>
  <c r="S19" i="52" s="1"/>
  <c r="S10" i="52"/>
  <c r="H13" i="52"/>
  <c r="H16" i="52" s="1"/>
  <c r="D15" i="52"/>
  <c r="P7" i="52"/>
  <c r="D13" i="52"/>
  <c r="D16" i="52" s="1"/>
  <c r="Q10" i="51"/>
  <c r="D13" i="51"/>
  <c r="D16" i="51" s="1"/>
  <c r="D15" i="51"/>
  <c r="G15" i="51"/>
  <c r="T10" i="51"/>
  <c r="G13" i="51"/>
  <c r="G16" i="51" s="1"/>
  <c r="T19" i="51" s="1"/>
  <c r="I15" i="51"/>
  <c r="I13" i="51"/>
  <c r="I16" i="51" s="1"/>
  <c r="F15" i="51"/>
  <c r="E13" i="51"/>
  <c r="E16" i="51" s="1"/>
  <c r="R19" i="51" s="1"/>
  <c r="F21" i="48" l="1"/>
  <c r="E21" i="48"/>
  <c r="F14" i="48"/>
  <c r="E14" i="48"/>
  <c r="F21" i="46"/>
  <c r="E21" i="46"/>
  <c r="F14" i="46"/>
  <c r="E14" i="46"/>
  <c r="F5" i="46"/>
  <c r="E5" i="46"/>
  <c r="E21" i="47"/>
  <c r="E14" i="47"/>
  <c r="G21" i="47"/>
  <c r="Y24" i="47" s="1"/>
  <c r="Y25" i="47" s="1"/>
  <c r="F21" i="47"/>
  <c r="G14" i="47"/>
  <c r="F14" i="47"/>
  <c r="X24" i="47"/>
  <c r="V24" i="47"/>
  <c r="U24" i="47"/>
  <c r="X23" i="47"/>
  <c r="W23" i="47"/>
  <c r="V23" i="47"/>
  <c r="U23" i="47"/>
  <c r="X21" i="47"/>
  <c r="W21" i="47"/>
  <c r="V21" i="47"/>
  <c r="U21" i="47"/>
  <c r="X20" i="47"/>
  <c r="W20" i="47"/>
  <c r="V20" i="47"/>
  <c r="J20" i="47"/>
  <c r="G20" i="47"/>
  <c r="X7" i="47" s="1"/>
  <c r="F20" i="47"/>
  <c r="W7" i="47" s="1"/>
  <c r="E20" i="47"/>
  <c r="V7" i="47" s="1"/>
  <c r="D20" i="47"/>
  <c r="U5" i="47" s="1"/>
  <c r="X16" i="47"/>
  <c r="W16" i="47"/>
  <c r="V16" i="47"/>
  <c r="U16" i="47"/>
  <c r="AA15" i="47"/>
  <c r="X14" i="47"/>
  <c r="W14" i="47"/>
  <c r="V14" i="47"/>
  <c r="U14" i="47"/>
  <c r="X13" i="47"/>
  <c r="W13" i="47"/>
  <c r="V13" i="47"/>
  <c r="U13" i="47"/>
  <c r="U11" i="47"/>
  <c r="C11" i="47"/>
  <c r="B11" i="47"/>
  <c r="J10" i="47"/>
  <c r="AA3" i="47" s="1"/>
  <c r="G10" i="47"/>
  <c r="X3" i="47" s="1"/>
  <c r="F10" i="47"/>
  <c r="W3" i="47" s="1"/>
  <c r="E10" i="47"/>
  <c r="V3" i="47" s="1"/>
  <c r="D10" i="47"/>
  <c r="U3" i="47" s="1"/>
  <c r="C10" i="47"/>
  <c r="B10" i="47"/>
  <c r="J8" i="47"/>
  <c r="J11" i="47" s="1"/>
  <c r="J15" i="47" s="1"/>
  <c r="G8" i="47"/>
  <c r="G11" i="47" s="1"/>
  <c r="F8" i="47"/>
  <c r="F11" i="47" s="1"/>
  <c r="E8" i="47"/>
  <c r="E11" i="47" s="1"/>
  <c r="D8" i="47"/>
  <c r="D11" i="47" s="1"/>
  <c r="U24" i="48"/>
  <c r="T24" i="48"/>
  <c r="S24" i="48"/>
  <c r="R24" i="48"/>
  <c r="U23" i="48"/>
  <c r="T23" i="48"/>
  <c r="S23" i="48"/>
  <c r="R23" i="48"/>
  <c r="U21" i="48"/>
  <c r="T21" i="48"/>
  <c r="S21" i="48"/>
  <c r="R21" i="48"/>
  <c r="U20" i="48"/>
  <c r="T20" i="48"/>
  <c r="S20" i="48"/>
  <c r="I20" i="48"/>
  <c r="G20" i="48"/>
  <c r="U5" i="48" s="1"/>
  <c r="F20" i="48"/>
  <c r="T7" i="48" s="1"/>
  <c r="E20" i="48"/>
  <c r="S5" i="48" s="1"/>
  <c r="D20" i="48"/>
  <c r="R7" i="48" s="1"/>
  <c r="U16" i="48"/>
  <c r="T16" i="48"/>
  <c r="S16" i="48"/>
  <c r="R16" i="48"/>
  <c r="W15" i="48"/>
  <c r="R15" i="48"/>
  <c r="T14" i="48"/>
  <c r="S14" i="48"/>
  <c r="R14" i="48"/>
  <c r="U15" i="48"/>
  <c r="T13" i="48"/>
  <c r="S13" i="48"/>
  <c r="R13" i="48"/>
  <c r="U11" i="48"/>
  <c r="R11" i="48"/>
  <c r="C11" i="48"/>
  <c r="B11" i="48"/>
  <c r="I10" i="48"/>
  <c r="W3" i="48" s="1"/>
  <c r="G10" i="48"/>
  <c r="U3" i="48" s="1"/>
  <c r="F10" i="48"/>
  <c r="T3" i="48" s="1"/>
  <c r="E10" i="48"/>
  <c r="S3" i="48" s="1"/>
  <c r="D10" i="48"/>
  <c r="R3" i="48" s="1"/>
  <c r="C10" i="48"/>
  <c r="B10" i="48"/>
  <c r="I8" i="48"/>
  <c r="I11" i="48" s="1"/>
  <c r="I15" i="48" s="1"/>
  <c r="G8" i="48"/>
  <c r="G11" i="48" s="1"/>
  <c r="F8" i="48"/>
  <c r="F11" i="48" s="1"/>
  <c r="E8" i="48"/>
  <c r="E11" i="48" s="1"/>
  <c r="D8" i="48"/>
  <c r="D11" i="48" s="1"/>
  <c r="S7" i="48"/>
  <c r="R10" i="48" l="1"/>
  <c r="R9" i="48"/>
  <c r="S11" i="48"/>
  <c r="S9" i="48"/>
  <c r="R25" i="48"/>
  <c r="W24" i="47"/>
  <c r="W25" i="47" s="1"/>
  <c r="T11" i="48"/>
  <c r="T9" i="48"/>
  <c r="R5" i="48"/>
  <c r="U15" i="47"/>
  <c r="V15" i="47"/>
  <c r="D13" i="47"/>
  <c r="D16" i="47" s="1"/>
  <c r="U9" i="47"/>
  <c r="U10" i="47"/>
  <c r="V11" i="47"/>
  <c r="V9" i="47"/>
  <c r="U25" i="47"/>
  <c r="W11" i="47"/>
  <c r="W9" i="47"/>
  <c r="X11" i="47"/>
  <c r="X9" i="47"/>
  <c r="U7" i="48"/>
  <c r="G15" i="48"/>
  <c r="U9" i="48"/>
  <c r="T15" i="48"/>
  <c r="S15" i="48"/>
  <c r="U25" i="48"/>
  <c r="T5" i="48"/>
  <c r="T25" i="48"/>
  <c r="S25" i="48"/>
  <c r="V5" i="47"/>
  <c r="V25" i="47"/>
  <c r="X15" i="47"/>
  <c r="W15" i="47"/>
  <c r="X5" i="47"/>
  <c r="X25" i="47"/>
  <c r="F13" i="47"/>
  <c r="F16" i="47" s="1"/>
  <c r="W19" i="47" s="1"/>
  <c r="G15" i="47"/>
  <c r="G13" i="47"/>
  <c r="G16" i="47" s="1"/>
  <c r="X19" i="47" s="1"/>
  <c r="X10" i="47"/>
  <c r="V10" i="47"/>
  <c r="E13" i="47"/>
  <c r="E16" i="47" s="1"/>
  <c r="V19" i="47" s="1"/>
  <c r="E15" i="47"/>
  <c r="W5" i="47"/>
  <c r="J13" i="47"/>
  <c r="J16" i="47" s="1"/>
  <c r="W10" i="47"/>
  <c r="D15" i="47"/>
  <c r="U7" i="47"/>
  <c r="F15" i="47"/>
  <c r="E13" i="48"/>
  <c r="E16" i="48" s="1"/>
  <c r="S19" i="48" s="1"/>
  <c r="E15" i="48"/>
  <c r="S10" i="48"/>
  <c r="F15" i="48"/>
  <c r="F13" i="48"/>
  <c r="F16" i="48" s="1"/>
  <c r="T19" i="48" s="1"/>
  <c r="T10" i="48"/>
  <c r="G13" i="48"/>
  <c r="G16" i="48" s="1"/>
  <c r="U19" i="48" s="1"/>
  <c r="U10" i="48"/>
  <c r="I13" i="48"/>
  <c r="I16" i="48" s="1"/>
  <c r="D15" i="48"/>
  <c r="D13" i="48"/>
  <c r="D16" i="48" s="1"/>
  <c r="S24" i="46" l="1"/>
  <c r="R24" i="46"/>
  <c r="Q24" i="46"/>
  <c r="P24" i="46"/>
  <c r="S23" i="46"/>
  <c r="R23" i="46"/>
  <c r="Q23" i="46"/>
  <c r="P23" i="46"/>
  <c r="P25" i="46" s="1"/>
  <c r="S21" i="46"/>
  <c r="R21" i="46"/>
  <c r="Q21" i="46"/>
  <c r="P21" i="46"/>
  <c r="S20" i="46"/>
  <c r="R20" i="46"/>
  <c r="Q20" i="46"/>
  <c r="H20" i="46"/>
  <c r="G20" i="46"/>
  <c r="S5" i="46" s="1"/>
  <c r="F20" i="46"/>
  <c r="R7" i="46" s="1"/>
  <c r="E20" i="46"/>
  <c r="Q5" i="46" s="1"/>
  <c r="D20" i="46"/>
  <c r="P7" i="46" s="1"/>
  <c r="S16" i="46"/>
  <c r="R16" i="46"/>
  <c r="Q16" i="46"/>
  <c r="P16" i="46"/>
  <c r="T15" i="46"/>
  <c r="S14" i="46"/>
  <c r="R14" i="46"/>
  <c r="Q14" i="46"/>
  <c r="P14" i="46"/>
  <c r="S13" i="46"/>
  <c r="S15" i="46" s="1"/>
  <c r="R13" i="46"/>
  <c r="Q13" i="46"/>
  <c r="P13" i="46"/>
  <c r="S11" i="46"/>
  <c r="R11" i="46"/>
  <c r="Q11" i="46"/>
  <c r="P11" i="46"/>
  <c r="D11" i="46"/>
  <c r="C11" i="46"/>
  <c r="B11" i="46"/>
  <c r="H10" i="46"/>
  <c r="G10" i="46"/>
  <c r="S3" i="46" s="1"/>
  <c r="F10" i="46"/>
  <c r="R3" i="46" s="1"/>
  <c r="E10" i="46"/>
  <c r="Q3" i="46" s="1"/>
  <c r="D10" i="46"/>
  <c r="P3" i="46" s="1"/>
  <c r="C10" i="46"/>
  <c r="B10" i="46"/>
  <c r="H8" i="46"/>
  <c r="H11" i="46" s="1"/>
  <c r="G8" i="46"/>
  <c r="G11" i="46" s="1"/>
  <c r="F8" i="46"/>
  <c r="F11" i="46" s="1"/>
  <c r="E8" i="46"/>
  <c r="E11" i="46" s="1"/>
  <c r="Q9" i="46" s="1"/>
  <c r="D8" i="46"/>
  <c r="S7" i="46"/>
  <c r="P5" i="46"/>
  <c r="F6" i="44"/>
  <c r="W23" i="44" s="1"/>
  <c r="E6" i="44"/>
  <c r="V23" i="44" s="1"/>
  <c r="F21" i="44"/>
  <c r="W24" i="44" s="1"/>
  <c r="E21" i="44"/>
  <c r="E14" i="44"/>
  <c r="T24" i="45"/>
  <c r="S24" i="45"/>
  <c r="R24" i="45"/>
  <c r="Q24" i="45"/>
  <c r="T23" i="45"/>
  <c r="S23" i="45"/>
  <c r="R23" i="45"/>
  <c r="Q23" i="45"/>
  <c r="Q25" i="45" s="1"/>
  <c r="T21" i="45"/>
  <c r="S21" i="45"/>
  <c r="R21" i="45"/>
  <c r="Q21" i="45"/>
  <c r="T20" i="45"/>
  <c r="S20" i="45"/>
  <c r="R20" i="45"/>
  <c r="I20" i="45"/>
  <c r="G20" i="45"/>
  <c r="T5" i="45" s="1"/>
  <c r="F20" i="45"/>
  <c r="S5" i="45" s="1"/>
  <c r="E20" i="45"/>
  <c r="R5" i="45" s="1"/>
  <c r="D20" i="45"/>
  <c r="Q7" i="45" s="1"/>
  <c r="T16" i="45"/>
  <c r="S16" i="45"/>
  <c r="R16" i="45"/>
  <c r="Q16" i="45"/>
  <c r="U15" i="45"/>
  <c r="T14" i="45"/>
  <c r="S14" i="45"/>
  <c r="R14" i="45"/>
  <c r="Q14" i="45"/>
  <c r="T13" i="45"/>
  <c r="S13" i="45"/>
  <c r="R13" i="45"/>
  <c r="Q13" i="45"/>
  <c r="Q15" i="45" s="1"/>
  <c r="T11" i="45"/>
  <c r="S11" i="45"/>
  <c r="R11" i="45"/>
  <c r="Q11" i="45"/>
  <c r="F11" i="45"/>
  <c r="C11" i="45"/>
  <c r="B11" i="45"/>
  <c r="I10" i="45"/>
  <c r="G10" i="45"/>
  <c r="T3" i="45" s="1"/>
  <c r="F10" i="45"/>
  <c r="S3" i="45" s="1"/>
  <c r="E10" i="45"/>
  <c r="R3" i="45" s="1"/>
  <c r="D10" i="45"/>
  <c r="Q3" i="45" s="1"/>
  <c r="C10" i="45"/>
  <c r="B10" i="45"/>
  <c r="I8" i="45"/>
  <c r="I11" i="45" s="1"/>
  <c r="G8" i="45"/>
  <c r="G11" i="45" s="1"/>
  <c r="T9" i="45" s="1"/>
  <c r="F8" i="45"/>
  <c r="E8" i="45"/>
  <c r="E11" i="45" s="1"/>
  <c r="D8" i="45"/>
  <c r="D11" i="45" s="1"/>
  <c r="Q9" i="45" s="1"/>
  <c r="V24" i="44"/>
  <c r="U24" i="44"/>
  <c r="X23" i="44"/>
  <c r="U23" i="44"/>
  <c r="X21" i="44"/>
  <c r="W21" i="44"/>
  <c r="V21" i="44"/>
  <c r="U21" i="44"/>
  <c r="X20" i="44"/>
  <c r="W20" i="44"/>
  <c r="V20" i="44"/>
  <c r="J20" i="44"/>
  <c r="G20" i="44"/>
  <c r="X7" i="44" s="1"/>
  <c r="F20" i="44"/>
  <c r="E20" i="44"/>
  <c r="V7" i="44" s="1"/>
  <c r="D20" i="44"/>
  <c r="U5" i="44" s="1"/>
  <c r="X16" i="44"/>
  <c r="W16" i="44"/>
  <c r="V16" i="44"/>
  <c r="U16" i="44"/>
  <c r="AA15" i="44"/>
  <c r="X14" i="44"/>
  <c r="W14" i="44"/>
  <c r="V14" i="44"/>
  <c r="U14" i="44"/>
  <c r="X11" i="44"/>
  <c r="X13" i="44"/>
  <c r="W13" i="44"/>
  <c r="V13" i="44"/>
  <c r="U13" i="44"/>
  <c r="U11" i="44"/>
  <c r="C11" i="44"/>
  <c r="B11" i="44"/>
  <c r="J10" i="44"/>
  <c r="AA3" i="44" s="1"/>
  <c r="G10" i="44"/>
  <c r="X3" i="44" s="1"/>
  <c r="D10" i="44"/>
  <c r="U3" i="44" s="1"/>
  <c r="C10" i="44"/>
  <c r="B10" i="44"/>
  <c r="J8" i="44"/>
  <c r="J11" i="44" s="1"/>
  <c r="J13" i="44" s="1"/>
  <c r="J16" i="44" s="1"/>
  <c r="G8" i="44"/>
  <c r="G11" i="44" s="1"/>
  <c r="X9" i="44" s="1"/>
  <c r="D8" i="44"/>
  <c r="D11" i="44" s="1"/>
  <c r="U9" i="44" s="1"/>
  <c r="G15" i="46" l="1"/>
  <c r="S9" i="46"/>
  <c r="E10" i="44"/>
  <c r="V3" i="44" s="1"/>
  <c r="Q5" i="45"/>
  <c r="E15" i="45"/>
  <c r="R9" i="45"/>
  <c r="P15" i="46"/>
  <c r="R10" i="46"/>
  <c r="R9" i="46"/>
  <c r="D13" i="46"/>
  <c r="D16" i="46" s="1"/>
  <c r="P9" i="46"/>
  <c r="E8" i="44"/>
  <c r="E11" i="44" s="1"/>
  <c r="E13" i="44" s="1"/>
  <c r="E16" i="44" s="1"/>
  <c r="V19" i="44" s="1"/>
  <c r="F15" i="45"/>
  <c r="S9" i="45"/>
  <c r="V11" i="44"/>
  <c r="U7" i="44"/>
  <c r="T15" i="45"/>
  <c r="T7" i="45"/>
  <c r="T25" i="45"/>
  <c r="X15" i="44"/>
  <c r="X5" i="44"/>
  <c r="R15" i="46"/>
  <c r="Q15" i="46"/>
  <c r="S25" i="46"/>
  <c r="R25" i="46"/>
  <c r="R5" i="46"/>
  <c r="Q7" i="46"/>
  <c r="Q25" i="46"/>
  <c r="F15" i="46"/>
  <c r="E15" i="46"/>
  <c r="E13" i="46"/>
  <c r="E16" i="46" s="1"/>
  <c r="Q19" i="46" s="1"/>
  <c r="S7" i="45"/>
  <c r="R7" i="45"/>
  <c r="S25" i="45"/>
  <c r="R25" i="45"/>
  <c r="S15" i="45"/>
  <c r="R15" i="45"/>
  <c r="H15" i="46"/>
  <c r="H13" i="46"/>
  <c r="H16" i="46" s="1"/>
  <c r="Q10" i="46"/>
  <c r="F13" i="46"/>
  <c r="F16" i="46" s="1"/>
  <c r="R19" i="46" s="1"/>
  <c r="G13" i="46"/>
  <c r="G16" i="46" s="1"/>
  <c r="S19" i="46" s="1"/>
  <c r="S10" i="46"/>
  <c r="P10" i="46"/>
  <c r="D15" i="46"/>
  <c r="W15" i="44"/>
  <c r="F10" i="44"/>
  <c r="W3" i="44" s="1"/>
  <c r="F8" i="44"/>
  <c r="F11" i="44" s="1"/>
  <c r="V15" i="44"/>
  <c r="X24" i="44"/>
  <c r="X25" i="44" s="1"/>
  <c r="W5" i="44"/>
  <c r="W7" i="44"/>
  <c r="I13" i="45"/>
  <c r="I16" i="45" s="1"/>
  <c r="I15" i="45"/>
  <c r="D15" i="45"/>
  <c r="Q10" i="45"/>
  <c r="D13" i="45"/>
  <c r="D16" i="45" s="1"/>
  <c r="G15" i="45"/>
  <c r="T10" i="45"/>
  <c r="G13" i="45"/>
  <c r="G16" i="45" s="1"/>
  <c r="T19" i="45" s="1"/>
  <c r="E13" i="45"/>
  <c r="E16" i="45" s="1"/>
  <c r="R19" i="45" s="1"/>
  <c r="R10" i="45"/>
  <c r="F13" i="45"/>
  <c r="F16" i="45" s="1"/>
  <c r="S19" i="45" s="1"/>
  <c r="S10" i="45"/>
  <c r="U15" i="44"/>
  <c r="V5" i="44"/>
  <c r="W25" i="44"/>
  <c r="V25" i="44"/>
  <c r="U25" i="44"/>
  <c r="V10" i="44"/>
  <c r="G15" i="44"/>
  <c r="G13" i="44"/>
  <c r="G16" i="44" s="1"/>
  <c r="X19" i="44" s="1"/>
  <c r="X10" i="44"/>
  <c r="D13" i="44"/>
  <c r="D16" i="44" s="1"/>
  <c r="D15" i="44"/>
  <c r="U10" i="44"/>
  <c r="J15" i="44"/>
  <c r="W11" i="44"/>
  <c r="V9" i="44" l="1"/>
  <c r="E15" i="44"/>
  <c r="F13" i="44"/>
  <c r="F16" i="44" s="1"/>
  <c r="W19" i="44" s="1"/>
  <c r="W9" i="44"/>
  <c r="F15" i="44"/>
  <c r="W10" i="44"/>
  <c r="E21" i="43" l="1"/>
  <c r="D21" i="43"/>
  <c r="E14" i="43"/>
  <c r="D14" i="43"/>
  <c r="G21" i="43"/>
  <c r="Y24" i="43" s="1"/>
  <c r="Y25" i="43" s="1"/>
  <c r="F21" i="43"/>
  <c r="G14" i="43"/>
  <c r="F14" i="43"/>
  <c r="E21" i="42" l="1"/>
  <c r="D21" i="42"/>
  <c r="E14" i="42"/>
  <c r="D14" i="42"/>
  <c r="G21" i="42"/>
  <c r="W24" i="42" s="1"/>
  <c r="W25" i="42" s="1"/>
  <c r="F21" i="42"/>
  <c r="G14" i="42"/>
  <c r="F14" i="42"/>
  <c r="X24" i="43"/>
  <c r="W24" i="43"/>
  <c r="V24" i="43"/>
  <c r="U24" i="43"/>
  <c r="X23" i="43"/>
  <c r="W23" i="43"/>
  <c r="V23" i="43"/>
  <c r="U23" i="43"/>
  <c r="X21" i="43"/>
  <c r="W21" i="43"/>
  <c r="V21" i="43"/>
  <c r="U21" i="43"/>
  <c r="X20" i="43"/>
  <c r="W20" i="43"/>
  <c r="V20" i="43"/>
  <c r="J20" i="43"/>
  <c r="G20" i="43"/>
  <c r="X7" i="43" s="1"/>
  <c r="F20" i="43"/>
  <c r="W7" i="43" s="1"/>
  <c r="E20" i="43"/>
  <c r="V7" i="43" s="1"/>
  <c r="D20" i="43"/>
  <c r="U7" i="43" s="1"/>
  <c r="X16" i="43"/>
  <c r="W16" i="43"/>
  <c r="V16" i="43"/>
  <c r="U16" i="43"/>
  <c r="AA15" i="43"/>
  <c r="X14" i="43"/>
  <c r="W14" i="43"/>
  <c r="V14" i="43"/>
  <c r="U14" i="43"/>
  <c r="X13" i="43"/>
  <c r="W13" i="43"/>
  <c r="V13" i="43"/>
  <c r="U13" i="43"/>
  <c r="X11" i="43"/>
  <c r="W11" i="43"/>
  <c r="V11" i="43"/>
  <c r="U11" i="43"/>
  <c r="C11" i="43"/>
  <c r="B11" i="43"/>
  <c r="J10" i="43"/>
  <c r="AA3" i="43" s="1"/>
  <c r="G10" i="43"/>
  <c r="X3" i="43" s="1"/>
  <c r="F10" i="43"/>
  <c r="W3" i="43" s="1"/>
  <c r="E10" i="43"/>
  <c r="V3" i="43" s="1"/>
  <c r="D10" i="43"/>
  <c r="U3" i="43" s="1"/>
  <c r="C10" i="43"/>
  <c r="B10" i="43"/>
  <c r="J8" i="43"/>
  <c r="J11" i="43" s="1"/>
  <c r="G8" i="43"/>
  <c r="G11" i="43" s="1"/>
  <c r="X9" i="43" s="1"/>
  <c r="F8" i="43"/>
  <c r="F11" i="43" s="1"/>
  <c r="W9" i="43" s="1"/>
  <c r="E8" i="43"/>
  <c r="E11" i="43" s="1"/>
  <c r="V9" i="43" s="1"/>
  <c r="D8" i="43"/>
  <c r="D11" i="43" s="1"/>
  <c r="U9" i="43" s="1"/>
  <c r="X15" i="43" l="1"/>
  <c r="U15" i="43"/>
  <c r="J13" i="43"/>
  <c r="J16" i="43" s="1"/>
  <c r="J15" i="43"/>
  <c r="W15" i="43"/>
  <c r="V15" i="43"/>
  <c r="V5" i="43"/>
  <c r="U5" i="43"/>
  <c r="V25" i="43"/>
  <c r="U25" i="43"/>
  <c r="E15" i="43"/>
  <c r="D15" i="43"/>
  <c r="X5" i="43"/>
  <c r="W5" i="43"/>
  <c r="X25" i="43"/>
  <c r="W25" i="43"/>
  <c r="X10" i="43"/>
  <c r="G15" i="43"/>
  <c r="W10" i="43"/>
  <c r="F15" i="43"/>
  <c r="D13" i="43"/>
  <c r="D16" i="43" s="1"/>
  <c r="U10" i="43"/>
  <c r="E13" i="43"/>
  <c r="E16" i="43" s="1"/>
  <c r="V19" i="43" s="1"/>
  <c r="V10" i="43"/>
  <c r="F13" i="43"/>
  <c r="F16" i="43" s="1"/>
  <c r="W19" i="43" s="1"/>
  <c r="G13" i="43"/>
  <c r="G16" i="43" s="1"/>
  <c r="X19" i="43" s="1"/>
  <c r="G21" i="41" l="1"/>
  <c r="U24" i="41" s="1"/>
  <c r="U25" i="41" s="1"/>
  <c r="F21" i="41"/>
  <c r="T24" i="41" s="1"/>
  <c r="G14" i="41"/>
  <c r="F14" i="41"/>
  <c r="E21" i="41"/>
  <c r="D21" i="41"/>
  <c r="R24" i="41" s="1"/>
  <c r="E14" i="41"/>
  <c r="D14" i="41"/>
  <c r="V24" i="42"/>
  <c r="U24" i="42"/>
  <c r="T24" i="42"/>
  <c r="S24" i="42"/>
  <c r="V23" i="42"/>
  <c r="U23" i="42"/>
  <c r="T23" i="42"/>
  <c r="S23" i="42"/>
  <c r="V21" i="42"/>
  <c r="U21" i="42"/>
  <c r="T21" i="42"/>
  <c r="S21" i="42"/>
  <c r="V20" i="42"/>
  <c r="U20" i="42"/>
  <c r="T20" i="42"/>
  <c r="J20" i="42"/>
  <c r="Y5" i="42" s="1"/>
  <c r="G20" i="42"/>
  <c r="V7" i="42" s="1"/>
  <c r="F20" i="42"/>
  <c r="U7" i="42" s="1"/>
  <c r="E20" i="42"/>
  <c r="T7" i="42" s="1"/>
  <c r="D20" i="42"/>
  <c r="S7" i="42" s="1"/>
  <c r="V16" i="42"/>
  <c r="U16" i="42"/>
  <c r="T16" i="42"/>
  <c r="S16" i="42"/>
  <c r="V14" i="42"/>
  <c r="U14" i="42"/>
  <c r="T14" i="42"/>
  <c r="S14" i="42"/>
  <c r="V13" i="42"/>
  <c r="U13" i="42"/>
  <c r="T13" i="42"/>
  <c r="S13" i="42"/>
  <c r="V11" i="42"/>
  <c r="U11" i="42"/>
  <c r="T11" i="42"/>
  <c r="S11" i="42"/>
  <c r="C11" i="42"/>
  <c r="B11" i="42"/>
  <c r="J10" i="42"/>
  <c r="G10" i="42"/>
  <c r="V3" i="42" s="1"/>
  <c r="F10" i="42"/>
  <c r="U3" i="42" s="1"/>
  <c r="E10" i="42"/>
  <c r="T3" i="42" s="1"/>
  <c r="D10" i="42"/>
  <c r="C10" i="42"/>
  <c r="B10" i="42"/>
  <c r="J8" i="42"/>
  <c r="J11" i="42" s="1"/>
  <c r="J15" i="42" s="1"/>
  <c r="G8" i="42"/>
  <c r="G11" i="42" s="1"/>
  <c r="F8" i="42"/>
  <c r="F11" i="42" s="1"/>
  <c r="U9" i="42" s="1"/>
  <c r="E8" i="42"/>
  <c r="E11" i="42" s="1"/>
  <c r="T9" i="42" s="1"/>
  <c r="D8" i="42"/>
  <c r="D11" i="42" s="1"/>
  <c r="S9" i="42" s="1"/>
  <c r="S3" i="42"/>
  <c r="E21" i="40"/>
  <c r="R24" i="40" s="1"/>
  <c r="D21" i="40"/>
  <c r="E19" i="40"/>
  <c r="E20" i="40" s="1"/>
  <c r="R7" i="40" s="1"/>
  <c r="D19" i="40"/>
  <c r="D20" i="40" s="1"/>
  <c r="E14" i="40"/>
  <c r="D14" i="40"/>
  <c r="G21" i="40"/>
  <c r="U24" i="40" s="1"/>
  <c r="U25" i="40" s="1"/>
  <c r="F21" i="40"/>
  <c r="G19" i="40"/>
  <c r="U21" i="40" s="1"/>
  <c r="F19" i="40"/>
  <c r="S21" i="40" s="1"/>
  <c r="G14" i="40"/>
  <c r="T9" i="40" s="1"/>
  <c r="F14" i="40"/>
  <c r="S9" i="40" s="1"/>
  <c r="S24" i="41"/>
  <c r="T23" i="41"/>
  <c r="S23" i="41"/>
  <c r="R23" i="41"/>
  <c r="Q23" i="41"/>
  <c r="T21" i="41"/>
  <c r="S21" i="41"/>
  <c r="R21" i="41"/>
  <c r="Q21" i="41"/>
  <c r="T20" i="41"/>
  <c r="S20" i="41"/>
  <c r="R20" i="41"/>
  <c r="I20" i="41"/>
  <c r="G20" i="41"/>
  <c r="T7" i="41" s="1"/>
  <c r="F20" i="41"/>
  <c r="S5" i="41" s="1"/>
  <c r="E20" i="41"/>
  <c r="R5" i="41" s="1"/>
  <c r="D20" i="41"/>
  <c r="Q7" i="41" s="1"/>
  <c r="T16" i="41"/>
  <c r="S16" i="41"/>
  <c r="R16" i="41"/>
  <c r="Q16" i="41"/>
  <c r="V15" i="41"/>
  <c r="T14" i="41"/>
  <c r="S14" i="41"/>
  <c r="R14" i="41"/>
  <c r="Q14" i="41"/>
  <c r="T13" i="41"/>
  <c r="S13" i="41"/>
  <c r="S15" i="41" s="1"/>
  <c r="R13" i="41"/>
  <c r="Q13" i="41"/>
  <c r="Q11" i="41"/>
  <c r="C11" i="41"/>
  <c r="B11" i="41"/>
  <c r="I10" i="41"/>
  <c r="G10" i="41"/>
  <c r="T3" i="41" s="1"/>
  <c r="F10" i="41"/>
  <c r="S3" i="41" s="1"/>
  <c r="E10" i="41"/>
  <c r="R3" i="41" s="1"/>
  <c r="D10" i="41"/>
  <c r="Q3" i="41" s="1"/>
  <c r="C10" i="41"/>
  <c r="B10" i="41"/>
  <c r="I8" i="41"/>
  <c r="I11" i="41" s="1"/>
  <c r="G8" i="41"/>
  <c r="G11" i="41" s="1"/>
  <c r="F8" i="41"/>
  <c r="F11" i="41" s="1"/>
  <c r="E8" i="41"/>
  <c r="E11" i="41" s="1"/>
  <c r="D8" i="41"/>
  <c r="D11" i="41" s="1"/>
  <c r="Q5" i="41"/>
  <c r="E21" i="39"/>
  <c r="D21" i="39"/>
  <c r="Q24" i="39" s="1"/>
  <c r="E14" i="39"/>
  <c r="D14" i="39"/>
  <c r="G21" i="39"/>
  <c r="U24" i="39" s="1"/>
  <c r="U25" i="39" s="1"/>
  <c r="F21" i="39"/>
  <c r="S5" i="39" s="1"/>
  <c r="G14" i="39"/>
  <c r="F14" i="39"/>
  <c r="T24" i="40"/>
  <c r="Q24" i="40"/>
  <c r="T23" i="40"/>
  <c r="S23" i="40"/>
  <c r="R23" i="40"/>
  <c r="Q23" i="40"/>
  <c r="T20" i="40"/>
  <c r="S20" i="40"/>
  <c r="R20" i="40"/>
  <c r="I20" i="40"/>
  <c r="G20" i="40"/>
  <c r="T7" i="40" s="1"/>
  <c r="F20" i="40"/>
  <c r="S5" i="40" s="1"/>
  <c r="T16" i="40"/>
  <c r="S16" i="40"/>
  <c r="R16" i="40"/>
  <c r="Q16" i="40"/>
  <c r="T14" i="40"/>
  <c r="S14" i="40"/>
  <c r="R14" i="40"/>
  <c r="Q14" i="40"/>
  <c r="T13" i="40"/>
  <c r="S13" i="40"/>
  <c r="R13" i="40"/>
  <c r="Q13" i="40"/>
  <c r="R11" i="40"/>
  <c r="Q11" i="40"/>
  <c r="C11" i="40"/>
  <c r="B11" i="40"/>
  <c r="I10" i="40"/>
  <c r="G10" i="40"/>
  <c r="T3" i="40" s="1"/>
  <c r="F10" i="40"/>
  <c r="S3" i="40" s="1"/>
  <c r="E10" i="40"/>
  <c r="R3" i="40" s="1"/>
  <c r="D10" i="40"/>
  <c r="Q3" i="40" s="1"/>
  <c r="C10" i="40"/>
  <c r="B10" i="40"/>
  <c r="I8" i="40"/>
  <c r="I11" i="40" s="1"/>
  <c r="G8" i="40"/>
  <c r="G11" i="40" s="1"/>
  <c r="F8" i="40"/>
  <c r="F11" i="40" s="1"/>
  <c r="E8" i="40"/>
  <c r="E11" i="40" s="1"/>
  <c r="D8" i="40"/>
  <c r="D11" i="40" s="1"/>
  <c r="E21" i="38"/>
  <c r="D21" i="38"/>
  <c r="E14" i="38"/>
  <c r="D14" i="38"/>
  <c r="G21" i="38"/>
  <c r="U24" i="38" s="1"/>
  <c r="U25" i="38" s="1"/>
  <c r="F21" i="38"/>
  <c r="G14" i="38"/>
  <c r="F14" i="38"/>
  <c r="T23" i="39"/>
  <c r="S23" i="39"/>
  <c r="R23" i="39"/>
  <c r="Q23" i="39"/>
  <c r="T21" i="39"/>
  <c r="S21" i="39"/>
  <c r="R21" i="39"/>
  <c r="Q21" i="39"/>
  <c r="T20" i="39"/>
  <c r="S20" i="39"/>
  <c r="R20" i="39"/>
  <c r="I20" i="39"/>
  <c r="G20" i="39"/>
  <c r="T7" i="39" s="1"/>
  <c r="F20" i="39"/>
  <c r="S7" i="39" s="1"/>
  <c r="E20" i="39"/>
  <c r="R5" i="39" s="1"/>
  <c r="D20" i="39"/>
  <c r="Q7" i="39" s="1"/>
  <c r="T16" i="39"/>
  <c r="S16" i="39"/>
  <c r="R16" i="39"/>
  <c r="Q16" i="39"/>
  <c r="V15" i="39"/>
  <c r="T14" i="39"/>
  <c r="S14" i="39"/>
  <c r="R14" i="39"/>
  <c r="Q14" i="39"/>
  <c r="T13" i="39"/>
  <c r="S13" i="39"/>
  <c r="R13" i="39"/>
  <c r="R15" i="39" s="1"/>
  <c r="Q13" i="39"/>
  <c r="C11" i="39"/>
  <c r="B11" i="39"/>
  <c r="I10" i="39"/>
  <c r="G10" i="39"/>
  <c r="T3" i="39" s="1"/>
  <c r="F10" i="39"/>
  <c r="S3" i="39" s="1"/>
  <c r="E10" i="39"/>
  <c r="R3" i="39" s="1"/>
  <c r="D10" i="39"/>
  <c r="Q3" i="39" s="1"/>
  <c r="C10" i="39"/>
  <c r="B10" i="39"/>
  <c r="I8" i="39"/>
  <c r="I11" i="39" s="1"/>
  <c r="G8" i="39"/>
  <c r="G11" i="39" s="1"/>
  <c r="F8" i="39"/>
  <c r="F11" i="39" s="1"/>
  <c r="E8" i="39"/>
  <c r="E11" i="39" s="1"/>
  <c r="D8" i="39"/>
  <c r="D11" i="39" s="1"/>
  <c r="G21" i="37"/>
  <c r="X24" i="37" s="1"/>
  <c r="X25" i="37" s="1"/>
  <c r="F21" i="37"/>
  <c r="G14" i="37"/>
  <c r="F14" i="37"/>
  <c r="E21" i="37"/>
  <c r="D21" i="37"/>
  <c r="E14" i="37"/>
  <c r="D14" i="37"/>
  <c r="S24" i="40" l="1"/>
  <c r="S24" i="39"/>
  <c r="T21" i="40"/>
  <c r="Q9" i="40"/>
  <c r="T11" i="39"/>
  <c r="T9" i="39"/>
  <c r="Q11" i="39"/>
  <c r="Q9" i="39"/>
  <c r="R9" i="40"/>
  <c r="S11" i="41"/>
  <c r="S9" i="41"/>
  <c r="R11" i="39"/>
  <c r="R9" i="39"/>
  <c r="T11" i="41"/>
  <c r="T9" i="41"/>
  <c r="S11" i="39"/>
  <c r="S9" i="39"/>
  <c r="Q24" i="41"/>
  <c r="Q25" i="41" s="1"/>
  <c r="Q9" i="41"/>
  <c r="R11" i="41"/>
  <c r="R9" i="41"/>
  <c r="T24" i="39"/>
  <c r="T15" i="39"/>
  <c r="S11" i="40"/>
  <c r="T11" i="40"/>
  <c r="G15" i="42"/>
  <c r="V9" i="42"/>
  <c r="T15" i="40"/>
  <c r="Q15" i="40"/>
  <c r="T15" i="42"/>
  <c r="S15" i="42"/>
  <c r="T25" i="42"/>
  <c r="T5" i="42"/>
  <c r="S5" i="42"/>
  <c r="S25" i="42"/>
  <c r="V15" i="42"/>
  <c r="U15" i="42"/>
  <c r="V25" i="42"/>
  <c r="U5" i="42"/>
  <c r="U25" i="42"/>
  <c r="T15" i="41"/>
  <c r="T5" i="41"/>
  <c r="T25" i="41"/>
  <c r="S10" i="41"/>
  <c r="F15" i="41"/>
  <c r="R15" i="41"/>
  <c r="S25" i="41"/>
  <c r="R25" i="41"/>
  <c r="R7" i="41"/>
  <c r="R10" i="41"/>
  <c r="E15" i="41"/>
  <c r="Q10" i="41"/>
  <c r="D15" i="41"/>
  <c r="Q15" i="41"/>
  <c r="S10" i="42"/>
  <c r="D13" i="42"/>
  <c r="D16" i="42" s="1"/>
  <c r="D15" i="42"/>
  <c r="E13" i="42"/>
  <c r="E16" i="42" s="1"/>
  <c r="T19" i="42" s="1"/>
  <c r="E15" i="42"/>
  <c r="T10" i="42"/>
  <c r="F15" i="42"/>
  <c r="F13" i="42"/>
  <c r="F16" i="42" s="1"/>
  <c r="U19" i="42" s="1"/>
  <c r="U10" i="42"/>
  <c r="G13" i="42"/>
  <c r="G16" i="42" s="1"/>
  <c r="V19" i="42" s="1"/>
  <c r="V10" i="42"/>
  <c r="J13" i="42"/>
  <c r="J16" i="42" s="1"/>
  <c r="V5" i="42"/>
  <c r="I13" i="40"/>
  <c r="I16" i="40" s="1"/>
  <c r="I15" i="40"/>
  <c r="R15" i="40"/>
  <c r="Q5" i="40"/>
  <c r="R5" i="40"/>
  <c r="R21" i="40"/>
  <c r="Q21" i="40"/>
  <c r="R10" i="40"/>
  <c r="D15" i="40"/>
  <c r="R25" i="40"/>
  <c r="Q25" i="40"/>
  <c r="S15" i="40"/>
  <c r="T5" i="40"/>
  <c r="S7" i="40"/>
  <c r="T25" i="40"/>
  <c r="S25" i="40"/>
  <c r="F13" i="40"/>
  <c r="F16" i="40" s="1"/>
  <c r="S19" i="40" s="1"/>
  <c r="F15" i="40"/>
  <c r="I13" i="41"/>
  <c r="I16" i="41" s="1"/>
  <c r="I15" i="41"/>
  <c r="T10" i="41"/>
  <c r="G13" i="41"/>
  <c r="G16" i="41" s="1"/>
  <c r="T19" i="41" s="1"/>
  <c r="G15" i="41"/>
  <c r="S7" i="41"/>
  <c r="D13" i="41"/>
  <c r="D16" i="41" s="1"/>
  <c r="E13" i="41"/>
  <c r="E16" i="41" s="1"/>
  <c r="R19" i="41" s="1"/>
  <c r="F13" i="41"/>
  <c r="F16" i="41" s="1"/>
  <c r="S19" i="41" s="1"/>
  <c r="Q15" i="39"/>
  <c r="R24" i="39"/>
  <c r="R25" i="39" s="1"/>
  <c r="Q5" i="39"/>
  <c r="Q25" i="39"/>
  <c r="R10" i="39"/>
  <c r="E15" i="39"/>
  <c r="Q10" i="39"/>
  <c r="D15" i="39"/>
  <c r="S15" i="39"/>
  <c r="T5" i="39"/>
  <c r="T25" i="39"/>
  <c r="S25" i="39"/>
  <c r="T10" i="40"/>
  <c r="G13" i="40"/>
  <c r="G16" i="40" s="1"/>
  <c r="T19" i="40" s="1"/>
  <c r="G15" i="40"/>
  <c r="D13" i="40"/>
  <c r="D16" i="40" s="1"/>
  <c r="Q10" i="40"/>
  <c r="E13" i="40"/>
  <c r="E16" i="40" s="1"/>
  <c r="R19" i="40" s="1"/>
  <c r="S10" i="40"/>
  <c r="Q7" i="40"/>
  <c r="E15" i="40"/>
  <c r="S10" i="39"/>
  <c r="F13" i="39"/>
  <c r="F16" i="39" s="1"/>
  <c r="S19" i="39" s="1"/>
  <c r="F15" i="39"/>
  <c r="G13" i="39"/>
  <c r="G16" i="39" s="1"/>
  <c r="T19" i="39" s="1"/>
  <c r="G15" i="39"/>
  <c r="T10" i="39"/>
  <c r="I15" i="39"/>
  <c r="I13" i="39"/>
  <c r="I16" i="39" s="1"/>
  <c r="R7" i="39"/>
  <c r="D13" i="39"/>
  <c r="D16" i="39" s="1"/>
  <c r="E13" i="39"/>
  <c r="E16" i="39" s="1"/>
  <c r="R19" i="39" s="1"/>
  <c r="F21" i="36" l="1"/>
  <c r="E21" i="36"/>
  <c r="F14" i="36"/>
  <c r="E14" i="36"/>
  <c r="E21" i="35" l="1"/>
  <c r="D21" i="35"/>
  <c r="E14" i="35"/>
  <c r="D14" i="35"/>
  <c r="G21" i="35"/>
  <c r="Y24" i="35" s="1"/>
  <c r="Y25" i="35" s="1"/>
  <c r="F21" i="35"/>
  <c r="G14" i="35"/>
  <c r="F14" i="35"/>
  <c r="S13" i="34" l="1"/>
  <c r="G21" i="34"/>
  <c r="F21" i="34"/>
  <c r="G14" i="34"/>
  <c r="F14" i="34"/>
  <c r="D6" i="33"/>
  <c r="E6" i="33"/>
  <c r="E21" i="33"/>
  <c r="D21" i="33"/>
  <c r="E14" i="33"/>
  <c r="D14" i="33"/>
  <c r="T24" i="38"/>
  <c r="S24" i="38"/>
  <c r="R24" i="38"/>
  <c r="Q24" i="38"/>
  <c r="T23" i="38"/>
  <c r="S23" i="38"/>
  <c r="R23" i="38"/>
  <c r="Q23" i="38"/>
  <c r="T21" i="38"/>
  <c r="S21" i="38"/>
  <c r="R21" i="38"/>
  <c r="Q21" i="38"/>
  <c r="T20" i="38"/>
  <c r="S20" i="38"/>
  <c r="R20" i="38"/>
  <c r="I20" i="38"/>
  <c r="G20" i="38"/>
  <c r="T7" i="38" s="1"/>
  <c r="F20" i="38"/>
  <c r="S5" i="38" s="1"/>
  <c r="E20" i="38"/>
  <c r="R7" i="38" s="1"/>
  <c r="D20" i="38"/>
  <c r="Q5" i="38" s="1"/>
  <c r="T16" i="38"/>
  <c r="S16" i="38"/>
  <c r="R16" i="38"/>
  <c r="Q16" i="38"/>
  <c r="T14" i="38"/>
  <c r="S14" i="38"/>
  <c r="R14" i="38"/>
  <c r="Q14" i="38"/>
  <c r="T13" i="38"/>
  <c r="S13" i="38"/>
  <c r="R13" i="38"/>
  <c r="Q13" i="38"/>
  <c r="T11" i="38"/>
  <c r="S11" i="38"/>
  <c r="R11" i="38"/>
  <c r="Q11" i="38"/>
  <c r="C11" i="38"/>
  <c r="B11" i="38"/>
  <c r="I10" i="38"/>
  <c r="G10" i="38"/>
  <c r="T3" i="38" s="1"/>
  <c r="F10" i="38"/>
  <c r="S3" i="38" s="1"/>
  <c r="E10" i="38"/>
  <c r="R3" i="38" s="1"/>
  <c r="D10" i="38"/>
  <c r="Q3" i="38" s="1"/>
  <c r="C10" i="38"/>
  <c r="B10" i="38"/>
  <c r="I8" i="38"/>
  <c r="I11" i="38" s="1"/>
  <c r="G8" i="38"/>
  <c r="G11" i="38" s="1"/>
  <c r="T9" i="38" s="1"/>
  <c r="F8" i="38"/>
  <c r="F11" i="38" s="1"/>
  <c r="E8" i="38"/>
  <c r="E11" i="38" s="1"/>
  <c r="R9" i="38" s="1"/>
  <c r="D8" i="38"/>
  <c r="D11" i="38" s="1"/>
  <c r="Q9" i="38" s="1"/>
  <c r="W24" i="37"/>
  <c r="V24" i="37"/>
  <c r="U24" i="37"/>
  <c r="T24" i="37"/>
  <c r="W23" i="37"/>
  <c r="V23" i="37"/>
  <c r="U23" i="37"/>
  <c r="T23" i="37"/>
  <c r="W21" i="37"/>
  <c r="V21" i="37"/>
  <c r="U21" i="37"/>
  <c r="T21" i="37"/>
  <c r="W20" i="37"/>
  <c r="V20" i="37"/>
  <c r="U20" i="37"/>
  <c r="J20" i="37"/>
  <c r="G20" i="37"/>
  <c r="W5" i="37" s="1"/>
  <c r="F20" i="37"/>
  <c r="V5" i="37" s="1"/>
  <c r="E20" i="37"/>
  <c r="U7" i="37" s="1"/>
  <c r="D20" i="37"/>
  <c r="T7" i="37" s="1"/>
  <c r="W16" i="37"/>
  <c r="V16" i="37"/>
  <c r="U16" i="37"/>
  <c r="T16" i="37"/>
  <c r="Z15" i="37"/>
  <c r="W14" i="37"/>
  <c r="V14" i="37"/>
  <c r="U14" i="37"/>
  <c r="T14" i="37"/>
  <c r="W13" i="37"/>
  <c r="V13" i="37"/>
  <c r="U13" i="37"/>
  <c r="T13" i="37"/>
  <c r="W11" i="37"/>
  <c r="V11" i="37"/>
  <c r="U11" i="37"/>
  <c r="T11" i="37"/>
  <c r="C11" i="37"/>
  <c r="B11" i="37"/>
  <c r="J10" i="37"/>
  <c r="G10" i="37"/>
  <c r="W3" i="37" s="1"/>
  <c r="F10" i="37"/>
  <c r="V3" i="37" s="1"/>
  <c r="E10" i="37"/>
  <c r="U3" i="37" s="1"/>
  <c r="D10" i="37"/>
  <c r="T3" i="37" s="1"/>
  <c r="C10" i="37"/>
  <c r="B10" i="37"/>
  <c r="J8" i="37"/>
  <c r="J11" i="37" s="1"/>
  <c r="G8" i="37"/>
  <c r="G11" i="37" s="1"/>
  <c r="F8" i="37"/>
  <c r="F11" i="37" s="1"/>
  <c r="V9" i="37" s="1"/>
  <c r="E8" i="37"/>
  <c r="E11" i="37" s="1"/>
  <c r="U9" i="37" s="1"/>
  <c r="D8" i="37"/>
  <c r="D11" i="37" s="1"/>
  <c r="T9" i="37" s="1"/>
  <c r="V24" i="36"/>
  <c r="U24" i="36"/>
  <c r="T24" i="36"/>
  <c r="S24" i="36"/>
  <c r="V23" i="36"/>
  <c r="U23" i="36"/>
  <c r="T23" i="36"/>
  <c r="S23" i="36"/>
  <c r="V21" i="36"/>
  <c r="U21" i="36"/>
  <c r="T21" i="36"/>
  <c r="S21" i="36"/>
  <c r="V20" i="36"/>
  <c r="U20" i="36"/>
  <c r="T20" i="36"/>
  <c r="J20" i="36"/>
  <c r="G20" i="36"/>
  <c r="V5" i="36" s="1"/>
  <c r="F20" i="36"/>
  <c r="U5" i="36" s="1"/>
  <c r="E20" i="36"/>
  <c r="T7" i="36" s="1"/>
  <c r="D20" i="36"/>
  <c r="S5" i="36" s="1"/>
  <c r="V16" i="36"/>
  <c r="U16" i="36"/>
  <c r="T16" i="36"/>
  <c r="S16" i="36"/>
  <c r="V14" i="36"/>
  <c r="U14" i="36"/>
  <c r="T14" i="36"/>
  <c r="S14" i="36"/>
  <c r="V13" i="36"/>
  <c r="U13" i="36"/>
  <c r="T13" i="36"/>
  <c r="S13" i="36"/>
  <c r="V11" i="36"/>
  <c r="U11" i="36"/>
  <c r="T11" i="36"/>
  <c r="S11" i="36"/>
  <c r="C11" i="36"/>
  <c r="B11" i="36"/>
  <c r="J10" i="36"/>
  <c r="G10" i="36"/>
  <c r="V3" i="36" s="1"/>
  <c r="F10" i="36"/>
  <c r="U3" i="36" s="1"/>
  <c r="E10" i="36"/>
  <c r="T3" i="36" s="1"/>
  <c r="D10" i="36"/>
  <c r="S3" i="36" s="1"/>
  <c r="C10" i="36"/>
  <c r="B10" i="36"/>
  <c r="J8" i="36"/>
  <c r="J11" i="36" s="1"/>
  <c r="J15" i="36" s="1"/>
  <c r="G8" i="36"/>
  <c r="G11" i="36" s="1"/>
  <c r="V9" i="36" s="1"/>
  <c r="F8" i="36"/>
  <c r="F11" i="36" s="1"/>
  <c r="U9" i="36" s="1"/>
  <c r="E8" i="36"/>
  <c r="E11" i="36" s="1"/>
  <c r="T9" i="36" s="1"/>
  <c r="D8" i="36"/>
  <c r="D11" i="36" s="1"/>
  <c r="S9" i="36" s="1"/>
  <c r="X24" i="35"/>
  <c r="W24" i="35"/>
  <c r="V24" i="35"/>
  <c r="U24" i="35"/>
  <c r="X23" i="35"/>
  <c r="W23" i="35"/>
  <c r="V23" i="35"/>
  <c r="U23" i="35"/>
  <c r="X21" i="35"/>
  <c r="W21" i="35"/>
  <c r="V21" i="35"/>
  <c r="U21" i="35"/>
  <c r="X20" i="35"/>
  <c r="W20" i="35"/>
  <c r="V20" i="35"/>
  <c r="J20" i="35"/>
  <c r="G20" i="35"/>
  <c r="X7" i="35" s="1"/>
  <c r="F20" i="35"/>
  <c r="W7" i="35" s="1"/>
  <c r="E20" i="35"/>
  <c r="V7" i="35" s="1"/>
  <c r="D20" i="35"/>
  <c r="U5" i="35" s="1"/>
  <c r="X16" i="35"/>
  <c r="W16" i="35"/>
  <c r="V16" i="35"/>
  <c r="U16" i="35"/>
  <c r="AA15" i="35"/>
  <c r="X14" i="35"/>
  <c r="W14" i="35"/>
  <c r="V14" i="35"/>
  <c r="U14" i="35"/>
  <c r="X13" i="35"/>
  <c r="W13" i="35"/>
  <c r="V13" i="35"/>
  <c r="U13" i="35"/>
  <c r="X11" i="35"/>
  <c r="W11" i="35"/>
  <c r="V11" i="35"/>
  <c r="U11" i="35"/>
  <c r="C11" i="35"/>
  <c r="B11" i="35"/>
  <c r="J10" i="35"/>
  <c r="AA3" i="35" s="1"/>
  <c r="G10" i="35"/>
  <c r="X3" i="35" s="1"/>
  <c r="F10" i="35"/>
  <c r="W3" i="35" s="1"/>
  <c r="E10" i="35"/>
  <c r="V3" i="35" s="1"/>
  <c r="D10" i="35"/>
  <c r="U3" i="35" s="1"/>
  <c r="C10" i="35"/>
  <c r="B10" i="35"/>
  <c r="J11" i="35"/>
  <c r="J15" i="35" s="1"/>
  <c r="G8" i="35"/>
  <c r="G11" i="35" s="1"/>
  <c r="X9" i="35" s="1"/>
  <c r="F8" i="35"/>
  <c r="F11" i="35" s="1"/>
  <c r="W9" i="35" s="1"/>
  <c r="E8" i="35"/>
  <c r="E11" i="35" s="1"/>
  <c r="V9" i="35" s="1"/>
  <c r="D8" i="35"/>
  <c r="D11" i="35" s="1"/>
  <c r="U9" i="35" s="1"/>
  <c r="T24" i="34"/>
  <c r="S24" i="34"/>
  <c r="R24" i="34"/>
  <c r="Q24" i="34"/>
  <c r="R23" i="34"/>
  <c r="Q23" i="34"/>
  <c r="Q25" i="34" s="1"/>
  <c r="T21" i="34"/>
  <c r="S21" i="34"/>
  <c r="R21" i="34"/>
  <c r="Q21" i="34"/>
  <c r="T20" i="34"/>
  <c r="S20" i="34"/>
  <c r="R20" i="34"/>
  <c r="I20" i="34"/>
  <c r="V5" i="34" s="1"/>
  <c r="G20" i="34"/>
  <c r="T7" i="34" s="1"/>
  <c r="F20" i="34"/>
  <c r="E20" i="34"/>
  <c r="R5" i="34" s="1"/>
  <c r="D20" i="34"/>
  <c r="Q5" i="34" s="1"/>
  <c r="R16" i="34"/>
  <c r="Q16" i="34"/>
  <c r="V15" i="34"/>
  <c r="R15" i="34"/>
  <c r="T14" i="34"/>
  <c r="R14" i="34"/>
  <c r="Q14" i="34"/>
  <c r="T13" i="34"/>
  <c r="R13" i="34"/>
  <c r="Q13" i="34"/>
  <c r="Q15" i="34" s="1"/>
  <c r="S11" i="34"/>
  <c r="R11" i="34"/>
  <c r="Q11" i="34"/>
  <c r="C11" i="34"/>
  <c r="B11" i="34"/>
  <c r="I10" i="34"/>
  <c r="G10" i="34"/>
  <c r="F10" i="34"/>
  <c r="E10" i="34"/>
  <c r="R3" i="34" s="1"/>
  <c r="D10" i="34"/>
  <c r="Q3" i="34" s="1"/>
  <c r="C10" i="34"/>
  <c r="B10" i="34"/>
  <c r="I8" i="34"/>
  <c r="I11" i="34" s="1"/>
  <c r="I15" i="34" s="1"/>
  <c r="G8" i="34"/>
  <c r="G11" i="34" s="1"/>
  <c r="F8" i="34"/>
  <c r="F11" i="34" s="1"/>
  <c r="E8" i="34"/>
  <c r="E11" i="34" s="1"/>
  <c r="R9" i="34" s="1"/>
  <c r="D8" i="34"/>
  <c r="D11" i="34" s="1"/>
  <c r="R7" i="34"/>
  <c r="Q9" i="34" l="1"/>
  <c r="D15" i="34"/>
  <c r="R25" i="34"/>
  <c r="S9" i="34"/>
  <c r="T11" i="34"/>
  <c r="T9" i="34"/>
  <c r="R5" i="38"/>
  <c r="U24" i="34"/>
  <c r="U25" i="34" s="1"/>
  <c r="T5" i="34"/>
  <c r="F13" i="38"/>
  <c r="F16" i="38" s="1"/>
  <c r="S19" i="38" s="1"/>
  <c r="S9" i="38"/>
  <c r="S15" i="36"/>
  <c r="S25" i="36"/>
  <c r="G15" i="37"/>
  <c r="W9" i="37"/>
  <c r="U5" i="37"/>
  <c r="V15" i="36"/>
  <c r="V7" i="36"/>
  <c r="Q7" i="38"/>
  <c r="R25" i="38"/>
  <c r="Q25" i="38"/>
  <c r="R10" i="38"/>
  <c r="R15" i="38"/>
  <c r="Q15" i="38"/>
  <c r="T5" i="38"/>
  <c r="S7" i="38"/>
  <c r="T25" i="38"/>
  <c r="S25" i="38"/>
  <c r="T15" i="38"/>
  <c r="S15" i="38"/>
  <c r="V15" i="37"/>
  <c r="W15" i="37"/>
  <c r="V7" i="37"/>
  <c r="F13" i="37"/>
  <c r="F16" i="37" s="1"/>
  <c r="V19" i="37" s="1"/>
  <c r="T15" i="37"/>
  <c r="U15" i="37"/>
  <c r="V25" i="37"/>
  <c r="T5" i="37"/>
  <c r="U25" i="37"/>
  <c r="T25" i="37"/>
  <c r="W7" i="37"/>
  <c r="W25" i="37"/>
  <c r="U15" i="36"/>
  <c r="T15" i="36"/>
  <c r="V25" i="36"/>
  <c r="U7" i="36"/>
  <c r="T5" i="36"/>
  <c r="U25" i="36"/>
  <c r="T25" i="36"/>
  <c r="V5" i="35"/>
  <c r="V25" i="35"/>
  <c r="U25" i="35"/>
  <c r="V15" i="35"/>
  <c r="U15" i="35"/>
  <c r="X15" i="35"/>
  <c r="W15" i="35"/>
  <c r="X25" i="35"/>
  <c r="X5" i="35"/>
  <c r="W5" i="35"/>
  <c r="W25" i="35"/>
  <c r="S16" i="34"/>
  <c r="S23" i="34"/>
  <c r="S25" i="34" s="1"/>
  <c r="S3" i="34"/>
  <c r="S14" i="34"/>
  <c r="T3" i="34"/>
  <c r="T23" i="34"/>
  <c r="T25" i="34" s="1"/>
  <c r="S7" i="34"/>
  <c r="T16" i="34"/>
  <c r="S5" i="34"/>
  <c r="T15" i="34"/>
  <c r="S15" i="34"/>
  <c r="G15" i="38"/>
  <c r="T10" i="38"/>
  <c r="G13" i="38"/>
  <c r="G16" i="38" s="1"/>
  <c r="T19" i="38" s="1"/>
  <c r="I15" i="38"/>
  <c r="I13" i="38"/>
  <c r="I16" i="38" s="1"/>
  <c r="D13" i="38"/>
  <c r="D16" i="38" s="1"/>
  <c r="D15" i="38"/>
  <c r="Q10" i="38"/>
  <c r="E13" i="38"/>
  <c r="E16" i="38" s="1"/>
  <c r="R19" i="38" s="1"/>
  <c r="S10" i="38"/>
  <c r="E15" i="38"/>
  <c r="F15" i="38"/>
  <c r="T10" i="37"/>
  <c r="D13" i="37"/>
  <c r="D16" i="37" s="1"/>
  <c r="D15" i="37"/>
  <c r="U10" i="37"/>
  <c r="E13" i="37"/>
  <c r="E16" i="37" s="1"/>
  <c r="U19" i="37" s="1"/>
  <c r="E15" i="37"/>
  <c r="J13" i="37"/>
  <c r="J16" i="37" s="1"/>
  <c r="J15" i="37"/>
  <c r="G13" i="37"/>
  <c r="G16" i="37" s="1"/>
  <c r="W19" i="37" s="1"/>
  <c r="V10" i="37"/>
  <c r="W10" i="37"/>
  <c r="F15" i="37"/>
  <c r="G15" i="36"/>
  <c r="G13" i="36"/>
  <c r="G16" i="36" s="1"/>
  <c r="V19" i="36" s="1"/>
  <c r="V10" i="36"/>
  <c r="F13" i="36"/>
  <c r="F16" i="36" s="1"/>
  <c r="U19" i="36" s="1"/>
  <c r="U10" i="36"/>
  <c r="F15" i="36"/>
  <c r="S10" i="36"/>
  <c r="D13" i="36"/>
  <c r="D16" i="36" s="1"/>
  <c r="D15" i="36"/>
  <c r="T10" i="36"/>
  <c r="E13" i="36"/>
  <c r="E16" i="36" s="1"/>
  <c r="T19" i="36" s="1"/>
  <c r="E15" i="36"/>
  <c r="J13" i="36"/>
  <c r="J16" i="36" s="1"/>
  <c r="S7" i="36"/>
  <c r="V10" i="35"/>
  <c r="E13" i="35"/>
  <c r="E16" i="35" s="1"/>
  <c r="V19" i="35" s="1"/>
  <c r="E15" i="35"/>
  <c r="U10" i="35"/>
  <c r="D13" i="35"/>
  <c r="D16" i="35" s="1"/>
  <c r="D15" i="35"/>
  <c r="F13" i="35"/>
  <c r="F16" i="35" s="1"/>
  <c r="W19" i="35" s="1"/>
  <c r="F15" i="35"/>
  <c r="W10" i="35"/>
  <c r="G15" i="35"/>
  <c r="X10" i="35"/>
  <c r="G13" i="35"/>
  <c r="G16" i="35" s="1"/>
  <c r="X19" i="35" s="1"/>
  <c r="J13" i="35"/>
  <c r="J16" i="35" s="1"/>
  <c r="U7" i="35"/>
  <c r="R10" i="34"/>
  <c r="E13" i="34"/>
  <c r="E16" i="34" s="1"/>
  <c r="R19" i="34" s="1"/>
  <c r="E15" i="34"/>
  <c r="F13" i="34"/>
  <c r="F16" i="34" s="1"/>
  <c r="S19" i="34" s="1"/>
  <c r="F15" i="34"/>
  <c r="S10" i="34"/>
  <c r="G13" i="34"/>
  <c r="G16" i="34" s="1"/>
  <c r="T19" i="34" s="1"/>
  <c r="G15" i="34"/>
  <c r="T10" i="34"/>
  <c r="I13" i="34"/>
  <c r="I16" i="34" s="1"/>
  <c r="Q7" i="34"/>
  <c r="D13" i="34"/>
  <c r="D16" i="34" s="1"/>
  <c r="Q10" i="34"/>
  <c r="X24" i="33" l="1"/>
  <c r="W24" i="33"/>
  <c r="V24" i="33"/>
  <c r="U24" i="33"/>
  <c r="X23" i="33"/>
  <c r="W23" i="33"/>
  <c r="V23" i="33"/>
  <c r="U23" i="33"/>
  <c r="X21" i="33"/>
  <c r="W21" i="33"/>
  <c r="V21" i="33"/>
  <c r="U21" i="33"/>
  <c r="X20" i="33"/>
  <c r="W20" i="33"/>
  <c r="V20" i="33"/>
  <c r="J20" i="33"/>
  <c r="G20" i="33"/>
  <c r="X5" i="33" s="1"/>
  <c r="F20" i="33"/>
  <c r="W7" i="33" s="1"/>
  <c r="E20" i="33"/>
  <c r="V5" i="33" s="1"/>
  <c r="D20" i="33"/>
  <c r="U7" i="33" s="1"/>
  <c r="X16" i="33"/>
  <c r="W16" i="33"/>
  <c r="V16" i="33"/>
  <c r="U16" i="33"/>
  <c r="X14" i="33"/>
  <c r="W14" i="33"/>
  <c r="V14" i="33"/>
  <c r="U14" i="33"/>
  <c r="X13" i="33"/>
  <c r="W13" i="33"/>
  <c r="V13" i="33"/>
  <c r="U13" i="33"/>
  <c r="X11" i="33"/>
  <c r="W11" i="33"/>
  <c r="V11" i="33"/>
  <c r="U11" i="33"/>
  <c r="C11" i="33"/>
  <c r="B11" i="33"/>
  <c r="J10" i="33"/>
  <c r="AA3" i="33" s="1"/>
  <c r="G10" i="33"/>
  <c r="X3" i="33" s="1"/>
  <c r="F10" i="33"/>
  <c r="W3" i="33" s="1"/>
  <c r="E10" i="33"/>
  <c r="V3" i="33" s="1"/>
  <c r="D10" i="33"/>
  <c r="U3" i="33" s="1"/>
  <c r="C10" i="33"/>
  <c r="B10" i="33"/>
  <c r="J8" i="33"/>
  <c r="J11" i="33" s="1"/>
  <c r="G8" i="33"/>
  <c r="G11" i="33" s="1"/>
  <c r="F8" i="33"/>
  <c r="F11" i="33" s="1"/>
  <c r="W9" i="33" s="1"/>
  <c r="E8" i="33"/>
  <c r="E11" i="33" s="1"/>
  <c r="V9" i="33" s="1"/>
  <c r="D8" i="33"/>
  <c r="D11" i="33" s="1"/>
  <c r="U9" i="33" s="1"/>
  <c r="E21" i="30"/>
  <c r="D21" i="30"/>
  <c r="E19" i="30"/>
  <c r="D19" i="30"/>
  <c r="E14" i="30"/>
  <c r="D14" i="30"/>
  <c r="X15" i="33" l="1"/>
  <c r="U5" i="33"/>
  <c r="X7" i="33"/>
  <c r="W5" i="33"/>
  <c r="X25" i="33"/>
  <c r="G15" i="33"/>
  <c r="X9" i="33"/>
  <c r="W15" i="33"/>
  <c r="V15" i="33"/>
  <c r="U15" i="33"/>
  <c r="W25" i="33"/>
  <c r="V7" i="33"/>
  <c r="V25" i="33"/>
  <c r="U25" i="33"/>
  <c r="E13" i="33"/>
  <c r="E16" i="33" s="1"/>
  <c r="V19" i="33" s="1"/>
  <c r="V10" i="33"/>
  <c r="E15" i="33"/>
  <c r="F15" i="33"/>
  <c r="F13" i="33"/>
  <c r="F16" i="33" s="1"/>
  <c r="W19" i="33" s="1"/>
  <c r="W10" i="33"/>
  <c r="U10" i="33"/>
  <c r="D13" i="33"/>
  <c r="D16" i="33" s="1"/>
  <c r="D15" i="33"/>
  <c r="J15" i="33"/>
  <c r="J13" i="33"/>
  <c r="J16" i="33" s="1"/>
  <c r="G13" i="33"/>
  <c r="G16" i="33" s="1"/>
  <c r="X19" i="33" s="1"/>
  <c r="X10" i="33"/>
  <c r="E21" i="31" l="1"/>
  <c r="D21" i="31"/>
  <c r="E19" i="31"/>
  <c r="D19" i="31"/>
  <c r="Q21" i="31" s="1"/>
  <c r="E14" i="31"/>
  <c r="D14" i="31"/>
  <c r="T24" i="31"/>
  <c r="S24" i="31"/>
  <c r="R24" i="31"/>
  <c r="Q24" i="31"/>
  <c r="T23" i="31"/>
  <c r="S23" i="31"/>
  <c r="R23" i="31"/>
  <c r="Q23" i="31"/>
  <c r="T21" i="31"/>
  <c r="S21" i="31"/>
  <c r="T20" i="31"/>
  <c r="S20" i="31"/>
  <c r="R20" i="31"/>
  <c r="I20" i="31"/>
  <c r="G20" i="31"/>
  <c r="T7" i="31" s="1"/>
  <c r="F20" i="31"/>
  <c r="S5" i="31" s="1"/>
  <c r="E20" i="31"/>
  <c r="T16" i="31"/>
  <c r="S16" i="31"/>
  <c r="R16" i="31"/>
  <c r="Q16" i="31"/>
  <c r="V15" i="31"/>
  <c r="T14" i="31"/>
  <c r="S14" i="31"/>
  <c r="R14" i="31"/>
  <c r="Q14" i="31"/>
  <c r="T13" i="31"/>
  <c r="S13" i="31"/>
  <c r="R13" i="31"/>
  <c r="Q13" i="31"/>
  <c r="T11" i="31"/>
  <c r="S11" i="31"/>
  <c r="C11" i="31"/>
  <c r="B11" i="31"/>
  <c r="I10" i="31"/>
  <c r="G10" i="31"/>
  <c r="T3" i="31" s="1"/>
  <c r="F10" i="31"/>
  <c r="S3" i="31" s="1"/>
  <c r="E10" i="31"/>
  <c r="R3" i="31" s="1"/>
  <c r="D10" i="31"/>
  <c r="Q3" i="31" s="1"/>
  <c r="C10" i="31"/>
  <c r="B10" i="31"/>
  <c r="I8" i="31"/>
  <c r="I11" i="31" s="1"/>
  <c r="G8" i="31"/>
  <c r="G11" i="31" s="1"/>
  <c r="T9" i="31" s="1"/>
  <c r="F8" i="31"/>
  <c r="F11" i="31" s="1"/>
  <c r="S9" i="31" s="1"/>
  <c r="E8" i="31"/>
  <c r="E11" i="31" s="1"/>
  <c r="D8" i="31"/>
  <c r="D11" i="31" s="1"/>
  <c r="R11" i="31" l="1"/>
  <c r="R9" i="31"/>
  <c r="Q11" i="31"/>
  <c r="Q9" i="31"/>
  <c r="T15" i="31"/>
  <c r="S15" i="31"/>
  <c r="T5" i="31"/>
  <c r="T25" i="31"/>
  <c r="R15" i="31"/>
  <c r="Q15" i="31"/>
  <c r="R5" i="31"/>
  <c r="S25" i="31"/>
  <c r="R7" i="31"/>
  <c r="R21" i="31"/>
  <c r="D20" i="31"/>
  <c r="R10" i="31"/>
  <c r="R25" i="31"/>
  <c r="Q25" i="31"/>
  <c r="E15" i="31"/>
  <c r="Q10" i="31"/>
  <c r="D15" i="31"/>
  <c r="S10" i="31"/>
  <c r="F13" i="31"/>
  <c r="F16" i="31" s="1"/>
  <c r="S19" i="31" s="1"/>
  <c r="F15" i="31"/>
  <c r="T10" i="31"/>
  <c r="G13" i="31"/>
  <c r="G16" i="31" s="1"/>
  <c r="T19" i="31" s="1"/>
  <c r="G15" i="31"/>
  <c r="I13" i="31"/>
  <c r="I16" i="31" s="1"/>
  <c r="I15" i="31"/>
  <c r="S7" i="31"/>
  <c r="D13" i="31"/>
  <c r="D16" i="31" s="1"/>
  <c r="E13" i="31"/>
  <c r="E16" i="31" s="1"/>
  <c r="R19" i="31" s="1"/>
  <c r="E21" i="29"/>
  <c r="D21" i="29"/>
  <c r="E14" i="29"/>
  <c r="Q11" i="29" s="1"/>
  <c r="D14" i="29"/>
  <c r="P11" i="29" s="1"/>
  <c r="X24" i="30"/>
  <c r="W24" i="30"/>
  <c r="V24" i="30"/>
  <c r="U24" i="30"/>
  <c r="X23" i="30"/>
  <c r="W23" i="30"/>
  <c r="V23" i="30"/>
  <c r="U23" i="30"/>
  <c r="X21" i="30"/>
  <c r="W21" i="30"/>
  <c r="V21" i="30"/>
  <c r="U21" i="30"/>
  <c r="X20" i="30"/>
  <c r="W20" i="30"/>
  <c r="V20" i="30"/>
  <c r="J20" i="30"/>
  <c r="AA5" i="30" s="1"/>
  <c r="G20" i="30"/>
  <c r="X5" i="30" s="1"/>
  <c r="F20" i="30"/>
  <c r="W7" i="30" s="1"/>
  <c r="E20" i="30"/>
  <c r="V7" i="30" s="1"/>
  <c r="D20" i="30"/>
  <c r="U7" i="30" s="1"/>
  <c r="X16" i="30"/>
  <c r="W16" i="30"/>
  <c r="V16" i="30"/>
  <c r="U16" i="30"/>
  <c r="AA15" i="30"/>
  <c r="X14" i="30"/>
  <c r="W14" i="30"/>
  <c r="V14" i="30"/>
  <c r="U14" i="30"/>
  <c r="X13" i="30"/>
  <c r="W13" i="30"/>
  <c r="V13" i="30"/>
  <c r="U13" i="30"/>
  <c r="X11" i="30"/>
  <c r="W11" i="30"/>
  <c r="V11" i="30"/>
  <c r="U11" i="30"/>
  <c r="C11" i="30"/>
  <c r="B11" i="30"/>
  <c r="G10" i="30"/>
  <c r="X3" i="30" s="1"/>
  <c r="F10" i="30"/>
  <c r="W3" i="30" s="1"/>
  <c r="E10" i="30"/>
  <c r="V3" i="30" s="1"/>
  <c r="D10" i="30"/>
  <c r="U3" i="30" s="1"/>
  <c r="C10" i="30"/>
  <c r="B10" i="30"/>
  <c r="J8" i="30"/>
  <c r="J11" i="30" s="1"/>
  <c r="G8" i="30"/>
  <c r="G11" i="30" s="1"/>
  <c r="F8" i="30"/>
  <c r="F11" i="30" s="1"/>
  <c r="E8" i="30"/>
  <c r="E11" i="30" s="1"/>
  <c r="V9" i="30" s="1"/>
  <c r="D8" i="30"/>
  <c r="D11" i="30" s="1"/>
  <c r="U9" i="30" s="1"/>
  <c r="S24" i="29"/>
  <c r="S23" i="29"/>
  <c r="S25" i="29" s="1"/>
  <c r="R23" i="29"/>
  <c r="Q23" i="29"/>
  <c r="P23" i="29"/>
  <c r="S21" i="29"/>
  <c r="P21" i="29"/>
  <c r="S20" i="29"/>
  <c r="R20" i="29"/>
  <c r="Q20" i="29"/>
  <c r="H20" i="29"/>
  <c r="G20" i="29"/>
  <c r="F20" i="29"/>
  <c r="R7" i="29" s="1"/>
  <c r="D20" i="29"/>
  <c r="P7" i="29" s="1"/>
  <c r="R21" i="29"/>
  <c r="Q21" i="29"/>
  <c r="S16" i="29"/>
  <c r="R16" i="29"/>
  <c r="Q16" i="29"/>
  <c r="P16" i="29"/>
  <c r="T15" i="29"/>
  <c r="S15" i="29"/>
  <c r="S14" i="29"/>
  <c r="R14" i="29"/>
  <c r="Q14" i="29"/>
  <c r="P14" i="29"/>
  <c r="S13" i="29"/>
  <c r="R13" i="29"/>
  <c r="R15" i="29" s="1"/>
  <c r="Q13" i="29"/>
  <c r="P13" i="29"/>
  <c r="S11" i="29"/>
  <c r="R11" i="29"/>
  <c r="H11" i="29"/>
  <c r="H13" i="29" s="1"/>
  <c r="H16" i="29" s="1"/>
  <c r="C11" i="29"/>
  <c r="B11" i="29"/>
  <c r="H10" i="29"/>
  <c r="G10" i="29"/>
  <c r="S3" i="29" s="1"/>
  <c r="F10" i="29"/>
  <c r="E10" i="29"/>
  <c r="Q3" i="29" s="1"/>
  <c r="D10" i="29"/>
  <c r="P3" i="29" s="1"/>
  <c r="C10" i="29"/>
  <c r="B10" i="29"/>
  <c r="H8" i="29"/>
  <c r="G8" i="29"/>
  <c r="G11" i="29" s="1"/>
  <c r="F8" i="29"/>
  <c r="F11" i="29" s="1"/>
  <c r="E8" i="29"/>
  <c r="E11" i="29" s="1"/>
  <c r="D8" i="29"/>
  <c r="D11" i="29" s="1"/>
  <c r="S7" i="29"/>
  <c r="S5" i="29"/>
  <c r="R3" i="29"/>
  <c r="E21" i="28"/>
  <c r="D21" i="28"/>
  <c r="E19" i="28"/>
  <c r="D19" i="28"/>
  <c r="E14" i="28"/>
  <c r="D14" i="28"/>
  <c r="G21" i="27"/>
  <c r="Y24" i="27" s="1"/>
  <c r="Y25" i="27" s="1"/>
  <c r="F21" i="27"/>
  <c r="G19" i="27"/>
  <c r="Y21" i="27" s="1"/>
  <c r="F19" i="27"/>
  <c r="G14" i="27"/>
  <c r="F14" i="27"/>
  <c r="E21" i="27"/>
  <c r="D21" i="27"/>
  <c r="E19" i="27"/>
  <c r="D19" i="27"/>
  <c r="E14" i="27"/>
  <c r="D14" i="27"/>
  <c r="Q24" i="29" l="1"/>
  <c r="R5" i="29"/>
  <c r="Q15" i="29"/>
  <c r="F15" i="30"/>
  <c r="W9" i="30"/>
  <c r="G15" i="30"/>
  <c r="X9" i="30"/>
  <c r="J13" i="30"/>
  <c r="J16" i="30" s="1"/>
  <c r="J15" i="30"/>
  <c r="X15" i="30"/>
  <c r="W15" i="30"/>
  <c r="X7" i="30"/>
  <c r="X25" i="30"/>
  <c r="V15" i="30"/>
  <c r="U15" i="30"/>
  <c r="W25" i="30"/>
  <c r="V5" i="30"/>
  <c r="U5" i="30"/>
  <c r="V25" i="30"/>
  <c r="U25" i="30"/>
  <c r="Q5" i="31"/>
  <c r="Q7" i="31"/>
  <c r="P15" i="29"/>
  <c r="R24" i="29"/>
  <c r="R25" i="29" s="1"/>
  <c r="E15" i="30"/>
  <c r="V10" i="30"/>
  <c r="E13" i="30"/>
  <c r="E16" i="30" s="1"/>
  <c r="V19" i="30" s="1"/>
  <c r="D13" i="30"/>
  <c r="D16" i="30" s="1"/>
  <c r="D15" i="30"/>
  <c r="U10" i="30"/>
  <c r="F13" i="30"/>
  <c r="F16" i="30" s="1"/>
  <c r="W19" i="30" s="1"/>
  <c r="W10" i="30"/>
  <c r="G13" i="30"/>
  <c r="G16" i="30" s="1"/>
  <c r="X19" i="30" s="1"/>
  <c r="W5" i="30"/>
  <c r="X10" i="30"/>
  <c r="D15" i="29"/>
  <c r="Q9" i="29"/>
  <c r="Q10" i="29"/>
  <c r="E13" i="29"/>
  <c r="E16" i="29" s="1"/>
  <c r="Q19" i="29" s="1"/>
  <c r="E15" i="29"/>
  <c r="R9" i="29"/>
  <c r="R10" i="29"/>
  <c r="F13" i="29"/>
  <c r="F16" i="29" s="1"/>
  <c r="R19" i="29" s="1"/>
  <c r="F15" i="29"/>
  <c r="S9" i="29"/>
  <c r="Q25" i="29"/>
  <c r="S10" i="29"/>
  <c r="G13" i="29"/>
  <c r="G16" i="29" s="1"/>
  <c r="S19" i="29" s="1"/>
  <c r="G15" i="29"/>
  <c r="D13" i="29"/>
  <c r="D16" i="29" s="1"/>
  <c r="E20" i="29"/>
  <c r="P10" i="29"/>
  <c r="P24" i="29"/>
  <c r="P25" i="29" s="1"/>
  <c r="P5" i="29"/>
  <c r="H15" i="29"/>
  <c r="S24" i="28"/>
  <c r="R24" i="28"/>
  <c r="Q24" i="28"/>
  <c r="P24" i="28"/>
  <c r="S23" i="28"/>
  <c r="R23" i="28"/>
  <c r="Q23" i="28"/>
  <c r="P23" i="28"/>
  <c r="S21" i="28"/>
  <c r="R21" i="28"/>
  <c r="Q21" i="28"/>
  <c r="P21" i="28"/>
  <c r="S20" i="28"/>
  <c r="R20" i="28"/>
  <c r="Q20" i="28"/>
  <c r="H20" i="28"/>
  <c r="G20" i="28"/>
  <c r="S7" i="28" s="1"/>
  <c r="F20" i="28"/>
  <c r="R7" i="28" s="1"/>
  <c r="E20" i="28"/>
  <c r="Q7" i="28" s="1"/>
  <c r="D20" i="28"/>
  <c r="P7" i="28" s="1"/>
  <c r="S16" i="28"/>
  <c r="R16" i="28"/>
  <c r="Q16" i="28"/>
  <c r="P16" i="28"/>
  <c r="T15" i="28"/>
  <c r="S14" i="28"/>
  <c r="S15" i="28" s="1"/>
  <c r="R14" i="28"/>
  <c r="Q14" i="28"/>
  <c r="P14" i="28"/>
  <c r="S13" i="28"/>
  <c r="R13" i="28"/>
  <c r="Q13" i="28"/>
  <c r="P13" i="28"/>
  <c r="P15" i="28" s="1"/>
  <c r="S11" i="28"/>
  <c r="R11" i="28"/>
  <c r="Q11" i="28"/>
  <c r="P11" i="28"/>
  <c r="C11" i="28"/>
  <c r="B11" i="28"/>
  <c r="H10" i="28"/>
  <c r="G10" i="28"/>
  <c r="S3" i="28" s="1"/>
  <c r="F10" i="28"/>
  <c r="R3" i="28" s="1"/>
  <c r="E10" i="28"/>
  <c r="Q3" i="28" s="1"/>
  <c r="D10" i="28"/>
  <c r="P3" i="28" s="1"/>
  <c r="C10" i="28"/>
  <c r="B10" i="28"/>
  <c r="H8" i="28"/>
  <c r="H11" i="28" s="1"/>
  <c r="H15" i="28" s="1"/>
  <c r="G8" i="28"/>
  <c r="G11" i="28" s="1"/>
  <c r="F8" i="28"/>
  <c r="F11" i="28" s="1"/>
  <c r="R9" i="28" s="1"/>
  <c r="E8" i="28"/>
  <c r="E11" i="28" s="1"/>
  <c r="Q9" i="28" s="1"/>
  <c r="D8" i="28"/>
  <c r="D11" i="28" s="1"/>
  <c r="P9" i="28" s="1"/>
  <c r="R15" i="28" l="1"/>
  <c r="S5" i="28"/>
  <c r="R5" i="28"/>
  <c r="S25" i="28"/>
  <c r="R25" i="28"/>
  <c r="G15" i="28"/>
  <c r="S9" i="28"/>
  <c r="Q5" i="29"/>
  <c r="Q7" i="29"/>
  <c r="Q15" i="28"/>
  <c r="Q5" i="28"/>
  <c r="P5" i="28"/>
  <c r="Q25" i="28"/>
  <c r="P25" i="28"/>
  <c r="P10" i="28"/>
  <c r="D13" i="28"/>
  <c r="D16" i="28" s="1"/>
  <c r="D15" i="28"/>
  <c r="F15" i="28"/>
  <c r="R10" i="28"/>
  <c r="F13" i="28"/>
  <c r="F16" i="28" s="1"/>
  <c r="R19" i="28" s="1"/>
  <c r="E13" i="28"/>
  <c r="E16" i="28" s="1"/>
  <c r="Q19" i="28" s="1"/>
  <c r="E15" i="28"/>
  <c r="Q10" i="28"/>
  <c r="G13" i="28"/>
  <c r="G16" i="28" s="1"/>
  <c r="S19" i="28" s="1"/>
  <c r="S10" i="28"/>
  <c r="H13" i="28"/>
  <c r="H16" i="28" s="1"/>
  <c r="H14" i="25" l="1"/>
  <c r="G21" i="25"/>
  <c r="F21" i="25"/>
  <c r="G14" i="25"/>
  <c r="F14" i="25"/>
  <c r="E21" i="25" l="1"/>
  <c r="D21" i="25"/>
  <c r="E14" i="25"/>
  <c r="D14" i="25"/>
  <c r="X24" i="27"/>
  <c r="W24" i="27"/>
  <c r="V24" i="27"/>
  <c r="U24" i="27"/>
  <c r="X23" i="27"/>
  <c r="W23" i="27"/>
  <c r="V23" i="27"/>
  <c r="U23" i="27"/>
  <c r="X21" i="27"/>
  <c r="W21" i="27"/>
  <c r="V21" i="27"/>
  <c r="U21" i="27"/>
  <c r="W20" i="27"/>
  <c r="V20" i="27"/>
  <c r="J20" i="27"/>
  <c r="G20" i="27"/>
  <c r="X7" i="27" s="1"/>
  <c r="F20" i="27"/>
  <c r="W7" i="27" s="1"/>
  <c r="E20" i="27"/>
  <c r="V5" i="27" s="1"/>
  <c r="D20" i="27"/>
  <c r="U5" i="27" s="1"/>
  <c r="X16" i="27"/>
  <c r="W16" i="27"/>
  <c r="V16" i="27"/>
  <c r="U16" i="27"/>
  <c r="AA15" i="27"/>
  <c r="X14" i="27"/>
  <c r="W14" i="27"/>
  <c r="V14" i="27"/>
  <c r="U14" i="27"/>
  <c r="X13" i="27"/>
  <c r="W13" i="27"/>
  <c r="V13" i="27"/>
  <c r="U13" i="27"/>
  <c r="X11" i="27"/>
  <c r="W11" i="27"/>
  <c r="V11" i="27"/>
  <c r="U11" i="27"/>
  <c r="C11" i="27"/>
  <c r="B11" i="27"/>
  <c r="J10" i="27"/>
  <c r="AA3" i="27" s="1"/>
  <c r="G10" i="27"/>
  <c r="X3" i="27" s="1"/>
  <c r="F10" i="27"/>
  <c r="W3" i="27" s="1"/>
  <c r="E10" i="27"/>
  <c r="V3" i="27" s="1"/>
  <c r="D10" i="27"/>
  <c r="U3" i="27" s="1"/>
  <c r="C10" i="27"/>
  <c r="B10" i="27"/>
  <c r="J8" i="27"/>
  <c r="J11" i="27" s="1"/>
  <c r="J15" i="27" s="1"/>
  <c r="G8" i="27"/>
  <c r="G11" i="27" s="1"/>
  <c r="X9" i="27" s="1"/>
  <c r="F8" i="27"/>
  <c r="F11" i="27" s="1"/>
  <c r="W9" i="27" s="1"/>
  <c r="E8" i="27"/>
  <c r="E11" i="27" s="1"/>
  <c r="V9" i="27" s="1"/>
  <c r="D8" i="27"/>
  <c r="D11" i="27" s="1"/>
  <c r="U9" i="27" s="1"/>
  <c r="E14" i="26"/>
  <c r="F14" i="26"/>
  <c r="D14" i="26"/>
  <c r="G21" i="26"/>
  <c r="X24" i="26" s="1"/>
  <c r="X25" i="26" s="1"/>
  <c r="F21" i="26"/>
  <c r="G14" i="26"/>
  <c r="V15" i="27" l="1"/>
  <c r="W15" i="27"/>
  <c r="X15" i="27"/>
  <c r="X5" i="27"/>
  <c r="W5" i="27"/>
  <c r="X25" i="27"/>
  <c r="U15" i="27"/>
  <c r="W25" i="27"/>
  <c r="V7" i="27"/>
  <c r="V25" i="27"/>
  <c r="U25" i="27"/>
  <c r="V10" i="27"/>
  <c r="E13" i="27"/>
  <c r="E16" i="27" s="1"/>
  <c r="V19" i="27" s="1"/>
  <c r="E15" i="27"/>
  <c r="F13" i="27"/>
  <c r="F16" i="27" s="1"/>
  <c r="W19" i="27" s="1"/>
  <c r="W10" i="27"/>
  <c r="F15" i="27"/>
  <c r="G15" i="27"/>
  <c r="G13" i="27"/>
  <c r="G16" i="27" s="1"/>
  <c r="X19" i="27" s="1"/>
  <c r="X10" i="27"/>
  <c r="U10" i="27"/>
  <c r="D13" i="27"/>
  <c r="D16" i="27" s="1"/>
  <c r="D15" i="27"/>
  <c r="J13" i="27"/>
  <c r="J16" i="27" s="1"/>
  <c r="U7" i="27"/>
  <c r="F7" i="11" l="1"/>
  <c r="E7" i="11"/>
  <c r="G6" i="10"/>
  <c r="F6" i="10"/>
  <c r="E6" i="10"/>
  <c r="W24" i="26" l="1"/>
  <c r="V24" i="26"/>
  <c r="U24" i="26"/>
  <c r="T24" i="26"/>
  <c r="W23" i="26"/>
  <c r="V23" i="26"/>
  <c r="U23" i="26"/>
  <c r="T23" i="26"/>
  <c r="W21" i="26"/>
  <c r="V21" i="26"/>
  <c r="U21" i="26"/>
  <c r="T21" i="26"/>
  <c r="W20" i="26"/>
  <c r="V20" i="26"/>
  <c r="U20" i="26"/>
  <c r="J20" i="26"/>
  <c r="G20" i="26"/>
  <c r="W7" i="26" s="1"/>
  <c r="F20" i="26"/>
  <c r="V5" i="26" s="1"/>
  <c r="E20" i="26"/>
  <c r="U7" i="26" s="1"/>
  <c r="D20" i="26"/>
  <c r="T5" i="26" s="1"/>
  <c r="W16" i="26"/>
  <c r="V16" i="26"/>
  <c r="U16" i="26"/>
  <c r="T16" i="26"/>
  <c r="Z15" i="26"/>
  <c r="W14" i="26"/>
  <c r="V14" i="26"/>
  <c r="U14" i="26"/>
  <c r="T14" i="26"/>
  <c r="W13" i="26"/>
  <c r="V13" i="26"/>
  <c r="U13" i="26"/>
  <c r="T13" i="26"/>
  <c r="T15" i="26" s="1"/>
  <c r="W11" i="26"/>
  <c r="V11" i="26"/>
  <c r="U11" i="26"/>
  <c r="T11" i="26"/>
  <c r="C11" i="26"/>
  <c r="B11" i="26"/>
  <c r="J10" i="26"/>
  <c r="G10" i="26"/>
  <c r="W3" i="26" s="1"/>
  <c r="F10" i="26"/>
  <c r="V3" i="26" s="1"/>
  <c r="E10" i="26"/>
  <c r="U3" i="26" s="1"/>
  <c r="D10" i="26"/>
  <c r="T3" i="26" s="1"/>
  <c r="C10" i="26"/>
  <c r="B10" i="26"/>
  <c r="J8" i="26"/>
  <c r="J11" i="26" s="1"/>
  <c r="G8" i="26"/>
  <c r="G11" i="26" s="1"/>
  <c r="W9" i="26" s="1"/>
  <c r="F8" i="26"/>
  <c r="F11" i="26" s="1"/>
  <c r="V9" i="26" s="1"/>
  <c r="E8" i="26"/>
  <c r="E11" i="26" s="1"/>
  <c r="U9" i="26" s="1"/>
  <c r="D8" i="26"/>
  <c r="D11" i="26" s="1"/>
  <c r="T9" i="26" s="1"/>
  <c r="G21" i="24"/>
  <c r="Y24" i="24" s="1"/>
  <c r="Y25" i="24" s="1"/>
  <c r="F21" i="24"/>
  <c r="E21" i="24"/>
  <c r="D21" i="24"/>
  <c r="E14" i="24"/>
  <c r="D14" i="24"/>
  <c r="G14" i="24"/>
  <c r="F14" i="24"/>
  <c r="U15" i="26" l="1"/>
  <c r="V15" i="26"/>
  <c r="U5" i="26"/>
  <c r="T7" i="26"/>
  <c r="U25" i="26"/>
  <c r="T25" i="26"/>
  <c r="D13" i="26"/>
  <c r="D16" i="26" s="1"/>
  <c r="T10" i="26"/>
  <c r="W15" i="26"/>
  <c r="V7" i="26"/>
  <c r="W25" i="26"/>
  <c r="V25" i="26"/>
  <c r="U10" i="26"/>
  <c r="E13" i="26"/>
  <c r="E16" i="26" s="1"/>
  <c r="U19" i="26" s="1"/>
  <c r="E15" i="26"/>
  <c r="F13" i="26"/>
  <c r="F16" i="26" s="1"/>
  <c r="V19" i="26" s="1"/>
  <c r="F15" i="26"/>
  <c r="V10" i="26"/>
  <c r="G15" i="26"/>
  <c r="G13" i="26"/>
  <c r="G16" i="26" s="1"/>
  <c r="W19" i="26" s="1"/>
  <c r="W10" i="26"/>
  <c r="J15" i="26"/>
  <c r="J13" i="26"/>
  <c r="J16" i="26" s="1"/>
  <c r="W5" i="26"/>
  <c r="D15" i="26"/>
  <c r="S24" i="25"/>
  <c r="R24" i="25"/>
  <c r="Q24" i="25"/>
  <c r="P24" i="25"/>
  <c r="S23" i="25"/>
  <c r="R23" i="25"/>
  <c r="Q23" i="25"/>
  <c r="P23" i="25"/>
  <c r="S21" i="25"/>
  <c r="R21" i="25"/>
  <c r="Q21" i="25"/>
  <c r="P21" i="25"/>
  <c r="S20" i="25"/>
  <c r="R20" i="25"/>
  <c r="Q20" i="25"/>
  <c r="H20" i="25"/>
  <c r="G20" i="25"/>
  <c r="S7" i="25" s="1"/>
  <c r="F20" i="25"/>
  <c r="R7" i="25" s="1"/>
  <c r="E20" i="25"/>
  <c r="Q5" i="25" s="1"/>
  <c r="D20" i="25"/>
  <c r="P5" i="25" s="1"/>
  <c r="S16" i="25"/>
  <c r="R16" i="25"/>
  <c r="Q16" i="25"/>
  <c r="P16" i="25"/>
  <c r="T15" i="25"/>
  <c r="S14" i="25"/>
  <c r="R14" i="25"/>
  <c r="Q14" i="25"/>
  <c r="P14" i="25"/>
  <c r="S13" i="25"/>
  <c r="R13" i="25"/>
  <c r="Q13" i="25"/>
  <c r="P13" i="25"/>
  <c r="S11" i="25"/>
  <c r="R11" i="25"/>
  <c r="Q11" i="25"/>
  <c r="P11" i="25"/>
  <c r="C11" i="25"/>
  <c r="B11" i="25"/>
  <c r="H10" i="25"/>
  <c r="G10" i="25"/>
  <c r="S3" i="25" s="1"/>
  <c r="F10" i="25"/>
  <c r="R3" i="25" s="1"/>
  <c r="E10" i="25"/>
  <c r="Q3" i="25" s="1"/>
  <c r="D10" i="25"/>
  <c r="P3" i="25" s="1"/>
  <c r="C10" i="25"/>
  <c r="B10" i="25"/>
  <c r="H8" i="25"/>
  <c r="H11" i="25" s="1"/>
  <c r="H15" i="25" s="1"/>
  <c r="G8" i="25"/>
  <c r="G11" i="25" s="1"/>
  <c r="S9" i="25" s="1"/>
  <c r="F8" i="25"/>
  <c r="F11" i="25" s="1"/>
  <c r="R9" i="25" s="1"/>
  <c r="E8" i="25"/>
  <c r="E11" i="25" s="1"/>
  <c r="Q9" i="25" s="1"/>
  <c r="D8" i="25"/>
  <c r="D11" i="25" s="1"/>
  <c r="P9" i="25" s="1"/>
  <c r="S5" i="25" l="1"/>
  <c r="S25" i="25"/>
  <c r="S15" i="25"/>
  <c r="R15" i="25"/>
  <c r="Q15" i="25"/>
  <c r="P15" i="25"/>
  <c r="Q25" i="25"/>
  <c r="R25" i="25"/>
  <c r="P25" i="25"/>
  <c r="Q7" i="25"/>
  <c r="P7" i="25"/>
  <c r="F13" i="25"/>
  <c r="F16" i="25" s="1"/>
  <c r="R19" i="25" s="1"/>
  <c r="F15" i="25"/>
  <c r="R10" i="25"/>
  <c r="Q10" i="25"/>
  <c r="E13" i="25"/>
  <c r="E16" i="25" s="1"/>
  <c r="Q19" i="25" s="1"/>
  <c r="E15" i="25"/>
  <c r="G15" i="25"/>
  <c r="S10" i="25"/>
  <c r="G13" i="25"/>
  <c r="G16" i="25" s="1"/>
  <c r="S19" i="25" s="1"/>
  <c r="P10" i="25"/>
  <c r="D15" i="25"/>
  <c r="D13" i="25"/>
  <c r="D16" i="25" s="1"/>
  <c r="R5" i="25"/>
  <c r="H13" i="25"/>
  <c r="H16" i="25" s="1"/>
  <c r="E14" i="23" l="1"/>
  <c r="U11" i="23" s="1"/>
  <c r="D14" i="23"/>
  <c r="G21" i="23"/>
  <c r="X24" i="23" s="1"/>
  <c r="X25" i="23" s="1"/>
  <c r="F21" i="23"/>
  <c r="G14" i="23"/>
  <c r="W11" i="23" s="1"/>
  <c r="F14" i="23"/>
  <c r="V11" i="23" s="1"/>
  <c r="X24" i="24"/>
  <c r="W24" i="24"/>
  <c r="V24" i="24"/>
  <c r="U24" i="24"/>
  <c r="X23" i="24"/>
  <c r="W23" i="24"/>
  <c r="V23" i="24"/>
  <c r="U23" i="24"/>
  <c r="X21" i="24"/>
  <c r="W21" i="24"/>
  <c r="V21" i="24"/>
  <c r="U21" i="24"/>
  <c r="X20" i="24"/>
  <c r="W20" i="24"/>
  <c r="V20" i="24"/>
  <c r="J20" i="24"/>
  <c r="G20" i="24"/>
  <c r="X7" i="24" s="1"/>
  <c r="F20" i="24"/>
  <c r="W7" i="24" s="1"/>
  <c r="E20" i="24"/>
  <c r="V7" i="24" s="1"/>
  <c r="D20" i="24"/>
  <c r="U7" i="24" s="1"/>
  <c r="X16" i="24"/>
  <c r="W16" i="24"/>
  <c r="V16" i="24"/>
  <c r="U16" i="24"/>
  <c r="AA15" i="24"/>
  <c r="X14" i="24"/>
  <c r="W14" i="24"/>
  <c r="V14" i="24"/>
  <c r="U14" i="24"/>
  <c r="X13" i="24"/>
  <c r="W13" i="24"/>
  <c r="V13" i="24"/>
  <c r="U13" i="24"/>
  <c r="X11" i="24"/>
  <c r="W11" i="24"/>
  <c r="V11" i="24"/>
  <c r="U11" i="24"/>
  <c r="C11" i="24"/>
  <c r="B11" i="24"/>
  <c r="J10" i="24"/>
  <c r="AA3" i="24" s="1"/>
  <c r="G10" i="24"/>
  <c r="X3" i="24" s="1"/>
  <c r="F10" i="24"/>
  <c r="W3" i="24" s="1"/>
  <c r="E10" i="24"/>
  <c r="V3" i="24" s="1"/>
  <c r="D10" i="24"/>
  <c r="U3" i="24" s="1"/>
  <c r="C10" i="24"/>
  <c r="B10" i="24"/>
  <c r="J8" i="24"/>
  <c r="J11" i="24" s="1"/>
  <c r="J15" i="24" s="1"/>
  <c r="G8" i="24"/>
  <c r="G11" i="24" s="1"/>
  <c r="X9" i="24" s="1"/>
  <c r="F8" i="24"/>
  <c r="F11" i="24" s="1"/>
  <c r="W9" i="24" s="1"/>
  <c r="E8" i="24"/>
  <c r="E11" i="24" s="1"/>
  <c r="V9" i="24" s="1"/>
  <c r="D8" i="24"/>
  <c r="D11" i="24" s="1"/>
  <c r="U9" i="24" s="1"/>
  <c r="G21" i="22"/>
  <c r="X24" i="22" s="1"/>
  <c r="X25" i="22" s="1"/>
  <c r="F21" i="22"/>
  <c r="E21" i="22"/>
  <c r="D21" i="22"/>
  <c r="G14" i="22"/>
  <c r="F14" i="22"/>
  <c r="E14" i="22"/>
  <c r="D14" i="22"/>
  <c r="V24" i="23"/>
  <c r="U24" i="23"/>
  <c r="T24" i="23"/>
  <c r="W23" i="23"/>
  <c r="V23" i="23"/>
  <c r="U23" i="23"/>
  <c r="T23" i="23"/>
  <c r="W21" i="23"/>
  <c r="V21" i="23"/>
  <c r="U21" i="23"/>
  <c r="T21" i="23"/>
  <c r="W20" i="23"/>
  <c r="V20" i="23"/>
  <c r="U20" i="23"/>
  <c r="J20" i="23"/>
  <c r="G20" i="23"/>
  <c r="W7" i="23" s="1"/>
  <c r="F20" i="23"/>
  <c r="V7" i="23" s="1"/>
  <c r="E20" i="23"/>
  <c r="U7" i="23" s="1"/>
  <c r="D20" i="23"/>
  <c r="W16" i="23"/>
  <c r="V16" i="23"/>
  <c r="U16" i="23"/>
  <c r="T16" i="23"/>
  <c r="Z15" i="23"/>
  <c r="W14" i="23"/>
  <c r="V14" i="23"/>
  <c r="U14" i="23"/>
  <c r="T14" i="23"/>
  <c r="W13" i="23"/>
  <c r="W15" i="23" s="1"/>
  <c r="V13" i="23"/>
  <c r="V15" i="23" s="1"/>
  <c r="U13" i="23"/>
  <c r="U15" i="23" s="1"/>
  <c r="T13" i="23"/>
  <c r="T11" i="23"/>
  <c r="C11" i="23"/>
  <c r="B11" i="23"/>
  <c r="G10" i="23"/>
  <c r="W3" i="23" s="1"/>
  <c r="F10" i="23"/>
  <c r="V3" i="23" s="1"/>
  <c r="E10" i="23"/>
  <c r="U3" i="23" s="1"/>
  <c r="D10" i="23"/>
  <c r="T3" i="23" s="1"/>
  <c r="C10" i="23"/>
  <c r="B10" i="23"/>
  <c r="J8" i="23"/>
  <c r="J11" i="23" s="1"/>
  <c r="G8" i="23"/>
  <c r="G11" i="23" s="1"/>
  <c r="F8" i="23"/>
  <c r="F11" i="23" s="1"/>
  <c r="E8" i="23"/>
  <c r="E11" i="23" s="1"/>
  <c r="D8" i="23"/>
  <c r="D11" i="23" s="1"/>
  <c r="T9" i="23" s="1"/>
  <c r="V5" i="23" l="1"/>
  <c r="U5" i="23"/>
  <c r="U9" i="23"/>
  <c r="U15" i="24"/>
  <c r="X15" i="24"/>
  <c r="V9" i="23"/>
  <c r="T15" i="23"/>
  <c r="W5" i="23"/>
  <c r="W10" i="23"/>
  <c r="W9" i="23"/>
  <c r="T5" i="23"/>
  <c r="T7" i="23"/>
  <c r="V15" i="24"/>
  <c r="W15" i="24"/>
  <c r="X5" i="24"/>
  <c r="W5" i="24"/>
  <c r="V25" i="24"/>
  <c r="V5" i="24"/>
  <c r="U5" i="24"/>
  <c r="U25" i="24"/>
  <c r="X25" i="24"/>
  <c r="W25" i="24"/>
  <c r="U25" i="23"/>
  <c r="T25" i="23"/>
  <c r="E15" i="23"/>
  <c r="D15" i="23"/>
  <c r="W24" i="23"/>
  <c r="W25" i="23" s="1"/>
  <c r="V25" i="23"/>
  <c r="G15" i="23"/>
  <c r="V10" i="23"/>
  <c r="F15" i="23"/>
  <c r="U10" i="24"/>
  <c r="D13" i="24"/>
  <c r="D16" i="24" s="1"/>
  <c r="D15" i="24"/>
  <c r="V10" i="24"/>
  <c r="E13" i="24"/>
  <c r="E16" i="24" s="1"/>
  <c r="V19" i="24" s="1"/>
  <c r="E15" i="24"/>
  <c r="F13" i="24"/>
  <c r="F16" i="24" s="1"/>
  <c r="W19" i="24" s="1"/>
  <c r="W10" i="24"/>
  <c r="F15" i="24"/>
  <c r="G13" i="24"/>
  <c r="G16" i="24" s="1"/>
  <c r="X19" i="24" s="1"/>
  <c r="G15" i="24"/>
  <c r="X10" i="24"/>
  <c r="J13" i="24"/>
  <c r="J16" i="24" s="1"/>
  <c r="J13" i="23"/>
  <c r="J16" i="23" s="1"/>
  <c r="J15" i="23"/>
  <c r="D13" i="23"/>
  <c r="D16" i="23" s="1"/>
  <c r="T10" i="23"/>
  <c r="E13" i="23"/>
  <c r="E16" i="23" s="1"/>
  <c r="U19" i="23" s="1"/>
  <c r="U10" i="23"/>
  <c r="F13" i="23"/>
  <c r="F16" i="23" s="1"/>
  <c r="V19" i="23" s="1"/>
  <c r="G13" i="23"/>
  <c r="G16" i="23" s="1"/>
  <c r="W19" i="23" s="1"/>
  <c r="W24" i="22" l="1"/>
  <c r="V24" i="22"/>
  <c r="U24" i="22"/>
  <c r="T24" i="22"/>
  <c r="W23" i="22"/>
  <c r="V23" i="22"/>
  <c r="U23" i="22"/>
  <c r="T23" i="22"/>
  <c r="W21" i="22"/>
  <c r="V21" i="22"/>
  <c r="U21" i="22"/>
  <c r="T21" i="22"/>
  <c r="W20" i="22"/>
  <c r="V20" i="22"/>
  <c r="U20" i="22"/>
  <c r="J20" i="22"/>
  <c r="G20" i="22"/>
  <c r="W5" i="22" s="1"/>
  <c r="F20" i="22"/>
  <c r="V7" i="22" s="1"/>
  <c r="E20" i="22"/>
  <c r="U5" i="22" s="1"/>
  <c r="D20" i="22"/>
  <c r="T5" i="22" s="1"/>
  <c r="W16" i="22"/>
  <c r="V16" i="22"/>
  <c r="U16" i="22"/>
  <c r="T16" i="22"/>
  <c r="W14" i="22"/>
  <c r="V14" i="22"/>
  <c r="U14" i="22"/>
  <c r="T14" i="22"/>
  <c r="W13" i="22"/>
  <c r="V13" i="22"/>
  <c r="U13" i="22"/>
  <c r="T13" i="22"/>
  <c r="W11" i="22"/>
  <c r="V11" i="22"/>
  <c r="U11" i="22"/>
  <c r="T11" i="22"/>
  <c r="C11" i="22"/>
  <c r="B11" i="22"/>
  <c r="J10" i="22"/>
  <c r="Z3" i="22" s="1"/>
  <c r="G10" i="22"/>
  <c r="W3" i="22" s="1"/>
  <c r="F10" i="22"/>
  <c r="V3" i="22" s="1"/>
  <c r="E10" i="22"/>
  <c r="U3" i="22" s="1"/>
  <c r="D10" i="22"/>
  <c r="T3" i="22" s="1"/>
  <c r="C10" i="22"/>
  <c r="B10" i="22"/>
  <c r="J8" i="22"/>
  <c r="J11" i="22" s="1"/>
  <c r="G8" i="22"/>
  <c r="G11" i="22" s="1"/>
  <c r="F8" i="22"/>
  <c r="F11" i="22" s="1"/>
  <c r="V9" i="22" s="1"/>
  <c r="E8" i="22"/>
  <c r="E11" i="22" s="1"/>
  <c r="U9" i="22" s="1"/>
  <c r="D8" i="22"/>
  <c r="D11" i="22" s="1"/>
  <c r="D15" i="22" l="1"/>
  <c r="T9" i="22"/>
  <c r="G13" i="22"/>
  <c r="G16" i="22" s="1"/>
  <c r="W19" i="22" s="1"/>
  <c r="W9" i="22"/>
  <c r="U15" i="22"/>
  <c r="T15" i="22"/>
  <c r="W15" i="22"/>
  <c r="V15" i="22"/>
  <c r="W7" i="22"/>
  <c r="V5" i="22"/>
  <c r="U7" i="22"/>
  <c r="T7" i="22"/>
  <c r="W25" i="22"/>
  <c r="V25" i="22"/>
  <c r="G15" i="22"/>
  <c r="W10" i="22"/>
  <c r="V10" i="22"/>
  <c r="F15" i="22"/>
  <c r="U25" i="22"/>
  <c r="T25" i="22"/>
  <c r="E15" i="22"/>
  <c r="J13" i="22"/>
  <c r="J16" i="22" s="1"/>
  <c r="J15" i="22"/>
  <c r="E13" i="22"/>
  <c r="E16" i="22" s="1"/>
  <c r="U19" i="22" s="1"/>
  <c r="U10" i="22"/>
  <c r="F13" i="22"/>
  <c r="F16" i="22" s="1"/>
  <c r="V19" i="22" s="1"/>
  <c r="D13" i="22"/>
  <c r="D16" i="22" s="1"/>
  <c r="T10" i="22"/>
  <c r="E21" i="20" l="1"/>
  <c r="D21" i="20"/>
  <c r="E14" i="20"/>
  <c r="D14" i="20"/>
  <c r="G21" i="20"/>
  <c r="F21" i="20"/>
  <c r="G14" i="20"/>
  <c r="W11" i="20" s="1"/>
  <c r="F14" i="20"/>
  <c r="V11" i="20" s="1"/>
  <c r="G20" i="20"/>
  <c r="W7" i="20" s="1"/>
  <c r="T24" i="20"/>
  <c r="W23" i="20"/>
  <c r="V23" i="20"/>
  <c r="U23" i="20"/>
  <c r="T23" i="20"/>
  <c r="W21" i="20"/>
  <c r="V21" i="20"/>
  <c r="U21" i="20"/>
  <c r="T21" i="20"/>
  <c r="W20" i="20"/>
  <c r="V20" i="20"/>
  <c r="U20" i="20"/>
  <c r="J20" i="20"/>
  <c r="F20" i="20"/>
  <c r="V7" i="20" s="1"/>
  <c r="E20" i="20"/>
  <c r="U7" i="20" s="1"/>
  <c r="D20" i="20"/>
  <c r="W16" i="20"/>
  <c r="V16" i="20"/>
  <c r="U16" i="20"/>
  <c r="T16" i="20"/>
  <c r="W14" i="20"/>
  <c r="V14" i="20"/>
  <c r="U14" i="20"/>
  <c r="T14" i="20"/>
  <c r="W13" i="20"/>
  <c r="V13" i="20"/>
  <c r="U13" i="20"/>
  <c r="T13" i="20"/>
  <c r="C11" i="20"/>
  <c r="B11" i="20"/>
  <c r="J10" i="20"/>
  <c r="Z3" i="20" s="1"/>
  <c r="G10" i="20"/>
  <c r="W3" i="20" s="1"/>
  <c r="F10" i="20"/>
  <c r="V3" i="20" s="1"/>
  <c r="E10" i="20"/>
  <c r="U3" i="20" s="1"/>
  <c r="D10" i="20"/>
  <c r="T3" i="20" s="1"/>
  <c r="C10" i="20"/>
  <c r="B10" i="20"/>
  <c r="J8" i="20"/>
  <c r="J11" i="20" s="1"/>
  <c r="J15" i="20" s="1"/>
  <c r="G8" i="20"/>
  <c r="G11" i="20" s="1"/>
  <c r="F8" i="20"/>
  <c r="F11" i="20" s="1"/>
  <c r="E8" i="20"/>
  <c r="E11" i="20" s="1"/>
  <c r="U9" i="20" s="1"/>
  <c r="D8" i="20"/>
  <c r="D11" i="20" s="1"/>
  <c r="T9" i="20" s="1"/>
  <c r="W24" i="20" l="1"/>
  <c r="X24" i="20"/>
  <c r="X25" i="20" s="1"/>
  <c r="T15" i="20"/>
  <c r="U15" i="20"/>
  <c r="V10" i="20"/>
  <c r="V9" i="20"/>
  <c r="W10" i="20"/>
  <c r="W9" i="20"/>
  <c r="T5" i="20"/>
  <c r="U5" i="20"/>
  <c r="T7" i="20"/>
  <c r="V15" i="20"/>
  <c r="W15" i="20"/>
  <c r="W5" i="20"/>
  <c r="W25" i="20"/>
  <c r="T25" i="20"/>
  <c r="E15" i="20"/>
  <c r="E13" i="20"/>
  <c r="E16" i="20" s="1"/>
  <c r="U19" i="20" s="1"/>
  <c r="U10" i="20"/>
  <c r="D13" i="20"/>
  <c r="D16" i="20" s="1"/>
  <c r="D15" i="20"/>
  <c r="T10" i="20"/>
  <c r="U24" i="20"/>
  <c r="U25" i="20" s="1"/>
  <c r="T11" i="20"/>
  <c r="F15" i="20"/>
  <c r="V24" i="20"/>
  <c r="V25" i="20" s="1"/>
  <c r="U11" i="20"/>
  <c r="G15" i="20"/>
  <c r="F13" i="20"/>
  <c r="F16" i="20" s="1"/>
  <c r="V19" i="20" s="1"/>
  <c r="J13" i="20"/>
  <c r="J16" i="20" s="1"/>
  <c r="G13" i="20"/>
  <c r="G16" i="20" s="1"/>
  <c r="W19" i="20" s="1"/>
  <c r="V5" i="20"/>
  <c r="H14" i="19" l="1"/>
  <c r="E21" i="19"/>
  <c r="D21" i="19"/>
  <c r="E14" i="19"/>
  <c r="Q11" i="19" s="1"/>
  <c r="D14" i="19"/>
  <c r="P9" i="19" s="1"/>
  <c r="G14" i="19"/>
  <c r="F14" i="19"/>
  <c r="S24" i="19"/>
  <c r="S23" i="19"/>
  <c r="R23" i="19"/>
  <c r="Q23" i="19"/>
  <c r="P23" i="19"/>
  <c r="S21" i="19"/>
  <c r="R21" i="19"/>
  <c r="Q21" i="19"/>
  <c r="P21" i="19"/>
  <c r="R24" i="19"/>
  <c r="S20" i="19"/>
  <c r="R20" i="19"/>
  <c r="Q20" i="19"/>
  <c r="H20" i="19"/>
  <c r="G20" i="19"/>
  <c r="S7" i="19" s="1"/>
  <c r="F20" i="19"/>
  <c r="R7" i="19" s="1"/>
  <c r="E20" i="19"/>
  <c r="Q7" i="19" s="1"/>
  <c r="D20" i="19"/>
  <c r="P7" i="19" s="1"/>
  <c r="S16" i="19"/>
  <c r="R16" i="19"/>
  <c r="Q16" i="19"/>
  <c r="P16" i="19"/>
  <c r="T15" i="19"/>
  <c r="S14" i="19"/>
  <c r="R14" i="19"/>
  <c r="Q14" i="19"/>
  <c r="P14" i="19"/>
  <c r="S13" i="19"/>
  <c r="R13" i="19"/>
  <c r="Q13" i="19"/>
  <c r="P13" i="19"/>
  <c r="C11" i="19"/>
  <c r="B11" i="19"/>
  <c r="H10" i="19"/>
  <c r="G10" i="19"/>
  <c r="S3" i="19" s="1"/>
  <c r="F10" i="19"/>
  <c r="R3" i="19" s="1"/>
  <c r="E10" i="19"/>
  <c r="Q3" i="19" s="1"/>
  <c r="D10" i="19"/>
  <c r="P3" i="19" s="1"/>
  <c r="C10" i="19"/>
  <c r="B10" i="19"/>
  <c r="H8" i="19"/>
  <c r="H11" i="19" s="1"/>
  <c r="G8" i="19"/>
  <c r="G11" i="19" s="1"/>
  <c r="F8" i="19"/>
  <c r="F11" i="19" s="1"/>
  <c r="E8" i="19"/>
  <c r="E11" i="19" s="1"/>
  <c r="D8" i="19"/>
  <c r="D11" i="19" s="1"/>
  <c r="E21" i="18"/>
  <c r="D21" i="18"/>
  <c r="U24" i="18" s="1"/>
  <c r="G21" i="18"/>
  <c r="Y24" i="18" s="1"/>
  <c r="Y25" i="18" s="1"/>
  <c r="F21" i="18"/>
  <c r="G14" i="18"/>
  <c r="X11" i="18" s="1"/>
  <c r="F14" i="18"/>
  <c r="W11" i="18" s="1"/>
  <c r="E14" i="18"/>
  <c r="D14" i="18"/>
  <c r="X23" i="18"/>
  <c r="W23" i="18"/>
  <c r="V23" i="18"/>
  <c r="U23" i="18"/>
  <c r="X21" i="18"/>
  <c r="W21" i="18"/>
  <c r="V21" i="18"/>
  <c r="U21" i="18"/>
  <c r="X24" i="18"/>
  <c r="W24" i="18"/>
  <c r="X20" i="18"/>
  <c r="W20" i="18"/>
  <c r="V20" i="18"/>
  <c r="J20" i="18"/>
  <c r="G20" i="18"/>
  <c r="X7" i="18" s="1"/>
  <c r="F20" i="18"/>
  <c r="W7" i="18" s="1"/>
  <c r="E20" i="18"/>
  <c r="V7" i="18" s="1"/>
  <c r="D20" i="18"/>
  <c r="U7" i="18" s="1"/>
  <c r="X16" i="18"/>
  <c r="W16" i="18"/>
  <c r="V16" i="18"/>
  <c r="U16" i="18"/>
  <c r="X14" i="18"/>
  <c r="W14" i="18"/>
  <c r="V14" i="18"/>
  <c r="U14" i="18"/>
  <c r="V11" i="18"/>
  <c r="X13" i="18"/>
  <c r="W13" i="18"/>
  <c r="V13" i="18"/>
  <c r="U13" i="18"/>
  <c r="C11" i="18"/>
  <c r="B11" i="18"/>
  <c r="J10" i="18"/>
  <c r="AA3" i="18" s="1"/>
  <c r="G10" i="18"/>
  <c r="X3" i="18" s="1"/>
  <c r="F10" i="18"/>
  <c r="W3" i="18" s="1"/>
  <c r="E10" i="18"/>
  <c r="V3" i="18" s="1"/>
  <c r="D10" i="18"/>
  <c r="U3" i="18" s="1"/>
  <c r="C10" i="18"/>
  <c r="B10" i="18"/>
  <c r="J8" i="18"/>
  <c r="J11" i="18" s="1"/>
  <c r="G8" i="18"/>
  <c r="G11" i="18" s="1"/>
  <c r="F8" i="18"/>
  <c r="F11" i="18" s="1"/>
  <c r="E8" i="18"/>
  <c r="E11" i="18" s="1"/>
  <c r="D8" i="18"/>
  <c r="D11" i="18" s="1"/>
  <c r="R11" i="19" l="1"/>
  <c r="R9" i="19"/>
  <c r="S11" i="19"/>
  <c r="S9" i="19"/>
  <c r="P11" i="19"/>
  <c r="P15" i="19"/>
  <c r="G15" i="18"/>
  <c r="Q9" i="19"/>
  <c r="U9" i="18"/>
  <c r="V9" i="18"/>
  <c r="X9" i="18"/>
  <c r="W9" i="18"/>
  <c r="Q15" i="19"/>
  <c r="S15" i="19"/>
  <c r="R15" i="19"/>
  <c r="R5" i="19"/>
  <c r="E15" i="19"/>
  <c r="S5" i="19"/>
  <c r="P5" i="19"/>
  <c r="S25" i="19"/>
  <c r="R25" i="19"/>
  <c r="D15" i="19"/>
  <c r="F13" i="19"/>
  <c r="F16" i="19" s="1"/>
  <c r="R19" i="19" s="1"/>
  <c r="F15" i="19"/>
  <c r="R10" i="19"/>
  <c r="G15" i="19"/>
  <c r="S10" i="19"/>
  <c r="G13" i="19"/>
  <c r="G16" i="19" s="1"/>
  <c r="S19" i="19" s="1"/>
  <c r="H15" i="19"/>
  <c r="H13" i="19"/>
  <c r="H16" i="19" s="1"/>
  <c r="D13" i="19"/>
  <c r="D16" i="19" s="1"/>
  <c r="P10" i="19"/>
  <c r="E13" i="19"/>
  <c r="E16" i="19" s="1"/>
  <c r="Q19" i="19" s="1"/>
  <c r="Q5" i="19"/>
  <c r="P24" i="19"/>
  <c r="P25" i="19" s="1"/>
  <c r="Q24" i="19"/>
  <c r="Q25" i="19" s="1"/>
  <c r="Q10" i="19"/>
  <c r="W15" i="18"/>
  <c r="U15" i="18"/>
  <c r="X15" i="18"/>
  <c r="V15" i="18"/>
  <c r="U5" i="18"/>
  <c r="X5" i="18"/>
  <c r="X25" i="18"/>
  <c r="F15" i="18"/>
  <c r="E15" i="18"/>
  <c r="U10" i="18"/>
  <c r="D13" i="18"/>
  <c r="D16" i="18" s="1"/>
  <c r="D15" i="18"/>
  <c r="J15" i="18"/>
  <c r="J13" i="18"/>
  <c r="J16" i="18" s="1"/>
  <c r="U25" i="18"/>
  <c r="W25" i="18"/>
  <c r="E13" i="18"/>
  <c r="E16" i="18" s="1"/>
  <c r="V19" i="18" s="1"/>
  <c r="V10" i="18"/>
  <c r="F13" i="18"/>
  <c r="F16" i="18" s="1"/>
  <c r="W19" i="18" s="1"/>
  <c r="V5" i="18"/>
  <c r="W10" i="18"/>
  <c r="G13" i="18"/>
  <c r="G16" i="18" s="1"/>
  <c r="X19" i="18" s="1"/>
  <c r="W5" i="18"/>
  <c r="X10" i="18"/>
  <c r="U11" i="18"/>
  <c r="V24" i="18"/>
  <c r="V25" i="18" s="1"/>
  <c r="G21" i="17" l="1"/>
  <c r="F21" i="17"/>
  <c r="E14" i="17"/>
  <c r="D14" i="17"/>
  <c r="G14" i="17"/>
  <c r="I20" i="17"/>
  <c r="G20" i="17"/>
  <c r="F20" i="17"/>
  <c r="E20" i="17"/>
  <c r="D20" i="17"/>
  <c r="I11" i="17"/>
  <c r="I15" i="17" s="1"/>
  <c r="I10" i="17"/>
  <c r="G10" i="17"/>
  <c r="F10" i="17"/>
  <c r="E10" i="17"/>
  <c r="D10" i="17"/>
  <c r="I8" i="17"/>
  <c r="G8" i="17"/>
  <c r="G11" i="17" s="1"/>
  <c r="F8" i="17"/>
  <c r="F11" i="17" s="1"/>
  <c r="E8" i="17"/>
  <c r="E11" i="17" s="1"/>
  <c r="D8" i="17"/>
  <c r="D11" i="17" s="1"/>
  <c r="D15" i="17" s="1"/>
  <c r="G15" i="17" l="1"/>
  <c r="G13" i="17"/>
  <c r="G16" i="17" s="1"/>
  <c r="E13" i="17"/>
  <c r="E16" i="17" s="1"/>
  <c r="E15" i="17"/>
  <c r="F13" i="17"/>
  <c r="F16" i="17" s="1"/>
  <c r="F15" i="17"/>
  <c r="I13" i="17"/>
  <c r="I16" i="17" s="1"/>
  <c r="D13" i="17"/>
  <c r="D16" i="17" s="1"/>
  <c r="T23" i="17"/>
  <c r="S23" i="17"/>
  <c r="R23" i="17"/>
  <c r="Q23" i="17"/>
  <c r="T21" i="17"/>
  <c r="S21" i="17"/>
  <c r="R21" i="17"/>
  <c r="Q21" i="17"/>
  <c r="T24" i="17"/>
  <c r="T20" i="17"/>
  <c r="S20" i="17"/>
  <c r="R20" i="17"/>
  <c r="S7" i="17"/>
  <c r="Q7" i="17"/>
  <c r="T16" i="17"/>
  <c r="S16" i="17"/>
  <c r="R16" i="17"/>
  <c r="Q16" i="17"/>
  <c r="U15" i="17"/>
  <c r="T14" i="17"/>
  <c r="S14" i="17"/>
  <c r="R14" i="17"/>
  <c r="Q14" i="17"/>
  <c r="S11" i="17"/>
  <c r="R11" i="17"/>
  <c r="Q11" i="17"/>
  <c r="T13" i="17"/>
  <c r="T15" i="17" s="1"/>
  <c r="S13" i="17"/>
  <c r="R13" i="17"/>
  <c r="Q13" i="17"/>
  <c r="T11" i="17"/>
  <c r="C11" i="17"/>
  <c r="B11" i="17"/>
  <c r="T3" i="17"/>
  <c r="S3" i="17"/>
  <c r="R3" i="17"/>
  <c r="Q3" i="17"/>
  <c r="C10" i="17"/>
  <c r="B10" i="17"/>
  <c r="T10" i="17"/>
  <c r="T7" i="17"/>
  <c r="R7" i="17"/>
  <c r="R15" i="17" l="1"/>
  <c r="S15" i="17"/>
  <c r="Q15" i="17"/>
  <c r="T5" i="17"/>
  <c r="R5" i="17"/>
  <c r="Q5" i="17"/>
  <c r="T25" i="17"/>
  <c r="Q10" i="17"/>
  <c r="R9" i="17"/>
  <c r="R19" i="17"/>
  <c r="S9" i="17"/>
  <c r="T9" i="17"/>
  <c r="Q24" i="17"/>
  <c r="Q25" i="17" s="1"/>
  <c r="R10" i="17"/>
  <c r="S10" i="17"/>
  <c r="S5" i="17"/>
  <c r="R24" i="17"/>
  <c r="R25" i="17" s="1"/>
  <c r="S24" i="17"/>
  <c r="S25" i="17" s="1"/>
  <c r="S19" i="17"/>
  <c r="T19" i="17"/>
  <c r="E21" i="16" l="1"/>
  <c r="D21" i="16"/>
  <c r="Q24" i="16" s="1"/>
  <c r="G21" i="16"/>
  <c r="F21" i="16"/>
  <c r="E14" i="16"/>
  <c r="R9" i="16" s="1"/>
  <c r="D14" i="16"/>
  <c r="G14" i="16"/>
  <c r="F14" i="16"/>
  <c r="S9" i="16" s="1"/>
  <c r="G20" i="16"/>
  <c r="T7" i="16" s="1"/>
  <c r="F20" i="16"/>
  <c r="S7" i="16" s="1"/>
  <c r="E20" i="16"/>
  <c r="R7" i="16" s="1"/>
  <c r="T23" i="16"/>
  <c r="S23" i="16"/>
  <c r="R23" i="16"/>
  <c r="Q23" i="16"/>
  <c r="T21" i="16"/>
  <c r="S21" i="16"/>
  <c r="R21" i="16"/>
  <c r="Q21" i="16"/>
  <c r="T20" i="16"/>
  <c r="S20" i="16"/>
  <c r="R20" i="16"/>
  <c r="I20" i="16"/>
  <c r="D20" i="16"/>
  <c r="Q5" i="16" s="1"/>
  <c r="T16" i="16"/>
  <c r="S16" i="16"/>
  <c r="R16" i="16"/>
  <c r="Q16" i="16"/>
  <c r="T14" i="16"/>
  <c r="S14" i="16"/>
  <c r="R14" i="16"/>
  <c r="Q14" i="16"/>
  <c r="T13" i="16"/>
  <c r="S13" i="16"/>
  <c r="R13" i="16"/>
  <c r="Q13" i="16"/>
  <c r="C11" i="16"/>
  <c r="B11" i="16"/>
  <c r="I10" i="16"/>
  <c r="G10" i="16"/>
  <c r="T3" i="16" s="1"/>
  <c r="F10" i="16"/>
  <c r="S3" i="16" s="1"/>
  <c r="E10" i="16"/>
  <c r="R3" i="16" s="1"/>
  <c r="D10" i="16"/>
  <c r="Q3" i="16" s="1"/>
  <c r="C10" i="16"/>
  <c r="B10" i="16"/>
  <c r="I8" i="16"/>
  <c r="I11" i="16" s="1"/>
  <c r="G8" i="16"/>
  <c r="G11" i="16" s="1"/>
  <c r="F8" i="16"/>
  <c r="F11" i="16" s="1"/>
  <c r="E8" i="16"/>
  <c r="E11" i="16" s="1"/>
  <c r="D8" i="16"/>
  <c r="D11" i="16" s="1"/>
  <c r="G21" i="15"/>
  <c r="Y24" i="15" s="1"/>
  <c r="Y25" i="15" s="1"/>
  <c r="F21" i="15"/>
  <c r="E21" i="15"/>
  <c r="D21" i="15"/>
  <c r="V24" i="15" s="1"/>
  <c r="E14" i="15"/>
  <c r="V11" i="15" s="1"/>
  <c r="D14" i="15"/>
  <c r="G14" i="15"/>
  <c r="X11" i="15" s="1"/>
  <c r="F14" i="15"/>
  <c r="W11" i="15" s="1"/>
  <c r="X24" i="15"/>
  <c r="X23" i="15"/>
  <c r="W23" i="15"/>
  <c r="V23" i="15"/>
  <c r="U23" i="15"/>
  <c r="X21" i="15"/>
  <c r="W21" i="15"/>
  <c r="V21" i="15"/>
  <c r="U21" i="15"/>
  <c r="W24" i="15"/>
  <c r="X20" i="15"/>
  <c r="W20" i="15"/>
  <c r="V20" i="15"/>
  <c r="J20" i="15"/>
  <c r="G20" i="15"/>
  <c r="X7" i="15" s="1"/>
  <c r="F20" i="15"/>
  <c r="W5" i="15" s="1"/>
  <c r="E20" i="15"/>
  <c r="V7" i="15" s="1"/>
  <c r="D20" i="15"/>
  <c r="U5" i="15" s="1"/>
  <c r="X16" i="15"/>
  <c r="W16" i="15"/>
  <c r="V16" i="15"/>
  <c r="U16" i="15"/>
  <c r="X14" i="15"/>
  <c r="W14" i="15"/>
  <c r="V14" i="15"/>
  <c r="U14" i="15"/>
  <c r="X13" i="15"/>
  <c r="W13" i="15"/>
  <c r="V13" i="15"/>
  <c r="U13" i="15"/>
  <c r="U11" i="15"/>
  <c r="C11" i="15"/>
  <c r="B11" i="15"/>
  <c r="J10" i="15"/>
  <c r="AA3" i="15" s="1"/>
  <c r="G10" i="15"/>
  <c r="X3" i="15" s="1"/>
  <c r="F10" i="15"/>
  <c r="W3" i="15" s="1"/>
  <c r="E10" i="15"/>
  <c r="V3" i="15" s="1"/>
  <c r="D10" i="15"/>
  <c r="U3" i="15" s="1"/>
  <c r="C10" i="15"/>
  <c r="B10" i="15"/>
  <c r="J8" i="15"/>
  <c r="J11" i="15" s="1"/>
  <c r="G8" i="15"/>
  <c r="G11" i="15" s="1"/>
  <c r="F8" i="15"/>
  <c r="F11" i="15" s="1"/>
  <c r="E8" i="15"/>
  <c r="E11" i="15" s="1"/>
  <c r="V9" i="15" s="1"/>
  <c r="D8" i="15"/>
  <c r="D11" i="15" s="1"/>
  <c r="G21" i="14"/>
  <c r="F21" i="14"/>
  <c r="E21" i="14"/>
  <c r="D21" i="14"/>
  <c r="Q24" i="14" s="1"/>
  <c r="G14" i="14"/>
  <c r="F14" i="14"/>
  <c r="E14" i="14"/>
  <c r="D14" i="14"/>
  <c r="T23" i="14"/>
  <c r="S23" i="14"/>
  <c r="R23" i="14"/>
  <c r="Q23" i="14"/>
  <c r="T20" i="14"/>
  <c r="S20" i="14"/>
  <c r="R20" i="14"/>
  <c r="I20" i="14"/>
  <c r="R7" i="14"/>
  <c r="T16" i="14"/>
  <c r="S16" i="14"/>
  <c r="R16" i="14"/>
  <c r="Q16" i="14"/>
  <c r="V15" i="14"/>
  <c r="T14" i="14"/>
  <c r="S14" i="14"/>
  <c r="R14" i="14"/>
  <c r="Q14" i="14"/>
  <c r="T13" i="14"/>
  <c r="S13" i="14"/>
  <c r="R13" i="14"/>
  <c r="Q13" i="14"/>
  <c r="Q15" i="14" s="1"/>
  <c r="C11" i="14"/>
  <c r="B11" i="14"/>
  <c r="I10" i="14"/>
  <c r="G10" i="14"/>
  <c r="T3" i="14" s="1"/>
  <c r="F10" i="14"/>
  <c r="S3" i="14" s="1"/>
  <c r="E10" i="14"/>
  <c r="R3" i="14" s="1"/>
  <c r="D10" i="14"/>
  <c r="Q3" i="14" s="1"/>
  <c r="C10" i="14"/>
  <c r="B10" i="14"/>
  <c r="I8" i="14"/>
  <c r="I11" i="14" s="1"/>
  <c r="G8" i="14"/>
  <c r="G11" i="14" s="1"/>
  <c r="F8" i="14"/>
  <c r="F11" i="14" s="1"/>
  <c r="E8" i="14"/>
  <c r="E11" i="14" s="1"/>
  <c r="D8" i="14"/>
  <c r="D11" i="14" s="1"/>
  <c r="D12" i="13"/>
  <c r="C12" i="13"/>
  <c r="D11" i="13"/>
  <c r="C11" i="13"/>
  <c r="R11" i="14" l="1"/>
  <c r="R9" i="14"/>
  <c r="T11" i="16"/>
  <c r="T9" i="16"/>
  <c r="S11" i="14"/>
  <c r="S9" i="14"/>
  <c r="Q11" i="16"/>
  <c r="Q9" i="16"/>
  <c r="T11" i="14"/>
  <c r="T9" i="14"/>
  <c r="T15" i="16"/>
  <c r="R11" i="16"/>
  <c r="Q11" i="14"/>
  <c r="Q9" i="14"/>
  <c r="T24" i="16"/>
  <c r="U24" i="16"/>
  <c r="U25" i="16" s="1"/>
  <c r="T24" i="14"/>
  <c r="T25" i="14" s="1"/>
  <c r="U24" i="14"/>
  <c r="U25" i="14" s="1"/>
  <c r="U24" i="15"/>
  <c r="W9" i="15"/>
  <c r="X9" i="15"/>
  <c r="X5" i="15"/>
  <c r="Q15" i="16"/>
  <c r="S24" i="16"/>
  <c r="W15" i="15"/>
  <c r="W7" i="15"/>
  <c r="I13" i="16"/>
  <c r="I16" i="16" s="1"/>
  <c r="V9" i="16"/>
  <c r="V10" i="16"/>
  <c r="I15" i="16"/>
  <c r="R15" i="16"/>
  <c r="R5" i="16"/>
  <c r="Q7" i="16"/>
  <c r="D15" i="16"/>
  <c r="T25" i="16"/>
  <c r="S15" i="16"/>
  <c r="S5" i="16"/>
  <c r="Q25" i="16"/>
  <c r="S25" i="16"/>
  <c r="G13" i="16"/>
  <c r="G16" i="16" s="1"/>
  <c r="T19" i="16" s="1"/>
  <c r="G15" i="16"/>
  <c r="T10" i="16"/>
  <c r="F13" i="16"/>
  <c r="F16" i="16" s="1"/>
  <c r="S19" i="16" s="1"/>
  <c r="F15" i="16"/>
  <c r="S10" i="16"/>
  <c r="R10" i="16"/>
  <c r="E13" i="16"/>
  <c r="E16" i="16" s="1"/>
  <c r="R19" i="16" s="1"/>
  <c r="E15" i="16"/>
  <c r="T5" i="16"/>
  <c r="R24" i="16"/>
  <c r="R25" i="16" s="1"/>
  <c r="S11" i="16"/>
  <c r="D13" i="16"/>
  <c r="D16" i="16" s="1"/>
  <c r="Q10" i="16"/>
  <c r="U15" i="15"/>
  <c r="V15" i="15"/>
  <c r="X25" i="15"/>
  <c r="X15" i="15"/>
  <c r="U7" i="15"/>
  <c r="V5" i="15"/>
  <c r="W25" i="15"/>
  <c r="V25" i="15"/>
  <c r="U25" i="15"/>
  <c r="F13" i="15"/>
  <c r="F16" i="15" s="1"/>
  <c r="W19" i="15" s="1"/>
  <c r="F15" i="15"/>
  <c r="W10" i="15"/>
  <c r="D15" i="15"/>
  <c r="U10" i="15"/>
  <c r="D13" i="15"/>
  <c r="D16" i="15" s="1"/>
  <c r="J15" i="15"/>
  <c r="J13" i="15"/>
  <c r="J16" i="15" s="1"/>
  <c r="E15" i="15"/>
  <c r="V10" i="15"/>
  <c r="E13" i="15"/>
  <c r="E16" i="15" s="1"/>
  <c r="V19" i="15" s="1"/>
  <c r="G15" i="15"/>
  <c r="X10" i="15"/>
  <c r="G13" i="15"/>
  <c r="G16" i="15" s="1"/>
  <c r="X19" i="15" s="1"/>
  <c r="S15" i="14"/>
  <c r="R15" i="14"/>
  <c r="T15" i="14"/>
  <c r="T7" i="14"/>
  <c r="T5" i="14"/>
  <c r="R5" i="14"/>
  <c r="Q21" i="14"/>
  <c r="S24" i="14"/>
  <c r="S25" i="14" s="1"/>
  <c r="Q25" i="14"/>
  <c r="Q10" i="14"/>
  <c r="F15" i="14"/>
  <c r="S10" i="14"/>
  <c r="R10" i="14"/>
  <c r="E15" i="14"/>
  <c r="E13" i="14"/>
  <c r="E16" i="14" s="1"/>
  <c r="R19" i="14" s="1"/>
  <c r="G15" i="14"/>
  <c r="G13" i="14"/>
  <c r="G16" i="14" s="1"/>
  <c r="T19" i="14" s="1"/>
  <c r="I15" i="14"/>
  <c r="I13" i="14"/>
  <c r="I16" i="14" s="1"/>
  <c r="T10" i="14"/>
  <c r="Q5" i="14"/>
  <c r="Q7" i="14"/>
  <c r="S5" i="14"/>
  <c r="S7" i="14"/>
  <c r="R24" i="14"/>
  <c r="R25" i="14" s="1"/>
  <c r="D13" i="14"/>
  <c r="D16" i="14" s="1"/>
  <c r="D15" i="14"/>
  <c r="S21" i="14"/>
  <c r="T21" i="14"/>
  <c r="R21" i="14"/>
  <c r="F13" i="14"/>
  <c r="F16" i="14" s="1"/>
  <c r="S19" i="14" s="1"/>
  <c r="E21" i="12" l="1"/>
  <c r="D21" i="12"/>
  <c r="E14" i="12"/>
  <c r="D14" i="12"/>
  <c r="G21" i="12"/>
  <c r="F21" i="12"/>
  <c r="F14" i="12"/>
  <c r="G14" i="12"/>
  <c r="S9" i="12" s="1"/>
  <c r="S24" i="12"/>
  <c r="S23" i="12"/>
  <c r="R23" i="12"/>
  <c r="Q23" i="12"/>
  <c r="P23" i="12"/>
  <c r="S21" i="12"/>
  <c r="R21" i="12"/>
  <c r="Q21" i="12"/>
  <c r="P21" i="12"/>
  <c r="P24" i="12"/>
  <c r="S20" i="12"/>
  <c r="R20" i="12"/>
  <c r="Q20" i="12"/>
  <c r="G20" i="12"/>
  <c r="S7" i="12" s="1"/>
  <c r="F20" i="12"/>
  <c r="R7" i="12" s="1"/>
  <c r="E20" i="12"/>
  <c r="Q7" i="12" s="1"/>
  <c r="D20" i="12"/>
  <c r="P7" i="12" s="1"/>
  <c r="H20" i="12"/>
  <c r="S16" i="12"/>
  <c r="R16" i="12"/>
  <c r="Q16" i="12"/>
  <c r="P16" i="12"/>
  <c r="T15" i="12"/>
  <c r="S14" i="12"/>
  <c r="R14" i="12"/>
  <c r="Q14" i="12"/>
  <c r="P14" i="12"/>
  <c r="S13" i="12"/>
  <c r="R13" i="12"/>
  <c r="Q13" i="12"/>
  <c r="P13" i="12"/>
  <c r="C11" i="12"/>
  <c r="B11" i="12"/>
  <c r="H10" i="12"/>
  <c r="G10" i="12"/>
  <c r="S3" i="12" s="1"/>
  <c r="F10" i="12"/>
  <c r="R3" i="12" s="1"/>
  <c r="E10" i="12"/>
  <c r="Q3" i="12" s="1"/>
  <c r="D10" i="12"/>
  <c r="P3" i="12" s="1"/>
  <c r="C10" i="12"/>
  <c r="B10" i="12"/>
  <c r="H8" i="12"/>
  <c r="H11" i="12" s="1"/>
  <c r="H15" i="12" s="1"/>
  <c r="G8" i="12"/>
  <c r="G11" i="12" s="1"/>
  <c r="F8" i="12"/>
  <c r="F11" i="12" s="1"/>
  <c r="E8" i="12"/>
  <c r="E11" i="12" s="1"/>
  <c r="D8" i="12"/>
  <c r="D11" i="12" s="1"/>
  <c r="R11" i="12" l="1"/>
  <c r="R9" i="12"/>
  <c r="P11" i="12"/>
  <c r="P9" i="12"/>
  <c r="G15" i="12"/>
  <c r="Q11" i="12"/>
  <c r="Q9" i="12"/>
  <c r="S11" i="12"/>
  <c r="Q24" i="12"/>
  <c r="Q25" i="12" s="1"/>
  <c r="R24" i="12"/>
  <c r="R25" i="12" s="1"/>
  <c r="Q5" i="12"/>
  <c r="R5" i="12"/>
  <c r="R15" i="12"/>
  <c r="Q15" i="12"/>
  <c r="S15" i="12"/>
  <c r="P15" i="12"/>
  <c r="S5" i="12"/>
  <c r="S25" i="12"/>
  <c r="D15" i="12"/>
  <c r="E15" i="12"/>
  <c r="F15" i="12"/>
  <c r="P25" i="12"/>
  <c r="D13" i="12"/>
  <c r="D16" i="12" s="1"/>
  <c r="P10" i="12"/>
  <c r="E13" i="12"/>
  <c r="E16" i="12" s="1"/>
  <c r="Q19" i="12" s="1"/>
  <c r="P5" i="12"/>
  <c r="Q10" i="12"/>
  <c r="F13" i="12"/>
  <c r="F16" i="12" s="1"/>
  <c r="R19" i="12" s="1"/>
  <c r="R10" i="12"/>
  <c r="G13" i="12"/>
  <c r="G16" i="12" s="1"/>
  <c r="S19" i="12" s="1"/>
  <c r="S10" i="12"/>
  <c r="H13" i="12"/>
  <c r="H16" i="12" s="1"/>
  <c r="F15" i="11" l="1"/>
  <c r="E15" i="11"/>
  <c r="F22" i="11"/>
  <c r="E22" i="11"/>
  <c r="H22" i="11"/>
  <c r="G22" i="11"/>
  <c r="H15" i="11"/>
  <c r="O13" i="11" s="1"/>
  <c r="G15" i="11"/>
  <c r="H9" i="11"/>
  <c r="H12" i="11" s="1"/>
  <c r="H16" i="11" s="1"/>
  <c r="O25" i="11"/>
  <c r="O23" i="11"/>
  <c r="O22" i="11"/>
  <c r="H21" i="11"/>
  <c r="O9" i="11" s="1"/>
  <c r="G21" i="11"/>
  <c r="F21" i="11"/>
  <c r="E21" i="11"/>
  <c r="O18" i="11"/>
  <c r="O16" i="11"/>
  <c r="O15" i="11"/>
  <c r="D12" i="11"/>
  <c r="C12" i="11"/>
  <c r="H11" i="11"/>
  <c r="O5" i="11" s="1"/>
  <c r="G11" i="11"/>
  <c r="F11" i="11"/>
  <c r="E11" i="11"/>
  <c r="D11" i="11"/>
  <c r="C11" i="11"/>
  <c r="G9" i="11"/>
  <c r="G12" i="11" s="1"/>
  <c r="F9" i="11"/>
  <c r="F12" i="11" s="1"/>
  <c r="E9" i="11"/>
  <c r="E12" i="11" s="1"/>
  <c r="H14" i="10"/>
  <c r="R23" i="10"/>
  <c r="S23" i="10"/>
  <c r="E21" i="10"/>
  <c r="D21" i="10"/>
  <c r="P24" i="10" s="1"/>
  <c r="E14" i="10"/>
  <c r="Q11" i="10" s="1"/>
  <c r="D14" i="10"/>
  <c r="G21" i="10"/>
  <c r="F21" i="10"/>
  <c r="G14" i="10"/>
  <c r="S11" i="10" s="1"/>
  <c r="F14" i="10"/>
  <c r="R11" i="10" s="1"/>
  <c r="F10" i="10"/>
  <c r="R3" i="10" s="1"/>
  <c r="G10" i="10"/>
  <c r="S3" i="10" s="1"/>
  <c r="D8" i="10"/>
  <c r="E8" i="10"/>
  <c r="E11" i="10" s="1"/>
  <c r="F8" i="10"/>
  <c r="G8" i="10"/>
  <c r="S14" i="10"/>
  <c r="Q14" i="10"/>
  <c r="P14" i="10"/>
  <c r="Q23" i="10"/>
  <c r="P23" i="10"/>
  <c r="S20" i="10"/>
  <c r="F20" i="10"/>
  <c r="E20" i="10"/>
  <c r="D20" i="10"/>
  <c r="P7" i="10" s="1"/>
  <c r="G20" i="10"/>
  <c r="S21" i="10"/>
  <c r="R21" i="10"/>
  <c r="Q21" i="10"/>
  <c r="P21" i="10"/>
  <c r="P16" i="10"/>
  <c r="S16" i="10"/>
  <c r="R16" i="10"/>
  <c r="Q16" i="10"/>
  <c r="R14" i="10"/>
  <c r="S13" i="10"/>
  <c r="R13" i="10"/>
  <c r="Q13" i="10"/>
  <c r="P13" i="10"/>
  <c r="C11" i="10"/>
  <c r="B11" i="10"/>
  <c r="H10" i="10"/>
  <c r="C10" i="10"/>
  <c r="B10" i="10"/>
  <c r="D10" i="10"/>
  <c r="P3" i="10" s="1"/>
  <c r="H8" i="10"/>
  <c r="H11" i="10" s="1"/>
  <c r="R7" i="10"/>
  <c r="G16" i="11" l="1"/>
  <c r="R24" i="10"/>
  <c r="Q9" i="10"/>
  <c r="Q5" i="10"/>
  <c r="O26" i="11"/>
  <c r="O27" i="11" s="1"/>
  <c r="P27" i="11"/>
  <c r="O11" i="11"/>
  <c r="Q7" i="10"/>
  <c r="R5" i="10"/>
  <c r="O17" i="11"/>
  <c r="O7" i="11"/>
  <c r="E14" i="11"/>
  <c r="E17" i="11" s="1"/>
  <c r="E16" i="11"/>
  <c r="F14" i="11"/>
  <c r="F17" i="11" s="1"/>
  <c r="F16" i="11"/>
  <c r="G14" i="11"/>
  <c r="G17" i="11" s="1"/>
  <c r="H14" i="11"/>
  <c r="H17" i="11" s="1"/>
  <c r="O21" i="11" s="1"/>
  <c r="O12" i="11"/>
  <c r="Q15" i="10"/>
  <c r="P15" i="10"/>
  <c r="R15" i="10"/>
  <c r="P25" i="10"/>
  <c r="S7" i="10"/>
  <c r="S5" i="10"/>
  <c r="R25" i="10"/>
  <c r="H15" i="10"/>
  <c r="H13" i="10"/>
  <c r="H16" i="10" s="1"/>
  <c r="E15" i="10"/>
  <c r="Q10" i="10"/>
  <c r="E13" i="10"/>
  <c r="E16" i="10" s="1"/>
  <c r="Q19" i="10" s="1"/>
  <c r="S15" i="10"/>
  <c r="G11" i="10"/>
  <c r="Q24" i="10"/>
  <c r="Q25" i="10" s="1"/>
  <c r="P11" i="10"/>
  <c r="S24" i="10"/>
  <c r="S25" i="10" s="1"/>
  <c r="E10" i="10"/>
  <c r="Q3" i="10" s="1"/>
  <c r="F11" i="10"/>
  <c r="R9" i="10" s="1"/>
  <c r="D11" i="10"/>
  <c r="P9" i="10" s="1"/>
  <c r="Q20" i="10"/>
  <c r="P5" i="10"/>
  <c r="R20" i="10"/>
  <c r="S10" i="10" l="1"/>
  <c r="S9" i="10"/>
  <c r="F15" i="10"/>
  <c r="F13" i="10"/>
  <c r="F16" i="10" s="1"/>
  <c r="R19" i="10" s="1"/>
  <c r="R10" i="10"/>
  <c r="G15" i="10"/>
  <c r="G13" i="10"/>
  <c r="G16" i="10" s="1"/>
  <c r="S19" i="10" s="1"/>
  <c r="D15" i="10"/>
  <c r="D13" i="10"/>
  <c r="D16" i="10" s="1"/>
  <c r="P10" i="10"/>
  <c r="J6" i="7" l="1"/>
  <c r="F33" i="5" l="1"/>
  <c r="F32" i="5"/>
  <c r="E29" i="5"/>
  <c r="F29" i="5"/>
  <c r="G29" i="5"/>
  <c r="AC15" i="5" l="1"/>
  <c r="K10" i="5"/>
  <c r="AC3" i="5" s="1"/>
  <c r="K8" i="5"/>
  <c r="K11" i="5" s="1"/>
  <c r="E95" i="5"/>
  <c r="C88" i="5"/>
  <c r="B88" i="5"/>
  <c r="G84" i="5"/>
  <c r="G94" i="5" s="1"/>
  <c r="G76" i="5"/>
  <c r="F76" i="5"/>
  <c r="G75" i="5"/>
  <c r="C68" i="5"/>
  <c r="C69" i="5" s="1"/>
  <c r="B68" i="5"/>
  <c r="B69" i="5" s="1"/>
  <c r="E66" i="5"/>
  <c r="E70" i="5" s="1"/>
  <c r="C66" i="5"/>
  <c r="C70" i="5" s="1"/>
  <c r="B66" i="5"/>
  <c r="B70" i="5" s="1"/>
  <c r="G59" i="5"/>
  <c r="G58" i="5"/>
  <c r="F58" i="5"/>
  <c r="F66" i="5" s="1"/>
  <c r="F70" i="5" s="1"/>
  <c r="D58" i="5"/>
  <c r="D66" i="5" s="1"/>
  <c r="D70" i="5" s="1"/>
  <c r="B56" i="5"/>
  <c r="B75" i="5" s="1"/>
  <c r="F51" i="5"/>
  <c r="E51" i="5"/>
  <c r="E26" i="5" s="1"/>
  <c r="C51" i="5"/>
  <c r="C53" i="5" s="1"/>
  <c r="B51" i="5"/>
  <c r="B53" i="5" s="1"/>
  <c r="G49" i="5"/>
  <c r="D49" i="5"/>
  <c r="D51" i="5" s="1"/>
  <c r="G47" i="5"/>
  <c r="F46" i="5"/>
  <c r="F56" i="5" s="1"/>
  <c r="F84" i="5" s="1"/>
  <c r="F94" i="5" s="1"/>
  <c r="E46" i="5"/>
  <c r="E56" i="5" s="1"/>
  <c r="E75" i="5" s="1"/>
  <c r="D46" i="5"/>
  <c r="D56" i="5" s="1"/>
  <c r="D75" i="5" s="1"/>
  <c r="C46" i="5"/>
  <c r="C56" i="5" s="1"/>
  <c r="C75" i="5" s="1"/>
  <c r="G25" i="5"/>
  <c r="E37" i="5" s="1"/>
  <c r="F25" i="5"/>
  <c r="D37" i="5" s="1"/>
  <c r="G24" i="5"/>
  <c r="E36" i="5" s="1"/>
  <c r="F24" i="5"/>
  <c r="D36" i="5" s="1"/>
  <c r="E24" i="5"/>
  <c r="E25" i="5" s="1"/>
  <c r="D24" i="5"/>
  <c r="D25" i="5" s="1"/>
  <c r="G23" i="5"/>
  <c r="F23" i="5"/>
  <c r="F88" i="5" s="1"/>
  <c r="E23" i="5"/>
  <c r="E88" i="5" s="1"/>
  <c r="D23" i="5"/>
  <c r="G22" i="5"/>
  <c r="F22" i="5"/>
  <c r="E22" i="5"/>
  <c r="D22" i="5"/>
  <c r="G21" i="5"/>
  <c r="Z24" i="5" s="1"/>
  <c r="F21" i="5"/>
  <c r="E21" i="5"/>
  <c r="D21" i="5"/>
  <c r="G19" i="5"/>
  <c r="F19" i="5"/>
  <c r="F68" i="5" s="1"/>
  <c r="F69" i="5" s="1"/>
  <c r="E19" i="5"/>
  <c r="E68" i="5" s="1"/>
  <c r="E69" i="5" s="1"/>
  <c r="D19" i="5"/>
  <c r="D68" i="5" s="1"/>
  <c r="D69" i="5" s="1"/>
  <c r="G18" i="5"/>
  <c r="F18" i="5"/>
  <c r="E18" i="5"/>
  <c r="D18" i="5"/>
  <c r="G17" i="5"/>
  <c r="E41" i="5" s="1"/>
  <c r="F17" i="5"/>
  <c r="D41" i="5" s="1"/>
  <c r="E17" i="5"/>
  <c r="D17" i="5"/>
  <c r="G14" i="5"/>
  <c r="F14" i="5"/>
  <c r="C11" i="5"/>
  <c r="B11" i="5"/>
  <c r="C10" i="5"/>
  <c r="B10" i="5"/>
  <c r="G9" i="5"/>
  <c r="F9" i="5"/>
  <c r="E9" i="5"/>
  <c r="D9" i="5"/>
  <c r="G7" i="5"/>
  <c r="F7" i="5"/>
  <c r="E7" i="5"/>
  <c r="D7" i="5"/>
  <c r="G6" i="5"/>
  <c r="F6" i="5"/>
  <c r="E6" i="5"/>
  <c r="F10" i="5" l="1"/>
  <c r="F36" i="5"/>
  <c r="F37" i="5"/>
  <c r="Y20" i="5"/>
  <c r="E43" i="5" s="1"/>
  <c r="E42" i="5"/>
  <c r="Z16" i="5"/>
  <c r="Z23" i="5"/>
  <c r="Z25" i="5" s="1"/>
  <c r="Z3" i="5"/>
  <c r="F41" i="5"/>
  <c r="G68" i="5"/>
  <c r="G69" i="5" s="1"/>
  <c r="Z21" i="5"/>
  <c r="Z20" i="5"/>
  <c r="Z11" i="5"/>
  <c r="Z19" i="5"/>
  <c r="X20" i="5"/>
  <c r="D43" i="5" s="1"/>
  <c r="D42" i="5"/>
  <c r="W20" i="5"/>
  <c r="K15" i="5"/>
  <c r="K13" i="5"/>
  <c r="K16" i="5" s="1"/>
  <c r="W16" i="5"/>
  <c r="Y11" i="5"/>
  <c r="V16" i="5"/>
  <c r="Y21" i="5"/>
  <c r="E44" i="5" s="1"/>
  <c r="Y13" i="5"/>
  <c r="X3" i="5"/>
  <c r="X24" i="5"/>
  <c r="C89" i="5"/>
  <c r="X16" i="5"/>
  <c r="D39" i="5" s="1"/>
  <c r="X11" i="5"/>
  <c r="W14" i="5"/>
  <c r="X13" i="5"/>
  <c r="G51" i="5"/>
  <c r="G53" i="5" s="1"/>
  <c r="X21" i="5"/>
  <c r="D44" i="5" s="1"/>
  <c r="W11" i="5"/>
  <c r="V14" i="5"/>
  <c r="C71" i="5"/>
  <c r="V21" i="5"/>
  <c r="X14" i="5"/>
  <c r="F53" i="5"/>
  <c r="W23" i="5"/>
  <c r="W21" i="5"/>
  <c r="F89" i="5"/>
  <c r="Y14" i="5"/>
  <c r="Y24" i="5"/>
  <c r="Y16" i="5"/>
  <c r="E39" i="5" s="1"/>
  <c r="G66" i="5"/>
  <c r="G70" i="5" s="1"/>
  <c r="G71" i="5" s="1"/>
  <c r="G20" i="5" s="1"/>
  <c r="Y7" i="5" s="1"/>
  <c r="X23" i="5"/>
  <c r="W13" i="5"/>
  <c r="V11" i="5"/>
  <c r="V13" i="5"/>
  <c r="V23" i="5"/>
  <c r="D10" i="5"/>
  <c r="V3" i="5" s="1"/>
  <c r="E53" i="5"/>
  <c r="G88" i="5"/>
  <c r="G89" i="5" s="1"/>
  <c r="B52" i="5"/>
  <c r="D71" i="5"/>
  <c r="D20" i="5" s="1"/>
  <c r="V7" i="5" s="1"/>
  <c r="W24" i="5"/>
  <c r="E8" i="5"/>
  <c r="E11" i="5" s="1"/>
  <c r="E71" i="5"/>
  <c r="E20" i="5" s="1"/>
  <c r="W5" i="5" s="1"/>
  <c r="F26" i="5"/>
  <c r="Y23" i="5"/>
  <c r="F71" i="5"/>
  <c r="F20" i="5" s="1"/>
  <c r="D88" i="5"/>
  <c r="E89" i="5" s="1"/>
  <c r="G8" i="5"/>
  <c r="G11" i="5" s="1"/>
  <c r="F75" i="5"/>
  <c r="B71" i="5"/>
  <c r="D26" i="5"/>
  <c r="D53" i="5"/>
  <c r="C52" i="5"/>
  <c r="E10" i="5"/>
  <c r="W3" i="5" s="1"/>
  <c r="G10" i="5"/>
  <c r="Y3" i="5" s="1"/>
  <c r="D8" i="5"/>
  <c r="D11" i="5" s="1"/>
  <c r="D13" i="5" s="1"/>
  <c r="D16" i="5" s="1"/>
  <c r="F8" i="5"/>
  <c r="F11" i="5" s="1"/>
  <c r="X9" i="5" s="1"/>
  <c r="F42" i="5" l="1"/>
  <c r="G13" i="5"/>
  <c r="Y9" i="5"/>
  <c r="E13" i="5"/>
  <c r="E16" i="5" s="1"/>
  <c r="W19" i="5" s="1"/>
  <c r="W9" i="5"/>
  <c r="Y15" i="5"/>
  <c r="X10" i="5"/>
  <c r="F13" i="5"/>
  <c r="F16" i="5" s="1"/>
  <c r="X19" i="5" s="1"/>
  <c r="W15" i="5"/>
  <c r="X15" i="5"/>
  <c r="X25" i="5"/>
  <c r="G26" i="5"/>
  <c r="D89" i="5"/>
  <c r="Y25" i="5"/>
  <c r="V10" i="5"/>
  <c r="V5" i="5"/>
  <c r="V24" i="5"/>
  <c r="V25" i="5" s="1"/>
  <c r="V15" i="5"/>
  <c r="W10" i="5"/>
  <c r="Y10" i="5"/>
  <c r="G15" i="5"/>
  <c r="E40" i="5" s="1"/>
  <c r="G16" i="5"/>
  <c r="Y19" i="5" s="1"/>
  <c r="W25" i="5"/>
  <c r="E52" i="5"/>
  <c r="W7" i="5"/>
  <c r="G52" i="5"/>
  <c r="F52" i="5"/>
  <c r="X7" i="5"/>
  <c r="X5" i="5"/>
  <c r="D52" i="5"/>
  <c r="Y5" i="5"/>
  <c r="F15" i="5"/>
  <c r="D40" i="5" s="1"/>
  <c r="E15" i="5"/>
  <c r="D15" i="5"/>
  <c r="F40" i="5" l="1"/>
  <c r="C12" i="49"/>
  <c r="F12" i="95" l="1"/>
  <c r="H11" i="49"/>
  <c r="F35" i="95" s="1"/>
  <c r="H12" i="49"/>
  <c r="F36" i="95" s="1"/>
  <c r="C16" i="49"/>
  <c r="F16" i="95" s="1"/>
  <c r="C13" i="49"/>
  <c r="F13" i="9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Sagar Alva</author>
  </authors>
  <commentList>
    <comment ref="G18" authorId="0" shapeId="0" xr:uid="{00000000-0006-0000-6A00-000001000000}">
      <text>
        <r>
          <rPr>
            <b/>
            <sz val="9"/>
            <color indexed="81"/>
            <rFont val="Tahoma"/>
            <family val="2"/>
          </rPr>
          <t>Sagar Alva:</t>
        </r>
        <r>
          <rPr>
            <sz val="9"/>
            <color indexed="81"/>
            <rFont val="Tahoma"/>
            <family val="2"/>
          </rPr>
          <t xml:space="preserve">
Includes exceptional items on account of merger</t>
        </r>
      </text>
    </comment>
  </commentList>
</comments>
</file>

<file path=xl/sharedStrings.xml><?xml version="1.0" encoding="utf-8"?>
<sst xmlns="http://schemas.openxmlformats.org/spreadsheetml/2006/main" count="11729" uniqueCount="775">
  <si>
    <t>FY20</t>
  </si>
  <si>
    <t>Total Operating Income</t>
  </si>
  <si>
    <t>PAT</t>
  </si>
  <si>
    <t>AUM</t>
  </si>
  <si>
    <t>Particulars</t>
  </si>
  <si>
    <t xml:space="preserve"> </t>
  </si>
  <si>
    <t>Profitability</t>
  </si>
  <si>
    <t>FY18 (A)</t>
  </si>
  <si>
    <t>FY19 (A)</t>
  </si>
  <si>
    <t>FY20 (A)</t>
  </si>
  <si>
    <t>FY21 (A)</t>
  </si>
  <si>
    <t>Net Interest Margin</t>
  </si>
  <si>
    <t>Capitalization</t>
  </si>
  <si>
    <t>Leverage (Debt/NOF)</t>
  </si>
  <si>
    <t>CAR</t>
  </si>
  <si>
    <t>NOF/Loan Book</t>
  </si>
  <si>
    <t>Operational Efficiency</t>
  </si>
  <si>
    <t>Operating Expenses: Avg. Assets</t>
  </si>
  <si>
    <t>Loan Book Performance</t>
  </si>
  <si>
    <t>Gross NPA %</t>
  </si>
  <si>
    <t>Net NPA%</t>
  </si>
  <si>
    <t>Provision coverage Ratio</t>
  </si>
  <si>
    <t>Credit Cost</t>
  </si>
  <si>
    <t>Revenue from operations</t>
  </si>
  <si>
    <t>Interest expended</t>
  </si>
  <si>
    <t>Total Income</t>
  </si>
  <si>
    <t>Operating expenses</t>
  </si>
  <si>
    <t>Provisions</t>
  </si>
  <si>
    <t>TNW</t>
  </si>
  <si>
    <t>Total Assets</t>
  </si>
  <si>
    <t>Return Indicators</t>
  </si>
  <si>
    <t>RoA</t>
  </si>
  <si>
    <t>RoE</t>
  </si>
  <si>
    <t>Spread</t>
  </si>
  <si>
    <t>Yields (A)</t>
  </si>
  <si>
    <t>Avg. Cost of Borrowing(B)</t>
  </si>
  <si>
    <t>Spread(A-B)</t>
  </si>
  <si>
    <t>Q1</t>
  </si>
  <si>
    <t>Q2</t>
  </si>
  <si>
    <t>Q3</t>
  </si>
  <si>
    <t>Q4</t>
  </si>
  <si>
    <t>FY18</t>
  </si>
  <si>
    <t>FY 22</t>
  </si>
  <si>
    <t>FY17</t>
  </si>
  <si>
    <t>FY 19</t>
  </si>
  <si>
    <t>FY 21</t>
  </si>
  <si>
    <t>Aud</t>
  </si>
  <si>
    <t>Aud.</t>
  </si>
  <si>
    <t>I GAAP</t>
  </si>
  <si>
    <t>Ind AS</t>
  </si>
  <si>
    <t>Interest Income</t>
  </si>
  <si>
    <t xml:space="preserve">Treasury income </t>
  </si>
  <si>
    <t xml:space="preserve">Other Operation Income </t>
  </si>
  <si>
    <t xml:space="preserve">Net Interest Income </t>
  </si>
  <si>
    <t xml:space="preserve">Operating profit </t>
  </si>
  <si>
    <t xml:space="preserve">PAT </t>
  </si>
  <si>
    <t xml:space="preserve">Net Owned Funds </t>
  </si>
  <si>
    <t xml:space="preserve">Total Debt </t>
  </si>
  <si>
    <t>Loans &amp; Advances (Gross)</t>
  </si>
  <si>
    <t>Gross NPAs</t>
  </si>
  <si>
    <t>Net NPAs</t>
  </si>
  <si>
    <t>Contingent liabilities</t>
  </si>
  <si>
    <t>Contingent liabilities (Rs. in Crs)</t>
  </si>
  <si>
    <t>FY 17</t>
  </si>
  <si>
    <t>Claims against the Company not acknowledged as debts</t>
  </si>
  <si>
    <t>Guarantees</t>
  </si>
  <si>
    <t xml:space="preserve">Taxtaion </t>
  </si>
  <si>
    <t>Other commitments (loan sanctioned but not disbursed)</t>
  </si>
  <si>
    <t>Total</t>
  </si>
  <si>
    <t>% NOF</t>
  </si>
  <si>
    <t>% Total Assets</t>
  </si>
  <si>
    <t>Investments  (Rs. in cr)</t>
  </si>
  <si>
    <t xml:space="preserve">Equity investments in Subsidaries </t>
  </si>
  <si>
    <t>Bajaj Housing Finance Ltd.</t>
  </si>
  <si>
    <t>Bajaj Financial Securities Ltd</t>
  </si>
  <si>
    <t>Equity Investment in Associates</t>
  </si>
  <si>
    <t>10% TNW</t>
  </si>
  <si>
    <t xml:space="preserve">Investments </t>
  </si>
  <si>
    <t xml:space="preserve">Excess </t>
  </si>
  <si>
    <t>Forex</t>
  </si>
  <si>
    <t>Particulars (Rs. in Crores)</t>
  </si>
  <si>
    <t>External Commercial Borrowing</t>
  </si>
  <si>
    <t>Unhedged Exposure  (In USD)</t>
  </si>
  <si>
    <t xml:space="preserve">Credit cost </t>
  </si>
  <si>
    <t>FY 18</t>
  </si>
  <si>
    <t>FY 20</t>
  </si>
  <si>
    <t>Loan Book</t>
  </si>
  <si>
    <t>Total credit cost as a % of loan book</t>
  </si>
  <si>
    <t>Equity infusion (Rs. in crs)</t>
  </si>
  <si>
    <t xml:space="preserve">Equity infused (incl. Secturity prem) </t>
  </si>
  <si>
    <t>FY22 (A)</t>
  </si>
  <si>
    <t>Other income</t>
  </si>
  <si>
    <t>Cost to Income (on total operating  income)</t>
  </si>
  <si>
    <t>Cost to Income (on total operating  income net-off interest expenses)</t>
  </si>
  <si>
    <t>Pre-provisioning operating profit</t>
  </si>
  <si>
    <t>Pre Provisioning operating profit (PPOP)margin</t>
  </si>
  <si>
    <t>Unaud</t>
  </si>
  <si>
    <t>Net Loan</t>
  </si>
  <si>
    <t>Off Book</t>
  </si>
  <si>
    <t>Standalone</t>
  </si>
  <si>
    <t>Consolidated</t>
  </si>
  <si>
    <t xml:space="preserve">AUM </t>
  </si>
  <si>
    <t>Growth</t>
  </si>
  <si>
    <t>Gross NPA</t>
  </si>
  <si>
    <t>Net NPA</t>
  </si>
  <si>
    <t>NIM</t>
  </si>
  <si>
    <t>Credit cost</t>
  </si>
  <si>
    <t>Operating  Profit</t>
  </si>
  <si>
    <t xml:space="preserve">ROA </t>
  </si>
  <si>
    <t>ROE</t>
  </si>
  <si>
    <t>Rs. In Lakhs</t>
  </si>
  <si>
    <t>Rs in Crores</t>
  </si>
  <si>
    <t>Rs in Millions</t>
  </si>
  <si>
    <t>Rs in Lakhs</t>
  </si>
  <si>
    <t>Rs in Crore</t>
  </si>
  <si>
    <t>Rs in crores</t>
  </si>
  <si>
    <t>Rs In Lakhs</t>
  </si>
  <si>
    <t>Rs. In Crores</t>
  </si>
  <si>
    <t>Rs in lakh</t>
  </si>
  <si>
    <t>Rs in Lakh</t>
  </si>
  <si>
    <t>.</t>
  </si>
  <si>
    <t xml:space="preserve">Rs in lakhs </t>
  </si>
  <si>
    <t>Rs in crore</t>
  </si>
  <si>
    <t>Rs in Million</t>
  </si>
  <si>
    <t xml:space="preserve">Muthoot Finance </t>
  </si>
  <si>
    <t>Muthoot Fincorp</t>
  </si>
  <si>
    <t>NBFC - Gold Loan</t>
  </si>
  <si>
    <t>Leverage (Debt/TNW)</t>
  </si>
  <si>
    <t>TNW/Loan Book</t>
  </si>
  <si>
    <t>Aavas Financiers</t>
  </si>
  <si>
    <t>Aptus Value Housing</t>
  </si>
  <si>
    <t>Bajaj Housing Finance</t>
  </si>
  <si>
    <t>HDFC Ltd</t>
  </si>
  <si>
    <t>IKF Home Finance</t>
  </si>
  <si>
    <t>India Shelter</t>
  </si>
  <si>
    <t xml:space="preserve">Indostar Home Finance </t>
  </si>
  <si>
    <t>LIC Housing</t>
  </si>
  <si>
    <t>Vastu Housing Finance</t>
  </si>
  <si>
    <t>Sundaram Home Finance</t>
  </si>
  <si>
    <t>Shubham Housing Development</t>
  </si>
  <si>
    <t>Svatantra Microfinance</t>
  </si>
  <si>
    <t>Repco Home finance</t>
  </si>
  <si>
    <t>PNB Housing</t>
  </si>
  <si>
    <t>Motilal Oswal Home Loans</t>
  </si>
  <si>
    <t>NBFC- HOUSING FINANCE COMPANIES</t>
  </si>
  <si>
    <t>IRFC</t>
  </si>
  <si>
    <t>IIFCL</t>
  </si>
  <si>
    <t xml:space="preserve">Power Finance Corporation </t>
  </si>
  <si>
    <t>PTC India Financial Services</t>
  </si>
  <si>
    <t>NBFC-INFRASTRUCTURE FINANCE COMPANIES</t>
  </si>
  <si>
    <t>IREDA</t>
  </si>
  <si>
    <t>NBFC-ASSET FINANCE COMPANIES</t>
  </si>
  <si>
    <t>KKR Asset Finance</t>
  </si>
  <si>
    <t>Cholamandalam</t>
  </si>
  <si>
    <t>SK Finance</t>
  </si>
  <si>
    <t>Ambit Finvest</t>
  </si>
  <si>
    <t>Aptus Finance</t>
  </si>
  <si>
    <t>Arka Fincap</t>
  </si>
  <si>
    <t>Avanse Financial</t>
  </si>
  <si>
    <t>Avendus Finance Pvt.</t>
  </si>
  <si>
    <t>Capsave</t>
  </si>
  <si>
    <t>Dhani Loans</t>
  </si>
  <si>
    <t>Finova</t>
  </si>
  <si>
    <t>Five star</t>
  </si>
  <si>
    <t>HDFC Credila</t>
  </si>
  <si>
    <t>Home Credit</t>
  </si>
  <si>
    <t>Vivirti</t>
  </si>
  <si>
    <t xml:space="preserve">Veritas </t>
  </si>
  <si>
    <t>Vistaar</t>
  </si>
  <si>
    <t>Ugro Capital</t>
  </si>
  <si>
    <t>Tata Cleantech</t>
  </si>
  <si>
    <t>Tata Capital Financial</t>
  </si>
  <si>
    <t>Shriram City Union</t>
  </si>
  <si>
    <t>SBFC</t>
  </si>
  <si>
    <t>Shapoorji pallonji</t>
  </si>
  <si>
    <t>REC</t>
  </si>
  <si>
    <t>Assem Infra</t>
  </si>
  <si>
    <t>Profectus Capital</t>
  </si>
  <si>
    <t>PHL Finvest</t>
  </si>
  <si>
    <t>IFFCO Kisan</t>
  </si>
  <si>
    <t>Incred Financial</t>
  </si>
  <si>
    <t>Indiabulls Commercial Credit</t>
  </si>
  <si>
    <t>Indostar Capital Finance</t>
  </si>
  <si>
    <t>JM Credit Solutions</t>
  </si>
  <si>
    <t xml:space="preserve">Northern Arc Capital </t>
  </si>
  <si>
    <t>Oxyzo</t>
  </si>
  <si>
    <t>NBFC-WHOLESALE</t>
  </si>
  <si>
    <t>Bajaj group was formed in 1926 by Shri Jamnalal Bajaj. In 1942, his son, Shri Kamalnayan Bajaj took over the reins and diversified the group into various activities. Mr. Rahul Bajaj, took over the charge in 1965. Set up in 1987, Bajaj Finance is a subsidiary of Bajaj Finserv (52.74% ownership as of Dec 2020), the financial services arm of the Bajaj group. It is a systemically important deposit taking NBFC registered with RBI. The company was initially set up as a captive finance arm of the group, financing two and three-wheelers manufactured by Bajaj Auto.
Since then, it has diversified into various lending segments and has become a significant player in retail asset financing segment. BFL focuses on five broad categories: 
(i) Consumer Lending, (ii) SME Lending, (iii) Commercial Lending (including loan against securities), (iv) Rural Lending and (v) Mortgages Besides these, BFL also accepts public deposits and provide value added services like cross selling of life insurance &amp; health insurance products, co-branded credit card, co-branded wallets etc.</t>
  </si>
  <si>
    <t>Segment</t>
  </si>
  <si>
    <t>Average Amount</t>
  </si>
  <si>
    <t>Average Tenor</t>
  </si>
  <si>
    <t xml:space="preserve">Consumer Lending </t>
  </si>
  <si>
    <t>SME Self Employed</t>
  </si>
  <si>
    <t>SME Professional</t>
  </si>
  <si>
    <t>Commercial- Financial Institutions</t>
  </si>
  <si>
    <t>Commercial Others</t>
  </si>
  <si>
    <t>Rural</t>
  </si>
  <si>
    <t>24-25 Thousand</t>
  </si>
  <si>
    <t>4-6 Months</t>
  </si>
  <si>
    <t>6-7 Lakhs</t>
  </si>
  <si>
    <t>3-4 Years</t>
  </si>
  <si>
    <t>11-12 Lakhs</t>
  </si>
  <si>
    <t>25-50 Crore</t>
  </si>
  <si>
    <t>20-25 Crore</t>
  </si>
  <si>
    <t>Max 5 Years</t>
  </si>
  <si>
    <t>3-4Years</t>
  </si>
  <si>
    <t>Tata Motors Finance Limited (TMFL) is an NBFC registered with RBI. It was previously known as Sheba Properties and was acquired by TMF Holdings Limited (TMFHL) from Tata Motors Limited in FY16 as part of the consolidation of finance business under TMFHL. TMFL is currently held by TMFHL (97% stake) and Tata Motors Finance Solutions Limited (TMFSL) (3%). TMFSL is a wholly owned subsidiary of TMFHL. After implementation of the scheme of arrangement, TMFHL became the holding company with two subsidiaries, namely TMFL and TMFSL. TMFHL is responsible for granting loans, guarantees to and making investments in group companies. TMFHL is a wholly owned subsidiary of Tata Motors Limited (TML).TMFL is largely into new vehicle financing and TMFSL is into used vehicle financing. Both the entities also have small vendor/dealer
financing book. Given the strategic importance of the finance arm to TML, the parent has been infusing equity capital into TMFL and
TMFSL at regular intervals through TMFHL</t>
  </si>
  <si>
    <t>STFCL predominantly finances purchase of CV (both used/pre-owned and new). It has also started financing purchase of tractors, passenger vehicles, earth-moving equipment, and large agricultural equipment among others. STFCL is the leader in the pre-owned CV financing segment, with a market share of around 25-30% and ~7-8% market share in new truck financing segment. Apart from this, STFCL also has a small book which includes equipment finance, working capital loans, business loans etc.</t>
  </si>
  <si>
    <t>Incorporated in March 1997, MFL is the flagship company of the George Muthoot group. It is registered as a ‘Systemically Important Non-Deposit-Taking Non-Banking Financial Company (NBFC-ND-SI)’ with the Reserve Bank of India (RBI) that provides finance against personal gold ornaments. The family of the promoter, has been in the goldloan business for more than 80 years.
 The company is primarily into the business of lending against security of gold jewelry which is 99% of
standalone loan book. Based on wide &amp; long industry experience, the company has designed an appropriate assessment and
underwriting methodology. Assessing the purity of gold, fixing the sum that can be lent against a gram of gold, and
determining appropriate LTV ratios are critical aspects in the assessment process</t>
  </si>
  <si>
    <t>The company is primarily into the business of lending against security of gold jewelry which is 93% of loan book. In addition, the company has vehicle loan, corporate loan to NBFC-MFIs which constitute balance 7% of standalone loan book. Based on wide &amp; long industry experience, the company has designed an appropriate assessment and underwriting methodology. Assessing the purity of gold, fixing the sum that can be lent against a gram of gold, and determining appropriate LTV ratios are critical aspects in the assessment process.</t>
  </si>
  <si>
    <t>MAS Financial Services Limited (MFSL) was incorporated in the year 1995 by Mr. Kamlesh Gandhi and Late Mr. Mukesh Gandhi. The company was registered as an NBFC in 1998 with RBI. It was initially engaged in lending of two-wheeler and micro enterprises loans and later on forayed in commercial vehicle loan and SME loan segments. In the year 2008, MFSL floated a subsidiary, MAS Rural Housing &amp; Mortgage Finance Limited (MRHMFL), an NHB registered Housing Finance Company, which provides housing loans to the low-income group segment in rural and semi-urban areas. It is held 59.67% by MFSL and the remaining by the promoters of MFSL directly as on March 31st, 2022. Brief financials are given under other annexures. MFSL initially started its lending activities in the state of Gujarat and has gradually ventured and established its footprint in six other states (Rajasthan, Maharashtra, Madhya Pradesh, Karnataka, Tamil Nadu, Delhi/ NCR) and has expanded its operations across 114 branches at a standalone level and 69 branches of its housing finance company (HFC) subsidiary and is covering more than 4100 locations catering to the funding requirement of around seven lakh live customers.MFSL’s shareholders included marquee investors such as Axis Mutual Fund, IDFC Sterling Equity Fund, TATA AIA Life insurance and Vistra ITCL I Limited amongst others.
Company’s product focuses more on middle and low income customer segments, and includes five principal categories:
i. micro-enterprise loans
ii. SME loans
iii. two-wheeler loans
iv. Commercial Vehicle loans (which include new and used commercial vehicle loans, used car loans and tractor loans)</t>
  </si>
  <si>
    <t>PNBHFL provides housing loans to individuals and corporate bodies for construction, purchase, repair and upgradation of houses. It also provides loans for commercial space, loan against property and loan for purchase of residential plots. The company also accepts Public Deposits of different maturities and various interest payment options. PNBHFL is the fifth largest HFC (by loan assets) and second largest HFC (by deposits) in India with asset under management (AUM) of Rs.84722 crs as of 31.03.2019 out of which it has securitized book of Rs.10699 crs (13% of AUM).</t>
  </si>
  <si>
    <t>Aavas Financiers Ltd (AFL) was incorporated in August 2011 as ‘Au Housing Finance Private Limited’ and is registered as housing finance company with NHB. It started operations in 2012 from Rajasthan AFL was promoted by AU Financiers (India) Limited, (now known as AU Small Finance Bank Limited), which sold 90.10% of the total 97% outstanding equity interest of the company in connection with its conversion to a small finance bank, to Lake District Holdings Limited (a subsidiary of Kedaara Capital I Limited), Kedaara Capital Alternative Investment Fund - Kedaara Capital AIF 1, Partners Group ESCL Limited and Partners Group Private Equity Master Fund LLC in June, 2016. Subsequently name of the company was changed to Aavas Financiers Ltd. (from AU Housing Finance Pvt Ltd).</t>
  </si>
  <si>
    <t>Housing Loans</t>
  </si>
  <si>
    <t>Lap Loans</t>
  </si>
  <si>
    <t>FY19</t>
  </si>
  <si>
    <t>FY21</t>
  </si>
  <si>
    <t>Q1FY22</t>
  </si>
  <si>
    <t>Total Disbursements</t>
  </si>
  <si>
    <t>RHFL is a affordable Housing Finance Company that provides loans for purchase/ construction/repairs to houses in accordance with all applicable regulatory prescriptions including the guidelines/directions of Reserve Bank of India (RBI)/National Housing Bank (NHB). The Company is primarily targeting markets that are relatively underpenetrated. The key target markets are in tier 2 and tier 3 cities and at the peripheral areas of tier 1 cities and as of Sept 30, 2021, the Company had 153 branches and 24 satellite centres catering to these markets. RHFL has a broad-based customer mix and the loans to salaried and non-salaried borrowers constituted 48.5% and 51.5%, respectively, of total AUM as at June 30, 2021.</t>
  </si>
  <si>
    <t>Ugro, was originally incorporated as Chokhani Securities Limited in 1993, it is a systemically important nondeposit taking non-banking financial company (NBFC) registered with the Reserve Bank of India (RBI). Pursuant to a change in management, the company was renamed as UGRO Capital Limited (UCL). The company's equity shares are listed on the Bombay Stock Exchange (BSE). UGRO’s business model is based on technology adoption at each and every stage, right from initial screening of the borrower to monitoring of the exposures, at the post disbursal stage. UGRO’s average ticket size is Rs. 15 lacs with maximum single party exposure of ~Rs. 5 Cr. Hence, the portfolio is expected to be granular in nature and with high degree of technological support for effective monitoring of the portfolio. UGRO’s target clientele are MSME units from nine identified sectors, which are Healthcare, Education, Chemicals, Food Processing/FMCG, Hospitality, Electrical Equipment’s and Components, Auto Components, Light Engineering and Micro Enterprise Segment. UGRO has identified these sectors from an in-depth study and recommendations from external advisory agencies. UGRO divides these sectors into multiple sub – sectors and approach them with concept of eco system around them.</t>
  </si>
  <si>
    <t>Aum</t>
  </si>
  <si>
    <t>Branch Led</t>
  </si>
  <si>
    <t>Machinery Finance</t>
  </si>
  <si>
    <t>Scf Finance</t>
  </si>
  <si>
    <t>partnership &amp; Alliance (Micro Enterprises)</t>
  </si>
  <si>
    <t>Particulars(Rs Crore)</t>
  </si>
  <si>
    <t>Ambit Finvest is registered with the Reserve Bank of India (RBI) as a systemically important non-deposit taking NBFC. AFPL started operations in FY11 primarily as a wholesale lender. However, over the last 2 years, the company has diversified its lending and expanded into retail domain (SME financing). Effective from 01.09.2018, Ambit Finvest had acquired retail and SME lending business of Finmax Credit and Finance Private Limited (Finmax), a fintech firm. This has helped build Ambit’s play in the SME lending sector tapping into Finmax’s technology tools for client requirements in the space. The company has achieved loan book of Rs, 1,056 crores as on Sep 30, 2021 (16% Structure finance) and balance 84% SME financing, since FY 19 the company focused to reduced its corporate/ SF book which was ~ 36% in FY 19 on an AUM of Rs. 769 crores whereas the book stands at 16% as stated above as on Sep 2021. Below is the YoY movement of reduction in SF book since Mar’19.</t>
  </si>
  <si>
    <t>Arka Fincap Limited (erstwhile Kirloskar Capital Limited) is an NBFC registered with RBI and is part of Kirloskar’s group (headed by Rahul Kirloskar and Atul Kirloskar) plan to diversify its business. The Company intends to operate in three product segments: Corporate Lending, Real Estate lending and Retail/ SME lending . In FY20, the company started its lending operations in the form of corporate and real estate lending. It started its retail/ SME lending subsequently in August 2020. Due to Covid-19, the retail segment plan has been deferred by 6 – 9 months compared to what was originally planned. As the company is in its nascent stage of operation, it did larger ticket size loans to support the skewed infrastructure establishment expenses</t>
  </si>
  <si>
    <t>Loan Book Details as on Sep 2020</t>
  </si>
  <si>
    <t>Loan O/S</t>
  </si>
  <si>
    <t>% Share</t>
  </si>
  <si>
    <t>Real Estate</t>
  </si>
  <si>
    <t>Retail</t>
  </si>
  <si>
    <t>Corporate</t>
  </si>
  <si>
    <t>Line of activity : Aptus, right from the inception in 2010, has kept the focus in providing individual home loans to the underserved Low and Middle Income (LMI) families largely in Tier II and III Cities to buy or construct a home of their own. More than 80% of the sanctioned customers belong to the LMI /self-employed category and also customers belonging to salaried class in the informal segment who largely earns cash salaries. 
Average Ticket Size: Most of Aptus customers are either constructing a house on their own plot of land or buying an apartment of their own, mostly first home. The average value of the properties funded is around Rs. 15 – 30 Lacs. Borrower profile: Typical customer of Aptus will be an individual who runs a business of his own like retailers, agents, professionals, traders, shop owners, contractors, service centers etc. or an individual who works in an informal set up and earns cash salary. The target customers have limited access to credit from formal channels given the lack of proper income documents. With a high share of first-time borrowers, the target borrower segment is relatively more susceptible to income shocks.Self -employed segment constituted around 73% of the total portfolio as on Sept 30, 2020.</t>
  </si>
  <si>
    <t>Mumbai based, CFPL was incorporated in 1992 as a Non-deposit taking Non-Banking Finance Company (ND-NBFC). · CFPL commenced its operations in 2016. · The company is engaged in offering equipment leasing under operating and finance lease, bill discounting facility (majorly for RAPL). CFPL is also recently ventured into supply chain financing. The equipment like IT products (laptops, Apple phones etc.), Plant &amp; Machinery, ATM machines and Furniture and Fit Outs. CFPL has its assets deployed on a pan India level and operates through 6 offices across Mumbai (headquarters), Pune, Delhi, Hyderabad, Chennai and Bangalore, as on March 31, 2021. · CFPL’s clients include reputed corporates like Tata Consultancy Services Limited, Mahindra &amp; Mahindra Financial Services Limited, The Tata Power Company Limited, PricewaterhouseCoopers Service Delivery Centre (Kolkata) Private Limited among others.
Line of activity: · Capsave offers leasing and financing options designed to provide customers access to the equipment they need whilst minimising the financial and technological risks accompanied by ownership. Capsave provides a cost effective way to acquire, retain, upgrade, dispose off the technology in an environmental friendly manner and replace it. The capsave clients include Indian Corporate with investment grade rating having turnover of minimum INR 100 million and having vintage of minimum 3 years. · CFPL started with operating and finance lease of equipment across a range of corporates, including private equity, venture capital and start-ups. These equipment are in the nature of IT products, Plant and Machinery, Furniture and Fit Outs which contributed about 59% of the total portfolio as on March 31, 2021 · CFPL also provides bill discounting facility to its parent, RAPL, which contributed ~17% to the total AUM as on March 31, 2021. · Subsequently in FY2021, CFPL ventured into supply chain financing under which the company provides financing to vendors of manufacturing companies (also called anchors). This segment contributed around 24% of the total AUM as on March 31, 2021. Given that supply chain financing is a new segment for the company, the performance of this portfolio is yet to be demonstrated. Further, the company has been scaling up its portfolio over the last two years. Considering an average portfolio tenure of 3-4 years, the company’s portfolio is yet to witness business cycles.</t>
  </si>
  <si>
    <t>CIFL is a non-deposit taking NBFC registered with the Reserve Bank of India. The company is engaged in extending wholesale credit with a focus on real estate, Loan against Property and corporate/structured finance loans. The company commenced its lending operations in November 2017, led by Mr. Keshav Porwal (Managing Director), Mr. Amit Sahai Kulshreshtha (Executive Director &amp; Chief Executive Officer), and Mr. Vineet Kumar Saxena (Non- Executive Director), each having an experience of nearly two decades in financial services. 
REMITX: A new business line of Capital India Finance Limited (CIFL), REMITX is an integrated Foreign Exchange Service Provider offering comprehensive forex solutions to various customer segments in India CIFL, under the brand name of REMITX, holds Authorised Dealer (Category II) license from RBI to conduct foreign exchange business The Focus Of REMITX Is to Provide End To End B2C Forex Solutions Leveraging Technology The division has branches across New Delhi, Mumbai, Jalandhar, Ludhiana, Agra, Chennai, Nasik, Nagpur, Ahmedabad, Patiala, Chandigarh, Bhopal, Gwalior, Visakhapatnam, Kapurthala and Jaipur Services Offered: a. Blocked account: Mandate by Govt of Germany to open Blocked Account by every non-European traveler going to Germany. REMITX has exclusive tie-up with Eco-Escrow Pan India &amp; Non-EU countries to facilitate opening of Blocked Account b. Foreign Currency Notes: Buying and selling foreign currency bank notes c. Send Money Abroad: Remittance towards Education, Medical Treatments, Business Travel, VISA Fees, MICE etc d. Foreign Currency Demand Draft e. Foreign Currency Prepaid Card: Multi-currency Forex prepaid cards accepted at various Merchants and ATMs for POS and Cash withdrawal f. Student Travel Insurance: Travel insurance covering Medical Exigencies, Flight cancellations, loss of baggage, theft etc</t>
  </si>
  <si>
    <t>The Government of India established the Industrial Finance Corporation of India (IFCI) on July 1, 1948, as a Development Financial Institution to cater to the long-term finance needs of the industrial sector. IFCI was provided access to low-cost funds through the central bank's Statutory Liquidity Ratio (SLR), which in turn enabled it to provide loans and advances to corporate borrowers at concessional rates. The constitution of IFCI was changed in 1993 from a statutory corporation to a company under the Indian Companies Act, 1956. Subsequently, the name of the company was also changed to "IFCI Limited" with effect from October 1999. In early 2000s, IFCI witnessed deteriorated asset quality, resulting in high credit losses, which wiped off the entire net worth of the company. In 2002-03, Government of India, in consultation with the other stakeholders, worked out a financial rescue package for IFCI that included restructuring of its liabilities. 
IFCI’s net worth turned positive in FY2007 and it resumed its lending operations in January 2008. IFCI was categorized as systemically Important Non-Deposit taking Non-Banking Financial Company (NBFCND-SI) by the Reserve Bank of India in FY2008. 
IFCI provides financial assistance for the growth of various industries across the country. The financial activities include a wide variety of projects such as airports, roads, telecom, power, real estate, manufacturing, services sector and other such allied projects. During its existence of 70 years, financial assistance was provided by IFCI for setting up major projects like Adani Mundra Port, GMR Goa International Airport, Salasar Highways, NRSS Transmission, Raichur Power Corporation to name a few. The company has played a pivotal role in establishing various reputed intermediaries of the market like Stock Exchanges, Entrepreneurship Development Organizations, Consultancy Organizations, Educational and Skill Development Institutes across the country. The Government of India has kept a fund of Rs. 200 crore with IFCI to promote entrepreneurship among the Scheduled Castes and to provide finance to these entrepreneurs at concessional rates. IFCI has also contributed an amount of Rs. 50 crore as the lead investor and sponsor of the fund. IFCI Venture Capital Funds Ltd., a subsidiary of IFCI Ltd., is the investment manager of the fund. This fund is operational from the financial year 2014-15 and IVCF is continuously striving to fulfill the objectives of this scheme. In addition, the Ministry of Social Justice &amp; Empowerment, Government of India has designated IFCI as a nodal agency for the implementation of the “Credit Growth Guarantee Scheme for Scheduled Caste Entrepreneurs” in March 2015, with the objective of providing support to the Scheduled Castes community. Entrepreneurship is to be promoted among the Scheduled Castes by providing financial assistance to entrepreneurs through credit enhancement guarantees through member lending institutions i.e. banks.</t>
  </si>
  <si>
    <t>MCSL is an NBFC with strong presence in rural and semi-urban areas in South. The major product of the Company i.e. providing timely small credit to the common man who needs a two-wheeler / used car. The Company has been working at the bottom of the pyramid and have been creating products to meet the needs of the customers in that segment.</t>
  </si>
  <si>
    <t>IndoStar Capital Finance Limited (ICFL) is registered with the Reserve Bank of India (RBI) as a systemically important non-deposit taking NBFC. ICFL started operations in 2011 primarily as a wholesale lender. However, over the last 3 years, the company has diversified its lending and expanded into retail domain (SME and Vehicle financing) in ICFL and home loan business through wholly owned subsidiary company (Indostar Home Finance). With increase in retailization, the corporate: retail mix has improved from 74:26 in FY18 to 20:80 in FY21. This has been possible through acquisition of CV book from IIFL. In FY19, ICFL brought the CV book from IIFL of Rs. 3515 Crores (on book Rs. 2243 Cr and off book, Rs. 1272 Cr) for a purchase consideration of ~Rs. 2420 Cr.</t>
  </si>
  <si>
    <t>Fedfina was initially engaged in the distribution of automobile and home loans for Federal Bank. It received a non-bank finance company license in 2010, post which, it started gold finance in 2011, LAP finance in 2012 and construction finance in 2014. During fiscal 2020, the company started unsecured business loans and home loans. Retail loans comprised of 98% of the AUM, while wholesale book has declined to 2% as on September 30, 2021 from 26% as of March 31, 2017. The company has 463 branches in 15 states as on September 30, 2021 · 
The operations are divided into three categories: retail lending (gold loans, LAP, business loans, personal loans, housing loans), wholesale lending (loans to NBFCs and construction loans) and distribution business (sourcing housing loans, auto loans, personal loans, SME loans for parent company). While retail loans and wholesale loans generate interest income and fee income for the company, the distribution business contributes to its fees and commission income. · Management intends to focus on retail segments going ahead and continue to gradually scale down the developer finance and structured finance portfolio (96% retail book as on Mar’21). 
AUM details and loan book features: The mix between the secured and unsecured portfolio was 88:12 as on September 30, 2021. However, the overall portfolio is likely to remain dominated by gold loans and LAP over the medium term. Over the last three years, Fedfina increased the granularity of the portfolio by foraying into products like housing loans, microfinance and personal loans, and unsecured business loans. Further, within the LAP segment, Fedfina forayed into small ticket size LAP and also lowered the average ticket size in medium ticket size LAP.</t>
  </si>
  <si>
    <t>The company is engaged in providing MSME loans to individuals (salaried and self-employed) for business purpose. It also provides housing loans however majority of the book comprises of MSME loans (91% as of Dec-21). The loan book is 100% secured with underlying security being property of the loan borrower (~90% is Self-occupied residential property) with 35% being first time borrowers.</t>
  </si>
  <si>
    <t>Five-Star Business Finance Limited is a Systemically Important Non-Deposit taking Non-Banking Financial Company (“NBFC-ND-SI”) registered with the Reserve Bank of India.The company was established in 1984 and promoted by Mr V K Ranganathan. Presently it is managed by Mr D Lakshmipathy (Son-in-law of Mr.V K Ranganthan), who joined the Board of the company in 2002, and is currently its Chairman and Managing Director. Five-Star is mainly engaged in providing secured Small Business Loans, mortgage loans and Housing loans to its customers in urban, semi-urban and fast-growing rural geographies. FSBFL predominantly provides small ticket loans with an average ticket size of ~Rs. 3.0-3.5 lakh to self-employed borrowers belonging to the middleand-lower-income segments. About 88% of the portfolio is up to the Rs. 5.0 lakh bucket with about 77% having a tenor of 6-7 years as of March 2021. In terms of the borrower segment, ~70% of the borrowers belong to the service industry and majority of the borrowers are not having documentary proofs of income. Further, around 30-40% of the active borrowers are new to the formal credit system and about 65-70% of the collections continue to remain in the cash mode. The AUM stood at Rs. 4,445 crore as of March 31, 2021 (Rs. 3,892 crore as of March 31, 2020).</t>
  </si>
  <si>
    <t>VCPL is primarily involved in arranging funds for other NBFCs mainly engaged in Auto Finance, business loans, MFIs, affordable HFCs, etc. The core competency of the company is to arrange funding to NBFCs through securitization, assignments and other structured products, for which it earns a fee income. However, once the entities grow and better positioned, VCPL takes direct exposure in the formof term loan. VCPL arranges funds for other NBFCs by arranging CPs, NCDs, Bank Loans, Securitization and Tier II Capital for other NBFCs. As an arranger, VCPL has successfully closed deals of ~Rs. 50,000 Crores (so far on cumulative basis). It also directly lends to these companies in the form of Term Loans, Working capital loans, Guarantees, Supply Chain and retail loans through co-lending programme. As on March 31, 2021, VCPL had an AUM of Rs. 1905 Crores with 250 customers. The proprietary platform – CredAvenue – enables Vivriti’s clients, ranging from unrated to the high rating category, to raise debt frominstitutional investors like banks, mutual funds, and domestic and international institutions among others. The participants benefit fromthe platform through real-time price discovery for a debt proposal, a transaction engine to facilitate the process, a credit assessment module for investor information and a post-transaction portfolio management tool. This platform brings together all aspects of a deal through a collaboration module and offers automated workflow, which allows a seamless, efficient and faster turnaround for the execution of transactions. The platform has already been accessed and used by 650+ borrowers/issuers, 250+ lenders/investors, etc. VCPL currently has 212 employees spread across its offices in Chennai and Mumbai. VCPL operates through 85 branches spread across 20 states.</t>
  </si>
  <si>
    <t>Vastu Housing commenced operations in 2015. It is primarily engaged in the affordable housing segment, with an average ticket size of Rs 11-12 lacs (Max permissible ticket Size: Rs 75 lacs with maximum tenor of 20 years for home loans and 15 years for LAP loans), and caters primarily to the self-employed segment, which accounted for nearly 78% of the book as of June 21 (79% as of Dec-20).</t>
  </si>
  <si>
    <t>TVSCSL commenced operations as a captive financier of two-wheelers in FY2011 and gradually expanded into other asset classes viz., used cars (FY2013), new tractors (FY2013), used tractors (FY2015), consumer durables (CD; FY2018), used commercial vehicles (CVs; FY2018) and micro, small &amp; medium enterprises (MSMEs; FY2019). · TVSCSL has exposure to borrowers with a modest credit profile as a large proportion of its disbursements are to borrowers without banking habits (especially two-wheeler financing). The company predominantly targets the self-employed segment, which is prone to income shocks. · The company’s operations are spread across 25 states and Union Territories in India. Its retail loan portfolio stood at Rs. 11,240 crore as of March 2021 (Rs. 9,215 crore as of March 2020) and improved to 11,696 crore as of September 30, 2021.</t>
  </si>
  <si>
    <t xml:space="preserve">Svatantra Micro Housing Finance Corporation Limited (SMHFCL), a housing finance company, is promoted by Birla Family and investment companies of Aditya Birla Group § The company follows a project-led business model, wherein the company identifies potentially viable projects to fund its individual units § The company does not have its own branches as the field staff operate from the project sites. Regional teams carry out builder, technical, and legal checks before referring the project back to a centralized credit committee, which ultimately takes decision on selection of project with information on builder, pricing, locality, market scenario and probable customers § Once a project is finalized, the borrowers' credit profiles are verified and underwriting process is done before considering for disbursement § The collections and the underwriting operations other than the credit committee are decentralized § It uses an app for end-to-end processing of the loan, from sourcing to disbursal to collections § In future, the company plans to increase focus on self-construction housing loans over the medium term. It also plans to enter the rural housing segment through cross-sell opportunities available through Svatantra's network (microfinance business). It is not into funding land properties § It is currently offering loans in two product categories as detailed below: Housing Loan: Under this category, company targets individuals in low income group, who will avail benefits under the affordable housing scheme. The company sources customers through a project led approach – wherein financing is provided to individuals for purchase of houses under the projects selected by the Company. First of all, the project is selected basis the defined criteria and post that the buyer is selected for offering the loan. It also has loans under the scheme of PMAYCLSS (Scheme detailed in Annexure V) Home loan under BLC scheme: BLC (Beneficiary-Led Individual House Construction or Enhancement, scheme detailed in Annexure) is government run scheme, where individual eligible families belonging to Economically Weaker Section (EWS) categories can avail subsidy of up to Rs. 1.5 lacs to either construct new houses or enhance existing houses on their own. Company has recently ventured into this as this is high yield generating product segment and in medium term wants to increase focus on this segment Loan Portfolio characteristics (Sep’21 ): - Loan book has grown from Rs 456 Crores in FY18 to Rs. 812 crores as on Mar’21 and further stood at Rs. 914 crores at Sep 30, 2021. - The company operates in twelve states/ UTs covering 100 districts. Three major contributors are Gujarat (36%), Maharashtra (20%) and Rajasthan (24%) of the loan book as of Sep’21 - The company has an average ticket size of ~Rs 4.25 lakh with contractual tenor maximum up to 20 years with average tenor of 12-15 years for home loans. The ticket size is low also due to the subsidy adjusted against the principal under PMAY scheme which forms around 80% of the loan book - Average yield is 11% for housing loans and under BLC lending shall be in the range of 16-18%. - As of Sep 2021, the book is almost entirely in the form of housing loan as BLC is a new product and due to covid uncertainties, company has not disbursed much funds under the said segment - The average household income of customers is about Rs 30,000 p.m. for housing loans - Salaried Customer share is around ~61% of the loan portfolio as of Sep’21 - Majority of the loans are in the LTV range of 70-85% - The company has given only 10 builder loans aggregating Rs 18.59 crores . the company selectively does the builder CF loans basis available cash flows and projects for a tenor of 3 – 4 years. As on Sep 21, the builder loan portfolio was standard . Overall this book will be &lt;5% of the overall loan book
- Majority of the loan, around 82%, are in the range of 45% of Fixed obligation to Income Ratio (FOIR) of the
end customer which is at par with affordable housing peers
</t>
  </si>
  <si>
    <t>Shubham Housing development finance corporation limited (SHDFCL), incorporated in February, 2010, is a Housing Finance Company (HFC) registered with National Housing Bank (NHB) and began its operations in May 2011. It is primarily engaged in business of lending housing loans to the urban lower income group in North, West and Central parts of the country. The loans extended can be used by borrowers for purchase of houses, home improvements, extensions and construction of dwelling units on plots. · Loans extended by Company can be utilized by its borrowers for home purchase, home improvement, home extension, plot purchase and construction of dwelling units. Company also offers loan against property to its customers. Salaried vs Self-employed split in total portfolio will be 57:43 as of Sep-21. Company as a part of its strategy is focusing now towards salaried segment which can be seen from its portfolio as increased to 57% in Sep-2021 from 40% in 2017. · Borrowers’ profile consists of relatively low income customers like service professionals, skilled workers, who would normally fall out of the ambit of traditional lending institutions due to a lack of formal income proofs. o Although customers have relatively lower income, the risk is mitigated to a large extent as 100% of loans given by company are secured against property collateral. Also due to emotional value attached to the house, risk of default is reduced to large extent. o Bulk of company’s loan book has been originated from urban sector (Tier II and Tier III cities). · Lending to such borrowers require special skill set as credit profile of the borrowers could be volatile due to lack of stability in income as well as due to their low disposable incomes and limited cushion available to meet the unforeseen expenses. · Company has developed its own credit appraisal norms like focus on self-occupied residential property with low LTVs, making entire family as co-borrowers and multiple rounds of discussions with family etc. Average LTV on the book is 56% while average ticket size is Rs. 10 lacs as of Sep-21. · SHDFC sources its business through its branches in 9 states through direct distribution by its employees. DSA concentration in total sourcing is limited to 20% with majority loans sourced directly by sales team. Loans are approved based on a conservative evaluation of the household’s cash flows and the property being offered as collateral. · Majority of the loans disbursed by company has loan tenor of 10-20 years and interest rates typically range from 13% to 17%. Maximum tenor offered by company in case of housing loans is 20 years while in case of loan against property is 10 years. · Repayment schedule is fixed taking into account paying capacity and cash flow pattern of the borrower. · Loans against property (LAP) Constitute ~22% of total portfolio. LAP loans are not builder loans and are offered to retail customers for various purposes such as home improvement, daughter’s marriage, purchase of any other asset etc. · Strict criteria for selection of customers such as personal meetings with the whole family, multiple levels of approval for single file which eliminates chances of frauds, credit history checks wherever available, two level valuation for property with higher value and legal opinion reports on the property etc. Disbursement by way of transfer to bank accounts of Borrowers. · Invested in a high end “Nucleus” software, Microsoft Accounting package and “Finnone” for upgrading its monitoring and collections mechanisms. · There is no change in loan sanctioning process and remains same as per last review. · Total head count of company: 1,806 as on Sep 2021.</t>
  </si>
  <si>
    <t>REC was set up by the GoI in 1969 to finance and promote rural electrification projects in India. It now acts as a nodal agency for financing rural electrification projects under GoI-sponsored schemes and provides financial assistance to private power entities, state electricity boards, state government departments and rural electric cooperatives for rural electrification projects. 
Line of activity: REC provides financial assistance to state electricity boards (SEBs), state power utilities (SPUs), state government departments and rural electric co-operatives related to projects aimed at improving rural electricity infrastructure. Since FY2003, REC’s mandate has been broadened to include financing of all types of power projects, including large generation and transmission and distribution (T&amp;D) projects. REC has been designated as the nodal agency for implementation of the programme –‘Deendayal Upadhyaya Gram Jyoti Yojana’ (DDUGJY) scheme of Government of India in year 2014. It was also a nodal agency for Rajiv Gandhi Grameen Vidyutikaran Yojana (RGGVY) which was later subsumed in DDUGJY.</t>
  </si>
  <si>
    <t>PFC finances state sector entities including generating and distribution companies as well as IPPs. As nodal agencies for implementing various GoI schemes aimed at developing the country’s power sector (such as Ultra Mega Power Projects (UMPPs) and the Integrated Power Development (IPD) Scheme), PFC and REC remain strategically important to the GoI for achieving its objective of augmenting the power capacity across the country</t>
  </si>
  <si>
    <t>Loan book has witnessed growth of 7% y-o-y aided by growth in disbursements. - Disbursements grew from Rs.67,997 Cr (FY20) to Rs. 88,301 Cr (FY21), implying a 30% growth yoy. - Disbursements were aided by the regulatory package announced by GOI for liquidity infusion in discoms with PFC and REC being the key implementing agencies. Out of total disbursements for FY21, 59% was towards discoms (PY: 36%). - PFC is exempted from the single/ group borrower exposure norms and concentration limits for state sector entities. Subsequently, PFC faces high concentration risk with advances to top 10 borrowers (viz. Tamilnadu Generation and Distribution Corporation Limited, Rajasthan Rajya Vidyut Utpadan Nigam Limited, Kaleshwaram Irrigation Project Corporation Limited, AP Power Development Corporation Limited) of PFC accounting for 46% of the loan book as on March 21.</t>
  </si>
  <si>
    <t>X</t>
  </si>
  <si>
    <t>NACL is primarily involved in arranging funds for other NBFCs mainly engaged in Auto Finance, business loans, MFIs, affordable HFCs, etc. It also directly lends to these companies in the form of Term Loans and through investing in these company’s money market instruments. NACL arranges funds for other NBFCs through Commercial Paper (CPs), Non Convertible Debentures (NCDs), Bank Loans, Securitization and Tier II Capital for other NBFCs. Northern Arc has a track record of about 10 years in the placement and lending business. NACL operates from 4 offices in metros of India i.e. Mumbai, Delhi, Bangalore &amp; Chennai. It does not have any branch. NACL undertakes complete evaluation of NBFC client portfolio and arrange for interested capital market investors. Further, NACL has partnership arrangement with NBFCs (borrowers of NACL) for MFI and Small Business lending operations. Presently NACL has partnered with ~30 NBFCs for co-lending. Some of them are Visage Holdings, Lending Kart, Capital Float, Samunnati, Neogrowth, Zip Loan etc. NACL majorly operates on an arranger model where they participate in the borrowings of the clients as a junior investor and arranges for a senior investor to whom major portion of the exposure is sold down</t>
  </si>
  <si>
    <t>Home Credit India Finance Pvt. Ltd. (HCIF) is a Non-Deposit taking systemically important NBFC registered with RBI. In 2012, the Home Credit Group acquired Rajshree Auto Finance Pvt Ltd (incorporated in October, 1997) for its entry in the Indian market, and subsequently, on June 5, 2013, the name of the company was changed to its present name. The company is engaged in providing loans to the retail segment for consumer durables (mainly mobile phones, laptops, and tablets) and cash loans. HCIF also offers add-on products in the form of non-credit value-added services and insurance products HCIF operates through the POS model and online model, and as on March 31, 2022, the AUM of HCIF stood at ?4,094 crore</t>
  </si>
  <si>
    <t>Avendus Finance Private Limited (AFPL), a registered NBFC with RBI, is a wholly owned subsidiary of Avendus Captial Private Limited (ACPL) and offers financing products such as promoter funding, corporate finance, customized structured debt solutions and acquisition finance. ACPL was founded in 1999 by Mr. Ranu Vohra, Mr. Kaushal Aggarwal, and Mr. Gaurav Deepak. ACPL operates in the financial services space through its subsidiaries, in the areas of financial advisory, capital markets, wholesale financing, wealth management and alternative asset management. AFPL commenced lending operations in FY2017 in the wholesale financing (Healthcare, IT, Auto with no exposure to Real Estate and Infrastructure Sectors) segment and had outstanding loans of around Rs.1178 crore as on March 31, 2021. The company has ventured into the small and medium enterprises (SME) financing business mainly to the ecosystem of mid-market corporate client base such as vendors, dealers and distributors. KKR acquired stake in the group's flagship company, ACPL, in November 2015, boosting the group's capital position. Furthermore, ACPL raised Rs 292 crore fresh equity capital in fiscal 2018 of which Rs.150 crore was contributed by KKR,
resulting in a 64.4% stake in the company</t>
  </si>
  <si>
    <t>AFIPL is engaged in providing loans for non-housing finance activities in the form of Loan Against Properties (LAP) while its parent provides loans for home loans for the purchase and self-construction of residential property, home improvement and extension loans. The company primarily serves customers in the low and middle-income groups. As of September 30, 2021, 79% of the company’s AUM was from self-employed customers, while 21% was from salaried customers. As of September 30, 2021, about 99% of the AUM were from customers who belonged to the low and middle income groups, earning less than Rs. 50,000 per month and 41% of our AUM were from customers who were new to credit. Further, as of September 30, 2021, 61% of AUM were from customers located in rural regions. The average ticket size on the basis of sanctioned amounts were Rs.6.2 lakhs and the maximum ticket size is around Rs. 15 lakhs. The weighted average LTV as on September 30, 2021 was around 39.00% at the time of sanctioning of the loans. The tenure of the loan is around 7-10 years with average IRR of around 18-21% Details of the loan products is as given below</t>
  </si>
  <si>
    <t>Muthoot Homefin (India) Limited MHIL is a non-deposit taking housing finance company and has been registered with the National Housing Bank (“NHB”) on May 19, 2014. The company was incorporated on August 26, 2011 and is the wholly owned subsidiary of Muthoot Finance Limited (“MFL”), which is one of India’s largest gold financing companies by loan portfolio. Accordingly, MHIL is a part of the group with a legacy of serving customers for over 130 years. The company has a customer base consisting of 22,765 (Q1FY22: 22,421) as at March 31, 2021. As on June 30, 2021, MHIL had a moderate gross loan portfolio of Rs.1,418 crore with a concentrated geographical presence - Maharashtra (40%) followed by Gujarat (25%), Rajasthan (13%) and others (22%).</t>
  </si>
  <si>
    <t>Veritas is currently engaged mainly in providing Collateralized Small Business Loans, Working capital loans and Home construction loans to its customers in urban, semiurban and fast-growing rural geographies. SME loans and construction loans are backed by collateral whereas Working capital loan is a mix of secured/ unsecured loan. The collaterals are usually the residential house property of the borrower(s) (self-occupied in a majority of cases) with exclusive charge resting with Veritas. Property valuation is done by in house team and adequate discounts / haircuts applied to ensure that the valuation reflects near realizable value in a distress scenario. Veritas Finance takes only those commercial properties where the customer currently operates their business from, which ensures emotional connect as much as the residential property where the customer currently resides. One of the core principles of Veritas Finance is to provide loans based on cash flow assessment to ensure that the EMI is around 30% to 40% of monthly net income (installment to income ratio) of the customer. Also, the typical ticket size is between Rs.2 Lakhs to Rs.5 Lakhs (around 70% portfolio in Rs.2-5 lakh loan amount) resulting in affordable EMI amount and the LTV is also restricted up to 50% of the value of the collateral providing adequate cover in cases of stress. The company has secured portfolio of 94% which is secured by residential and self occupied property. The remaining 6% unsecured portfolio is mainly in Chennai where the company has considerable experience and understanding of their borrowers, complimented by a strong collections team.</t>
  </si>
  <si>
    <t>IIFCL is a 100% Government of India (GoI) owned company which commenced its operations from April 2006, and was registered with the RBI as NBFC-IFC during FY14. IIFCL is the apex institution for financing infrastructure projects in India. IIFCL primarily provides financial assistance through long term direct lending (with average maturity of 10 years and more) mainly to PPP projects based on a contract or concession with a Government, refinancing, take-out financing, partial credit enhancement etc</t>
  </si>
  <si>
    <t>DFSIPL is the captive finance arm of DAG. The company commenced operations in June 2011 and is based out of Chennai. DFSIPL provides finances to individuals, corporates and dealers for the purchase of Daimler’s passenger cars and CVs through a network of 120 dealers (36 of Daimler Commercial Vehicles and the rest of Mercedes Benz) across India. It also has 250 touchpoints for after sales service. Furthermore, it provides a range of automotive financial services, such as leasing, insurance, extended warranty, and others. It supports the unit sales of the Daimler Group and helps increase brand loyalty among customers and dealers.</t>
  </si>
  <si>
    <t>The Company received its NBFC license in 2007 and was the first financial services company established as a specialized institution for originating, holding and servicing education loans 
 Line of activity: The Company provides education loan to Indian students to pursue higher education in India and abroad. § HDFC Credila distributes education loan products through its network at 8 locations, i.e., Mumbai, Pune, Hyderabad, Kolkata, Ahmedabad, Chennai, Bangalore and Delhi. The company has its registered office in Mumbai along with 1 Back-end office in Nashik which carries out tele calling and other operational work. § In addition to the 8 hubs and a registered office, the company has 7 HDFC Limited’s branches and 6 small branches spread across mentioned locations for business sourcing. The company also uses various channels for sourcing and marketing, which include the internet, branch network of HDFC Group and a few private sector banks, partnering with colleges, education consultants, and test preparation centers, advertising, and direct marketing. § HDFC Credila provides flexibility in terms of education loan. The credit team studies the student’s requirement and provides the customized solutions. It also provides the flexibility in repayment from India or Abroad (The amount should be equivalent to EMI in Indian rupees). § Education loan covers all of the tuition fees of the college/University, expenses including living and hostel expenses, examination fees, library/laboratory fees other necessary expenses for the course as assessed by the Company. Travel fare economy class return ticket between India and the country of study, if applicable. § The education loans are broadly classified under two heads- Unsecured loans and Secured loan.</t>
  </si>
  <si>
    <t>HDB Financial Services Limited (HDBFSL) is a subsidiary of HDFC Bank Limited (HBL) with shareholding of 95.11% as on March 31, 2021. HDBFSL was incorporated in June 2007 and commenced its lending operations in March 2008. HDBFSL is a lending company which offers various retail loans like Loan against property (LAP), Commercial Vehicle (CV) and Construction Equipment (CE) financing, gold loan, consumptions loans, personal loans, etc. The company operates through network of 1,319 operational branches as on March 31, 2021, located in 959 cities. The company's AUM stood at ~Rs.60000 crores in September 2021. The company is also a corporate agent for HDFC Standard Life Insurance Company and HDFC Ergo General Insurance to distribute their insurance products.</t>
  </si>
  <si>
    <t>IFFCO Kisan Finance Ltd. was incorporated as Kisan Rural Finance Ltd. (KRFL) as an NBFC on 7 December 2017. It started operations of tractor financing from July 2018 post RBI approval. The company is promoted by Indian Farmers Fertilizers Cooperative Organization (IFFCO – 41.33% shareholding as on 31 March 2021 – including shareholding of IFFCO Kisan Sanchar Limited). Other shareholders include N.H. Capital of South Korea (25%), Star Global (18.75%), Aurum Vriddhi Finance (7.5%) and ICICI Bank (7.42%). The name of the company was changed on 6 January 2020. As per the management, the name was changed so as to bring better resemblance with IFFCO brand among the various stakeholders and customers. The company started its operations in July 2018 from Rajasthan and Madhya Pradesh and subsequently in October 2018, in Uttar Pradesh. These three states are having one of the highest concentration of farmers in the country and tractors are used for both farming and commercial activities. Hence, the company has consciously selected to start its operations from these states. It has also started its operations in Bihar from October 2019. It is also to be noted that before incorporating a new NBFC (IKFL), IFFCO tied up with TVS Credit through its subsidiary – IFFCO Kisan Sanchar and ran a pilot project for 16 months from September 2016 for sourcing of tractor loans for TVS Credit and to study the market. IKFL was incorporated after seeing the opportunity and demand. 
Line of activity: IKFL is primarily involved in financing of new and used tractors. Tractors are used not only for pulling farm equipment but are also utilized widely for transportation of goods and commutation. Apart from the above, the company also has tied up with few insurance companies to provide motor insurance, life insurance and disability cover to its customers.</t>
  </si>
  <si>
    <t>IREDA is a strategically important entity for GoI that was promoted by MNRE as a financial institution dedicated to financing of renewable energy and energy efficiency projects. IREDA provides a comprehensive range of financial products from project conceptualization to the post commissioning stage in the renewable energy sector. IREDA provides various fund and non-fund based facilities, including project finance, short terms loans, debt refinancing, performance guarantee and letters of comfort. A Production Linked Incentive (PLI) Scheme has been announced in the budget of FY 2021-22 for manufacturing sector to grow in double digits on a sustained basis, with core competence and cutting-edge technologies. The government has committed nearly Rs.1.97 Lakh Crore, over 5 years starting FY 2021-22 including Rs. 4500 Crore for manufacturing of “High Efficiency Solar PV Modules” under the Atma Nirbhar Bharat Mission which will be implemented by Ministry of New &amp; Renewable Energy where IREDA is the nodal agency to bring scale and size in Solar PV manufacturing, create and nurture global champions and provide Employment to youth. Further, Hon’ble Finance Minister, in the budget announcement of February 2021, had announced infusion of Rs.1500 Crore as Equity in the company with which IREDA would be able to extend additional loan facility of Rs. 12000 Crore and improve its capital adequacy which will help IREDA in borrowing at lower rate of interest, thus lowering the interest rates for developers. It would also help in financing of around 4500 MW of RE projects worth Rs.18000 Crore to Rs.19000 Crore apart from generating an employment of 13500 jobs and reduce emissions of 8.55 million tons of CO2. IREDA is operational in various areas of alternative energy development and has financed sectors like Hydro Energy, Wind Energy, Bio Energy, Biomass Power, Cogeneration, Biofuels (Ethanol/Bio Diesel), Solar Energy, Solar Photovoltaic Market Development Programme, Solar Thermal Programme, Solar Water Pumping Programme etc. IREDA also implements programs on behalf of Ministry of New and Renewable Energy (MNRE) on basis of MOUs, for which MNRE places an agreed sum with IREDA for each program. As income generated from these assets and also the assets itself do not belong to IREDA, loans created out of MNRE funds are not considered for asset classification and provisioning purposes. IREDA has been operating the Generation Based Incentive (GBI) scheme of the MNRE for Wind Energy Projects where Accelerated Depreciation is not being availed by the project developer.</t>
  </si>
  <si>
    <t>PCPL is promoted by the ex CEO of Reliance Commercial Finance, Mr. KV Srinivasan who built one of the market leading SME lending franchises over a period of nearly a decade. He is backed by Actis PE in FY19 where they have make a commitment to invest USD 140 million (~Rs. 1000 crore) in next few years in phases. Mr. KV. Srinivasan is assisted by Mr. Sandip Parikh who is Chief Operating Officer (COO) who has more than 2 decades of experience in finance sectors and been part of the senior management at TATA Finance, GE Capital, ICICI Bank and Reliance Home Finance. The risk function is headed by Mr. Nimesh Parikh having more than 2 decades of experience in Risk domain, having worked with ICICI Bank, HSBC, Citicorp and most recently at Reliance Commercial Finance In the board of PCPL there are 4 nominated director of Actis PE.</t>
  </si>
  <si>
    <t>KKR India Asset Finance Limited (Formerly known as KKR India Asset Finance Private Limited) , was incorporated as a private limited company on June 30, 1989 under the provisions of the Companies Act, 1956. KIAFL is registered with the Reserve Bank of India as a non-deposit taking, systemically important Non-Banking Financial Company (NBFC).</t>
  </si>
  <si>
    <t>Incorporated in 1986, Shriram City is a part of Shriram group of companies. It is registered with RBI as a systemically important, deposit taking, non-banking finance company (NBFC-SI-D). It predominantly operates in the retail financing segment with a focus on small enterprise loans, two-wheeler financing, gold loans, housing loans and others (auto and personal loans). Its assets under management (including housing portfolio) stood at Rs 33,509 crore as on June 30, 2021 of which the standalone AUM stood at Rs 29,599 crore, while the housing portfolio under Shriram Housing stood at Rs 3,910 crore. The company has pan India presence with 926 branches as on March 31, 2021, of which 67% are situated in South India.</t>
  </si>
  <si>
    <t>India Shelter Finance Corporation Ltd (ISFCL) is a Housing Finance Company registered with National Housing Bank. ISFCL was incorporated in 1998 as Satyaprakash Housing Finance India Limited. In September 2009, company was taken over by Anil Mehta and Srinath Mukherji with NIL portfolio and subsequently changed the name to ISFCL. The new management started operations in March, 2010. ISFCL focused on the low cost and affordable housing segment, targeting self-employed customers in the informal low-middle income segment. ISFCL started lending business in 2010 and has a track record of 12 years in this line of business. Company presently has AUM of Rs. 3110 cr with PAT of Rs. 133 cr as on 31.03.22 (provisional) and they have closed the FY22 with total disbursement of around Rs. 1342 crores. GNPA is 2.12%, NNPA is 1.60% and CAR is 58.66% as on 31.3.22 (provisional).</t>
  </si>
  <si>
    <t>The company is primarily into the business of lending against security of gold jewelry which is 97% of standalone loan book in March 2021. In addition, the company has vehicle loan, corporate loan to NBFC-MFIs which constitute balance of standalone loan book. Based on wide &amp; long industry experience, the company has designed an appropriate assessment and underwriting methodology. Assessing the purity of gold, fixing the sum that can be lent against a gram of gold, and determining appropriate LTV ratios are critical aspects in the assessment process.</t>
  </si>
  <si>
    <t>The company is primarily into the business of lending against security of gold jewelry which is 97% of standalone loan book. Based on wide &amp; long industry experience, the company has designed an appropriate assessment and underwriting methodology. Assessing the purity of gold, fixing the sum that can be lent against a gram of gold, and determining appropriate LTV ratios are critical aspects in the assessment process. 
Outreach: The nature of the gold loan business results in high operating cost. With a network of over 800 branches as on March 31st, 2022, the company incurs substantial branch operating cost as proximity to the customer plays a key role in gold loan financing. This is partly offset by growing per branch book size of Rs 3.07 crores as of March 2022 amongst peers in the industry. Around 15% of the gold loan customers transact online in MFL. 
Assets Under Management: Gross Retail Assets (AUM) stood at Rs. 2499 crores in FY22 as against Rs. 1994 crores in FY21 with a growth of ~ 25.29%. As on March 31, 2022, gold loans constituted around 97% of the portfolio. Sourcing: Generally All GL-NBFCs, including Muthoottu Mini work on walk in for which there is centralized advertisement campaigning. Portfolio features: MMFL’s focussing on gold loans with shorter tenor, average LTV of around 65% and average ticket size of about Rs. 50000. The company’s gold loan portfolio is well insulated against gold price fluctuation due to short tenor or loans and comfortable LTV. In gold loan companies generally, people close their loans when they have liquidity on hand and avail again when required in times of need thus reducing the overall tenor.</t>
  </si>
  <si>
    <t>The company has a small microfinance book. It comprises of just 2.58% of the overall portfolio and hence is materially insignificant in terms of its impact on the Balance Sheet. The yield is 18.80% and tenure max 24 months</t>
  </si>
  <si>
    <t>PHL is engaged largely into wholesale lending and provides funding to entities in real estate and other sectors such as infrastructure, hospitality, automotive, financial services, transportation services, renewable energy, entertainment, etc. During FY19 , the group capitalized the company and transferred part of its loan portfolio to PHL. These segments are largely impacted due to covid. · At PHL level, 50:50 (retail: wholesale) mix will be reached by FY24.</t>
  </si>
  <si>
    <t>The company provides home loans and loan against property with average tenor of 220 months and 170 months, while it has a operational vintage of ~ 5 years (60 months) hence the loan book is unseasoned and stood at Rs 1236 crores at the end of FY2022 (grown from Rs 854 crores in FY2020). The company primarily operates in Tamil Nadu (38%), Maharashtra (22%), Andhra Pradesh (12%) and Telangana (12%). The company may face asset quality challenges while it augments its operations in new states and undergo different economic cycles. Target customer susceptible to economic shocks: IHFPL provides housing loans with a focus on the self constructed affordable housing segment (84%) and LAP (16%) to the self-employed / salaried individuals in the outskirts of urban markets and Tier-II cities. Out of the total loans outstanding, the loans to the salaried segment constituted around 51%, and that to the self-employed segment constituted around 49%. Around ~ 30% of the loans are extended to new to credit customers. Comfort is derived from low LTV (max 50%) of the portfolio and loans qualifying for CLSS scheme</t>
  </si>
  <si>
    <t>Target customer: The company lends to smaller businesses within the MSME category with tickets sizes ranging from Rs. 10-70 lakhs 
Product portfolio: The company’s product portfolio is divided into 4 segments – Small Ticket Business Loans (ME), Loan against gold (LAG), Small Commercial Vehicle (SCV) and Business Loans (SME). The company is currently focusing mainly on ME and LAG (the SCV and SME portfolio will run down with no more disbursement in these segments). Company has also started disbursement of Personal Loans to selective customers. At Sept 30, 2021, ME forms 50% of the book, while LAG and Personal Loans contribute 17% and 7% respectively (PTCs form 23% of the overall book) Sourcing: 100% of sourcing is done by employees of the company. There is no dependence on DSA’s for sourcing requirements. This model facilitates closer customer relationships, superior credit evaluation and cost to income ratios. 
Low cost model: SBFC has focus on creating low cost business model. Branches would usually be located on the 2nd/3rd floor of the building and off high street as opposed to high street branches for Banks. Branches usually have minimum facilities and would be typically 600-800 sq foot 
Neighborhood branch based lending: Given the need for a high touch credit model, the SBFC has adopted a neighborhood branch based lending model. It lends only to business that fall within a prescribed radius around the branch (15 km). 
Income based lending: Credit decisions of SBFC is based on a deep understanding of the customer’s business, cash flows and reputation, with the evaluation being led by the branch and credit team. This allows the company to keep delinquencies under check. 
Commission from Insurance: Company has tied up for Health insurance with Religare Health insurance and for Life insurance with ICICI Prudential Life Insurance. 90% of customers are covered under medical insurance and 80% of customers are covered under term plan where company earn commission of ~1%. Co-lending with ICICI Bank: SBFC has entered into a co-lending agreement with ICICI Bank to co-originate loans basis the RBI circular in September 2018 (no other bank has been added as yet)</t>
  </si>
  <si>
    <t>InCred is a non-deposit taking, non-banking financial company headquartered in Mumbai. Incred is a new-age financial services platform that leverages technology and data science, throughout its lending chain, thereby reducing the turnaround time. Since operations began in February 2017, Incred has built a diversified portfolio with AUM of Rs 3,006 crore as on October 31, 2021.</t>
  </si>
  <si>
    <t>OFB group through its business model has created one stop solution for B2B SMEs through which it provides multiple services i.e. procurement of raw material, financing for procuring raw material and business development opportunities. OFB Tech, the parent company of the group having a brand name ‘Ofbusiness”, started its trading operations in 2015 catering largely to small and medium corporates. It trades products like steel, cement, polymers, petroleum derivatives, non-ferrous metals, industrial chemicals, building material, etc. With the increase in scale of operations, the company has now started catering to large corporates as well. The business model of trading involves multiple products of multiple brands, with the procurement being supported by MoUs with direct manufacturers. Furthermore, it does not hold any inventory as 100% of its sales are order-backed, this protects company against any price volatility risk and inventory risk. Oxyzo an NBFC arm of the group provides unsecured and secured purchase finance / business loans to SMEs having turnover of Rs. 5 – 100 Crores engaged in manufacturing/sub-contracting and other B2B businesses with minimum vintage of 5 years, for financing the purchase of raw materials that are used in their core business. Consequently, there are high interlinkages between the operations of both the entities as both entities work as lead generation for one another, both entities added services to each other’s customers and both entities acts as data source for each other providing market insights. As a result, significant monthly disbursements from Oxyzo goes towards SMEs procuring raw material from OFB Tech and significant business of OFB Tech comes from Oxyzo Finance’s customers. The company gets ~15-20% in FY2022 as against ~40% in FY21 of their business from 'OfBusiness' platform clients who opts for purchase financing while procuring raw material on the platform while the remaining ~80% in Fy22 as against ~60% in FY21 business is secured from independent sources. Both the companies have different sales department working independently with cross-sale being one of the focus. The company is looking forward to maintain the ratio of 20-80 for sourcing from OFB tech and independent sources respectively. Financing may be secured (by bank BGs) or Unsecured depending upon the credit profile of the SME. The company targets clients with B2B oriented businesses on purchase as well as sales side i.e. clients siting in the middle of a B2B value chain dealing with bigger parties having sound credit profile to ensure lower counter-party risk. It has divided its target segment into two sub-segments: Manufacturing and Infrastructure Manufacturing includes those clients who have active installed capacity in a running plant and supplies manufactured goods to creditworthy enterprise clients. Infrastructure includes EPC contractors and sub-contractors engaged in Transportation and allied infra (most of such projects enjoy multilateral funding); water supply/sewage related infra activities (such projects are typically supported by World Bank/ADB); and public infra /buildings construction (for parties like CPWD/NBCC/etc. where projects are supported by central Govt.)</t>
  </si>
  <si>
    <t>Till 2012, ABFL was primarily a capital market lender and has later diversified across segments. It has now scaled up its portfolio across segments as listed below. As on June’21 below are major lending segments: § Large and Mid-corporate lending (Average Ticket Size i.e. ATS: Rs.52 Cr) § SME lending (ATS: Rs.5 Cr) § Retail lending (ATS: Rs.4 lakhs) § HNI &amp; Others (ATS: Rs.47 Cr)</t>
  </si>
  <si>
    <t>JMFSCL is the NBFC arm of the JM Financial group engaged in the business of funding real estate projects as well as arranging financing through debt syndication as well as distribution of NCDs to HNIs. JMFSCL mainly funds the real estate projects at various stages in the life cycle of the project. The products of JMFCSL mainly include – • Project Finance: This includes offering loans to developers for construction of residential or commercial projects • Loans against property: This includes loans against the residential or commercial properties with occupation certificate • Loans against shares: This includes loans to investors against the listed or unlisted shares of corporates • Project at early stage loans: This is primarily undertaken against projects which are expected to be launched soon • Loans against land: This funding is primarily undertaken for land acquisition or against land parcels which are not expected to be launched in the near future. These parcels are mostly without approvals at the time of funding</t>
  </si>
  <si>
    <t>BILIPL offers personalized lending solutions to Ultra High Net worth (UHNW) and High Net Worth (HNW) families and individuals across the country. The Company is registered as a Non Banking Financial Company (“NBFC”) with Reserve Bank of India (RBI) and is classified as Non Deposit taking Systemically Important (ND-SI) NBFC for regulatory /reporting purposes BILIPL deals in Loans Against Securities (LAS) business which was launched in May 2009 and has been built on a robust model pertaining to secured lending to High Net worth Individuals and commercial entities owned by them. Credit facilities are specifically offered to meet clients' need for liquidity support against financial assets, such as Equity Shares, Mutual Fund Units (equity, debt and balanced), Bonds, Debentures. Portfolio of the company is backed by 100% liquid cash equivalents. Till 2013, BILIPL was engaged in lending to two sectors, namely Retail Finance and Corporate &amp; other Financing. BILIPL’s retail portfolio was at Rs.1203 Cr at the end of March 2009. Following the change in operating conditions in H2 FY2009, it decided to discontinue the retail lending business in India from December 2011 onwards and shifted their focus to secured book in form of Loan Against Securities (LAS). In 2013, it sold its retail assets portfolio comprising of Personal Loans, Business Loans and Loan Against Property at loss of Rs.80 Cr. Now it is dealing with HNI, UHNI and family entities owned by them and providing finance in form of Loan against Securities only. BILIPL has been able to grow its fully secured loan book from Rs.629 Cr in FY14 to around Rs. 2,160 cr as on March 21. The product wise split of asset book is given below:</t>
  </si>
  <si>
    <t>BHFL started full scale operations effective February 2018 and is engaged in housing loans to salaried and self-employed individuals for construction, purchase, repair and upgradation of houses. BHFL also provides loan for commercial space, loan against property and loan for purchase of residential plots. It also offers inventory finance and construction finance to developers. For LRD, BHFL focusses on commercial properties occupied by prominent lessees under a long-term lease contract. Strategy is to sell LAP product to existing customers only via direct to customer channel. BHFL offers ‘construction finance’ (CF) and inventory finance to approved developers for small to mid-sized projects where all development approvals have been obtained and builder have a track record of timely delivery of projects. These loans are offered in 8 cities (Mumbai, Bangalore, Pune, Ahmedabad, Chennai, Kolkata, Surat and Hyderabad) and enable BHFL to acquire retail home loan customers. Disbursements are made over the construction period basis stage of completion. The repayments are secured through escrow arrangement. The company plans to keep its developer loan portfolio in 10%-12% share range in the medium term</t>
  </si>
  <si>
    <t>Incorporated in May 2019, AIFL, subsidiary of NIIF Fund II (SOF) managed by NIIF (GOI anchored fund) is registered as NBFCIFC (Infrastructure Finance Company). AIFL received IFC license from RBI in January 2020 and commenced its lending operations from August 2020. It plans to fund infrastructure projects across various phases with a mix of operating, brownfield and greenfield assets within regulatory guidelines. The target sectors envisaged by AIFL include roads, power transmission, green energy along with healthcare, ports, airports and education.</t>
  </si>
  <si>
    <t>Loan Book O/S was Rs 800 Crores  
The Company has lent to 22 corporate/ Real Estate companies either through direct lending or investments in NCDs/ Commercial Papers
Of these 22 accounts, 10 were investments in NCDs and 1 was investment in CPs 
Besides these, it has also lent in retail segment with O/S of Rs 0.38 Crores 
All the Corporate/ Real Estate borrowers are rated in investment grade category implying a good quality of underlying loans 
Loan are having tenor in the range of 6 months (one Commercial Paper investment) to up to 4 years 
Average ticket size as per outstanding amount was ~Rs 36 Crores  
Out of Rs 800 Crores of outstanding, only Rs 48.62 Crores of investment in CPs and retail loan of Rs 0.42 Crores is unsecured. Remaining entire loan book/ NCD investments are secured 
None of these accounts are under contractual moratorium as of September 2020. Hence, there is complete visibility of loan servicing 
The Company’s plan over the next 3-4 years is to achieve/ maintain its Real Estate book at 20-30%, Corporate Loans at 20-30% and the MSME book at 40-50% of the total portfolio.  
By March 2021, portfolio is expected to be of Rs 1120 Crores with retail share of 5% and remaining being distributed among corporate/ Real Estate borrowers</t>
  </si>
  <si>
    <t>Brief description about the segments and their operations: 
Operating/Finance Lease · Capsave Finance offers its client a ‘pay for use’ model and invests its own equity as a residual component while structuring clients cash flow, there by offering client the rentals that would be significantly lower than they would pay on other leases or on a hire purchase agreement. The operating lease solution may be lower as compared to weighted average cost of capital and any other mode of acquisition. Under FMV Plan the cost of the asset is recovered from multiple lessees during the economic life of the asset after which Capsave Finance will arrange to recycle the equipment in accordance with environmental laws. The average tenor of operating lease is for 3 to 5 years and clocks IRR of 14% to 16%. The average ticket size is for 2.5 crores · Leasing allows customer to spread the payments over the useful life of those assets, enabling them to match cost with benefits unlike in case of Buy option, where the entire outlay has been to be done on Day 1. Leasing provides cost effective solution to customers against Term Loans on post-tax basis. Capsave offers a customised solution with respect to the size and requirement of different organization and also ensures that the financing solution is the best combination to match the client’s requirement.
 Receivable Financing: The company (Capsave) acts as a funder to Rent Alpha where the transaction size is small. The average tenor of operating lease is for 2 to 5 years and clocks IRR of 14% to 16%. The average ticket size is for 2.5 crores
Supply Chain Financing: The company provides supply chain financing options to its clients upto 90-120 days for average ticket size of Rs 0.25 crores. The company earns IRR of around 10% to 15%. In the SCF segment, the credit risk profiles of the customers are varied such as multinational company (MNC) subsidiaries in India, startups, Indian corporates and companies backed by anchors. The tenure of the loan is 90-120 days and linked to the anchor’s working capital cycle. In June 2020, CFPL entered supply chain financing (SCF) segment, and significantly ramped up operations in the fourth quarter of fiscal 2021. The AUM of the SCF business stood at Rs 141 crore as on March 31, 2021 (Rs 71 crore as on December 31, 2020), and accounted for 24% of the overall AUM. Further as on June 30, 2021 SCF stood at around Rs. 190 crore which further increased to Rs.279 crores as of Sept 30'2021</t>
  </si>
  <si>
    <t>Aavas Financiers Limited (AFL) is retail, affordable Housing Finance Company, primarily serving low and middle income self-employed customers (65%) and salaried (35%) in tier 2 and tier 3 towns in semi-urban and rural areas in India.  The company offers home loans for the purchase (39%) or construction of residential properties (31%), and for the extension and repair of existing housing units (5%). They also offer customers other mortgage loans including loans against property (LAP), which accounts for 25% of the loan book.</t>
  </si>
  <si>
    <t xml:space="preserve">VHFCL is primarily engaged in the affordable housing segment, with an average ticket size of Rs 11-12 lacs (Max permissible ticket Size: Rs 75 lacs with maximum tenor of 20 years for home loans and 15 years for LAP loans), and caters primarily to the self-employed segment, which accounted for nearly 78% of the book as of June 21 (79% as of Dec-20) 
Housing loans (including home improvement and extension loans) account for around 59% of the AUM, with the remaining 41% comprises non-housing loans (LAP loans) as of June 21. LAP share in overall book has increased from 33% (Sep 2019) to 41% (June 21)
However, going forward, VHFCL intends to maintain a 70% : 30% (HL : LAP) proportion in the HFC and book incremental LAP in its subsidiary company (Vastu Finserve)
The entire book is retail in nature and has no moratorium as repayment starts immediately. The core competency ofthe Company is in developing and managing a retail book and the Company looks at targeting the retail segment in the foreseeable future as well
VHFCL has a moderate track record (in relation to the average loan tenor of up to 10-15 years) as it commenced operations in 2015. Moreover, its portfolio has grown considerably in last two-three years as reflected by 3-year compounded annual growth rate (CAGR) of 50% of its AUM till March 21.
The company has built an in-house technology platform, which supports turnaround times, credit appraisals, ensures monitoring and improves client servicing. In the absence of formal income proof or tax returns, VHFCL has laid down underwriting practices including repeated discussions with the borrower, neighborhood checks, cash flow analysis and visits to the workplace to establish income, expenses and debt repayment capacity. The technology platform ensures adequate portfolio tracking systems, which could help in stringent risk management and analytics.
The Company currently operates across 95 operational branches in 13 states with a team of more than ~900 plusemployees as on June 30, 2021. A branch usually takes 6-8 months to achieve break-even with a loan book of Rs. 8 - 10 Crores, however it does vary from region to region. Average branch consists of One Branch Manager, two creditanalysts, Eight sales representatives and two operations resource.Sales Team is responsible for recoveries initially, company also have collection team at branch level, total headcount of the company is 932 of which 90% is at branch level.
Company operates in ticket size of less than Rs. 20 lacs and has distribution channel present in non-city centric locations helping them to bring cost efficiencies
</t>
  </si>
  <si>
    <t>The Company has focused more on the plot plus construction market and resale market than on flats under construction by builders. This has been an active strategy undertaken by the Company in under to avoid developer risk.  
More than 90% of home loans are self-occupied first homes.  
In terms of geographic concentration it has major concentration in states where there is a culture of owning a plot and getting own house constructed like Karnataka (16%), Rajasthan (17%), Madhya Pradesh (14%), Telangana (10%), Delhi NCR (9%) etc.  
The share of self-employed customers has increased compared to FY20. As on June’21, ~72% of customers of the company’s customer/ borrowers has CIBIL score of 700+ whereas ~15% of the loan book at new to credit. 
Sourcing of proposal: As on June 21, the Company has an employee’s strength of around 600 sales personnel. 70% of the loans are directly sourced by the Company’s in – house sales personnel while the balance 30%) are sourced from DSA connectors etc. The DSAs and connectors only act as lead generators while complete loan fulfillment is done by the Company itself</t>
  </si>
  <si>
    <t>Weak borrower segment and unsecured nature of underlying loans: HCIF focuses on advancing small ticket size unsecured loans with higher yields. HCIF targets salaried (56% of loan book) and non-salaried (44% of loan book) customers primarily for financing purchase of mobile phones (15% of loan book) and then cross sell cash loans (85% of loan book). The company also has a negligible (0,1% of loan book) discontinuing portfolio of 2-wheelers loans. Around 40% of the customers have CIBIL score &gt; 750 and 16% of the borrowers have CIBIL score &lt; 700 or are new to credit. HCIF also offers add-on products in the form of non-credit value-added services and insurance products. HCI primarily focusses on partnerships with small retail format players. However, the company has recently increased its presence in the large format retail chains through tie-ups with online platforms, and national and regional retail chains. The company has been shifting its portfolio mix towards higher-tenured cash loans, while the share of consumer durable loans has been steadily declining. Given the business model focussed on riskier borrower profile and the unsecured nature of portfolio, asset quality issues and credit costs are expected to remain high.</t>
  </si>
  <si>
    <t xml:space="preserve">Company Name </t>
  </si>
  <si>
    <t>Financial Covenants</t>
  </si>
  <si>
    <t>Check</t>
  </si>
  <si>
    <r>
      <t>·</t>
    </r>
    <r>
      <rPr>
        <sz val="7"/>
        <color theme="1"/>
        <rFont val="Times New Roman"/>
        <family val="1"/>
      </rPr>
      <t xml:space="preserve">         </t>
    </r>
    <r>
      <rPr>
        <sz val="9"/>
        <color theme="1"/>
        <rFont val="Verdana"/>
        <family val="2"/>
      </rPr>
      <t>Capital Adequacy ratio of Borrower going below 17% or higher level as stipulated by National Housing Bank from time to time.</t>
    </r>
  </si>
  <si>
    <r>
      <t>·</t>
    </r>
    <r>
      <rPr>
        <sz val="7"/>
        <color theme="1"/>
        <rFont val="Times New Roman"/>
        <family val="1"/>
      </rPr>
      <t xml:space="preserve">         </t>
    </r>
    <r>
      <rPr>
        <sz val="9"/>
        <color theme="1"/>
        <rFont val="Verdana"/>
        <family val="2"/>
      </rPr>
      <t>External rating of Borrower not to be downgraded below BBB</t>
    </r>
  </si>
  <si>
    <r>
      <t>·</t>
    </r>
    <r>
      <rPr>
        <sz val="7"/>
        <color theme="1"/>
        <rFont val="Times New Roman"/>
        <family val="1"/>
      </rPr>
      <t xml:space="preserve">         </t>
    </r>
    <r>
      <rPr>
        <sz val="9"/>
        <color theme="1"/>
        <rFont val="Verdana"/>
        <family val="2"/>
      </rPr>
      <t xml:space="preserve">Gross NPA / Stage III exceeding 3.0% or Net NPA exceeding 2.0% of total portfolio at any point of time. </t>
    </r>
  </si>
  <si>
    <r>
      <t>·</t>
    </r>
    <r>
      <rPr>
        <sz val="7"/>
        <color theme="1"/>
        <rFont val="Times New Roman"/>
        <family val="1"/>
      </rPr>
      <t xml:space="preserve">         </t>
    </r>
    <r>
      <rPr>
        <sz val="9"/>
        <color theme="1"/>
        <rFont val="Verdana"/>
        <family val="2"/>
      </rPr>
      <t>Debt / NOF &lt;= 3.5x</t>
    </r>
  </si>
  <si>
    <t>Umeed Housing Finance</t>
  </si>
  <si>
    <t>Quarterly</t>
  </si>
  <si>
    <t>Navi Finserv</t>
  </si>
  <si>
    <t>a) Gross NPA below 4% b) Net NPA below 2% c) CAR should not go below 18% d) Debt/TNW</t>
  </si>
  <si>
    <t>Vastu Finserve Pvt Ltd</t>
  </si>
  <si>
    <t>Gross Stage 3 not to exceed 4% · Debt/Net Owned Funds (NoF) &lt;= 3x - Capital Adequacy ratio should be min. 200 bps higher than levels prescribed by RBI from time to time</t>
  </si>
  <si>
    <t>During the tenor of facility</t>
  </si>
  <si>
    <t>India Shelter Finance Corporation Ltd</t>
  </si>
  <si>
    <t>(1) Capital Adequacy ratio of Borrower going below 17% or higher level as stipulated by National Housing Bank from time to time.</t>
  </si>
  <si>
    <t xml:space="preserve">(2) External rating of Borrower not to be downgraded below A- </t>
  </si>
  <si>
    <t>(3) Gross NPA / Stage III exceeding 3% and Net NPA exceeding 2% of total portfolio at any point of time.</t>
  </si>
  <si>
    <t>Bajaj Housing Finance Limited</t>
  </si>
  <si>
    <t>Meet the Capital Adequacy requirement of RBI</t>
  </si>
  <si>
    <t>Bajaj Finance Limited</t>
  </si>
  <si>
    <t>No Financial Covenant</t>
  </si>
  <si>
    <t>Krazybee</t>
  </si>
  <si>
    <r>
      <t>·</t>
    </r>
    <r>
      <rPr>
        <sz val="7"/>
        <color theme="1"/>
        <rFont val="Times New Roman"/>
        <family val="1"/>
      </rPr>
      <t xml:space="preserve">         </t>
    </r>
    <r>
      <rPr>
        <sz val="9"/>
        <color theme="1"/>
        <rFont val="Verdana"/>
        <family val="2"/>
      </rPr>
      <t>Debt / NOF &lt;= 3x</t>
    </r>
  </si>
  <si>
    <r>
      <t>·</t>
    </r>
    <r>
      <rPr>
        <sz val="7"/>
        <color theme="1"/>
        <rFont val="Times New Roman"/>
        <family val="1"/>
      </rPr>
      <t xml:space="preserve">         </t>
    </r>
    <r>
      <rPr>
        <sz val="9"/>
        <color theme="1"/>
        <rFont val="Verdana"/>
        <family val="2"/>
      </rPr>
      <t>CAR &gt;=25%</t>
    </r>
  </si>
  <si>
    <t>Rating to be BBB- or higher at all times</t>
  </si>
  <si>
    <r>
      <rPr>
        <sz val="7"/>
        <color theme="1"/>
        <rFont val="Times New Roman"/>
        <family val="1"/>
      </rPr>
      <t xml:space="preserve"> </t>
    </r>
    <r>
      <rPr>
        <sz val="9"/>
        <color theme="1"/>
        <rFont val="Verdana"/>
        <family val="2"/>
      </rPr>
      <t>Gross NPA below 4%</t>
    </r>
  </si>
  <si>
    <r>
      <rPr>
        <sz val="7"/>
        <color theme="1"/>
        <rFont val="Times New Roman"/>
        <family val="1"/>
      </rPr>
      <t xml:space="preserve"> </t>
    </r>
    <r>
      <rPr>
        <sz val="9"/>
        <color theme="1"/>
        <rFont val="Verdana"/>
        <family val="2"/>
      </rPr>
      <t xml:space="preserve">Net NPA below 2%. </t>
    </r>
  </si>
  <si>
    <t>Power Finance Corporation</t>
  </si>
  <si>
    <t>Indostar Home Finance</t>
  </si>
  <si>
    <t>CRAR (capital to risk weighted assets) &gt;= 20% (or at higher levels as and when stipulated by RBI from time to time). · IBL Asset Cover &gt;=1.25x · Minimum rating of A by an external rating agency</t>
  </si>
  <si>
    <t>Growth Source Financial Technologies</t>
  </si>
  <si>
    <t>Capital Adequacy Ratio should be 20% or at higher levels as prescribed by RBI from time to time · Gross NPAs shall not exceed 3% of the portfolio at all times · Net NPAs shall not exceed 2% of the portfolio at all times · Debt/NOF should not exceed 3 times · Downgrade/fresh assignment of external rating below BBB+</t>
  </si>
  <si>
    <t>Half Yearly</t>
  </si>
  <si>
    <t>MAS Financial Services</t>
  </si>
  <si>
    <t>i. Debt/NOF=1.10x iii. Net Stage 3% – Below 3% iv. CRAR &gt;= 15% or as prescribed by RBI, whichever is higher</t>
  </si>
  <si>
    <t>Annualy</t>
  </si>
  <si>
    <t>PNB Housing Finance</t>
  </si>
  <si>
    <t>In case PNB Housing hedges any External Commercial Borrowings (ECBs)/other debts, financial covenants as applicable to the ECB/other debts will also be applicable to the derivative exposure.</t>
  </si>
  <si>
    <t>Capital adequacy ratio should not fall below 15% or at higher levels as prescribed by RBI from time to time. - Downgrade of external rating to BBB- or below. - Loan to value must not exceed 60%. - Any major change in management composition will trigger a review (such as change in the CEO, CFO and CRO) - Gross NPA should not exceed 2.5% and net NPA should not exceed 2.0%.</t>
  </si>
  <si>
    <t>AAVAS Financiers</t>
  </si>
  <si>
    <t>Maintained</t>
  </si>
  <si>
    <t>Capital adequacy to be maintained</t>
  </si>
  <si>
    <t>- CRAR &gt;20% - GNPA should be less than 4.0% - NNPA should be less than 3.0% - Debt/NOF not &gt; 4x - NIM &gt;=7%</t>
  </si>
  <si>
    <t>Gross Stage 3 not to exceed 4% of the loan book. This covenant to be applicable if gearing (total Debt/ NOF) crosses 2 times · Debt/Net Owned Funds (NoF) &lt;= 3x · Capital adequacy ratio should be minimum 20% or at higher levels as prescribed by RBI from time to time</t>
  </si>
  <si>
    <t>Gross Stage 3 below 3% o Net Stage 3 below 2% o Debt / NOF &lt;= 3x o CAR &gt;=18%</t>
  </si>
  <si>
    <t>Maintained as per 22</t>
  </si>
  <si>
    <t>Gross Npa below 2%,Net NPA below 1%,debt/Nof to be &lt;3x</t>
  </si>
  <si>
    <t>COD Note 25/03/2022</t>
  </si>
  <si>
    <t>GNPA should be less than 5% · CAR should be more than 15% · No net losses for any 2 consecutive quarters · Debt/NOF not to exceed 5x</t>
  </si>
  <si>
    <t>Half yearly</t>
  </si>
  <si>
    <t>OD LIMIT SANCTIONED NO COVENANTS</t>
  </si>
  <si>
    <t>· Debt/NOF not exceeding 2.5x · CAR should be Minimum 20%. In case CAR higher than 20% is prescribed by RBI the same shall be applicable. · Net NPA not to exceed 2.5%</t>
  </si>
  <si>
    <t>Capsave finance pvt ltd</t>
  </si>
  <si>
    <t>Aditya Birla Finance Limited</t>
  </si>
  <si>
    <t>Ambit Finvest Private Ltd</t>
  </si>
  <si>
    <t>APAC Financial Services Limited</t>
  </si>
  <si>
    <t>Aptus Finance Private Limited</t>
  </si>
  <si>
    <t>Aptus Value Housing Finance India Limited</t>
  </si>
  <si>
    <t>Arka Fincap Limited</t>
  </si>
  <si>
    <t>Aseem Infrastructure Finance Limited</t>
  </si>
  <si>
    <t>Avendus Finance Private Limited</t>
  </si>
  <si>
    <t>Barclays Investment and Loans (India) Private Limited</t>
  </si>
  <si>
    <t>CapFloat Financial Sevices Pvt Ltd</t>
  </si>
  <si>
    <t>Rs in thousand</t>
  </si>
  <si>
    <t>Rs in 000</t>
  </si>
  <si>
    <t>x</t>
  </si>
  <si>
    <t>Publish Half Yearly</t>
  </si>
  <si>
    <t>No Exposure</t>
  </si>
  <si>
    <t>No half yearly report since 2018</t>
  </si>
  <si>
    <t>ODFD Limits</t>
  </si>
  <si>
    <t>Search Name : Kinara Capital</t>
  </si>
  <si>
    <t>Search NAME: ESS KAY FINCORP</t>
  </si>
  <si>
    <t>Just a ODFD Limit</t>
  </si>
  <si>
    <t>H1</t>
  </si>
  <si>
    <t>FY22</t>
  </si>
  <si>
    <t xml:space="preserve">FY22 </t>
  </si>
  <si>
    <t>H1 FY 23</t>
  </si>
  <si>
    <t>FY 23</t>
  </si>
  <si>
    <t>FY 24</t>
  </si>
  <si>
    <t>FY 25</t>
  </si>
  <si>
    <t>Parameter (Rs. in crs)</t>
  </si>
  <si>
    <t>Un-Aud</t>
  </si>
  <si>
    <t>Proj</t>
  </si>
  <si>
    <t>Total Interest Income</t>
  </si>
  <si>
    <t>NA</t>
  </si>
  <si>
    <t>Net Interest Margin (%)</t>
  </si>
  <si>
    <t>Leverage (Debt/ NOF)</t>
  </si>
  <si>
    <t xml:space="preserve">Gross Rate of Return </t>
  </si>
  <si>
    <t xml:space="preserve">Cost to Income Ratio </t>
  </si>
  <si>
    <t>Asset quality</t>
  </si>
  <si>
    <t>GNPA (%)</t>
  </si>
  <si>
    <t>Net NPA (%)</t>
  </si>
  <si>
    <t>Provision coverage ratio (%)</t>
  </si>
  <si>
    <t xml:space="preserve">Credit Cost </t>
  </si>
  <si>
    <t xml:space="preserve">Loans &amp; Advances outstanding  </t>
  </si>
  <si>
    <t>RoA (%)</t>
  </si>
  <si>
    <t>RoE (%)</t>
  </si>
  <si>
    <t>Yields (A) (%)</t>
  </si>
  <si>
    <t>Average cost of funds (B) (%)</t>
  </si>
  <si>
    <t>Provision</t>
  </si>
  <si>
    <t>CC on AUM</t>
  </si>
  <si>
    <t>Equity infusion</t>
  </si>
  <si>
    <t>contingent Liab</t>
  </si>
  <si>
    <t>income tax related</t>
  </si>
  <si>
    <t xml:space="preserve">CG by company to Co-lending partners </t>
  </si>
  <si>
    <t>Particulars (Rs. crores)</t>
  </si>
  <si>
    <t>NW</t>
  </si>
  <si>
    <t xml:space="preserve">Investment in Sub </t>
  </si>
  <si>
    <t>Loans in Sub</t>
  </si>
  <si>
    <t xml:space="preserve"> -   </t>
  </si>
  <si>
    <t>other Receivables in Sub</t>
  </si>
  <si>
    <t xml:space="preserve">Total Loans+ Investment </t>
  </si>
  <si>
    <t>10% NW</t>
  </si>
  <si>
    <t xml:space="preserve">Excess Investment </t>
  </si>
  <si>
    <t xml:space="preserve">Net NOF </t>
  </si>
  <si>
    <t xml:space="preserve">Investment Represent , investment in Subsidary Thumbwork Technologies P Ltd </t>
  </si>
  <si>
    <t>Income tax</t>
  </si>
  <si>
    <t xml:space="preserve">Guarantee given to Co-lenders </t>
  </si>
  <si>
    <t>Exceptional item includes (i) Gain of { 283 c_rore on the reduction of 3,12,00,000 (Three Crore Twelve Lakh) fully paid-up equity shares of face value of~ IO each of the wholly owned subsidiary company, LTIM pursuant to the order of Mumbai NCLT Bench dated July 8, 2022 sanctioning the said capital reduction and letter of Registrar of Companies dated August 18, 2022 approving the Form INC-28 and (ii) Gain of { 2,575.09 crore on the divestment of its entire stake in the subsidiary company, L&amp;T Investment Management Limited (LTIM) for the nine months period ended December 31 , 2022.</t>
  </si>
  <si>
    <t>Key Financials</t>
  </si>
  <si>
    <t>Rs Crores</t>
  </si>
  <si>
    <t>31.3.2022</t>
  </si>
  <si>
    <t>31.12.2022 (9 months)</t>
  </si>
  <si>
    <t>AUM on books</t>
  </si>
  <si>
    <t>Disbursement in Qtr</t>
  </si>
  <si>
    <t>GNPA (%)*</t>
  </si>
  <si>
    <t>NNPA (%)*</t>
  </si>
  <si>
    <t>PCR (Stage3/NPA)</t>
  </si>
  <si>
    <t>CAR %</t>
  </si>
  <si>
    <t>Tier 1</t>
  </si>
  <si>
    <t>Debt</t>
  </si>
  <si>
    <t>Debt / NOF</t>
  </si>
  <si>
    <t>Securitization done in qtr</t>
  </si>
  <si>
    <t>Assignment done in Qtr</t>
  </si>
  <si>
    <t>P&amp;L Item</t>
  </si>
  <si>
    <t>Other Income</t>
  </si>
  <si>
    <t>Interest Paid</t>
  </si>
  <si>
    <t>Operating Cost</t>
  </si>
  <si>
    <t>Write offs</t>
  </si>
  <si>
    <t>Sale to ARC</t>
  </si>
  <si>
    <t xml:space="preserve">-   </t>
  </si>
  <si>
    <t>Yield (%)</t>
  </si>
  <si>
    <t>Cost of Funds (%)</t>
  </si>
  <si>
    <t>NIM (%)</t>
  </si>
  <si>
    <t>Spread (%)</t>
  </si>
  <si>
    <t>Credit Rating</t>
  </si>
  <si>
    <t>CARE A-; Stable</t>
  </si>
  <si>
    <t>CARE A; Stable</t>
  </si>
  <si>
    <t>*NPA figures Q3 onwards are as per IRAC norms</t>
  </si>
  <si>
    <t>DPD Profile on Quarterly Basis* (as on 31.12.2022 in Crores)</t>
  </si>
  <si>
    <t>Bucket</t>
  </si>
  <si>
    <t>Standard</t>
  </si>
  <si>
    <t>0-30 days</t>
  </si>
  <si>
    <t>31-60 days</t>
  </si>
  <si>
    <t>61-90 days</t>
  </si>
  <si>
    <t>&gt; 90 days</t>
  </si>
  <si>
    <t>*Net of Stage 3 ECL</t>
  </si>
  <si>
    <t>Collection Efficiency for Oct/Nov/ Dec – last 3 months</t>
  </si>
  <si>
    <t>Month</t>
  </si>
  <si>
    <t>Collection Efficiency (%)</t>
  </si>
  <si>
    <t>Limits Cancelled</t>
  </si>
  <si>
    <t>Financials (Rs. crore)</t>
  </si>
  <si>
    <t xml:space="preserve">YTD Q1FY23 </t>
  </si>
  <si>
    <t xml:space="preserve">YTD Q2FY23 </t>
  </si>
  <si>
    <t xml:space="preserve">YTD Q3FY23 </t>
  </si>
  <si>
    <t>Audited</t>
  </si>
  <si>
    <t>Provisional</t>
  </si>
  <si>
    <t>Limited Review</t>
  </si>
  <si>
    <t>IND-AS</t>
  </si>
  <si>
    <t>Revenue from Operations</t>
  </si>
  <si>
    <t>Interest income on loans</t>
  </si>
  <si>
    <t>Profits / Interest income from Investments</t>
  </si>
  <si>
    <t>Interest on FD with Banks</t>
  </si>
  <si>
    <t>Fees and commission income</t>
  </si>
  <si>
    <t>Others</t>
  </si>
  <si>
    <t>Gain on Derecognition of Financial asset</t>
  </si>
  <si>
    <t>-</t>
  </si>
  <si>
    <t>Operating Expenses</t>
  </si>
  <si>
    <t>Depreciation and Amortization</t>
  </si>
  <si>
    <t>Impairment of Financial instruments</t>
  </si>
  <si>
    <t>Interest Expense</t>
  </si>
  <si>
    <t>Total Expense</t>
  </si>
  <si>
    <t>PBDIT</t>
  </si>
  <si>
    <t>Profit before Tax</t>
  </si>
  <si>
    <t>Tax Expenses</t>
  </si>
  <si>
    <t>Profit after Tax</t>
  </si>
  <si>
    <t>DA and Co-lending</t>
  </si>
  <si>
    <t>PTCs</t>
  </si>
  <si>
    <t>Loan Book (On Balance sheet)- Gross</t>
  </si>
  <si>
    <t>Net worth</t>
  </si>
  <si>
    <t>D/E Ratio</t>
  </si>
  <si>
    <t>Borrowings</t>
  </si>
  <si>
    <t>Gross NPA (Amount )</t>
  </si>
  <si>
    <t>Gross NPA (% )</t>
  </si>
  <si>
    <t>Net NPA (Amount )</t>
  </si>
  <si>
    <t>Net NPA (% )</t>
  </si>
  <si>
    <t>Tier I Ratio (%)</t>
  </si>
  <si>
    <t>Total CAR (%)</t>
  </si>
  <si>
    <t>Yield on advances (Interest income on Loans &amp; Advances / Average Loan Book Assets)</t>
  </si>
  <si>
    <t>NIM (Annualized for the year)</t>
  </si>
  <si>
    <t>Average Cost of Borrowings</t>
  </si>
  <si>
    <t>Acuite A+ (Outlook Positive)</t>
  </si>
  <si>
    <t>Limits cancelled in Dec</t>
  </si>
  <si>
    <t>FY23 (A)</t>
  </si>
  <si>
    <t>No lImits</t>
  </si>
  <si>
    <t>33..40%</t>
  </si>
  <si>
    <t>FY23</t>
  </si>
  <si>
    <t>FY23(A)</t>
  </si>
  <si>
    <t>FY23A</t>
  </si>
  <si>
    <t>CM CASE</t>
  </si>
  <si>
    <t>Rs lakh</t>
  </si>
  <si>
    <t>Period Ending</t>
  </si>
  <si>
    <t>Result Type</t>
  </si>
  <si>
    <t>A</t>
  </si>
  <si>
    <t>Key financial Table</t>
  </si>
  <si>
    <t>Fees Income</t>
  </si>
  <si>
    <t xml:space="preserve">Interest expended </t>
  </si>
  <si>
    <t>Net Interest Income</t>
  </si>
  <si>
    <t>Operating Income</t>
  </si>
  <si>
    <t>Operating profit</t>
  </si>
  <si>
    <t>Net Owned Funds</t>
  </si>
  <si>
    <t>Total Debt</t>
  </si>
  <si>
    <t>Loans &amp; Advances o/s</t>
  </si>
  <si>
    <t>Assets under Management</t>
  </si>
  <si>
    <t>Group concern exposure (Investments + Loans)</t>
  </si>
  <si>
    <t>Cumulative Provisions (excluding provisions on standard assets)</t>
  </si>
  <si>
    <t>Contingent Provision for standard assets</t>
  </si>
  <si>
    <t>Prov on standard assets %</t>
  </si>
  <si>
    <t>Cash</t>
  </si>
  <si>
    <t>Net Profit Margin (%)</t>
  </si>
  <si>
    <t>CRAR (%)</t>
  </si>
  <si>
    <t>Gross Rate of Return (%)</t>
  </si>
  <si>
    <t>Cost to Income Ratio (%)</t>
  </si>
  <si>
    <t>Credit Cost Ratio (%)</t>
  </si>
  <si>
    <t>Net NPA/ Networth%</t>
  </si>
  <si>
    <t>Lagged NPA</t>
  </si>
  <si>
    <t>RoE(%)</t>
  </si>
  <si>
    <t>PPOP: CC</t>
  </si>
  <si>
    <t>Growth ratios</t>
  </si>
  <si>
    <t>Growth in Net Interest Income</t>
  </si>
  <si>
    <t>Growth in PAT</t>
  </si>
  <si>
    <t>Growth in AUM</t>
  </si>
  <si>
    <t>Processing fees/Total assets</t>
  </si>
  <si>
    <t>Particulars  </t>
  </si>
  <si>
    <t>Amount in Rs. Crore  </t>
  </si>
  <si>
    <t>Projected disbursements in next 12 months  </t>
  </si>
  <si>
    <t>(+)Borrowing repayments in 12 months  </t>
  </si>
  <si>
    <t>Total (A)  </t>
  </si>
  <si>
    <t>Cash and cash equivalents available as on March’22</t>
  </si>
  <si>
    <t>(+) Undisbursed sanctioned lines  </t>
  </si>
  <si>
    <t>(+) Projected repayments from loans in 12 months  </t>
  </si>
  <si>
    <t>(+) PAT</t>
  </si>
  <si>
    <t>(+) Expected equity infusion in 12 months </t>
  </si>
  <si>
    <t>Total (B)  </t>
  </si>
  <si>
    <t>Funding Requirement (A-B)  </t>
  </si>
  <si>
    <t>FY22(A)</t>
  </si>
  <si>
    <t xml:space="preserve">FY23 (A) </t>
  </si>
  <si>
    <t>FY 23 (A)</t>
  </si>
  <si>
    <t xml:space="preserve">FY23 </t>
  </si>
  <si>
    <t>H1 FY 24</t>
  </si>
  <si>
    <t>GNPA%</t>
  </si>
  <si>
    <t>NNPA %</t>
  </si>
  <si>
    <t>GNPA Rs. cr</t>
  </si>
  <si>
    <t>NNPA Rs. cr</t>
  </si>
  <si>
    <t>CC on book</t>
  </si>
  <si>
    <t>Contingent liab
(Rs. in crores)</t>
  </si>
  <si>
    <t>H1FY24</t>
  </si>
  <si>
    <t>FY24</t>
  </si>
  <si>
    <t>Parameter</t>
  </si>
  <si>
    <t>Prov.</t>
  </si>
  <si>
    <r>
      <t xml:space="preserve">Gross Rate of Return </t>
    </r>
    <r>
      <rPr>
        <vertAlign val="superscript"/>
        <sz val="9"/>
        <color rgb="FF000000"/>
        <rFont val="Verdana"/>
        <family val="2"/>
      </rPr>
      <t>*</t>
    </r>
  </si>
  <si>
    <r>
      <t xml:space="preserve">Cost to Income Ratio </t>
    </r>
    <r>
      <rPr>
        <vertAlign val="superscript"/>
        <sz val="9"/>
        <color rgb="FF000000"/>
        <rFont val="Verdana"/>
        <family val="2"/>
      </rPr>
      <t>***</t>
    </r>
  </si>
  <si>
    <t>Gross NPAs (Rs. in crs)</t>
  </si>
  <si>
    <r>
      <t>RoA</t>
    </r>
    <r>
      <rPr>
        <vertAlign val="superscript"/>
        <sz val="9"/>
        <color rgb="FF000000"/>
        <rFont val="Verdana"/>
        <family val="2"/>
      </rPr>
      <t>#</t>
    </r>
    <r>
      <rPr>
        <sz val="9"/>
        <color rgb="FF000000"/>
        <rFont val="Verdana"/>
        <family val="2"/>
      </rPr>
      <t xml:space="preserve"> (%)</t>
    </r>
  </si>
  <si>
    <t>Net NPAs (Rs. in Crs)</t>
  </si>
  <si>
    <r>
      <t>RoE</t>
    </r>
    <r>
      <rPr>
        <vertAlign val="superscript"/>
        <sz val="9"/>
        <color rgb="FF000000"/>
        <rFont val="Verdana"/>
        <family val="2"/>
      </rPr>
      <t>##</t>
    </r>
    <r>
      <rPr>
        <sz val="9"/>
        <color rgb="FF000000"/>
        <rFont val="Verdana"/>
        <family val="2"/>
      </rPr>
      <t xml:space="preserve"> (%)</t>
    </r>
  </si>
  <si>
    <t># investment in group companies</t>
  </si>
  <si>
    <t>Processing fee</t>
  </si>
  <si>
    <t>5000 mn equity</t>
  </si>
  <si>
    <t>Bad Debt Recovery</t>
  </si>
  <si>
    <t>Rs in million</t>
  </si>
  <si>
    <t>9MFY24</t>
  </si>
  <si>
    <t>FY25</t>
  </si>
  <si>
    <t>FY26</t>
  </si>
  <si>
    <t>FY27</t>
  </si>
  <si>
    <t> Aud.</t>
  </si>
  <si>
    <t>Prov</t>
  </si>
  <si>
    <t>Proj.</t>
  </si>
  <si>
    <t> I-GAAP</t>
  </si>
  <si>
    <t>I-GAAP</t>
  </si>
  <si>
    <t>Branches</t>
  </si>
  <si>
    <t>Employees</t>
  </si>
  <si>
    <t>Industry Wise Split</t>
  </si>
  <si>
    <t>Industry</t>
  </si>
  <si>
    <t>POS-FY19</t>
  </si>
  <si>
    <t>POS-FY20</t>
  </si>
  <si>
    <t>POS-FY21</t>
  </si>
  <si>
    <t>POS-FY22</t>
  </si>
  <si>
    <t>Sept.23</t>
  </si>
  <si>
    <t>Hotels</t>
  </si>
  <si>
    <t>Education</t>
  </si>
  <si>
    <t>Travel Services</t>
  </si>
  <si>
    <t>Courier</t>
  </si>
  <si>
    <t>Kitchenware/ Small Appliances</t>
  </si>
  <si>
    <t>Ceramic Tiles &amp; Sanitary ware</t>
  </si>
  <si>
    <t>Computer - Electronics and Mobile</t>
  </si>
  <si>
    <t>Auto Ancilliaries and Tyres</t>
  </si>
  <si>
    <t>Readymade Garments</t>
  </si>
  <si>
    <t>Payment Aggregators</t>
  </si>
  <si>
    <t xml:space="preserve">1. Beverages constituted 1% of the book as on Mar.22 to 11% as on Sept,23 and 20% as on Dec.24. As on septemeber 23, after adjusting for write-offs, the 90+dpd was 0.86%, which has increased to </t>
  </si>
  <si>
    <t>Drugs &amp; Pharmaceuticals</t>
  </si>
  <si>
    <t>Luggage &amp; Leather Goods</t>
  </si>
  <si>
    <t>Home Furniture &amp; Finishing</t>
  </si>
  <si>
    <t>Food &amp; Beverages</t>
  </si>
  <si>
    <t>Consumer Durables</t>
  </si>
  <si>
    <t>Restaurants</t>
  </si>
  <si>
    <t>Consumer Electronics</t>
  </si>
  <si>
    <t>Paints &amp; Varnishes</t>
  </si>
  <si>
    <t>Batteries and Lubricant Products</t>
  </si>
  <si>
    <t>Personal Care</t>
  </si>
  <si>
    <t>Electronics Equipment</t>
  </si>
  <si>
    <t>Wire Cable and Switches</t>
  </si>
  <si>
    <t>Grand Total</t>
  </si>
  <si>
    <t>Current</t>
  </si>
  <si>
    <t>1 - 30 Days</t>
  </si>
  <si>
    <t>31 - 60 Days</t>
  </si>
  <si>
    <t>61 - 90 Days</t>
  </si>
  <si>
    <t>90 - 119 Days</t>
  </si>
  <si>
    <t>120 - 149 Days</t>
  </si>
  <si>
    <t>150 - 179 Days</t>
  </si>
  <si>
    <t>Auto Parts &amp; Ancillary</t>
  </si>
  <si>
    <t>FMCG and Foods &amp; Beverages</t>
  </si>
  <si>
    <t>Paints</t>
  </si>
  <si>
    <t>FY24(A)</t>
  </si>
  <si>
    <t>FY24 (A)</t>
  </si>
  <si>
    <t>Time Period Particulars</t>
  </si>
  <si>
    <t>Latest Completed Quarter [A]</t>
  </si>
  <si>
    <t>Previous Completed Quarter [B=A-1]</t>
  </si>
  <si>
    <t>A-2 Quarters</t>
  </si>
  <si>
    <t>A-3 Quarters</t>
  </si>
  <si>
    <t>Quarter 12M prior 'A' [C]</t>
  </si>
  <si>
    <t>Latest Completed FY [G]</t>
  </si>
  <si>
    <t>Previous Completed FY [H]</t>
  </si>
  <si>
    <t>S.No.</t>
  </si>
  <si>
    <t>Value in INR cr. [Ratios in %]</t>
  </si>
  <si>
    <t>Net Profit/Loss</t>
  </si>
  <si>
    <t>Gross NPA Ratio (%)</t>
  </si>
  <si>
    <t>Net NPA Ratio (%)</t>
  </si>
  <si>
    <t>Credit Cost (%)</t>
  </si>
  <si>
    <t xml:space="preserve">Cash &amp; Liquid Investments up to 3 months in ALM </t>
  </si>
  <si>
    <t>Debt Obligations due for repayment in the next 3 months</t>
  </si>
  <si>
    <t>3M Liquidity Cover for Debt Obligations</t>
  </si>
  <si>
    <t>Liquidity Coverage Ratio [%]</t>
  </si>
  <si>
    <t>Reported Total CRAR [%]</t>
  </si>
  <si>
    <t>Cells Needing Value Inputs</t>
  </si>
  <si>
    <t>Formula Cells</t>
  </si>
  <si>
    <t>LCR</t>
  </si>
  <si>
    <t xml:space="preserve">Net Interest Margin (%) </t>
  </si>
  <si>
    <t>23 Q4</t>
  </si>
  <si>
    <t>Q4FY23</t>
  </si>
  <si>
    <t>Q4 FY23</t>
  </si>
  <si>
    <t>NIM (%) {Based on average earning Assets}</t>
  </si>
  <si>
    <t>Y</t>
  </si>
  <si>
    <t>Net Loss [INR cr.]</t>
  </si>
  <si>
    <t>Gross NPA (%)</t>
  </si>
  <si>
    <t>Credit Cost (%) {As a fraction of gross loans}</t>
  </si>
  <si>
    <t>3M Cash and Cash Equivalents incl. Liquid investments [INR cr.]</t>
  </si>
  <si>
    <t>Debt obligations due for repayments in next 3M [INR cr.]</t>
  </si>
  <si>
    <t>LCR (%)</t>
  </si>
  <si>
    <t>Total CRAR (%)</t>
  </si>
  <si>
    <t>Minimum CRAR (%)</t>
  </si>
  <si>
    <t>Q4(23)</t>
  </si>
  <si>
    <t>Exited</t>
  </si>
  <si>
    <t>Parameters</t>
  </si>
  <si>
    <t>Reference Period</t>
  </si>
  <si>
    <t>UCIC</t>
  </si>
  <si>
    <t>CIF</t>
  </si>
  <si>
    <t>BORROWER NAME</t>
  </si>
  <si>
    <t>NIM (%) - NII/Avg. Earning Assets [12M intervals]</t>
  </si>
  <si>
    <t>Latest Completed Quarter End Date [Q]</t>
  </si>
  <si>
    <t>Quarter end Date 12M prior to Q</t>
  </si>
  <si>
    <t>Quarter End Date Previous to Q i.e. [Q-1]</t>
  </si>
  <si>
    <t>Quarter end Date 12M prior to [Q -1]</t>
  </si>
  <si>
    <t>Net Income [INR cr.]</t>
  </si>
  <si>
    <t>Quarter End Date Previous to Q-1 i.e. [Q-2]</t>
  </si>
  <si>
    <t>Quarter End Date Previous to Q-2 i.e. [Q-3]</t>
  </si>
  <si>
    <t>Latest Completed Financial year End Date [FY]</t>
  </si>
  <si>
    <t>GNPA [%] - Gross NPA/Gross Loans</t>
  </si>
  <si>
    <t>NNPA [%] Net NPA/Net Loans</t>
  </si>
  <si>
    <t>Credit Cost [%] 
[Provisions for NPA plus write-offs]/Average Gross Loans [12M intervals]</t>
  </si>
  <si>
    <t>ST LIQUIDITY RATIO (3M Liquidity Cover for Debt Obligations) [%]
Cash &amp; Liquid Investments up to 3 months in ALM /Debt Obligations due for repayment in the next 3 months</t>
  </si>
  <si>
    <t>Applicable Regulatory Minimum Total CRAR [%]</t>
  </si>
  <si>
    <t>Q4 FY24</t>
  </si>
  <si>
    <t>Q4FY24</t>
  </si>
  <si>
    <t>Q1FY25</t>
  </si>
  <si>
    <t xml:space="preserve">FY24 (A) </t>
  </si>
  <si>
    <t>cash</t>
  </si>
  <si>
    <t>Q2FY25</t>
  </si>
  <si>
    <t>Bank Borrowing</t>
  </si>
  <si>
    <t>Cash&amp; Inv</t>
  </si>
  <si>
    <t>Cash &amp; Inv</t>
  </si>
  <si>
    <t>Banking Share</t>
  </si>
  <si>
    <t>Bank Finance</t>
  </si>
  <si>
    <t>Q3FY25</t>
  </si>
  <si>
    <t>FY 26</t>
  </si>
  <si>
    <t>FY25(A)</t>
  </si>
  <si>
    <t>FY26(A)</t>
  </si>
  <si>
    <t>Gross Stage 3 %</t>
  </si>
  <si>
    <t>IKF Finance</t>
  </si>
  <si>
    <t>Shriram Finance</t>
  </si>
  <si>
    <t>TATA MOTORS FINANCE</t>
  </si>
  <si>
    <t>FY25 (A)</t>
  </si>
  <si>
    <t>FY26 (A)</t>
  </si>
  <si>
    <t>Operating Expenses : Avg. Assets</t>
  </si>
  <si>
    <t>Asset Quality</t>
  </si>
  <si>
    <t>#</t>
  </si>
  <si>
    <t>Pre Provisioning Operating Profit (PPOP) Margin</t>
  </si>
  <si>
    <t>Product wise DPD</t>
  </si>
  <si>
    <t>B</t>
  </si>
  <si>
    <t>C</t>
  </si>
  <si>
    <t>%</t>
  </si>
  <si>
    <t xml:space="preserve">Currrent </t>
  </si>
  <si>
    <t>1-30</t>
  </si>
  <si>
    <t>30-60</t>
  </si>
  <si>
    <t>60-90</t>
  </si>
  <si>
    <t>90 above</t>
  </si>
  <si>
    <t>Q1FY26</t>
  </si>
  <si>
    <t>Provisioning</t>
  </si>
  <si>
    <t>NBFC - VEHICLE FINANCE</t>
  </si>
  <si>
    <t>Provision Stage 1 &amp; 2 %</t>
  </si>
  <si>
    <t>Provision Stage 3 %</t>
  </si>
  <si>
    <t>Gross Stage 1 &amp; 2 %</t>
  </si>
  <si>
    <t>Q1FY27</t>
  </si>
  <si>
    <t xml:space="preserve">Other Operations Income </t>
  </si>
  <si>
    <t>Gross Stage 1</t>
  </si>
  <si>
    <t>Gross Stage 2</t>
  </si>
  <si>
    <t>Gross Stage 3</t>
  </si>
  <si>
    <t>Gross Stage 1 %</t>
  </si>
  <si>
    <t>Gross Stage 2 %</t>
  </si>
  <si>
    <t>ECL Stage 1</t>
  </si>
  <si>
    <t>ECL Stage 2</t>
  </si>
  <si>
    <t>ECL Stage 3</t>
  </si>
  <si>
    <t>ECL Stage 1 %</t>
  </si>
  <si>
    <t>ECL Stage 2 %</t>
  </si>
  <si>
    <t>ECL Stage 3 %</t>
  </si>
  <si>
    <t>June'26</t>
  </si>
  <si>
    <t>Products</t>
  </si>
  <si>
    <t>AUM %</t>
  </si>
  <si>
    <t>Cars &amp; Muvs</t>
  </si>
  <si>
    <t>Commercial Vehicles</t>
  </si>
  <si>
    <t>Construction Equipment</t>
  </si>
  <si>
    <t>SME &amp; Other Advances</t>
  </si>
  <si>
    <t>Three Wheeler</t>
  </si>
  <si>
    <t>Two Wheelers</t>
  </si>
  <si>
    <t>Tractor</t>
  </si>
  <si>
    <t>LAP Pool Buyout</t>
  </si>
  <si>
    <t>Onward Lending to NBFCs</t>
  </si>
  <si>
    <t>Cholamandalam Inv &amp; Fin</t>
  </si>
  <si>
    <t>31-60</t>
  </si>
  <si>
    <t>61-90/ stage 2</t>
  </si>
  <si>
    <t>IndoStar Capital Finance</t>
  </si>
  <si>
    <t>Operating profit before finance costs</t>
  </si>
  <si>
    <t>Auxilo Finserve</t>
  </si>
  <si>
    <t>Moratorium</t>
  </si>
  <si>
    <t>EMI</t>
  </si>
  <si>
    <t>PINT/SINT</t>
  </si>
  <si>
    <t>NBFC - Educational Loans</t>
  </si>
  <si>
    <t>DPD</t>
  </si>
  <si>
    <t>61-90</t>
  </si>
  <si>
    <t>Prepayment Trend</t>
  </si>
  <si>
    <t>Prepayment %</t>
  </si>
  <si>
    <t>EdGro Finance</t>
  </si>
  <si>
    <t>Cumulative Prepayments</t>
  </si>
  <si>
    <t>48.94% (May 2026)</t>
  </si>
  <si>
    <t>39.46% (Aug 2026)</t>
  </si>
  <si>
    <t>Non-moratorium</t>
  </si>
  <si>
    <t>91-180</t>
  </si>
  <si>
    <t>&gt;180</t>
  </si>
  <si>
    <t>Pre-Provisioning Operating Profit</t>
  </si>
  <si>
    <t>Pre Provisioning Operating Profit (PPOP)Margin</t>
  </si>
  <si>
    <t>Manappuram Finance</t>
  </si>
  <si>
    <t>Muthoot Finance</t>
  </si>
  <si>
    <t>Muthoot MCred (erstwhile Muthootu Mini Financiers)</t>
  </si>
  <si>
    <r>
      <t xml:space="preserve">Muthoot MCred </t>
    </r>
    <r>
      <rPr>
        <b/>
        <sz val="11"/>
        <color theme="1"/>
        <rFont val="Calibri"/>
        <family val="2"/>
        <scheme val="minor"/>
      </rPr>
      <t>(erstwhile Muthootu Mini Financiers)</t>
    </r>
  </si>
  <si>
    <t>Kosamattam Finance</t>
  </si>
  <si>
    <t>19,23%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</si>
</sst>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 #,##0.0_ ;_ * \-#,##0.0_ ;_ * &quot;-&quot;??_ ;_ @_ "/>
    <numFmt numFmtId="165" formatCode="_ * #,##0_ ;_ * \-#,##0_ ;_ * &quot;-&quot;??_ ;_ @_ "/>
    <numFmt numFmtId="166" formatCode="_(* #,##0.00_);_(* \(#,##0.00\);_(* &quot;-&quot;??_);_(@_)"/>
    <numFmt numFmtId="167" formatCode="0.0%"/>
    <numFmt numFmtId="168" formatCode="[$-409]mmmm\-yy;@"/>
    <numFmt numFmtId="169" formatCode="0.0"/>
    <numFmt numFmtId="170" formatCode="_ * #,##0.0000_ ;_ * \-#,##0.0000_ ;_ * &quot;-&quot;??_ ;_ @_ "/>
    <numFmt numFmtId="171" formatCode="0.0000"/>
    <numFmt numFmtId="172" formatCode="#,##0;\(#,##0\);\-"/>
    <numFmt numFmtId="173" formatCode="0.00&quot;x&quot;"/>
    <numFmt numFmtId="174" formatCode="#,##0;\(#,##0\);&quot;-&quot;"/>
    <numFmt numFmtId="175" formatCode="0.00&quot;%&quot;"/>
    <numFmt numFmtId="176" formatCode="#,##0;\(\-#,##0\);&quot;-&quot;"/>
    <numFmt numFmtId="177" formatCode="&quot;FY&quot;\ 0"/>
  </numFmts>
  <fonts count="48" x14ac:knownFonts="1">
    <font>
      <sz val="11"/>
      <color theme="1"/>
      <name val="Calibri"/>
      <family val="2"/>
      <scheme val="minor"/>
    </font>
    <font>
      <sz val="11"/>
      <color theme="1"/>
      <name val="Calibri"/>
      <family val="2"/>
    </font>
    <font>
      <sz val="11"/>
      <color theme="1"/>
      <name val="Calibri"/>
      <family val="2"/>
      <scheme val="minor"/>
    </font>
    <font>
      <b/>
      <sz val="9"/>
      <color rgb="FF000000"/>
      <name val="Verdana"/>
      <family val="2"/>
    </font>
    <font>
      <sz val="9"/>
      <color rgb="FF000000"/>
      <name val="Verdana"/>
      <family val="2"/>
    </font>
    <font>
      <sz val="9"/>
      <color theme="1"/>
      <name val="Verdana"/>
      <family val="2"/>
    </font>
    <font>
      <b/>
      <sz val="9"/>
      <color theme="1"/>
      <name val="Verdana"/>
      <family val="2"/>
    </font>
    <font>
      <b/>
      <u/>
      <sz val="9"/>
      <color theme="1"/>
      <name val="Verdana"/>
      <family val="2"/>
    </font>
    <font>
      <b/>
      <sz val="9"/>
      <color rgb="FF333333"/>
      <name val="Verdana"/>
      <family val="2"/>
    </font>
    <font>
      <sz val="9"/>
      <color rgb="FF333333"/>
      <name val="Verdana"/>
      <family val="2"/>
    </font>
    <font>
      <b/>
      <sz val="11"/>
      <color theme="1"/>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9"/>
      <color theme="1"/>
      <name val="Symbol"/>
      <family val="1"/>
      <charset val="2"/>
    </font>
    <font>
      <sz val="7"/>
      <color theme="1"/>
      <name val="Times New Roman"/>
      <family val="1"/>
    </font>
    <font>
      <sz val="8"/>
      <color rgb="FF000000"/>
      <name val="Verdana"/>
      <family val="2"/>
    </font>
    <font>
      <b/>
      <sz val="8"/>
      <color rgb="FF000000"/>
      <name val="Verdana"/>
      <family val="2"/>
    </font>
    <font>
      <b/>
      <sz val="11"/>
      <color rgb="FF242424"/>
      <name val="Calibri"/>
      <family val="2"/>
      <scheme val="minor"/>
    </font>
    <font>
      <sz val="11"/>
      <color rgb="FF000000"/>
      <name val="Calibri"/>
      <family val="2"/>
      <scheme val="minor"/>
    </font>
    <font>
      <b/>
      <sz val="11"/>
      <color rgb="FF000000"/>
      <name val="Calibri"/>
      <family val="2"/>
      <scheme val="minor"/>
    </font>
    <font>
      <sz val="10"/>
      <color rgb="FF000000"/>
      <name val="Tahoma"/>
      <family val="2"/>
    </font>
    <font>
      <sz val="8"/>
      <color rgb="FF000000"/>
      <name val="Tahoma"/>
      <family val="2"/>
    </font>
    <font>
      <b/>
      <sz val="8"/>
      <color rgb="FF000000"/>
      <name val="Calibri"/>
      <family val="2"/>
      <scheme val="minor"/>
    </font>
    <font>
      <sz val="11"/>
      <color rgb="FFFFFFFF"/>
      <name val="Calibri"/>
      <family val="2"/>
      <scheme val="minor"/>
    </font>
    <font>
      <sz val="11"/>
      <name val="Calibri"/>
      <family val="2"/>
      <scheme val="minor"/>
    </font>
    <font>
      <b/>
      <sz val="11"/>
      <color rgb="FF000000"/>
      <name val="Calibri"/>
      <family val="2"/>
    </font>
    <font>
      <sz val="11"/>
      <color rgb="FF000000"/>
      <name val="Calibri"/>
      <family val="2"/>
    </font>
    <font>
      <sz val="9"/>
      <color indexed="81"/>
      <name val="Tahoma"/>
      <family val="2"/>
    </font>
    <font>
      <b/>
      <sz val="9"/>
      <color indexed="81"/>
      <name val="Tahoma"/>
      <family val="2"/>
    </font>
    <font>
      <sz val="8"/>
      <color theme="1"/>
      <name val="Verdana"/>
      <family val="2"/>
    </font>
    <font>
      <b/>
      <sz val="8"/>
      <color theme="1"/>
      <name val="Verdana"/>
      <family val="2"/>
    </font>
    <font>
      <sz val="9"/>
      <name val="Verdana"/>
      <family val="2"/>
    </font>
    <font>
      <vertAlign val="superscript"/>
      <sz val="9"/>
      <color rgb="FF000000"/>
      <name val="Verdana"/>
      <family val="2"/>
    </font>
    <font>
      <u/>
      <sz val="9"/>
      <color rgb="FF333333"/>
      <name val="Verdana"/>
      <family val="2"/>
    </font>
    <font>
      <sz val="10"/>
      <color rgb="FF000000"/>
      <name val="Calibri"/>
      <family val="2"/>
      <scheme val="minor"/>
    </font>
    <font>
      <b/>
      <sz val="10"/>
      <color rgb="FF000000"/>
      <name val="Calibri"/>
      <family val="2"/>
      <scheme val="minor"/>
    </font>
    <font>
      <sz val="11"/>
      <color rgb="FFFF0000"/>
      <name val="Calibri"/>
      <family val="2"/>
      <scheme val="minor"/>
    </font>
    <font>
      <b/>
      <sz val="12"/>
      <color rgb="FF000000"/>
      <name val="Times New Roman"/>
      <family val="1"/>
    </font>
    <font>
      <sz val="12"/>
      <color rgb="FF000000"/>
      <name val="Times New Roman"/>
      <family val="1"/>
    </font>
    <font>
      <sz val="11"/>
      <color rgb="FFC00000"/>
      <name val="Calibri"/>
      <family val="2"/>
      <scheme val="minor"/>
    </font>
    <font>
      <b/>
      <sz val="14"/>
      <color theme="0"/>
      <name val="Calibri"/>
      <family val="2"/>
      <scheme val="minor"/>
    </font>
    <font>
      <sz val="11"/>
      <color rgb="FF333333"/>
      <name val="Calibri"/>
      <family val="2"/>
      <scheme val="minor"/>
    </font>
    <font>
      <b/>
      <sz val="12"/>
      <color theme="0"/>
      <name val="Calibri"/>
      <family val="2"/>
      <scheme val="minor"/>
    </font>
    <font>
      <b/>
      <sz val="11"/>
      <color rgb="FFC00000"/>
      <name val="Calibri"/>
      <family val="2"/>
      <scheme val="minor"/>
    </font>
    <font>
      <b/>
      <sz val="11"/>
      <color theme="1"/>
      <name val="Calibri"/>
      <family val="2"/>
    </font>
    <font>
      <b/>
      <sz val="11"/>
      <color rgb="FF333333"/>
      <name val="Calibri"/>
      <family val="2"/>
      <scheme val="minor"/>
    </font>
    <font>
      <b/>
      <sz val="16"/>
      <color theme="0"/>
      <name val="Calibri"/>
      <family val="2"/>
      <scheme val="minor"/>
    </font>
  </fonts>
  <fills count="35">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2" tint="-0.249977111117893"/>
        <bgColor indexed="64"/>
      </patternFill>
    </fill>
    <fill>
      <patternFill patternType="solid">
        <fgColor theme="0"/>
        <bgColor indexed="64"/>
      </patternFill>
    </fill>
    <fill>
      <patternFill patternType="solid">
        <fgColor theme="5" tint="0.79998168889431442"/>
        <bgColor indexed="64"/>
      </patternFill>
    </fill>
    <fill>
      <patternFill patternType="solid">
        <fgColor rgb="FFFFFFFF"/>
        <bgColor rgb="FF000000"/>
      </patternFill>
    </fill>
    <fill>
      <patternFill patternType="solid">
        <fgColor rgb="FF14324E"/>
        <bgColor rgb="FF000000"/>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rgb="FFFF0000"/>
        <bgColor indexed="64"/>
      </patternFill>
    </fill>
    <fill>
      <patternFill patternType="solid">
        <fgColor rgb="FF002060"/>
        <bgColor indexed="64"/>
      </patternFill>
    </fill>
    <fill>
      <patternFill patternType="solid">
        <fgColor theme="3"/>
        <bgColor indexed="64"/>
      </patternFill>
    </fill>
    <fill>
      <patternFill patternType="solid">
        <fgColor theme="7"/>
        <bgColor indexed="64"/>
      </patternFill>
    </fill>
    <fill>
      <patternFill patternType="solid">
        <fgColor theme="9"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theme="9"/>
        <bgColor indexed="64"/>
      </patternFill>
    </fill>
    <fill>
      <patternFill patternType="solid">
        <fgColor theme="8"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rgb="FF000000"/>
      </left>
      <right style="medium">
        <color indexed="64"/>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824">
    <xf numFmtId="0" fontId="0" fillId="0" borderId="0" xfId="0"/>
    <xf numFmtId="0" fontId="3" fillId="4" borderId="1" xfId="0" applyFont="1" applyFill="1" applyBorder="1" applyAlignment="1">
      <alignment horizontal="center" vertical="top"/>
    </xf>
    <xf numFmtId="164" fontId="3" fillId="4" borderId="1" xfId="1"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top" wrapText="1"/>
    </xf>
    <xf numFmtId="164" fontId="3" fillId="4" borderId="1" xfId="1" applyNumberFormat="1" applyFont="1" applyFill="1" applyBorder="1" applyAlignment="1">
      <alignment horizontal="center" vertical="top" wrapText="1"/>
    </xf>
    <xf numFmtId="0" fontId="4" fillId="0" borderId="1" xfId="0" applyFont="1" applyBorder="1" applyAlignment="1">
      <alignment horizontal="left" vertical="center"/>
    </xf>
    <xf numFmtId="165" fontId="5" fillId="0" borderId="1" xfId="1" applyNumberFormat="1" applyFont="1" applyBorder="1" applyAlignment="1">
      <alignment horizontal="center" vertical="center"/>
    </xf>
    <xf numFmtId="165" fontId="5" fillId="0" borderId="1" xfId="1" applyNumberFormat="1" applyFont="1" applyBorder="1" applyAlignment="1">
      <alignment horizontal="center" vertical="center" wrapText="1"/>
    </xf>
    <xf numFmtId="165" fontId="5" fillId="0" borderId="1" xfId="1" applyNumberFormat="1" applyFont="1" applyBorder="1"/>
    <xf numFmtId="165" fontId="5" fillId="0" borderId="1" xfId="1" applyNumberFormat="1" applyFont="1" applyBorder="1" applyAlignment="1">
      <alignment horizontal="center" vertical="top"/>
    </xf>
    <xf numFmtId="0" fontId="5" fillId="0" borderId="0" xfId="0" applyFont="1"/>
    <xf numFmtId="0" fontId="4" fillId="0" borderId="0" xfId="0" applyFont="1" applyAlignment="1">
      <alignment horizontal="left" vertical="center"/>
    </xf>
    <xf numFmtId="9" fontId="5" fillId="0" borderId="0" xfId="2" applyFont="1" applyBorder="1"/>
    <xf numFmtId="0" fontId="5" fillId="0" borderId="0" xfId="0" applyFont="1" applyAlignment="1">
      <alignment horizontal="center"/>
    </xf>
    <xf numFmtId="0" fontId="6" fillId="4" borderId="1" xfId="0" applyFont="1" applyFill="1" applyBorder="1" applyAlignment="1">
      <alignment horizontal="center"/>
    </xf>
    <xf numFmtId="166" fontId="6" fillId="4" borderId="1" xfId="0" applyNumberFormat="1" applyFont="1" applyFill="1" applyBorder="1" applyAlignment="1">
      <alignment horizontal="center"/>
    </xf>
    <xf numFmtId="0" fontId="5" fillId="0" borderId="1" xfId="0" applyFont="1" applyBorder="1" applyAlignment="1">
      <alignment wrapText="1"/>
    </xf>
    <xf numFmtId="0" fontId="5" fillId="0" borderId="1" xfId="0" applyFont="1" applyBorder="1"/>
    <xf numFmtId="1" fontId="5" fillId="0" borderId="1" xfId="0" applyNumberFormat="1" applyFont="1" applyBorder="1"/>
    <xf numFmtId="0" fontId="6" fillId="4" borderId="1" xfId="0" applyFont="1" applyFill="1" applyBorder="1"/>
    <xf numFmtId="165" fontId="6" fillId="4" borderId="1" xfId="1" applyNumberFormat="1" applyFont="1" applyFill="1" applyBorder="1"/>
    <xf numFmtId="9" fontId="6" fillId="4" borderId="1" xfId="2" applyFont="1" applyFill="1" applyBorder="1"/>
    <xf numFmtId="0" fontId="5" fillId="4" borderId="1" xfId="0" applyFont="1" applyFill="1" applyBorder="1"/>
    <xf numFmtId="167" fontId="6" fillId="4" borderId="1" xfId="2" applyNumberFormat="1" applyFont="1" applyFill="1" applyBorder="1"/>
    <xf numFmtId="0" fontId="7" fillId="0" borderId="1" xfId="0" applyFont="1" applyBorder="1"/>
    <xf numFmtId="0" fontId="6" fillId="0" borderId="1" xfId="0" applyFont="1" applyBorder="1" applyAlignment="1">
      <alignment horizontal="center"/>
    </xf>
    <xf numFmtId="164" fontId="5" fillId="0" borderId="1" xfId="1" applyNumberFormat="1" applyFont="1" applyBorder="1"/>
    <xf numFmtId="0" fontId="7" fillId="0" borderId="1" xfId="0" applyFont="1" applyBorder="1" applyAlignment="1">
      <alignment wrapText="1"/>
    </xf>
    <xf numFmtId="165" fontId="6" fillId="4" borderId="1" xfId="0" applyNumberFormat="1" applyFont="1" applyFill="1" applyBorder="1"/>
    <xf numFmtId="165" fontId="5" fillId="0" borderId="1" xfId="0" applyNumberFormat="1" applyFont="1" applyBorder="1"/>
    <xf numFmtId="0" fontId="7" fillId="0" borderId="0" xfId="0" applyFont="1"/>
    <xf numFmtId="43" fontId="5" fillId="0" borderId="1" xfId="1" applyFont="1" applyBorder="1"/>
    <xf numFmtId="0" fontId="3" fillId="2" borderId="1" xfId="0" applyFont="1" applyFill="1" applyBorder="1" applyAlignment="1">
      <alignment vertical="center" wrapText="1"/>
    </xf>
    <xf numFmtId="0" fontId="3" fillId="2" borderId="1" xfId="0" applyFont="1" applyFill="1" applyBorder="1" applyAlignment="1">
      <alignment horizontal="right" vertical="center" wrapText="1"/>
    </xf>
    <xf numFmtId="0" fontId="4" fillId="0" borderId="1" xfId="0" applyFont="1" applyBorder="1" applyAlignment="1">
      <alignment vertical="center" wrapText="1"/>
    </xf>
    <xf numFmtId="165" fontId="4" fillId="0" borderId="1" xfId="1" applyNumberFormat="1" applyFont="1" applyBorder="1" applyAlignment="1">
      <alignment horizontal="right" vertical="center"/>
    </xf>
    <xf numFmtId="3" fontId="4" fillId="0" borderId="1" xfId="0" applyNumberFormat="1" applyFont="1" applyBorder="1" applyAlignment="1">
      <alignment horizontal="right" vertical="center"/>
    </xf>
    <xf numFmtId="0" fontId="4" fillId="0" borderId="1" xfId="0" applyFont="1" applyBorder="1" applyAlignment="1">
      <alignment horizontal="right" vertical="center"/>
    </xf>
    <xf numFmtId="10" fontId="3" fillId="2" borderId="1" xfId="0" applyNumberFormat="1" applyFont="1" applyFill="1" applyBorder="1" applyAlignment="1">
      <alignment horizontal="righ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indent="4"/>
    </xf>
    <xf numFmtId="0" fontId="4" fillId="3" borderId="1" xfId="0" applyFont="1" applyFill="1" applyBorder="1" applyAlignment="1">
      <alignment vertical="center" wrapText="1"/>
    </xf>
    <xf numFmtId="10" fontId="4" fillId="3" borderId="1" xfId="0" applyNumberFormat="1" applyFont="1" applyFill="1" applyBorder="1" applyAlignment="1">
      <alignment horizontal="center" vertical="center" wrapText="1"/>
    </xf>
    <xf numFmtId="10" fontId="5" fillId="0" borderId="1" xfId="2" applyNumberFormat="1" applyFont="1" applyBorder="1"/>
    <xf numFmtId="0" fontId="8" fillId="3" borderId="1" xfId="0" applyFont="1" applyFill="1" applyBorder="1" applyAlignment="1">
      <alignment vertical="center" wrapText="1"/>
    </xf>
    <xf numFmtId="0" fontId="4" fillId="3" borderId="1" xfId="0" applyFont="1" applyFill="1" applyBorder="1" applyAlignment="1">
      <alignment horizontal="center" vertical="center" wrapText="1"/>
    </xf>
    <xf numFmtId="2" fontId="5" fillId="0" borderId="1" xfId="0" applyNumberFormat="1" applyFont="1" applyBorder="1"/>
    <xf numFmtId="10" fontId="5" fillId="0" borderId="1" xfId="0" applyNumberFormat="1" applyFont="1" applyBorder="1"/>
    <xf numFmtId="0" fontId="4" fillId="3" borderId="1" xfId="0" applyFont="1" applyFill="1" applyBorder="1" applyAlignment="1">
      <alignment horizontal="left" vertical="center" wrapText="1"/>
    </xf>
    <xf numFmtId="10" fontId="9" fillId="3" borderId="1" xfId="2" applyNumberFormat="1" applyFont="1" applyFill="1" applyBorder="1" applyAlignment="1">
      <alignment vertical="center" wrapText="1"/>
    </xf>
    <xf numFmtId="0" fontId="4" fillId="3" borderId="1" xfId="0" applyFont="1" applyFill="1" applyBorder="1" applyAlignment="1">
      <alignment horizontal="left" vertical="center" wrapText="1" indent="4"/>
    </xf>
    <xf numFmtId="10" fontId="4" fillId="3" borderId="1" xfId="2" applyNumberFormat="1" applyFont="1" applyFill="1" applyBorder="1" applyAlignment="1">
      <alignment horizontal="left" vertical="center" indent="4"/>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0" xfId="0" applyFont="1" applyFill="1" applyAlignment="1">
      <alignment horizontal="left" vertical="center"/>
    </xf>
    <xf numFmtId="165" fontId="5" fillId="0" borderId="0" xfId="1" applyNumberFormat="1" applyFont="1" applyBorder="1" applyAlignment="1">
      <alignment horizontal="center" vertical="center"/>
    </xf>
    <xf numFmtId="166" fontId="6" fillId="4" borderId="0" xfId="0" applyNumberFormat="1" applyFont="1" applyFill="1" applyAlignment="1">
      <alignment horizontal="center"/>
    </xf>
    <xf numFmtId="1" fontId="5" fillId="0" borderId="0" xfId="0" applyNumberFormat="1" applyFont="1"/>
    <xf numFmtId="165" fontId="6" fillId="4" borderId="0" xfId="1" applyNumberFormat="1" applyFont="1" applyFill="1" applyBorder="1"/>
    <xf numFmtId="9" fontId="6" fillId="4" borderId="0" xfId="2" applyFont="1" applyFill="1" applyBorder="1"/>
    <xf numFmtId="167" fontId="6" fillId="4" borderId="0" xfId="2" applyNumberFormat="1" applyFont="1" applyFill="1" applyBorder="1"/>
    <xf numFmtId="0" fontId="6" fillId="4" borderId="0" xfId="0" applyFont="1" applyFill="1" applyAlignment="1">
      <alignment horizontal="center"/>
    </xf>
    <xf numFmtId="164" fontId="5" fillId="0" borderId="0" xfId="1" applyNumberFormat="1" applyFont="1" applyBorder="1"/>
    <xf numFmtId="165" fontId="5" fillId="0" borderId="0" xfId="1" applyNumberFormat="1" applyFont="1" applyBorder="1"/>
    <xf numFmtId="165" fontId="6" fillId="4" borderId="0" xfId="0" applyNumberFormat="1" applyFont="1" applyFill="1"/>
    <xf numFmtId="165" fontId="5" fillId="0" borderId="0" xfId="0" applyNumberFormat="1" applyFont="1"/>
    <xf numFmtId="43" fontId="5" fillId="0" borderId="0" xfId="1" applyFont="1" applyBorder="1"/>
    <xf numFmtId="165" fontId="4" fillId="0" borderId="0" xfId="1" applyNumberFormat="1" applyFont="1" applyBorder="1" applyAlignment="1">
      <alignment horizontal="right" vertical="center"/>
    </xf>
    <xf numFmtId="10" fontId="3" fillId="2" borderId="0" xfId="0" applyNumberFormat="1" applyFont="1" applyFill="1" applyAlignment="1">
      <alignment horizontal="right" vertical="center" wrapText="1"/>
    </xf>
    <xf numFmtId="165" fontId="5" fillId="0" borderId="0" xfId="1" applyNumberFormat="1" applyFont="1" applyFill="1" applyBorder="1" applyAlignment="1">
      <alignment horizontal="center" vertical="center"/>
    </xf>
    <xf numFmtId="9" fontId="5" fillId="0" borderId="0" xfId="2" applyFont="1" applyFill="1" applyBorder="1" applyAlignment="1">
      <alignment horizontal="center" vertical="center"/>
    </xf>
    <xf numFmtId="165" fontId="5" fillId="0" borderId="1" xfId="1" applyNumberFormat="1" applyFont="1" applyFill="1" applyBorder="1" applyAlignment="1">
      <alignment horizontal="center" vertical="center"/>
    </xf>
    <xf numFmtId="9" fontId="5" fillId="0" borderId="1" xfId="2" applyFont="1" applyFill="1" applyBorder="1" applyAlignment="1">
      <alignment horizontal="center" vertical="center"/>
    </xf>
    <xf numFmtId="0" fontId="4" fillId="5" borderId="1" xfId="0" applyFont="1" applyFill="1" applyBorder="1" applyAlignment="1">
      <alignment horizontal="left" vertical="center"/>
    </xf>
    <xf numFmtId="165" fontId="5" fillId="5" borderId="1" xfId="1" applyNumberFormat="1" applyFont="1" applyFill="1" applyBorder="1" applyAlignment="1">
      <alignment horizontal="center" vertical="center"/>
    </xf>
    <xf numFmtId="9" fontId="5" fillId="5" borderId="1" xfId="2" applyFont="1" applyFill="1" applyBorder="1" applyAlignment="1">
      <alignment horizontal="center" vertical="center"/>
    </xf>
    <xf numFmtId="165" fontId="5" fillId="0" borderId="1" xfId="1" applyNumberFormat="1" applyFont="1" applyFill="1" applyBorder="1" applyAlignment="1">
      <alignment horizontal="center" vertical="top"/>
    </xf>
    <xf numFmtId="10" fontId="5" fillId="0" borderId="1" xfId="2" applyNumberFormat="1" applyFont="1" applyBorder="1" applyAlignment="1">
      <alignment horizontal="right"/>
    </xf>
    <xf numFmtId="10" fontId="5" fillId="0" borderId="1" xfId="2" applyNumberFormat="1" applyFont="1" applyFill="1" applyBorder="1" applyAlignment="1">
      <alignment horizontal="center" vertical="center"/>
    </xf>
    <xf numFmtId="10" fontId="0" fillId="0" borderId="0" xfId="0" applyNumberFormat="1"/>
    <xf numFmtId="0" fontId="0" fillId="0" borderId="1" xfId="0" applyBorder="1"/>
    <xf numFmtId="10" fontId="0" fillId="0" borderId="1" xfId="0" applyNumberFormat="1" applyBorder="1"/>
    <xf numFmtId="167" fontId="0" fillId="0" borderId="1" xfId="2" applyNumberFormat="1" applyFont="1" applyBorder="1"/>
    <xf numFmtId="2" fontId="0" fillId="0" borderId="1" xfId="0" applyNumberFormat="1" applyBorder="1"/>
    <xf numFmtId="165" fontId="5" fillId="6" borderId="1" xfId="1" applyNumberFormat="1" applyFont="1" applyFill="1" applyBorder="1"/>
    <xf numFmtId="165" fontId="3" fillId="6" borderId="1" xfId="1" applyNumberFormat="1" applyFont="1" applyFill="1" applyBorder="1"/>
    <xf numFmtId="165" fontId="5" fillId="6" borderId="1" xfId="1" applyNumberFormat="1" applyFont="1" applyFill="1" applyBorder="1" applyAlignment="1">
      <alignment horizontal="center" vertical="center" wrapText="1"/>
    </xf>
    <xf numFmtId="165" fontId="5" fillId="6" borderId="1" xfId="1" applyNumberFormat="1" applyFont="1" applyFill="1" applyBorder="1" applyAlignment="1">
      <alignment horizontal="center" vertical="center"/>
    </xf>
    <xf numFmtId="165" fontId="5" fillId="6" borderId="1" xfId="1" applyNumberFormat="1" applyFont="1" applyFill="1" applyBorder="1" applyAlignment="1">
      <alignment horizontal="center" vertical="top"/>
    </xf>
    <xf numFmtId="165" fontId="4" fillId="6" borderId="1" xfId="1" applyNumberFormat="1" applyFont="1" applyFill="1" applyBorder="1"/>
    <xf numFmtId="2" fontId="4" fillId="0" borderId="1" xfId="0" applyNumberFormat="1" applyFont="1" applyBorder="1" applyAlignment="1">
      <alignment horizontal="right" vertical="center"/>
    </xf>
    <xf numFmtId="0" fontId="10" fillId="5" borderId="1" xfId="0" applyFont="1" applyFill="1" applyBorder="1"/>
    <xf numFmtId="9" fontId="9" fillId="3" borderId="1" xfId="2" applyFont="1" applyFill="1" applyBorder="1" applyAlignment="1">
      <alignment vertical="center" wrapText="1"/>
    </xf>
    <xf numFmtId="9" fontId="0" fillId="0" borderId="1" xfId="0" applyNumberFormat="1" applyBorder="1"/>
    <xf numFmtId="0" fontId="0" fillId="8" borderId="1" xfId="0" applyFill="1" applyBorder="1"/>
    <xf numFmtId="165" fontId="5" fillId="8" borderId="1" xfId="1" applyNumberFormat="1" applyFont="1" applyFill="1" applyBorder="1"/>
    <xf numFmtId="165" fontId="5" fillId="8" borderId="1" xfId="1" applyNumberFormat="1" applyFont="1" applyFill="1" applyBorder="1" applyAlignment="1">
      <alignment horizontal="center" vertical="top"/>
    </xf>
    <xf numFmtId="165" fontId="5" fillId="8" borderId="1" xfId="1" applyNumberFormat="1" applyFont="1" applyFill="1" applyBorder="1" applyAlignment="1">
      <alignment horizontal="center" vertical="center"/>
    </xf>
    <xf numFmtId="165" fontId="4" fillId="8" borderId="1" xfId="1" applyNumberFormat="1" applyFont="1" applyFill="1" applyBorder="1"/>
    <xf numFmtId="10" fontId="0" fillId="8" borderId="1" xfId="0" applyNumberFormat="1" applyFill="1" applyBorder="1"/>
    <xf numFmtId="2" fontId="0" fillId="8" borderId="1" xfId="0" applyNumberFormat="1" applyFill="1" applyBorder="1"/>
    <xf numFmtId="9" fontId="0" fillId="8" borderId="1" xfId="0" applyNumberFormat="1" applyFill="1" applyBorder="1"/>
    <xf numFmtId="0" fontId="3" fillId="10" borderId="1" xfId="0" applyFont="1" applyFill="1" applyBorder="1" applyAlignment="1">
      <alignment horizontal="center" vertical="center" wrapText="1"/>
    </xf>
    <xf numFmtId="0" fontId="0" fillId="10" borderId="1" xfId="0" applyFill="1" applyBorder="1"/>
    <xf numFmtId="10" fontId="0" fillId="11" borderId="1" xfId="0" applyNumberFormat="1" applyFill="1" applyBorder="1"/>
    <xf numFmtId="0" fontId="0" fillId="11" borderId="1" xfId="0" applyFill="1" applyBorder="1"/>
    <xf numFmtId="2" fontId="0" fillId="11" borderId="1" xfId="0" applyNumberFormat="1" applyFill="1" applyBorder="1"/>
    <xf numFmtId="0" fontId="10" fillId="0" borderId="1" xfId="0" applyFont="1" applyBorder="1"/>
    <xf numFmtId="0" fontId="0" fillId="6" borderId="1" xfId="0" applyFill="1" applyBorder="1"/>
    <xf numFmtId="0" fontId="0" fillId="0" borderId="8" xfId="0" applyBorder="1"/>
    <xf numFmtId="0" fontId="0" fillId="5" borderId="1" xfId="0" applyFill="1" applyBorder="1"/>
    <xf numFmtId="0" fontId="10" fillId="10" borderId="1" xfId="0" applyFont="1" applyFill="1" applyBorder="1"/>
    <xf numFmtId="0" fontId="3" fillId="4" borderId="4" xfId="0" applyFont="1" applyFill="1" applyBorder="1" applyAlignment="1">
      <alignment horizontal="center" vertical="center"/>
    </xf>
    <xf numFmtId="0" fontId="3" fillId="4" borderId="4" xfId="0" applyFont="1" applyFill="1" applyBorder="1" applyAlignment="1">
      <alignment horizontal="center" vertical="top"/>
    </xf>
    <xf numFmtId="165" fontId="4" fillId="6" borderId="4" xfId="1" applyNumberFormat="1" applyFont="1" applyFill="1" applyBorder="1"/>
    <xf numFmtId="165" fontId="5" fillId="6" borderId="4" xfId="1" applyNumberFormat="1" applyFont="1" applyFill="1" applyBorder="1"/>
    <xf numFmtId="165" fontId="5" fillId="6" borderId="4" xfId="1" applyNumberFormat="1" applyFont="1" applyFill="1" applyBorder="1" applyAlignment="1">
      <alignment horizontal="center" vertical="top"/>
    </xf>
    <xf numFmtId="165" fontId="5" fillId="6" borderId="4" xfId="1" applyNumberFormat="1" applyFont="1" applyFill="1" applyBorder="1" applyAlignment="1">
      <alignment horizontal="center" vertical="center"/>
    </xf>
    <xf numFmtId="0" fontId="0" fillId="0" borderId="9" xfId="0" applyBorder="1"/>
    <xf numFmtId="0" fontId="0" fillId="0" borderId="4" xfId="0" applyBorder="1"/>
    <xf numFmtId="10" fontId="0" fillId="0" borderId="4" xfId="0" applyNumberFormat="1" applyBorder="1"/>
    <xf numFmtId="2" fontId="0" fillId="0" borderId="4" xfId="0" applyNumberFormat="1" applyBorder="1"/>
    <xf numFmtId="0" fontId="10" fillId="10" borderId="4" xfId="0" applyFont="1" applyFill="1" applyBorder="1"/>
    <xf numFmtId="165" fontId="5" fillId="0" borderId="0" xfId="1" applyNumberFormat="1" applyFont="1" applyFill="1" applyBorder="1" applyAlignment="1">
      <alignment vertical="center"/>
    </xf>
    <xf numFmtId="0" fontId="6" fillId="5" borderId="1" xfId="0" applyFont="1" applyFill="1" applyBorder="1"/>
    <xf numFmtId="0" fontId="0" fillId="0" borderId="0" xfId="0" applyAlignment="1">
      <alignment vertical="top" wrapText="1"/>
    </xf>
    <xf numFmtId="17" fontId="0" fillId="0" borderId="0" xfId="0" applyNumberFormat="1"/>
    <xf numFmtId="0" fontId="0" fillId="0" borderId="1" xfId="0" applyBorder="1" applyAlignment="1">
      <alignment vertical="top" wrapText="1"/>
    </xf>
    <xf numFmtId="0" fontId="0" fillId="0" borderId="0" xfId="0" applyAlignment="1">
      <alignment wrapText="1"/>
    </xf>
    <xf numFmtId="10" fontId="0" fillId="6" borderId="1" xfId="0" applyNumberFormat="1" applyFill="1" applyBorder="1"/>
    <xf numFmtId="2" fontId="0" fillId="6" borderId="1" xfId="0" applyNumberFormat="1" applyFill="1" applyBorder="1"/>
    <xf numFmtId="9" fontId="0" fillId="6" borderId="1" xfId="0" applyNumberFormat="1" applyFill="1" applyBorder="1"/>
    <xf numFmtId="10" fontId="0" fillId="6" borderId="0" xfId="0" applyNumberFormat="1" applyFill="1"/>
    <xf numFmtId="10" fontId="5" fillId="8" borderId="1" xfId="2" applyNumberFormat="1" applyFont="1" applyFill="1" applyBorder="1"/>
    <xf numFmtId="0" fontId="5" fillId="8" borderId="1" xfId="0" applyFont="1" applyFill="1" applyBorder="1"/>
    <xf numFmtId="2" fontId="5" fillId="8" borderId="1" xfId="0" applyNumberFormat="1" applyFont="1" applyFill="1" applyBorder="1"/>
    <xf numFmtId="10" fontId="5" fillId="8" borderId="1" xfId="0" applyNumberFormat="1" applyFont="1" applyFill="1" applyBorder="1"/>
    <xf numFmtId="9" fontId="9" fillId="8" borderId="1" xfId="2" applyFont="1" applyFill="1" applyBorder="1" applyAlignment="1">
      <alignment vertical="center" wrapText="1"/>
    </xf>
    <xf numFmtId="10" fontId="4" fillId="8" borderId="1" xfId="2" applyNumberFormat="1" applyFont="1" applyFill="1" applyBorder="1" applyAlignment="1">
      <alignment horizontal="left" vertical="center" indent="4"/>
    </xf>
    <xf numFmtId="10" fontId="0" fillId="8" borderId="0" xfId="0" applyNumberFormat="1" applyFill="1"/>
    <xf numFmtId="0" fontId="0" fillId="8" borderId="0" xfId="0" applyFill="1"/>
    <xf numFmtId="2" fontId="0" fillId="8" borderId="0" xfId="0" applyNumberFormat="1" applyFill="1"/>
    <xf numFmtId="0" fontId="11" fillId="12" borderId="0" xfId="0" applyFont="1" applyFill="1"/>
    <xf numFmtId="0" fontId="14" fillId="0" borderId="0" xfId="0" applyFont="1" applyAlignment="1">
      <alignment horizontal="justify" vertical="center"/>
    </xf>
    <xf numFmtId="0" fontId="0" fillId="0" borderId="0" xfId="0" applyAlignment="1">
      <alignment vertical="center"/>
    </xf>
    <xf numFmtId="0" fontId="5" fillId="0" borderId="0" xfId="0" applyFont="1" applyAlignment="1">
      <alignment horizontal="justify" vertical="center"/>
    </xf>
    <xf numFmtId="0" fontId="0" fillId="0" borderId="0" xfId="0" applyAlignment="1">
      <alignment horizontal="center" vertical="center"/>
    </xf>
    <xf numFmtId="0" fontId="14" fillId="0" borderId="0" xfId="0" applyFont="1" applyAlignment="1">
      <alignment horizontal="left" vertical="top"/>
    </xf>
    <xf numFmtId="0" fontId="14" fillId="0" borderId="0" xfId="0" applyFont="1" applyAlignment="1">
      <alignment horizontal="justify" vertical="top"/>
    </xf>
    <xf numFmtId="0" fontId="4" fillId="0" borderId="0" xfId="0" applyFont="1" applyAlignment="1">
      <alignment vertical="top"/>
    </xf>
    <xf numFmtId="0" fontId="5" fillId="0" borderId="0" xfId="0" applyFont="1" applyAlignment="1">
      <alignment wrapText="1"/>
    </xf>
    <xf numFmtId="0" fontId="4" fillId="8" borderId="1" xfId="0" applyFont="1" applyFill="1" applyBorder="1" applyAlignment="1">
      <alignment horizontal="center" vertical="center" wrapText="1"/>
    </xf>
    <xf numFmtId="10" fontId="4" fillId="8" borderId="1" xfId="0" applyNumberFormat="1" applyFont="1" applyFill="1" applyBorder="1" applyAlignment="1">
      <alignment horizontal="center" vertical="center" wrapText="1"/>
    </xf>
    <xf numFmtId="9" fontId="5" fillId="0" borderId="1" xfId="0" applyNumberFormat="1" applyFont="1" applyBorder="1"/>
    <xf numFmtId="165" fontId="0" fillId="0" borderId="0" xfId="0" applyNumberFormat="1"/>
    <xf numFmtId="0" fontId="16" fillId="0" borderId="1" xfId="0" applyFont="1" applyBorder="1" applyAlignment="1">
      <alignment vertical="center"/>
    </xf>
    <xf numFmtId="0" fontId="16" fillId="0" borderId="1" xfId="0" applyFont="1" applyBorder="1" applyAlignment="1">
      <alignment horizontal="left" vertical="center"/>
    </xf>
    <xf numFmtId="0" fontId="17" fillId="0" borderId="1" xfId="0" applyFont="1" applyBorder="1" applyAlignment="1">
      <alignment vertical="center"/>
    </xf>
    <xf numFmtId="10" fontId="16" fillId="0" borderId="1" xfId="0" applyNumberFormat="1" applyFont="1" applyBorder="1" applyAlignment="1">
      <alignment horizontal="right" vertical="center"/>
    </xf>
    <xf numFmtId="10" fontId="16" fillId="0" borderId="1" xfId="0" applyNumberFormat="1" applyFont="1" applyBorder="1" applyAlignment="1">
      <alignment horizontal="right" vertical="center" wrapText="1"/>
    </xf>
    <xf numFmtId="0" fontId="0" fillId="0" borderId="0" xfId="0" applyAlignment="1">
      <alignment vertical="top"/>
    </xf>
    <xf numFmtId="0" fontId="18" fillId="0" borderId="1" xfId="0" applyFont="1" applyBorder="1" applyAlignment="1">
      <alignment vertical="center"/>
    </xf>
    <xf numFmtId="0" fontId="19" fillId="0" borderId="0" xfId="0" applyFont="1"/>
    <xf numFmtId="0" fontId="19" fillId="0" borderId="1" xfId="0" applyFont="1" applyBorder="1"/>
    <xf numFmtId="0" fontId="19" fillId="13" borderId="1" xfId="0" applyFont="1" applyFill="1" applyBorder="1" applyAlignment="1">
      <alignment vertical="center"/>
    </xf>
    <xf numFmtId="4" fontId="19" fillId="13" borderId="1" xfId="0" applyNumberFormat="1" applyFont="1" applyFill="1" applyBorder="1" applyAlignment="1">
      <alignment vertical="center"/>
    </xf>
    <xf numFmtId="10" fontId="19" fillId="13" borderId="1" xfId="0" applyNumberFormat="1" applyFont="1" applyFill="1" applyBorder="1" applyAlignment="1">
      <alignment vertical="center"/>
    </xf>
    <xf numFmtId="0" fontId="19" fillId="0" borderId="1" xfId="0" applyFont="1" applyBorder="1" applyAlignment="1">
      <alignment vertical="center"/>
    </xf>
    <xf numFmtId="0" fontId="20" fillId="13" borderId="1" xfId="0" applyFont="1" applyFill="1" applyBorder="1" applyAlignment="1">
      <alignment vertical="center"/>
    </xf>
    <xf numFmtId="0" fontId="21" fillId="13" borderId="1" xfId="0" applyFont="1" applyFill="1" applyBorder="1" applyAlignment="1">
      <alignment wrapText="1"/>
    </xf>
    <xf numFmtId="0" fontId="22" fillId="13" borderId="0" xfId="0" applyFont="1" applyFill="1"/>
    <xf numFmtId="0" fontId="21" fillId="13" borderId="0" xfId="0" applyFont="1" applyFill="1" applyAlignment="1">
      <alignment wrapText="1"/>
    </xf>
    <xf numFmtId="0" fontId="20" fillId="13" borderId="1" xfId="0" applyFont="1" applyFill="1" applyBorder="1" applyAlignment="1">
      <alignment vertical="center" wrapText="1"/>
    </xf>
    <xf numFmtId="17" fontId="20" fillId="13" borderId="1" xfId="0" applyNumberFormat="1" applyFont="1" applyFill="1" applyBorder="1" applyAlignment="1">
      <alignment vertical="center" wrapText="1"/>
    </xf>
    <xf numFmtId="0" fontId="19" fillId="13" borderId="1" xfId="0" applyFont="1" applyFill="1" applyBorder="1" applyAlignment="1">
      <alignment vertical="center" wrapText="1"/>
    </xf>
    <xf numFmtId="4" fontId="19" fillId="13" borderId="1" xfId="0" applyNumberFormat="1" applyFont="1" applyFill="1" applyBorder="1" applyAlignment="1">
      <alignment horizontal="right" vertical="center" wrapText="1"/>
    </xf>
    <xf numFmtId="0" fontId="19" fillId="13" borderId="1" xfId="0" applyFont="1" applyFill="1" applyBorder="1" applyAlignment="1">
      <alignment horizontal="right" vertical="center" wrapText="1"/>
    </xf>
    <xf numFmtId="4" fontId="20" fillId="13" borderId="1" xfId="0" applyNumberFormat="1" applyFont="1" applyFill="1" applyBorder="1" applyAlignment="1">
      <alignment horizontal="right" vertical="center" wrapText="1"/>
    </xf>
    <xf numFmtId="0" fontId="23" fillId="13" borderId="0" xfId="0" applyFont="1" applyFill="1" applyAlignment="1">
      <alignment vertical="center" wrapText="1"/>
    </xf>
    <xf numFmtId="0" fontId="19" fillId="13" borderId="0" xfId="0" applyFont="1" applyFill="1" applyAlignment="1">
      <alignment horizontal="right" vertical="center" wrapText="1"/>
    </xf>
    <xf numFmtId="0" fontId="18" fillId="0" borderId="1" xfId="0" applyFont="1" applyBorder="1" applyAlignment="1">
      <alignment vertical="center" wrapText="1"/>
    </xf>
    <xf numFmtId="17" fontId="19" fillId="13" borderId="1" xfId="0" applyNumberFormat="1" applyFont="1" applyFill="1" applyBorder="1" applyAlignment="1">
      <alignment horizontal="left" vertical="center" wrapText="1"/>
    </xf>
    <xf numFmtId="10" fontId="19" fillId="0" borderId="1" xfId="0" applyNumberFormat="1" applyFont="1" applyBorder="1"/>
    <xf numFmtId="0" fontId="24" fillId="14" borderId="1" xfId="0" applyFont="1" applyFill="1" applyBorder="1" applyAlignment="1">
      <alignment vertical="center"/>
    </xf>
    <xf numFmtId="0" fontId="24" fillId="14" borderId="1" xfId="0" applyFont="1" applyFill="1" applyBorder="1" applyAlignment="1">
      <alignment horizontal="center" vertical="center"/>
    </xf>
    <xf numFmtId="0" fontId="13" fillId="0" borderId="1" xfId="0" applyFont="1" applyBorder="1" applyAlignment="1">
      <alignment horizontal="right"/>
    </xf>
    <xf numFmtId="0" fontId="13" fillId="0" borderId="1" xfId="0" applyFont="1" applyBorder="1" applyAlignment="1">
      <alignment horizontal="right" vertical="center"/>
    </xf>
    <xf numFmtId="0" fontId="20" fillId="0" borderId="1" xfId="0" applyFont="1" applyBorder="1"/>
    <xf numFmtId="0" fontId="25" fillId="0" borderId="1" xfId="0" applyFont="1" applyBorder="1" applyAlignment="1">
      <alignment horizontal="right"/>
    </xf>
    <xf numFmtId="0" fontId="25" fillId="0" borderId="1" xfId="0" applyFont="1" applyBorder="1" applyAlignment="1">
      <alignment horizontal="right" vertical="center"/>
    </xf>
    <xf numFmtId="0" fontId="20" fillId="0" borderId="1" xfId="0" applyFont="1" applyBorder="1" applyAlignment="1">
      <alignment vertical="center"/>
    </xf>
    <xf numFmtId="0" fontId="25" fillId="0" borderId="1" xfId="0" applyFont="1" applyBorder="1" applyAlignment="1">
      <alignment vertical="center"/>
    </xf>
    <xf numFmtId="4" fontId="25" fillId="0" borderId="1" xfId="0" applyNumberFormat="1" applyFont="1" applyBorder="1" applyAlignment="1">
      <alignment horizontal="right" vertical="center"/>
    </xf>
    <xf numFmtId="4" fontId="25" fillId="0" borderId="1" xfId="0" applyNumberFormat="1" applyFont="1" applyBorder="1" applyAlignment="1">
      <alignment horizontal="right"/>
    </xf>
    <xf numFmtId="4" fontId="19" fillId="0" borderId="1" xfId="0" applyNumberFormat="1" applyFont="1" applyBorder="1"/>
    <xf numFmtId="4" fontId="19" fillId="0" borderId="1" xfId="0" applyNumberFormat="1" applyFont="1" applyBorder="1" applyAlignment="1">
      <alignment horizontal="right"/>
    </xf>
    <xf numFmtId="0" fontId="25" fillId="0" borderId="1" xfId="0" applyFont="1" applyBorder="1"/>
    <xf numFmtId="10" fontId="25" fillId="0" borderId="1" xfId="0" applyNumberFormat="1" applyFont="1" applyBorder="1" applyAlignment="1">
      <alignment horizontal="right"/>
    </xf>
    <xf numFmtId="10" fontId="25" fillId="0" borderId="1" xfId="0" applyNumberFormat="1" applyFont="1" applyBorder="1"/>
    <xf numFmtId="10" fontId="25" fillId="0" borderId="1" xfId="0" applyNumberFormat="1" applyFont="1" applyBorder="1" applyAlignment="1">
      <alignment horizontal="right" vertical="center"/>
    </xf>
    <xf numFmtId="10" fontId="25" fillId="0" borderId="1" xfId="0" applyNumberFormat="1" applyFont="1" applyBorder="1" applyAlignment="1">
      <alignment horizontal="right" vertical="center" wrapText="1"/>
    </xf>
    <xf numFmtId="0" fontId="25" fillId="0" borderId="1" xfId="0" applyFont="1" applyBorder="1" applyAlignment="1">
      <alignment vertical="center" wrapText="1"/>
    </xf>
    <xf numFmtId="10" fontId="19" fillId="0" borderId="1" xfId="0" applyNumberFormat="1" applyFont="1" applyBorder="1" applyAlignment="1">
      <alignment horizontal="right"/>
    </xf>
    <xf numFmtId="9" fontId="0" fillId="0" borderId="0" xfId="2" applyFont="1"/>
    <xf numFmtId="43" fontId="0" fillId="0" borderId="0" xfId="0" applyNumberFormat="1"/>
    <xf numFmtId="0" fontId="5" fillId="0" borderId="4" xfId="0" applyFont="1" applyBorder="1"/>
    <xf numFmtId="0" fontId="3" fillId="15" borderId="1" xfId="0" applyFont="1" applyFill="1" applyBorder="1" applyAlignment="1">
      <alignment vertical="center"/>
    </xf>
    <xf numFmtId="168" fontId="10" fillId="15" borderId="1" xfId="0" applyNumberFormat="1" applyFont="1" applyFill="1" applyBorder="1" applyAlignment="1">
      <alignment horizontal="center" vertical="center"/>
    </xf>
    <xf numFmtId="0" fontId="3" fillId="15" borderId="1" xfId="0" applyFont="1" applyFill="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4" fillId="0" borderId="1" xfId="0" applyFont="1" applyBorder="1" applyAlignment="1">
      <alignment vertical="center"/>
    </xf>
    <xf numFmtId="1" fontId="4" fillId="0" borderId="1" xfId="0" applyNumberFormat="1" applyFont="1" applyBorder="1" applyAlignment="1">
      <alignment horizontal="right" vertical="center"/>
    </xf>
    <xf numFmtId="1" fontId="4" fillId="0" borderId="4" xfId="0" applyNumberFormat="1" applyFont="1" applyBorder="1" applyAlignment="1">
      <alignment horizontal="right" vertical="center"/>
    </xf>
    <xf numFmtId="2" fontId="4" fillId="0" borderId="1" xfId="0" applyNumberFormat="1" applyFont="1" applyBorder="1" applyAlignment="1">
      <alignment vertical="center"/>
    </xf>
    <xf numFmtId="10" fontId="4" fillId="0" borderId="7" xfId="2" applyNumberFormat="1" applyFont="1" applyFill="1" applyBorder="1" applyAlignment="1">
      <alignment horizontal="right" vertical="center"/>
    </xf>
    <xf numFmtId="0" fontId="4" fillId="16" borderId="1" xfId="0" applyFont="1" applyFill="1" applyBorder="1" applyAlignment="1">
      <alignment vertical="center"/>
    </xf>
    <xf numFmtId="2" fontId="4" fillId="16" borderId="1" xfId="0" applyNumberFormat="1" applyFont="1" applyFill="1" applyBorder="1" applyAlignment="1">
      <alignment horizontal="right" vertical="center"/>
    </xf>
    <xf numFmtId="2" fontId="0" fillId="0" borderId="0" xfId="0" applyNumberFormat="1"/>
    <xf numFmtId="1" fontId="0" fillId="0" borderId="0" xfId="0" applyNumberFormat="1"/>
    <xf numFmtId="10" fontId="5" fillId="0" borderId="4" xfId="0" applyNumberFormat="1" applyFont="1" applyBorder="1"/>
    <xf numFmtId="10" fontId="4" fillId="0" borderId="0" xfId="2" applyNumberFormat="1" applyFont="1" applyFill="1" applyBorder="1" applyAlignment="1">
      <alignment horizontal="right" vertical="center"/>
    </xf>
    <xf numFmtId="2" fontId="4" fillId="0" borderId="4" xfId="0" applyNumberFormat="1" applyFont="1" applyBorder="1" applyAlignment="1">
      <alignment horizontal="right" vertical="center"/>
    </xf>
    <xf numFmtId="10" fontId="4" fillId="0" borderId="1" xfId="2" applyNumberFormat="1" applyFont="1" applyBorder="1" applyAlignment="1">
      <alignment horizontal="right" vertical="center"/>
    </xf>
    <xf numFmtId="10" fontId="4" fillId="0" borderId="4" xfId="2" applyNumberFormat="1" applyFont="1" applyBorder="1" applyAlignment="1">
      <alignment horizontal="right" vertical="center"/>
    </xf>
    <xf numFmtId="2" fontId="4" fillId="0" borderId="4" xfId="0" applyNumberFormat="1" applyFont="1" applyBorder="1" applyAlignment="1">
      <alignment vertical="center"/>
    </xf>
    <xf numFmtId="2" fontId="4" fillId="0" borderId="1" xfId="2" applyNumberFormat="1" applyFont="1" applyBorder="1" applyAlignment="1">
      <alignment horizontal="right" vertical="center"/>
    </xf>
    <xf numFmtId="2" fontId="4" fillId="0" borderId="4" xfId="2" applyNumberFormat="1" applyFont="1" applyBorder="1" applyAlignment="1">
      <alignment horizontal="right" vertical="center"/>
    </xf>
    <xf numFmtId="10" fontId="4" fillId="0" borderId="1" xfId="0" applyNumberFormat="1" applyFont="1" applyBorder="1" applyAlignment="1">
      <alignment horizontal="right" vertical="center"/>
    </xf>
    <xf numFmtId="10" fontId="4" fillId="0" borderId="4" xfId="0" applyNumberFormat="1" applyFont="1" applyBorder="1" applyAlignment="1">
      <alignment horizontal="right" vertical="center"/>
    </xf>
    <xf numFmtId="10" fontId="5" fillId="0" borderId="1" xfId="2" applyNumberFormat="1" applyFont="1" applyBorder="1" applyAlignment="1">
      <alignment vertical="center"/>
    </xf>
    <xf numFmtId="10" fontId="5" fillId="0" borderId="4" xfId="2" applyNumberFormat="1" applyFont="1" applyBorder="1" applyAlignment="1">
      <alignment vertical="center"/>
    </xf>
    <xf numFmtId="2" fontId="5" fillId="0" borderId="4" xfId="0" applyNumberFormat="1" applyFont="1" applyBorder="1"/>
    <xf numFmtId="0" fontId="6" fillId="0" borderId="1" xfId="0" applyFont="1" applyBorder="1"/>
    <xf numFmtId="10" fontId="0" fillId="0" borderId="0" xfId="2" applyNumberFormat="1" applyFont="1"/>
    <xf numFmtId="0" fontId="26" fillId="0" borderId="12" xfId="0" applyFont="1" applyBorder="1" applyAlignment="1">
      <alignment vertical="center" wrapText="1"/>
    </xf>
    <xf numFmtId="0" fontId="26" fillId="0" borderId="13" xfId="0" applyFont="1" applyBorder="1" applyAlignment="1">
      <alignment vertical="center" wrapText="1"/>
    </xf>
    <xf numFmtId="0" fontId="27" fillId="0" borderId="14" xfId="0" applyFont="1" applyBorder="1" applyAlignment="1">
      <alignment vertical="center" wrapText="1"/>
    </xf>
    <xf numFmtId="0" fontId="27" fillId="0" borderId="15" xfId="0" applyFont="1" applyBorder="1" applyAlignment="1">
      <alignment horizontal="right" vertical="center" wrapText="1"/>
    </xf>
    <xf numFmtId="3" fontId="27" fillId="0" borderId="15" xfId="0" applyNumberFormat="1" applyFont="1" applyBorder="1" applyAlignment="1">
      <alignment horizontal="right" vertical="center" wrapText="1"/>
    </xf>
    <xf numFmtId="0" fontId="26" fillId="0" borderId="14" xfId="0" applyFont="1" applyBorder="1" applyAlignment="1">
      <alignment vertical="center" wrapText="1"/>
    </xf>
    <xf numFmtId="3" fontId="26" fillId="0" borderId="15" xfId="0" applyNumberFormat="1" applyFont="1" applyBorder="1" applyAlignment="1">
      <alignment horizontal="right" vertical="center" wrapText="1"/>
    </xf>
    <xf numFmtId="0" fontId="4" fillId="17" borderId="1" xfId="0" applyFont="1" applyFill="1" applyBorder="1" applyAlignment="1">
      <alignment vertical="center"/>
    </xf>
    <xf numFmtId="2" fontId="4" fillId="17" borderId="1" xfId="0" applyNumberFormat="1" applyFont="1" applyFill="1" applyBorder="1" applyAlignment="1">
      <alignment vertical="center"/>
    </xf>
    <xf numFmtId="0" fontId="5" fillId="17" borderId="1" xfId="0" applyFont="1" applyFill="1" applyBorder="1"/>
    <xf numFmtId="10" fontId="5" fillId="17" borderId="1" xfId="0" applyNumberFormat="1" applyFont="1" applyFill="1" applyBorder="1"/>
    <xf numFmtId="0" fontId="30" fillId="0" borderId="0" xfId="0" applyFont="1" applyAlignment="1">
      <alignment vertical="center"/>
    </xf>
    <xf numFmtId="9" fontId="30" fillId="0" borderId="0" xfId="2" applyFont="1" applyAlignment="1">
      <alignment vertical="center"/>
    </xf>
    <xf numFmtId="43" fontId="30" fillId="0" borderId="1" xfId="1" applyFont="1" applyBorder="1" applyAlignment="1">
      <alignment vertical="center"/>
    </xf>
    <xf numFmtId="0" fontId="30" fillId="0" borderId="8" xfId="0" applyFont="1" applyBorder="1" applyAlignment="1">
      <alignment vertical="center"/>
    </xf>
    <xf numFmtId="164" fontId="17" fillId="4" borderId="1" xfId="1" applyNumberFormat="1" applyFont="1" applyFill="1" applyBorder="1" applyAlignment="1">
      <alignment horizontal="center" vertical="center" wrapText="1"/>
    </xf>
    <xf numFmtId="0" fontId="17" fillId="4" borderId="1" xfId="0" applyFont="1" applyFill="1" applyBorder="1" applyAlignment="1">
      <alignment horizontal="center" vertical="center" wrapText="1"/>
    </xf>
    <xf numFmtId="164" fontId="3" fillId="4" borderId="1" xfId="1" applyNumberFormat="1" applyFont="1" applyFill="1" applyBorder="1" applyAlignment="1">
      <alignment horizontal="center" vertical="center" wrapText="1"/>
    </xf>
    <xf numFmtId="0" fontId="30" fillId="0" borderId="3" xfId="0" applyFont="1" applyBorder="1" applyAlignment="1">
      <alignment vertical="center"/>
    </xf>
    <xf numFmtId="0" fontId="30" fillId="0" borderId="9" xfId="0" applyFont="1" applyBorder="1" applyAlignment="1">
      <alignment vertical="center"/>
    </xf>
    <xf numFmtId="165" fontId="30" fillId="0" borderId="1" xfId="1" applyNumberFormat="1" applyFont="1" applyBorder="1" applyAlignment="1">
      <alignment vertical="center"/>
    </xf>
    <xf numFmtId="0" fontId="30" fillId="0" borderId="1" xfId="0" applyFont="1" applyBorder="1" applyAlignment="1">
      <alignment vertical="center"/>
    </xf>
    <xf numFmtId="0" fontId="30" fillId="0" borderId="1" xfId="0" applyFont="1" applyBorder="1" applyAlignment="1">
      <alignment horizontal="right" vertical="center" wrapText="1"/>
    </xf>
    <xf numFmtId="0" fontId="30" fillId="0" borderId="1" xfId="0" applyFont="1" applyBorder="1" applyAlignment="1">
      <alignment horizontal="right" vertical="center"/>
    </xf>
    <xf numFmtId="10" fontId="16" fillId="0" borderId="1" xfId="2" applyNumberFormat="1" applyFont="1" applyBorder="1" applyAlignment="1">
      <alignment horizontal="right" vertical="center"/>
    </xf>
    <xf numFmtId="167" fontId="16" fillId="0" borderId="1" xfId="2" applyNumberFormat="1" applyFont="1" applyBorder="1" applyAlignment="1">
      <alignment horizontal="right" vertical="center"/>
    </xf>
    <xf numFmtId="167" fontId="30" fillId="0" borderId="1" xfId="0" applyNumberFormat="1" applyFont="1" applyBorder="1" applyAlignment="1">
      <alignment horizontal="right" vertical="center" wrapText="1"/>
    </xf>
    <xf numFmtId="169" fontId="16" fillId="0" borderId="1" xfId="2" applyNumberFormat="1" applyFont="1" applyBorder="1" applyAlignment="1">
      <alignment horizontal="right" vertical="center"/>
    </xf>
    <xf numFmtId="169" fontId="16" fillId="0" borderId="1" xfId="2" applyNumberFormat="1" applyFont="1" applyFill="1" applyBorder="1" applyAlignment="1">
      <alignment horizontal="right" vertical="center"/>
    </xf>
    <xf numFmtId="165" fontId="30" fillId="0" borderId="1" xfId="1" applyNumberFormat="1" applyFont="1" applyBorder="1" applyAlignment="1">
      <alignment horizontal="center" vertical="center"/>
    </xf>
    <xf numFmtId="9" fontId="16" fillId="0" borderId="1" xfId="2" applyFont="1" applyBorder="1" applyAlignment="1">
      <alignment horizontal="right" vertical="center"/>
    </xf>
    <xf numFmtId="165" fontId="16" fillId="0" borderId="1" xfId="1" applyNumberFormat="1" applyFont="1" applyBorder="1" applyAlignment="1">
      <alignment horizontal="right" vertical="center" wrapText="1"/>
    </xf>
    <xf numFmtId="9" fontId="16" fillId="0" borderId="1" xfId="2" applyFont="1" applyFill="1" applyBorder="1" applyAlignment="1">
      <alignment horizontal="right" vertical="center"/>
    </xf>
    <xf numFmtId="167" fontId="16" fillId="0" borderId="1" xfId="0" applyNumberFormat="1" applyFont="1" applyBorder="1" applyAlignment="1">
      <alignment horizontal="right" vertical="center" wrapText="1"/>
    </xf>
    <xf numFmtId="167" fontId="30" fillId="0" borderId="1" xfId="2" applyNumberFormat="1" applyFont="1" applyBorder="1" applyAlignment="1">
      <alignment horizontal="right" vertical="center"/>
    </xf>
    <xf numFmtId="10" fontId="30" fillId="0" borderId="1" xfId="0" applyNumberFormat="1" applyFont="1" applyBorder="1" applyAlignment="1">
      <alignment horizontal="right" vertical="center" wrapText="1"/>
    </xf>
    <xf numFmtId="167" fontId="16" fillId="0" borderId="1" xfId="0" applyNumberFormat="1" applyFont="1" applyBorder="1" applyAlignment="1">
      <alignment horizontal="right" vertical="center"/>
    </xf>
    <xf numFmtId="9" fontId="30" fillId="0" borderId="1" xfId="2" applyFont="1" applyBorder="1" applyAlignment="1">
      <alignment vertical="center"/>
    </xf>
    <xf numFmtId="167" fontId="16" fillId="0" borderId="1" xfId="2" applyNumberFormat="1" applyFont="1" applyBorder="1" applyAlignment="1">
      <alignment horizontal="right" vertical="center" wrapText="1"/>
    </xf>
    <xf numFmtId="0" fontId="16" fillId="0" borderId="3" xfId="0" applyFont="1" applyBorder="1" applyAlignment="1">
      <alignment horizontal="left" vertical="center"/>
    </xf>
    <xf numFmtId="165" fontId="30" fillId="0" borderId="0" xfId="1" applyNumberFormat="1" applyFont="1" applyAlignment="1">
      <alignment vertical="center"/>
    </xf>
    <xf numFmtId="9" fontId="30" fillId="0" borderId="1" xfId="2" applyFont="1" applyBorder="1" applyAlignment="1">
      <alignment horizontal="center" vertical="center"/>
    </xf>
    <xf numFmtId="165" fontId="30" fillId="0" borderId="1" xfId="0" applyNumberFormat="1" applyFont="1" applyBorder="1" applyAlignment="1">
      <alignment horizontal="right" vertical="center"/>
    </xf>
    <xf numFmtId="165" fontId="30" fillId="0" borderId="0" xfId="1" applyNumberFormat="1" applyFont="1" applyAlignment="1">
      <alignment horizontal="right" vertical="center"/>
    </xf>
    <xf numFmtId="43" fontId="30" fillId="0" borderId="0" xfId="1" applyFont="1" applyAlignment="1">
      <alignment vertical="center"/>
    </xf>
    <xf numFmtId="0" fontId="16" fillId="0" borderId="0" xfId="0" applyFont="1" applyAlignment="1">
      <alignment vertical="center"/>
    </xf>
    <xf numFmtId="165" fontId="30" fillId="0" borderId="0" xfId="0" applyNumberFormat="1" applyFont="1" applyAlignment="1">
      <alignment horizontal="right" vertical="center"/>
    </xf>
    <xf numFmtId="10" fontId="5" fillId="0" borderId="1" xfId="0" applyNumberFormat="1" applyFont="1" applyBorder="1" applyAlignment="1">
      <alignment horizontal="right" vertical="center"/>
    </xf>
    <xf numFmtId="0" fontId="16" fillId="0" borderId="0" xfId="0" applyFont="1" applyAlignment="1">
      <alignment horizontal="left" vertical="center"/>
    </xf>
    <xf numFmtId="10" fontId="30" fillId="0" borderId="0" xfId="2" applyNumberFormat="1" applyFont="1" applyAlignment="1">
      <alignment vertical="center"/>
    </xf>
    <xf numFmtId="165" fontId="30" fillId="0" borderId="0" xfId="0" applyNumberFormat="1" applyFont="1" applyAlignment="1">
      <alignment vertical="center"/>
    </xf>
    <xf numFmtId="165" fontId="31" fillId="0" borderId="0" xfId="0" applyNumberFormat="1" applyFont="1" applyAlignment="1">
      <alignment vertical="center"/>
    </xf>
    <xf numFmtId="164" fontId="30" fillId="0" borderId="0" xfId="1" applyNumberFormat="1" applyFont="1" applyAlignment="1">
      <alignment vertical="center"/>
    </xf>
    <xf numFmtId="0" fontId="31" fillId="18" borderId="1" xfId="0" applyFont="1" applyFill="1" applyBorder="1" applyAlignment="1">
      <alignment vertical="center"/>
    </xf>
    <xf numFmtId="0" fontId="31" fillId="18" borderId="1" xfId="0" applyFont="1" applyFill="1" applyBorder="1" applyAlignment="1">
      <alignment horizontal="center" vertical="center"/>
    </xf>
    <xf numFmtId="164" fontId="30" fillId="0" borderId="1" xfId="1" applyNumberFormat="1" applyFont="1" applyBorder="1" applyAlignment="1">
      <alignment vertical="center"/>
    </xf>
    <xf numFmtId="0" fontId="30" fillId="6" borderId="1" xfId="0" applyFont="1" applyFill="1" applyBorder="1" applyAlignment="1">
      <alignment vertical="center"/>
    </xf>
    <xf numFmtId="164" fontId="30" fillId="6" borderId="1" xfId="1" applyNumberFormat="1" applyFont="1" applyFill="1" applyBorder="1" applyAlignment="1">
      <alignment vertical="center"/>
    </xf>
    <xf numFmtId="0" fontId="30" fillId="19" borderId="1" xfId="0" applyFont="1" applyFill="1" applyBorder="1" applyAlignment="1">
      <alignment vertical="center"/>
    </xf>
    <xf numFmtId="164" fontId="30" fillId="19" borderId="1" xfId="1" applyNumberFormat="1" applyFont="1" applyFill="1" applyBorder="1" applyAlignment="1">
      <alignment vertical="center"/>
    </xf>
    <xf numFmtId="0" fontId="31" fillId="0" borderId="1" xfId="0" applyFont="1" applyBorder="1" applyAlignment="1">
      <alignment vertical="center"/>
    </xf>
    <xf numFmtId="164" fontId="31" fillId="0" borderId="1" xfId="0" applyNumberFormat="1" applyFont="1" applyBorder="1" applyAlignment="1">
      <alignment vertical="center"/>
    </xf>
    <xf numFmtId="43" fontId="30" fillId="0" borderId="0" xfId="0" applyNumberFormat="1" applyFont="1" applyAlignment="1">
      <alignment vertical="center"/>
    </xf>
    <xf numFmtId="164" fontId="30" fillId="0" borderId="1" xfId="0" applyNumberFormat="1" applyFont="1" applyBorder="1" applyAlignment="1">
      <alignment vertical="center"/>
    </xf>
    <xf numFmtId="164" fontId="31" fillId="18" borderId="1" xfId="0" applyNumberFormat="1" applyFont="1" applyFill="1" applyBorder="1" applyAlignment="1">
      <alignment vertical="center"/>
    </xf>
    <xf numFmtId="0" fontId="31" fillId="18" borderId="1" xfId="0" applyFont="1" applyFill="1" applyBorder="1" applyAlignment="1">
      <alignment vertical="center" wrapText="1"/>
    </xf>
    <xf numFmtId="0" fontId="3" fillId="0" borderId="1" xfId="0" applyFont="1" applyBorder="1" applyAlignment="1">
      <alignment horizontal="left" vertical="top"/>
    </xf>
    <xf numFmtId="0" fontId="3" fillId="0" borderId="1" xfId="0" applyFont="1" applyBorder="1" applyAlignment="1">
      <alignment horizontal="center" vertical="top"/>
    </xf>
    <xf numFmtId="0" fontId="3" fillId="0" borderId="1" xfId="0" applyFont="1" applyBorder="1"/>
    <xf numFmtId="0" fontId="4" fillId="0" borderId="1" xfId="0" applyFont="1" applyBorder="1"/>
    <xf numFmtId="10"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wrapText="1"/>
    </xf>
    <xf numFmtId="9" fontId="5" fillId="0" borderId="0" xfId="2" applyFont="1"/>
    <xf numFmtId="0" fontId="0" fillId="17" borderId="0" xfId="0" applyFill="1"/>
    <xf numFmtId="164" fontId="16" fillId="4" borderId="1" xfId="1" applyNumberFormat="1" applyFont="1" applyFill="1" applyBorder="1" applyAlignment="1">
      <alignment horizontal="center" vertical="center"/>
    </xf>
    <xf numFmtId="0" fontId="16" fillId="4" borderId="1" xfId="0" applyFont="1" applyFill="1" applyBorder="1" applyAlignment="1">
      <alignment horizontal="center" vertical="center"/>
    </xf>
    <xf numFmtId="164" fontId="16" fillId="17" borderId="1" xfId="1" applyNumberFormat="1" applyFont="1" applyFill="1" applyBorder="1" applyAlignment="1">
      <alignment horizontal="center" vertical="center"/>
    </xf>
    <xf numFmtId="164" fontId="16" fillId="4" borderId="1" xfId="1" applyNumberFormat="1" applyFont="1" applyFill="1" applyBorder="1" applyAlignment="1">
      <alignment horizontal="center" vertical="center" wrapText="1"/>
    </xf>
    <xf numFmtId="0" fontId="16" fillId="17" borderId="1" xfId="0" applyFont="1" applyFill="1" applyBorder="1" applyAlignment="1">
      <alignment horizontal="center" vertical="center"/>
    </xf>
    <xf numFmtId="164" fontId="16" fillId="17" borderId="1" xfId="1" applyNumberFormat="1" applyFont="1" applyFill="1" applyBorder="1" applyAlignment="1">
      <alignment horizontal="center" vertical="center" wrapText="1"/>
    </xf>
    <xf numFmtId="165" fontId="30" fillId="17" borderId="1" xfId="1" applyNumberFormat="1" applyFont="1" applyFill="1" applyBorder="1" applyAlignment="1">
      <alignment vertical="center"/>
    </xf>
    <xf numFmtId="167" fontId="30" fillId="0" borderId="1" xfId="0" applyNumberFormat="1" applyFont="1" applyBorder="1" applyAlignment="1">
      <alignment horizontal="right" vertical="center"/>
    </xf>
    <xf numFmtId="2" fontId="16" fillId="0" borderId="1" xfId="2" applyNumberFormat="1" applyFont="1" applyBorder="1" applyAlignment="1">
      <alignment horizontal="right" vertical="center"/>
    </xf>
    <xf numFmtId="10" fontId="16" fillId="0" borderId="5" xfId="0" applyNumberFormat="1" applyFont="1" applyBorder="1" applyAlignment="1">
      <alignment horizontal="right" vertical="center"/>
    </xf>
    <xf numFmtId="165" fontId="30" fillId="17" borderId="1" xfId="1" applyNumberFormat="1" applyFont="1" applyFill="1" applyBorder="1" applyAlignment="1">
      <alignment horizontal="center" vertical="center"/>
    </xf>
    <xf numFmtId="10" fontId="16" fillId="0" borderId="1" xfId="2" applyNumberFormat="1" applyFont="1" applyFill="1" applyBorder="1" applyAlignment="1">
      <alignment horizontal="right" vertical="center"/>
    </xf>
    <xf numFmtId="165" fontId="16" fillId="0" borderId="1" xfId="1" applyNumberFormat="1" applyFont="1" applyBorder="1" applyAlignment="1">
      <alignment horizontal="right" vertical="center"/>
    </xf>
    <xf numFmtId="165" fontId="16" fillId="17" borderId="1" xfId="1" applyNumberFormat="1" applyFont="1" applyFill="1" applyBorder="1" applyAlignment="1">
      <alignment horizontal="right" vertical="center"/>
    </xf>
    <xf numFmtId="10" fontId="16" fillId="17" borderId="1" xfId="0" applyNumberFormat="1" applyFont="1" applyFill="1" applyBorder="1" applyAlignment="1">
      <alignment horizontal="right" vertical="center"/>
    </xf>
    <xf numFmtId="10" fontId="30" fillId="0" borderId="1" xfId="2" applyNumberFormat="1" applyFont="1" applyBorder="1" applyAlignment="1">
      <alignment horizontal="right" vertical="center"/>
    </xf>
    <xf numFmtId="10" fontId="30" fillId="0" borderId="1" xfId="0" applyNumberFormat="1" applyFont="1" applyBorder="1" applyAlignment="1">
      <alignment horizontal="right" vertical="center"/>
    </xf>
    <xf numFmtId="165" fontId="30" fillId="0" borderId="1" xfId="1" applyNumberFormat="1" applyFont="1" applyFill="1" applyBorder="1" applyAlignment="1">
      <alignment horizontal="center" vertical="center"/>
    </xf>
    <xf numFmtId="165" fontId="30" fillId="0" borderId="0" xfId="1" applyNumberFormat="1" applyFont="1" applyBorder="1" applyAlignment="1">
      <alignment horizontal="center" vertical="center"/>
    </xf>
    <xf numFmtId="165" fontId="30" fillId="0" borderId="3" xfId="1" applyNumberFormat="1" applyFont="1" applyFill="1" applyBorder="1" applyAlignment="1">
      <alignment vertical="center"/>
    </xf>
    <xf numFmtId="43" fontId="30" fillId="0" borderId="1" xfId="1" applyFont="1" applyBorder="1" applyAlignment="1">
      <alignment horizontal="right" vertical="center"/>
    </xf>
    <xf numFmtId="167" fontId="0" fillId="0" borderId="0" xfId="2" applyNumberFormat="1" applyFont="1"/>
    <xf numFmtId="0" fontId="34" fillId="0" borderId="0" xfId="0" applyFont="1" applyAlignment="1">
      <alignment horizontal="justify" vertical="center" wrapText="1"/>
    </xf>
    <xf numFmtId="0" fontId="8" fillId="2" borderId="12" xfId="0" applyFont="1" applyFill="1" applyBorder="1" applyAlignment="1">
      <alignment horizontal="justify" vertical="center" wrapText="1"/>
    </xf>
    <xf numFmtId="0" fontId="8" fillId="2" borderId="13"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0" xfId="0" applyFont="1" applyFill="1" applyAlignment="1">
      <alignment horizontal="center" vertical="center" wrapText="1"/>
    </xf>
    <xf numFmtId="0" fontId="4" fillId="3" borderId="14" xfId="0" applyFont="1" applyFill="1" applyBorder="1" applyAlignment="1">
      <alignment horizontal="justify" vertical="center" wrapText="1"/>
    </xf>
    <xf numFmtId="0" fontId="4" fillId="3" borderId="15" xfId="0" applyFont="1" applyFill="1" applyBorder="1" applyAlignment="1">
      <alignment horizontal="right" vertical="center" wrapText="1"/>
    </xf>
    <xf numFmtId="0" fontId="4" fillId="3" borderId="16" xfId="0" applyFont="1" applyFill="1" applyBorder="1" applyAlignment="1">
      <alignment horizontal="right" vertical="center" wrapText="1"/>
    </xf>
    <xf numFmtId="0" fontId="3" fillId="3" borderId="14" xfId="0" applyFont="1" applyFill="1" applyBorder="1" applyAlignment="1">
      <alignment horizontal="justify" vertical="center" wrapText="1"/>
    </xf>
    <xf numFmtId="0" fontId="3" fillId="3" borderId="15" xfId="0" applyFont="1" applyFill="1" applyBorder="1" applyAlignment="1">
      <alignment horizontal="right" vertical="center" wrapText="1"/>
    </xf>
    <xf numFmtId="0" fontId="8" fillId="3" borderId="15" xfId="0" applyFont="1" applyFill="1" applyBorder="1" applyAlignment="1">
      <alignment horizontal="right" vertical="center" wrapText="1"/>
    </xf>
    <xf numFmtId="0" fontId="8" fillId="3" borderId="16" xfId="0" applyFont="1" applyFill="1" applyBorder="1" applyAlignment="1">
      <alignment horizontal="right" vertical="center" wrapText="1"/>
    </xf>
    <xf numFmtId="0" fontId="8" fillId="3" borderId="17" xfId="0" applyFont="1" applyFill="1" applyBorder="1" applyAlignment="1">
      <alignment vertical="center"/>
    </xf>
    <xf numFmtId="0" fontId="8" fillId="3" borderId="18" xfId="0" applyFont="1" applyFill="1" applyBorder="1" applyAlignment="1">
      <alignment vertical="center"/>
    </xf>
    <xf numFmtId="0" fontId="8" fillId="3" borderId="19" xfId="0" applyFont="1" applyFill="1" applyBorder="1" applyAlignment="1">
      <alignment vertical="center"/>
    </xf>
    <xf numFmtId="0" fontId="9" fillId="3" borderId="17" xfId="0" applyFont="1" applyFill="1" applyBorder="1" applyAlignment="1">
      <alignment vertical="center"/>
    </xf>
    <xf numFmtId="0" fontId="9" fillId="3" borderId="18" xfId="0" applyFont="1" applyFill="1" applyBorder="1" applyAlignment="1">
      <alignment horizontal="right" vertical="center"/>
    </xf>
    <xf numFmtId="0" fontId="9" fillId="3" borderId="19" xfId="0" applyFont="1" applyFill="1" applyBorder="1" applyAlignment="1">
      <alignment horizontal="right" vertical="center"/>
    </xf>
    <xf numFmtId="0" fontId="0" fillId="0" borderId="1" xfId="0" applyBorder="1" applyAlignment="1">
      <alignment vertical="top"/>
    </xf>
    <xf numFmtId="0" fontId="3" fillId="4" borderId="4" xfId="0" applyFont="1" applyFill="1" applyBorder="1" applyAlignment="1">
      <alignment horizontal="center" vertical="top" wrapText="1"/>
    </xf>
    <xf numFmtId="164" fontId="5" fillId="0" borderId="1" xfId="1" applyNumberFormat="1" applyFont="1" applyBorder="1" applyAlignment="1">
      <alignment horizontal="center" vertical="top"/>
    </xf>
    <xf numFmtId="164" fontId="0" fillId="0" borderId="1" xfId="1" applyNumberFormat="1" applyFont="1" applyBorder="1"/>
    <xf numFmtId="164" fontId="32" fillId="0" borderId="1" xfId="1" applyNumberFormat="1" applyFont="1" applyFill="1" applyBorder="1" applyAlignment="1" applyProtection="1">
      <alignment horizontal="center" vertical="top" wrapText="1"/>
    </xf>
    <xf numFmtId="164" fontId="32" fillId="0" borderId="20" xfId="1" applyNumberFormat="1" applyFont="1" applyFill="1" applyBorder="1" applyAlignment="1" applyProtection="1">
      <alignment horizontal="center" vertical="top" wrapText="1"/>
    </xf>
    <xf numFmtId="0" fontId="5" fillId="0" borderId="1" xfId="0" applyFont="1" applyBorder="1" applyAlignment="1">
      <alignment horizontal="right" vertical="top"/>
    </xf>
    <xf numFmtId="0" fontId="5" fillId="0" borderId="1" xfId="0" applyFont="1" applyBorder="1" applyAlignment="1">
      <alignment horizontal="right" vertical="top" wrapText="1"/>
    </xf>
    <xf numFmtId="0" fontId="5" fillId="0" borderId="4" xfId="0" applyFont="1" applyBorder="1" applyAlignment="1">
      <alignment horizontal="right" vertical="top"/>
    </xf>
    <xf numFmtId="10" fontId="4" fillId="0" borderId="1" xfId="2" applyNumberFormat="1" applyFont="1" applyBorder="1" applyAlignment="1">
      <alignment horizontal="center" vertical="center"/>
    </xf>
    <xf numFmtId="10" fontId="4" fillId="0" borderId="4" xfId="2" applyNumberFormat="1" applyFont="1" applyBorder="1" applyAlignment="1">
      <alignment horizontal="center" vertical="center"/>
    </xf>
    <xf numFmtId="167"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wrapText="1"/>
    </xf>
    <xf numFmtId="167" fontId="5" fillId="0" borderId="4" xfId="0" applyNumberFormat="1" applyFont="1" applyBorder="1" applyAlignment="1">
      <alignment horizontal="center" vertical="center" wrapText="1"/>
    </xf>
    <xf numFmtId="164" fontId="5" fillId="0" borderId="1" xfId="1" applyNumberFormat="1" applyFont="1" applyFill="1" applyBorder="1" applyAlignment="1">
      <alignment horizontal="center" vertical="top"/>
    </xf>
    <xf numFmtId="2" fontId="4" fillId="0" borderId="1" xfId="0" applyNumberFormat="1" applyFont="1" applyBorder="1" applyAlignment="1">
      <alignment horizontal="center" vertical="center"/>
    </xf>
    <xf numFmtId="2" fontId="4" fillId="0" borderId="1" xfId="2" applyNumberFormat="1" applyFont="1" applyBorder="1" applyAlignment="1">
      <alignment horizontal="center" vertical="center"/>
    </xf>
    <xf numFmtId="2" fontId="4" fillId="0" borderId="4" xfId="2" applyNumberFormat="1" applyFont="1" applyBorder="1" applyAlignment="1">
      <alignment horizontal="center" vertical="center"/>
    </xf>
    <xf numFmtId="10" fontId="4" fillId="17" borderId="1" xfId="2" applyNumberFormat="1" applyFont="1" applyFill="1" applyBorder="1" applyAlignment="1">
      <alignment horizontal="center" vertical="center" wrapText="1"/>
    </xf>
    <xf numFmtId="10" fontId="4" fillId="0" borderId="4" xfId="0" applyNumberFormat="1" applyFont="1" applyBorder="1" applyAlignment="1">
      <alignment horizontal="center" vertical="center" wrapText="1"/>
    </xf>
    <xf numFmtId="9" fontId="4" fillId="0" borderId="1" xfId="2" applyFont="1" applyBorder="1" applyAlignment="1">
      <alignment vertical="center" wrapText="1"/>
    </xf>
    <xf numFmtId="9" fontId="0" fillId="0" borderId="1" xfId="2" applyFont="1" applyBorder="1" applyAlignment="1"/>
    <xf numFmtId="2" fontId="4" fillId="0" borderId="4" xfId="0" applyNumberFormat="1" applyFont="1" applyBorder="1" applyAlignment="1">
      <alignment horizontal="center" vertical="center"/>
    </xf>
    <xf numFmtId="164" fontId="4" fillId="0" borderId="1" xfId="1" applyNumberFormat="1" applyFont="1" applyBorder="1" applyAlignment="1">
      <alignment horizontal="right" vertical="center" wrapText="1"/>
    </xf>
    <xf numFmtId="43" fontId="4" fillId="0" borderId="1" xfId="1" applyFont="1" applyBorder="1" applyAlignment="1">
      <alignment horizontal="right" vertical="center" wrapText="1"/>
    </xf>
    <xf numFmtId="10" fontId="4" fillId="0" borderId="4" xfId="0" applyNumberFormat="1" applyFont="1" applyBorder="1" applyAlignment="1">
      <alignment horizontal="center" vertical="center"/>
    </xf>
    <xf numFmtId="164" fontId="0" fillId="0" borderId="1" xfId="1" applyNumberFormat="1" applyFont="1" applyFill="1" applyBorder="1"/>
    <xf numFmtId="167"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wrapText="1"/>
    </xf>
    <xf numFmtId="167" fontId="4" fillId="0" borderId="4" xfId="0" applyNumberFormat="1" applyFont="1" applyBorder="1" applyAlignment="1">
      <alignment horizontal="center" vertical="center" wrapText="1"/>
    </xf>
    <xf numFmtId="0" fontId="4" fillId="17" borderId="1" xfId="0" applyFont="1" applyFill="1" applyBorder="1"/>
    <xf numFmtId="0" fontId="4" fillId="17" borderId="1" xfId="0" applyFont="1" applyFill="1" applyBorder="1" applyAlignment="1">
      <alignment horizontal="left" vertical="center"/>
    </xf>
    <xf numFmtId="164" fontId="5" fillId="0" borderId="0" xfId="1" applyNumberFormat="1" applyFont="1" applyBorder="1" applyAlignment="1">
      <alignment horizontal="center" vertical="top"/>
    </xf>
    <xf numFmtId="164" fontId="5" fillId="0" borderId="1" xfId="1" applyNumberFormat="1" applyFont="1" applyBorder="1" applyAlignment="1">
      <alignment vertical="top"/>
    </xf>
    <xf numFmtId="164" fontId="5" fillId="0" borderId="1" xfId="1" applyNumberFormat="1" applyFont="1" applyFill="1" applyBorder="1" applyAlignment="1">
      <alignment vertical="top"/>
    </xf>
    <xf numFmtId="169" fontId="35" fillId="0" borderId="0" xfId="0" applyNumberFormat="1" applyFont="1"/>
    <xf numFmtId="167" fontId="4" fillId="0" borderId="4" xfId="0" applyNumberFormat="1" applyFont="1" applyBorder="1" applyAlignment="1">
      <alignment horizontal="center" vertical="center"/>
    </xf>
    <xf numFmtId="43" fontId="5" fillId="0" borderId="1" xfId="1" applyFont="1" applyBorder="1" applyAlignment="1">
      <alignment vertical="top"/>
    </xf>
    <xf numFmtId="164" fontId="5" fillId="0" borderId="0" xfId="1" applyNumberFormat="1" applyFont="1" applyBorder="1" applyAlignment="1">
      <alignment vertical="top"/>
    </xf>
    <xf numFmtId="167" fontId="4" fillId="0" borderId="1" xfId="2" applyNumberFormat="1" applyFont="1" applyBorder="1" applyAlignment="1">
      <alignment horizontal="center" vertical="center"/>
    </xf>
    <xf numFmtId="167" fontId="4" fillId="0" borderId="4" xfId="2" applyNumberFormat="1"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167" fontId="4" fillId="0" borderId="1" xfId="2" applyNumberFormat="1" applyFont="1" applyBorder="1" applyAlignment="1">
      <alignment horizontal="center" vertical="center" wrapText="1"/>
    </xf>
    <xf numFmtId="167" fontId="4" fillId="0" borderId="4" xfId="2" applyNumberFormat="1" applyFont="1" applyBorder="1" applyAlignment="1">
      <alignment horizontal="center" vertical="center" wrapText="1"/>
    </xf>
    <xf numFmtId="43" fontId="0" fillId="0" borderId="0" xfId="1" applyFont="1"/>
    <xf numFmtId="166" fontId="0" fillId="0" borderId="0" xfId="0" applyNumberFormat="1"/>
    <xf numFmtId="0" fontId="4" fillId="17" borderId="3" xfId="0" applyFont="1" applyFill="1" applyBorder="1"/>
    <xf numFmtId="170" fontId="0" fillId="0" borderId="0" xfId="0" applyNumberFormat="1"/>
    <xf numFmtId="171" fontId="0" fillId="0" borderId="0" xfId="0" applyNumberFormat="1"/>
    <xf numFmtId="4" fontId="36" fillId="0" borderId="0" xfId="0" applyNumberFormat="1" applyFont="1"/>
    <xf numFmtId="10" fontId="5" fillId="0" borderId="3" xfId="0" applyNumberFormat="1" applyFont="1" applyBorder="1"/>
    <xf numFmtId="0" fontId="0" fillId="20" borderId="0" xfId="0" applyFill="1"/>
    <xf numFmtId="0" fontId="10" fillId="21" borderId="1" xfId="0" applyFont="1" applyFill="1" applyBorder="1" applyAlignment="1">
      <alignment horizontal="center"/>
    </xf>
    <xf numFmtId="0" fontId="10" fillId="10" borderId="1" xfId="0" applyFont="1" applyFill="1" applyBorder="1" applyAlignment="1">
      <alignment horizontal="center"/>
    </xf>
    <xf numFmtId="0" fontId="10" fillId="22" borderId="8" xfId="0" applyFont="1" applyFill="1" applyBorder="1" applyAlignment="1">
      <alignment horizontal="center" vertical="center"/>
    </xf>
    <xf numFmtId="0" fontId="4" fillId="3" borderId="3" xfId="0" applyFont="1" applyFill="1" applyBorder="1" applyAlignment="1">
      <alignment vertical="center" wrapText="1"/>
    </xf>
    <xf numFmtId="0" fontId="10" fillId="0" borderId="1" xfId="0" applyFont="1" applyBorder="1" applyAlignment="1">
      <alignment horizontal="center"/>
    </xf>
    <xf numFmtId="0" fontId="37" fillId="23" borderId="1" xfId="0" applyFont="1" applyFill="1" applyBorder="1"/>
    <xf numFmtId="0" fontId="0" fillId="23" borderId="1" xfId="0" applyFill="1" applyBorder="1"/>
    <xf numFmtId="0" fontId="0" fillId="23" borderId="1" xfId="0" applyFill="1" applyBorder="1" applyAlignment="1">
      <alignment horizontal="center"/>
    </xf>
    <xf numFmtId="0" fontId="10" fillId="23" borderId="1" xfId="0" applyFont="1" applyFill="1" applyBorder="1" applyAlignment="1">
      <alignment horizontal="center"/>
    </xf>
    <xf numFmtId="0" fontId="10" fillId="0" borderId="1" xfId="0" applyFont="1" applyBorder="1" applyAlignment="1">
      <alignment vertical="center" wrapText="1"/>
    </xf>
    <xf numFmtId="0" fontId="10" fillId="0" borderId="0" xfId="0" applyFont="1"/>
    <xf numFmtId="0" fontId="10" fillId="23" borderId="0" xfId="0" applyFont="1" applyFill="1"/>
    <xf numFmtId="0" fontId="10" fillId="8" borderId="1" xfId="0" applyFont="1" applyFill="1" applyBorder="1"/>
    <xf numFmtId="10" fontId="0" fillId="23" borderId="1" xfId="0" applyNumberFormat="1" applyFill="1" applyBorder="1"/>
    <xf numFmtId="10" fontId="25" fillId="23" borderId="1" xfId="0" applyNumberFormat="1" applyFont="1" applyFill="1" applyBorder="1"/>
    <xf numFmtId="10" fontId="0" fillId="8" borderId="1" xfId="2" applyNumberFormat="1" applyFont="1" applyFill="1" applyBorder="1"/>
    <xf numFmtId="17" fontId="10" fillId="10" borderId="1" xfId="0" applyNumberFormat="1" applyFont="1" applyFill="1" applyBorder="1" applyAlignment="1">
      <alignment horizontal="center"/>
    </xf>
    <xf numFmtId="9" fontId="5" fillId="0" borderId="21" xfId="2" applyFont="1" applyBorder="1"/>
    <xf numFmtId="167" fontId="5" fillId="0" borderId="1" xfId="2" applyNumberFormat="1" applyFont="1" applyBorder="1"/>
    <xf numFmtId="0" fontId="3" fillId="3" borderId="3" xfId="0" applyFont="1" applyFill="1" applyBorder="1" applyAlignment="1">
      <alignment horizontal="left" vertical="center" wrapText="1" indent="4"/>
    </xf>
    <xf numFmtId="0" fontId="38" fillId="3" borderId="12" xfId="0" applyFont="1" applyFill="1" applyBorder="1" applyAlignment="1">
      <alignment vertical="center" wrapText="1"/>
    </xf>
    <xf numFmtId="17" fontId="38" fillId="3" borderId="13" xfId="0" applyNumberFormat="1" applyFont="1" applyFill="1" applyBorder="1" applyAlignment="1">
      <alignment horizontal="right" vertical="center" wrapText="1"/>
    </xf>
    <xf numFmtId="0" fontId="39" fillId="3" borderId="14" xfId="0" applyFont="1" applyFill="1" applyBorder="1" applyAlignment="1">
      <alignment vertical="center" wrapText="1"/>
    </xf>
    <xf numFmtId="0" fontId="39" fillId="3" borderId="15" xfId="0" applyFont="1" applyFill="1" applyBorder="1" applyAlignment="1">
      <alignment horizontal="center" vertical="center" wrapText="1"/>
    </xf>
    <xf numFmtId="0" fontId="39" fillId="24" borderId="15" xfId="0" applyFont="1" applyFill="1" applyBorder="1" applyAlignment="1">
      <alignment horizontal="center" vertical="center" wrapText="1"/>
    </xf>
    <xf numFmtId="10" fontId="37" fillId="23" borderId="1" xfId="0" applyNumberFormat="1" applyFont="1" applyFill="1" applyBorder="1"/>
    <xf numFmtId="0" fontId="10" fillId="0" borderId="8" xfId="0" applyFont="1" applyBorder="1" applyAlignment="1">
      <alignment horizontal="left" vertical="center"/>
    </xf>
    <xf numFmtId="0" fontId="10" fillId="0" borderId="8" xfId="0" applyFont="1" applyBorder="1" applyAlignment="1">
      <alignment horizontal="center"/>
    </xf>
    <xf numFmtId="0" fontId="0" fillId="0" borderId="1" xfId="0" applyBorder="1" applyAlignment="1">
      <alignment horizontal="right"/>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right" vertical="center"/>
    </xf>
    <xf numFmtId="9" fontId="0" fillId="0" borderId="0" xfId="0" applyNumberFormat="1"/>
    <xf numFmtId="10" fontId="5" fillId="0" borderId="0" xfId="0" applyNumberFormat="1" applyFont="1"/>
    <xf numFmtId="0" fontId="10" fillId="0" borderId="1" xfId="0" applyFont="1" applyBorder="1" applyAlignment="1">
      <alignment horizontal="left" vertical="center"/>
    </xf>
    <xf numFmtId="165" fontId="5" fillId="6" borderId="0" xfId="1" applyNumberFormat="1" applyFont="1" applyFill="1" applyBorder="1"/>
    <xf numFmtId="165" fontId="5" fillId="6" borderId="0" xfId="1" applyNumberFormat="1" applyFont="1" applyFill="1" applyBorder="1" applyAlignment="1">
      <alignment horizontal="center" vertical="top"/>
    </xf>
    <xf numFmtId="0" fontId="3" fillId="3" borderId="7" xfId="0" applyFont="1" applyFill="1" applyBorder="1" applyAlignment="1">
      <alignment horizontal="left" vertical="center" wrapText="1" indent="4"/>
    </xf>
    <xf numFmtId="0" fontId="0" fillId="0" borderId="0" xfId="0" applyAlignment="1">
      <alignment horizontal="center" vertical="top" wrapText="1"/>
    </xf>
    <xf numFmtId="0" fontId="3" fillId="3" borderId="0" xfId="0" applyFont="1" applyFill="1" applyAlignment="1">
      <alignment horizontal="left" vertical="center" wrapText="1" indent="4"/>
    </xf>
    <xf numFmtId="165" fontId="5" fillId="6" borderId="7" xfId="1" applyNumberFormat="1" applyFont="1" applyFill="1" applyBorder="1"/>
    <xf numFmtId="9" fontId="5" fillId="0" borderId="0" xfId="0" applyNumberFormat="1" applyFont="1"/>
    <xf numFmtId="0" fontId="3" fillId="4" borderId="0" xfId="0" applyFont="1" applyFill="1" applyAlignment="1">
      <alignment horizontal="center" vertical="center"/>
    </xf>
    <xf numFmtId="0" fontId="3" fillId="4" borderId="0" xfId="0" applyFont="1" applyFill="1" applyAlignment="1">
      <alignment horizontal="center" vertical="top"/>
    </xf>
    <xf numFmtId="2" fontId="5" fillId="0" borderId="0" xfId="2" applyNumberFormat="1" applyFont="1"/>
    <xf numFmtId="168" fontId="10" fillId="15" borderId="0" xfId="0" applyNumberFormat="1" applyFont="1" applyFill="1" applyAlignment="1">
      <alignment horizontal="center" vertical="center"/>
    </xf>
    <xf numFmtId="0" fontId="3" fillId="15" borderId="0" xfId="0" applyFont="1" applyFill="1" applyAlignment="1">
      <alignment horizontal="center" vertical="center"/>
    </xf>
    <xf numFmtId="0" fontId="5" fillId="0" borderId="0" xfId="0" applyFont="1" applyAlignment="1">
      <alignment vertical="center"/>
    </xf>
    <xf numFmtId="2" fontId="4" fillId="0" borderId="0" xfId="0" applyNumberFormat="1" applyFont="1" applyAlignment="1">
      <alignment horizontal="right" vertical="center"/>
    </xf>
    <xf numFmtId="2" fontId="4" fillId="0" borderId="0" xfId="0" applyNumberFormat="1" applyFont="1" applyAlignment="1">
      <alignment vertical="center"/>
    </xf>
    <xf numFmtId="2" fontId="4" fillId="16" borderId="0" xfId="0" applyNumberFormat="1" applyFont="1" applyFill="1" applyAlignment="1">
      <alignment horizontal="right" vertical="center"/>
    </xf>
    <xf numFmtId="2" fontId="4" fillId="17" borderId="0" xfId="0" applyNumberFormat="1" applyFont="1" applyFill="1" applyAlignment="1">
      <alignment vertical="center"/>
    </xf>
    <xf numFmtId="10" fontId="5" fillId="17" borderId="0" xfId="0" applyNumberFormat="1" applyFont="1" applyFill="1"/>
    <xf numFmtId="10" fontId="4" fillId="0" borderId="0" xfId="2" applyNumberFormat="1" applyFont="1" applyBorder="1" applyAlignment="1">
      <alignment horizontal="right" vertical="center"/>
    </xf>
    <xf numFmtId="2" fontId="4" fillId="0" borderId="0" xfId="2" applyNumberFormat="1" applyFont="1" applyBorder="1" applyAlignment="1">
      <alignment horizontal="right" vertical="center"/>
    </xf>
    <xf numFmtId="10" fontId="4" fillId="0" borderId="0" xfId="0" applyNumberFormat="1" applyFont="1" applyAlignment="1">
      <alignment horizontal="right" vertical="center"/>
    </xf>
    <xf numFmtId="10" fontId="5" fillId="0" borderId="0" xfId="2" applyNumberFormat="1" applyFont="1" applyBorder="1" applyAlignment="1">
      <alignment vertical="center"/>
    </xf>
    <xf numFmtId="2" fontId="5" fillId="0" borderId="0" xfId="0" applyNumberFormat="1" applyFont="1"/>
    <xf numFmtId="10" fontId="5" fillId="0" borderId="1" xfId="2" applyNumberFormat="1" applyFont="1" applyBorder="1" applyAlignment="1">
      <alignment horizontal="left" indent="1"/>
    </xf>
    <xf numFmtId="10" fontId="5" fillId="0" borderId="0" xfId="2" applyNumberFormat="1" applyFont="1" applyBorder="1"/>
    <xf numFmtId="10" fontId="5" fillId="0" borderId="21" xfId="2" applyNumberFormat="1" applyFont="1" applyBorder="1"/>
    <xf numFmtId="2" fontId="5" fillId="0" borderId="8" xfId="0" applyNumberFormat="1" applyFont="1" applyBorder="1"/>
    <xf numFmtId="164" fontId="3" fillId="4" borderId="5" xfId="1" applyNumberFormat="1" applyFont="1" applyFill="1" applyBorder="1" applyAlignment="1">
      <alignment horizontal="center" vertical="top" wrapText="1"/>
    </xf>
    <xf numFmtId="0" fontId="3" fillId="4" borderId="8"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9" xfId="0" applyFont="1" applyFill="1" applyBorder="1" applyAlignment="1">
      <alignment horizontal="center" vertical="center"/>
    </xf>
    <xf numFmtId="0" fontId="10" fillId="0" borderId="0" xfId="0" applyFont="1" applyAlignment="1">
      <alignment horizontal="center"/>
    </xf>
    <xf numFmtId="0" fontId="20" fillId="4" borderId="1" xfId="0" applyFont="1" applyFill="1" applyBorder="1" applyAlignment="1">
      <alignment horizontal="center" vertical="center"/>
    </xf>
    <xf numFmtId="0" fontId="20" fillId="4" borderId="1" xfId="0" applyFont="1" applyFill="1" applyBorder="1" applyAlignment="1">
      <alignment horizontal="center" vertical="top"/>
    </xf>
    <xf numFmtId="0" fontId="19" fillId="0" borderId="1" xfId="0" applyFont="1" applyBorder="1" applyAlignment="1">
      <alignment horizontal="left" vertical="center"/>
    </xf>
    <xf numFmtId="0" fontId="19" fillId="3" borderId="1" xfId="0" applyFont="1" applyFill="1" applyBorder="1" applyAlignment="1">
      <alignment vertical="center" wrapText="1"/>
    </xf>
    <xf numFmtId="0" fontId="20" fillId="3" borderId="1"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20" fillId="4" borderId="9" xfId="0" applyFont="1" applyFill="1" applyBorder="1" applyAlignment="1">
      <alignment horizontal="center" vertical="center"/>
    </xf>
    <xf numFmtId="10" fontId="19" fillId="3" borderId="1" xfId="0" applyNumberFormat="1" applyFont="1" applyFill="1" applyBorder="1" applyAlignment="1">
      <alignment horizontal="center" vertical="center" wrapText="1"/>
    </xf>
    <xf numFmtId="164" fontId="20" fillId="4" borderId="1" xfId="1" applyNumberFormat="1" applyFont="1" applyFill="1" applyBorder="1" applyAlignment="1">
      <alignment horizontal="center" vertical="top" wrapText="1"/>
    </xf>
    <xf numFmtId="172" fontId="0" fillId="6" borderId="1" xfId="1" applyNumberFormat="1" applyFont="1" applyFill="1" applyBorder="1" applyAlignment="1">
      <alignment vertical="center"/>
    </xf>
    <xf numFmtId="172" fontId="19" fillId="6" borderId="1" xfId="1" applyNumberFormat="1" applyFont="1" applyFill="1" applyBorder="1" applyAlignment="1">
      <alignment vertical="center"/>
    </xf>
    <xf numFmtId="10" fontId="42" fillId="3" borderId="1" xfId="2" applyNumberFormat="1" applyFont="1" applyFill="1" applyBorder="1" applyAlignment="1">
      <alignment vertical="center" wrapText="1"/>
    </xf>
    <xf numFmtId="10" fontId="0" fillId="0" borderId="1" xfId="2" applyNumberFormat="1" applyFont="1" applyBorder="1" applyAlignment="1"/>
    <xf numFmtId="10" fontId="19" fillId="3" borderId="1" xfId="0" applyNumberFormat="1" applyFont="1" applyFill="1" applyBorder="1" applyAlignment="1">
      <alignment vertical="center" wrapText="1"/>
    </xf>
    <xf numFmtId="10" fontId="20" fillId="3" borderId="1" xfId="0" applyNumberFormat="1" applyFont="1" applyFill="1" applyBorder="1" applyAlignment="1">
      <alignment vertical="center"/>
    </xf>
    <xf numFmtId="10" fontId="19" fillId="3" borderId="1" xfId="2" applyNumberFormat="1" applyFont="1" applyFill="1" applyBorder="1" applyAlignment="1">
      <alignment vertical="center"/>
    </xf>
    <xf numFmtId="173" fontId="0" fillId="0" borderId="1" xfId="0" applyNumberFormat="1" applyBorder="1"/>
    <xf numFmtId="174" fontId="0" fillId="19" borderId="1" xfId="1" applyNumberFormat="1" applyFont="1" applyFill="1" applyBorder="1" applyAlignment="1">
      <alignment horizontal="right"/>
    </xf>
    <xf numFmtId="174" fontId="19" fillId="19" borderId="1" xfId="1" applyNumberFormat="1" applyFont="1" applyFill="1" applyBorder="1" applyAlignment="1">
      <alignment horizontal="right"/>
    </xf>
    <xf numFmtId="174" fontId="40" fillId="19" borderId="1" xfId="1" applyNumberFormat="1" applyFont="1" applyFill="1" applyBorder="1" applyAlignment="1">
      <alignment horizontal="right"/>
    </xf>
    <xf numFmtId="174" fontId="0" fillId="19" borderId="1" xfId="1" applyNumberFormat="1" applyFont="1" applyFill="1" applyBorder="1" applyAlignment="1">
      <alignment horizontal="right" vertical="top"/>
    </xf>
    <xf numFmtId="174" fontId="40" fillId="19" borderId="1" xfId="1" applyNumberFormat="1" applyFont="1" applyFill="1" applyBorder="1" applyAlignment="1">
      <alignment horizontal="right" vertical="top"/>
    </xf>
    <xf numFmtId="174" fontId="0" fillId="19" borderId="1" xfId="1" applyNumberFormat="1" applyFont="1" applyFill="1" applyBorder="1" applyAlignment="1">
      <alignment horizontal="right" vertical="center"/>
    </xf>
    <xf numFmtId="174" fontId="40" fillId="19" borderId="1" xfId="1" applyNumberFormat="1" applyFont="1" applyFill="1" applyBorder="1" applyAlignment="1">
      <alignment horizontal="right" vertical="center"/>
    </xf>
    <xf numFmtId="0" fontId="20" fillId="0" borderId="1" xfId="0" applyFont="1" applyBorder="1" applyAlignment="1">
      <alignment horizontal="left" vertical="center"/>
    </xf>
    <xf numFmtId="10" fontId="0" fillId="19" borderId="1" xfId="2" applyNumberFormat="1" applyFont="1" applyFill="1" applyBorder="1" applyAlignment="1"/>
    <xf numFmtId="10" fontId="40" fillId="19" borderId="1" xfId="2" applyNumberFormat="1" applyFont="1" applyFill="1" applyBorder="1" applyAlignment="1"/>
    <xf numFmtId="10" fontId="19" fillId="19" borderId="1" xfId="0" applyNumberFormat="1" applyFont="1" applyFill="1" applyBorder="1" applyAlignment="1">
      <alignment vertical="center" wrapText="1"/>
    </xf>
    <xf numFmtId="10" fontId="0" fillId="19" borderId="1" xfId="0" applyNumberFormat="1" applyFill="1" applyBorder="1"/>
    <xf numFmtId="10" fontId="40" fillId="19" borderId="1" xfId="0" applyNumberFormat="1" applyFont="1" applyFill="1" applyBorder="1"/>
    <xf numFmtId="173" fontId="0" fillId="19" borderId="1" xfId="0" applyNumberFormat="1" applyFill="1" applyBorder="1"/>
    <xf numFmtId="173" fontId="40" fillId="19" borderId="1" xfId="0" applyNumberFormat="1" applyFont="1" applyFill="1" applyBorder="1"/>
    <xf numFmtId="10" fontId="42" fillId="19" borderId="1" xfId="2" applyNumberFormat="1" applyFont="1" applyFill="1" applyBorder="1" applyAlignment="1">
      <alignment vertical="center" wrapText="1"/>
    </xf>
    <xf numFmtId="10" fontId="40" fillId="19" borderId="1" xfId="2" applyNumberFormat="1" applyFont="1" applyFill="1" applyBorder="1" applyAlignment="1">
      <alignment vertical="center" wrapText="1"/>
    </xf>
    <xf numFmtId="10" fontId="19" fillId="19" borderId="1" xfId="2" applyNumberFormat="1" applyFont="1" applyFill="1" applyBorder="1" applyAlignment="1">
      <alignment vertical="center"/>
    </xf>
    <xf numFmtId="10" fontId="40" fillId="19" borderId="1" xfId="2" applyNumberFormat="1" applyFont="1" applyFill="1" applyBorder="1" applyAlignment="1">
      <alignment vertical="center"/>
    </xf>
    <xf numFmtId="0" fontId="20" fillId="15" borderId="1" xfId="0" applyFont="1" applyFill="1" applyBorder="1" applyAlignment="1">
      <alignment horizontal="center" vertical="center" wrapText="1"/>
    </xf>
    <xf numFmtId="0" fontId="10" fillId="15" borderId="1" xfId="0" applyFont="1" applyFill="1" applyBorder="1" applyAlignment="1">
      <alignment horizontal="center"/>
    </xf>
    <xf numFmtId="0" fontId="19" fillId="0" borderId="9" xfId="0" applyFont="1" applyBorder="1" applyAlignment="1">
      <alignment horizontal="left" vertical="center"/>
    </xf>
    <xf numFmtId="17" fontId="0" fillId="0" borderId="1" xfId="0" quotePrefix="1" applyNumberFormat="1" applyBorder="1"/>
    <xf numFmtId="0" fontId="19" fillId="0" borderId="0" xfId="0" applyFont="1" applyAlignment="1">
      <alignment vertical="center" wrapText="1"/>
    </xf>
    <xf numFmtId="0" fontId="0" fillId="12" borderId="1" xfId="0" applyFill="1" applyBorder="1"/>
    <xf numFmtId="0" fontId="0" fillId="28" borderId="1" xfId="0" applyFill="1" applyBorder="1"/>
    <xf numFmtId="10" fontId="0" fillId="12" borderId="1" xfId="0" applyNumberFormat="1" applyFill="1" applyBorder="1"/>
    <xf numFmtId="10" fontId="0" fillId="28" borderId="1" xfId="0" applyNumberFormat="1" applyFill="1" applyBorder="1"/>
    <xf numFmtId="173" fontId="0" fillId="12" borderId="1" xfId="0" applyNumberFormat="1" applyFill="1" applyBorder="1"/>
    <xf numFmtId="173" fontId="0" fillId="28" borderId="1" xfId="0" applyNumberFormat="1" applyFill="1" applyBorder="1"/>
    <xf numFmtId="174" fontId="0" fillId="28" borderId="1" xfId="1" applyNumberFormat="1" applyFont="1" applyFill="1" applyBorder="1" applyAlignment="1">
      <alignment horizontal="right"/>
    </xf>
    <xf numFmtId="174" fontId="0" fillId="28" borderId="1" xfId="1" applyNumberFormat="1" applyFont="1" applyFill="1" applyBorder="1" applyAlignment="1">
      <alignment horizontal="right" vertical="top"/>
    </xf>
    <xf numFmtId="174" fontId="0" fillId="28" borderId="1" xfId="1" applyNumberFormat="1" applyFont="1" applyFill="1" applyBorder="1" applyAlignment="1">
      <alignment horizontal="right" vertical="center"/>
    </xf>
    <xf numFmtId="10" fontId="40" fillId="19" borderId="4" xfId="2" applyNumberFormat="1" applyFont="1" applyFill="1" applyBorder="1" applyAlignment="1"/>
    <xf numFmtId="173" fontId="40" fillId="19" borderId="4" xfId="0" applyNumberFormat="1" applyFont="1" applyFill="1" applyBorder="1"/>
    <xf numFmtId="10" fontId="40" fillId="19" borderId="4" xfId="0" applyNumberFormat="1" applyFont="1" applyFill="1" applyBorder="1"/>
    <xf numFmtId="10" fontId="40" fillId="19" borderId="4" xfId="2" applyNumberFormat="1" applyFont="1" applyFill="1" applyBorder="1" applyAlignment="1">
      <alignment vertical="center" wrapText="1"/>
    </xf>
    <xf numFmtId="10" fontId="40" fillId="19" borderId="4" xfId="2" applyNumberFormat="1" applyFont="1" applyFill="1" applyBorder="1" applyAlignment="1">
      <alignment vertical="center"/>
    </xf>
    <xf numFmtId="174" fontId="5" fillId="6" borderId="1" xfId="1" applyNumberFormat="1" applyFont="1" applyFill="1" applyBorder="1" applyAlignment="1">
      <alignment horizontal="right" vertical="center"/>
    </xf>
    <xf numFmtId="174" fontId="4" fillId="6" borderId="1" xfId="1" applyNumberFormat="1" applyFont="1" applyFill="1" applyBorder="1" applyAlignment="1">
      <alignment horizontal="right" vertical="center"/>
    </xf>
    <xf numFmtId="0" fontId="3" fillId="4" borderId="5" xfId="0" applyFont="1" applyFill="1" applyBorder="1" applyAlignment="1">
      <alignment horizontal="center" vertical="center"/>
    </xf>
    <xf numFmtId="0" fontId="3" fillId="4" borderId="5" xfId="0" applyFont="1" applyFill="1" applyBorder="1" applyAlignment="1">
      <alignment horizontal="center" vertical="top"/>
    </xf>
    <xf numFmtId="0" fontId="4" fillId="0" borderId="9" xfId="0" applyFont="1" applyBorder="1" applyAlignment="1">
      <alignment horizontal="left" vertical="center"/>
    </xf>
    <xf numFmtId="10" fontId="0" fillId="19" borderId="4" xfId="0" applyNumberFormat="1" applyFill="1" applyBorder="1"/>
    <xf numFmtId="0" fontId="19" fillId="0" borderId="1" xfId="0" applyFont="1" applyBorder="1" applyAlignment="1">
      <alignment vertical="center" wrapText="1"/>
    </xf>
    <xf numFmtId="0" fontId="19" fillId="0" borderId="1" xfId="0" applyFont="1" applyBorder="1" applyAlignment="1">
      <alignment horizontal="left" vertical="center" wrapText="1"/>
    </xf>
    <xf numFmtId="10" fontId="1" fillId="0" borderId="1" xfId="0" applyNumberFormat="1" applyFont="1" applyBorder="1" applyAlignment="1">
      <alignment horizontal="right"/>
    </xf>
    <xf numFmtId="0" fontId="1" fillId="0" borderId="1" xfId="0" applyFont="1" applyBorder="1"/>
    <xf numFmtId="175" fontId="0" fillId="0" borderId="1" xfId="0" applyNumberFormat="1" applyBorder="1"/>
    <xf numFmtId="0" fontId="3" fillId="5" borderId="1" xfId="0" applyFont="1" applyFill="1" applyBorder="1" applyAlignment="1">
      <alignment horizontal="center" vertical="center" wrapText="1"/>
    </xf>
    <xf numFmtId="0" fontId="45" fillId="5" borderId="1" xfId="0" applyFont="1" applyFill="1" applyBorder="1"/>
    <xf numFmtId="0" fontId="45" fillId="5" borderId="1" xfId="0" applyFont="1" applyFill="1" applyBorder="1" applyAlignment="1">
      <alignment horizontal="center"/>
    </xf>
    <xf numFmtId="0" fontId="45" fillId="5" borderId="1" xfId="0" applyFont="1" applyFill="1" applyBorder="1" applyAlignment="1">
      <alignment horizontal="left"/>
    </xf>
    <xf numFmtId="0" fontId="45" fillId="5" borderId="1" xfId="0" applyFont="1" applyFill="1" applyBorder="1" applyAlignment="1">
      <alignment horizontal="right"/>
    </xf>
    <xf numFmtId="0" fontId="3" fillId="6" borderId="1" xfId="0" applyFont="1" applyFill="1" applyBorder="1" applyAlignment="1">
      <alignment horizontal="center" vertical="center" wrapText="1"/>
    </xf>
    <xf numFmtId="0" fontId="5" fillId="6" borderId="1" xfId="0" applyFont="1" applyFill="1" applyBorder="1"/>
    <xf numFmtId="0" fontId="3" fillId="6" borderId="1" xfId="0" applyFont="1" applyFill="1" applyBorder="1" applyAlignment="1">
      <alignment horizontal="center" wrapText="1"/>
    </xf>
    <xf numFmtId="0" fontId="10" fillId="6" borderId="1" xfId="0" applyFont="1" applyFill="1" applyBorder="1" applyAlignment="1">
      <alignment horizontal="center"/>
    </xf>
    <xf numFmtId="0" fontId="10" fillId="0" borderId="2" xfId="0" applyFont="1" applyBorder="1"/>
    <xf numFmtId="174" fontId="0" fillId="12" borderId="1" xfId="0" applyNumberFormat="1" applyFill="1" applyBorder="1" applyAlignment="1">
      <alignment vertical="center"/>
    </xf>
    <xf numFmtId="174" fontId="19" fillId="12" borderId="1" xfId="1" applyNumberFormat="1" applyFont="1" applyFill="1" applyBorder="1" applyAlignment="1">
      <alignment vertical="center"/>
    </xf>
    <xf numFmtId="174" fontId="0" fillId="12" borderId="1" xfId="1" applyNumberFormat="1" applyFont="1" applyFill="1" applyBorder="1" applyAlignment="1">
      <alignment vertical="center"/>
    </xf>
    <xf numFmtId="174" fontId="0" fillId="12" borderId="3" xfId="0" applyNumberFormat="1" applyFill="1" applyBorder="1" applyAlignment="1">
      <alignment vertical="center"/>
    </xf>
    <xf numFmtId="10" fontId="4" fillId="3" borderId="1" xfId="2" applyNumberFormat="1" applyFont="1" applyFill="1" applyBorder="1" applyAlignment="1">
      <alignment vertical="center"/>
    </xf>
    <xf numFmtId="173" fontId="5" fillId="0" borderId="1" xfId="0" applyNumberFormat="1" applyFont="1" applyBorder="1"/>
    <xf numFmtId="0" fontId="3" fillId="5" borderId="1" xfId="0" applyFont="1" applyFill="1" applyBorder="1" applyAlignment="1">
      <alignment horizontal="left" vertical="center" wrapText="1" indent="4"/>
    </xf>
    <xf numFmtId="0" fontId="3" fillId="12" borderId="1" xfId="0" applyFont="1" applyFill="1" applyBorder="1" applyAlignment="1">
      <alignment horizontal="center" vertical="center" wrapText="1"/>
    </xf>
    <xf numFmtId="10" fontId="5" fillId="12" borderId="1" xfId="0" applyNumberFormat="1" applyFont="1" applyFill="1" applyBorder="1"/>
    <xf numFmtId="0" fontId="10" fillId="12" borderId="1" xfId="0" applyFont="1" applyFill="1" applyBorder="1" applyAlignment="1">
      <alignment horizontal="center"/>
    </xf>
    <xf numFmtId="174" fontId="0" fillId="0" borderId="0" xfId="0" applyNumberFormat="1"/>
    <xf numFmtId="0" fontId="46" fillId="3" borderId="1" xfId="0" applyFont="1" applyFill="1" applyBorder="1" applyAlignment="1">
      <alignment vertical="center" wrapText="1"/>
    </xf>
    <xf numFmtId="0" fontId="19" fillId="3" borderId="1" xfId="0" applyFont="1" applyFill="1" applyBorder="1" applyAlignment="1">
      <alignment horizontal="left" vertical="center" wrapText="1" indent="4"/>
    </xf>
    <xf numFmtId="0" fontId="20" fillId="5" borderId="1" xfId="0" applyFont="1" applyFill="1" applyBorder="1" applyAlignment="1">
      <alignment horizontal="center" vertical="center"/>
    </xf>
    <xf numFmtId="164" fontId="20" fillId="5" borderId="1" xfId="1" applyNumberFormat="1" applyFont="1" applyFill="1" applyBorder="1" applyAlignment="1">
      <alignment horizontal="center" vertical="top" wrapText="1"/>
    </xf>
    <xf numFmtId="0" fontId="20" fillId="5" borderId="1" xfId="0" applyFont="1" applyFill="1" applyBorder="1" applyAlignment="1">
      <alignment horizontal="center" vertical="top"/>
    </xf>
    <xf numFmtId="0" fontId="0" fillId="5" borderId="0" xfId="0" applyFill="1"/>
    <xf numFmtId="0" fontId="20" fillId="5" borderId="1" xfId="0" applyFont="1" applyFill="1" applyBorder="1" applyAlignment="1">
      <alignment horizontal="center" vertical="center" wrapText="1"/>
    </xf>
    <xf numFmtId="174" fontId="0" fillId="30" borderId="1" xfId="0" applyNumberFormat="1" applyFill="1" applyBorder="1" applyAlignment="1">
      <alignment horizontal="right" vertical="center"/>
    </xf>
    <xf numFmtId="174" fontId="0" fillId="30" borderId="1" xfId="1" applyNumberFormat="1" applyFont="1" applyFill="1" applyBorder="1" applyAlignment="1">
      <alignment horizontal="right" vertical="center"/>
    </xf>
    <xf numFmtId="0" fontId="20" fillId="30" borderId="1" xfId="0" applyFont="1" applyFill="1" applyBorder="1" applyAlignment="1">
      <alignment horizontal="center" vertical="center" wrapText="1"/>
    </xf>
    <xf numFmtId="0" fontId="20" fillId="30" borderId="1" xfId="0" applyFont="1" applyFill="1" applyBorder="1" applyAlignment="1">
      <alignment horizontal="left" vertical="center" wrapText="1" indent="4"/>
    </xf>
    <xf numFmtId="0" fontId="0" fillId="30" borderId="1" xfId="0" applyFill="1" applyBorder="1"/>
    <xf numFmtId="0" fontId="46" fillId="30" borderId="1" xfId="0" applyFont="1" applyFill="1" applyBorder="1" applyAlignment="1">
      <alignment vertical="center" wrapText="1"/>
    </xf>
    <xf numFmtId="0" fontId="10" fillId="30" borderId="1" xfId="0" applyFont="1" applyFill="1" applyBorder="1" applyAlignment="1">
      <alignment horizontal="center"/>
    </xf>
    <xf numFmtId="10" fontId="0" fillId="0" borderId="1" xfId="2" applyNumberFormat="1" applyFont="1" applyBorder="1" applyAlignment="1">
      <alignment horizontal="right" vertical="center"/>
    </xf>
    <xf numFmtId="10" fontId="0" fillId="30" borderId="1" xfId="0" applyNumberFormat="1" applyFill="1" applyBorder="1" applyAlignment="1">
      <alignment horizontal="right" vertical="center"/>
    </xf>
    <xf numFmtId="10" fontId="0" fillId="0" borderId="1" xfId="0" applyNumberFormat="1" applyBorder="1" applyAlignment="1">
      <alignment horizontal="right" vertical="center"/>
    </xf>
    <xf numFmtId="10" fontId="42" fillId="3" borderId="1" xfId="2" applyNumberFormat="1" applyFont="1" applyFill="1" applyBorder="1" applyAlignment="1">
      <alignment horizontal="right" vertical="center" wrapText="1"/>
    </xf>
    <xf numFmtId="10" fontId="20" fillId="30" borderId="1" xfId="0" applyNumberFormat="1" applyFont="1" applyFill="1" applyBorder="1" applyAlignment="1">
      <alignment horizontal="right" vertical="center"/>
    </xf>
    <xf numFmtId="10" fontId="19" fillId="3" borderId="1" xfId="2" applyNumberFormat="1" applyFont="1" applyFill="1" applyBorder="1" applyAlignment="1">
      <alignment horizontal="right" vertical="center"/>
    </xf>
    <xf numFmtId="173" fontId="0" fillId="0" borderId="1" xfId="0" applyNumberFormat="1" applyBorder="1" applyAlignment="1">
      <alignment horizontal="right" vertical="center"/>
    </xf>
    <xf numFmtId="0" fontId="20" fillId="5" borderId="3" xfId="0" applyFont="1" applyFill="1" applyBorder="1" applyAlignment="1">
      <alignment horizontal="center" vertical="center"/>
    </xf>
    <xf numFmtId="0" fontId="20" fillId="5" borderId="23" xfId="0" applyFont="1" applyFill="1" applyBorder="1" applyAlignment="1">
      <alignment horizontal="center" vertical="center"/>
    </xf>
    <xf numFmtId="0" fontId="20" fillId="5" borderId="9" xfId="0" applyFont="1" applyFill="1" applyBorder="1" applyAlignment="1">
      <alignment horizontal="center" vertical="center"/>
    </xf>
    <xf numFmtId="0" fontId="44" fillId="5" borderId="9" xfId="0" applyFont="1" applyFill="1" applyBorder="1" applyAlignment="1">
      <alignment horizontal="center" vertical="center"/>
    </xf>
    <xf numFmtId="0" fontId="44" fillId="5" borderId="1" xfId="0" applyFont="1" applyFill="1" applyBorder="1" applyAlignment="1">
      <alignment horizontal="center" vertical="center"/>
    </xf>
    <xf numFmtId="0" fontId="20" fillId="5" borderId="5" xfId="0" applyFont="1" applyFill="1" applyBorder="1" applyAlignment="1">
      <alignment horizontal="center" vertical="top"/>
    </xf>
    <xf numFmtId="0" fontId="44" fillId="5" borderId="1" xfId="0" applyFont="1" applyFill="1" applyBorder="1" applyAlignment="1">
      <alignment horizontal="center" vertical="top"/>
    </xf>
    <xf numFmtId="164" fontId="20" fillId="5" borderId="5" xfId="1" applyNumberFormat="1" applyFont="1" applyFill="1" applyBorder="1" applyAlignment="1">
      <alignment horizontal="center" vertical="top" wrapText="1"/>
    </xf>
    <xf numFmtId="164" fontId="44" fillId="5" borderId="1" xfId="1" applyNumberFormat="1" applyFont="1" applyFill="1" applyBorder="1" applyAlignment="1">
      <alignment horizontal="center" vertical="top" wrapText="1"/>
    </xf>
    <xf numFmtId="0" fontId="44" fillId="5" borderId="1" xfId="0" applyFont="1" applyFill="1" applyBorder="1" applyAlignment="1">
      <alignment horizontal="center" vertical="center" wrapText="1"/>
    </xf>
    <xf numFmtId="0" fontId="44" fillId="5" borderId="4" xfId="0" applyFont="1" applyFill="1" applyBorder="1" applyAlignment="1">
      <alignment horizontal="center" vertical="center" wrapText="1"/>
    </xf>
    <xf numFmtId="174" fontId="19" fillId="28" borderId="1" xfId="0" applyNumberFormat="1" applyFont="1" applyFill="1" applyBorder="1" applyAlignment="1">
      <alignment horizontal="right" vertical="center"/>
    </xf>
    <xf numFmtId="10" fontId="19" fillId="28" borderId="1" xfId="0" applyNumberFormat="1" applyFont="1" applyFill="1" applyBorder="1" applyAlignment="1">
      <alignment vertical="center" wrapText="1"/>
    </xf>
    <xf numFmtId="173" fontId="19" fillId="28" borderId="1" xfId="0" applyNumberFormat="1" applyFont="1" applyFill="1" applyBorder="1" applyAlignment="1">
      <alignment vertical="center" wrapText="1"/>
    </xf>
    <xf numFmtId="0" fontId="19" fillId="17" borderId="1" xfId="0" applyFont="1" applyFill="1" applyBorder="1" applyAlignment="1">
      <alignment vertical="center" wrapText="1"/>
    </xf>
    <xf numFmtId="10" fontId="0" fillId="0" borderId="1" xfId="2" applyNumberFormat="1" applyFont="1" applyBorder="1"/>
    <xf numFmtId="174" fontId="0" fillId="28" borderId="1" xfId="0" applyNumberFormat="1" applyFill="1" applyBorder="1" applyAlignment="1">
      <alignment horizontal="right" vertical="center"/>
    </xf>
    <xf numFmtId="174" fontId="19" fillId="28" borderId="1" xfId="1" applyNumberFormat="1" applyFont="1" applyFill="1" applyBorder="1" applyAlignment="1">
      <alignment horizontal="right" vertical="center"/>
    </xf>
    <xf numFmtId="174" fontId="0" fillId="28" borderId="3" xfId="1" applyNumberFormat="1" applyFont="1" applyFill="1" applyBorder="1" applyAlignment="1">
      <alignment horizontal="right" vertical="center"/>
    </xf>
    <xf numFmtId="10" fontId="0" fillId="0" borderId="1" xfId="2" applyNumberFormat="1" applyFont="1" applyBorder="1" applyAlignment="1">
      <alignment vertical="center"/>
    </xf>
    <xf numFmtId="10" fontId="0" fillId="0" borderId="1" xfId="0" applyNumberFormat="1" applyBorder="1" applyAlignment="1">
      <alignment vertical="center"/>
    </xf>
    <xf numFmtId="173" fontId="0" fillId="0" borderId="1" xfId="0" applyNumberFormat="1" applyBorder="1" applyAlignment="1">
      <alignment vertical="center"/>
    </xf>
    <xf numFmtId="0" fontId="43" fillId="0" borderId="0" xfId="0" applyFont="1"/>
    <xf numFmtId="0" fontId="20" fillId="5" borderId="1" xfId="0" applyFont="1" applyFill="1" applyBorder="1" applyAlignment="1">
      <alignment horizontal="center"/>
    </xf>
    <xf numFmtId="0" fontId="20" fillId="5" borderId="3" xfId="0" applyFont="1" applyFill="1" applyBorder="1" applyAlignment="1">
      <alignment horizontal="center"/>
    </xf>
    <xf numFmtId="10" fontId="0" fillId="0" borderId="1" xfId="0" applyNumberFormat="1" applyBorder="1" applyAlignment="1">
      <alignment horizontal="right"/>
    </xf>
    <xf numFmtId="0" fontId="0" fillId="0" borderId="0" xfId="0" applyAlignment="1">
      <alignment horizontal="right" vertical="center"/>
    </xf>
    <xf numFmtId="0" fontId="0" fillId="0" borderId="1" xfId="0" applyBorder="1" applyAlignment="1">
      <alignment vertical="center"/>
    </xf>
    <xf numFmtId="0" fontId="10" fillId="5" borderId="1" xfId="0" applyFont="1" applyFill="1" applyBorder="1" applyAlignment="1">
      <alignment horizontal="center" vertical="center"/>
    </xf>
    <xf numFmtId="165" fontId="0" fillId="0" borderId="0" xfId="1" applyNumberFormat="1" applyFont="1" applyFill="1" applyBorder="1" applyAlignment="1">
      <alignment horizontal="right" vertical="center"/>
    </xf>
    <xf numFmtId="173" fontId="0" fillId="0" borderId="0" xfId="0" applyNumberFormat="1"/>
    <xf numFmtId="176" fontId="0" fillId="12" borderId="1" xfId="1" applyNumberFormat="1" applyFont="1" applyFill="1" applyBorder="1" applyAlignment="1"/>
    <xf numFmtId="176" fontId="19" fillId="12" borderId="1" xfId="1" applyNumberFormat="1" applyFont="1" applyFill="1" applyBorder="1" applyAlignment="1"/>
    <xf numFmtId="176" fontId="0" fillId="30" borderId="1" xfId="1" applyNumberFormat="1" applyFont="1" applyFill="1" applyBorder="1" applyAlignment="1"/>
    <xf numFmtId="176" fontId="19" fillId="30" borderId="1" xfId="1" applyNumberFormat="1" applyFont="1" applyFill="1" applyBorder="1" applyAlignment="1"/>
    <xf numFmtId="10" fontId="0" fillId="30" borderId="1" xfId="0" applyNumberFormat="1" applyFill="1" applyBorder="1"/>
    <xf numFmtId="173" fontId="0" fillId="30" borderId="1" xfId="0" applyNumberFormat="1" applyFill="1" applyBorder="1"/>
    <xf numFmtId="0" fontId="20" fillId="5" borderId="8" xfId="0" applyFont="1" applyFill="1" applyBorder="1"/>
    <xf numFmtId="0" fontId="20" fillId="5" borderId="9" xfId="0" applyFont="1" applyFill="1" applyBorder="1"/>
    <xf numFmtId="0" fontId="19" fillId="0" borderId="9" xfId="0" applyFont="1" applyBorder="1"/>
    <xf numFmtId="0" fontId="19" fillId="3" borderId="1" xfId="0" applyFont="1" applyFill="1" applyBorder="1" applyAlignment="1">
      <alignment wrapText="1"/>
    </xf>
    <xf numFmtId="164" fontId="20" fillId="4" borderId="1" xfId="1" applyNumberFormat="1" applyFont="1" applyFill="1" applyBorder="1" applyAlignment="1">
      <alignment horizontal="center" vertical="center" wrapText="1"/>
    </xf>
    <xf numFmtId="10" fontId="0" fillId="0" borderId="1" xfId="2" applyNumberFormat="1" applyFont="1" applyBorder="1" applyAlignment="1">
      <alignment horizontal="right"/>
    </xf>
    <xf numFmtId="10" fontId="42" fillId="3" borderId="1" xfId="2" applyNumberFormat="1" applyFont="1" applyFill="1" applyBorder="1" applyAlignment="1">
      <alignment horizontal="right" wrapText="1"/>
    </xf>
    <xf numFmtId="10" fontId="19" fillId="3" borderId="1" xfId="2" applyNumberFormat="1" applyFont="1" applyFill="1" applyBorder="1" applyAlignment="1">
      <alignment horizontal="right"/>
    </xf>
    <xf numFmtId="173" fontId="0" fillId="0" borderId="1" xfId="0" applyNumberFormat="1" applyBorder="1" applyAlignment="1">
      <alignment horizontal="right"/>
    </xf>
    <xf numFmtId="9" fontId="42" fillId="3" borderId="1" xfId="2" applyFont="1" applyFill="1" applyBorder="1" applyAlignment="1">
      <alignment horizontal="right" vertical="center" wrapText="1"/>
    </xf>
    <xf numFmtId="174" fontId="19" fillId="19" borderId="1" xfId="1" applyNumberFormat="1" applyFont="1" applyFill="1" applyBorder="1" applyAlignment="1">
      <alignment horizontal="right" vertical="center"/>
    </xf>
    <xf numFmtId="0" fontId="20" fillId="5" borderId="1" xfId="0" applyFont="1" applyFill="1" applyBorder="1" applyAlignment="1">
      <alignment horizontal="left" vertical="center" wrapText="1" indent="4"/>
    </xf>
    <xf numFmtId="0" fontId="20" fillId="4" borderId="1" xfId="0" applyFont="1" applyFill="1" applyBorder="1" applyAlignment="1">
      <alignment horizontal="left" vertical="center"/>
    </xf>
    <xf numFmtId="0" fontId="20" fillId="5" borderId="1" xfId="0" applyFont="1" applyFill="1" applyBorder="1" applyAlignment="1">
      <alignment horizontal="center" wrapText="1"/>
    </xf>
    <xf numFmtId="0" fontId="10" fillId="5" borderId="1" xfId="0" applyFont="1" applyFill="1" applyBorder="1" applyAlignment="1">
      <alignment vertical="center"/>
    </xf>
    <xf numFmtId="0" fontId="20" fillId="19" borderId="1" xfId="0" applyFont="1" applyFill="1" applyBorder="1" applyAlignment="1">
      <alignment horizontal="center" vertical="center" wrapText="1"/>
    </xf>
    <xf numFmtId="10" fontId="0" fillId="0" borderId="1" xfId="2" applyNumberFormat="1" applyFont="1" applyFill="1" applyBorder="1" applyAlignment="1">
      <alignment vertical="center"/>
    </xf>
    <xf numFmtId="10" fontId="0" fillId="0" borderId="1" xfId="2" applyNumberFormat="1" applyFont="1" applyFill="1" applyBorder="1" applyAlignment="1">
      <alignment horizontal="right" vertical="center"/>
    </xf>
    <xf numFmtId="10" fontId="42" fillId="0" borderId="1" xfId="2" applyNumberFormat="1" applyFont="1" applyFill="1" applyBorder="1" applyAlignment="1">
      <alignment horizontal="right" vertical="center" wrapText="1"/>
    </xf>
    <xf numFmtId="10" fontId="19" fillId="0" borderId="1" xfId="2" applyNumberFormat="1" applyFont="1" applyFill="1" applyBorder="1" applyAlignment="1">
      <alignment horizontal="right" vertical="center"/>
    </xf>
    <xf numFmtId="0" fontId="20" fillId="19" borderId="3" xfId="0" applyFont="1" applyFill="1" applyBorder="1" applyAlignment="1">
      <alignment horizontal="center" vertical="center" wrapText="1"/>
    </xf>
    <xf numFmtId="0" fontId="20" fillId="0" borderId="0" xfId="0" applyFont="1" applyAlignment="1">
      <alignment horizontal="center"/>
    </xf>
    <xf numFmtId="0" fontId="10" fillId="22" borderId="1" xfId="0" applyFont="1" applyFill="1" applyBorder="1" applyAlignment="1">
      <alignment horizontal="center" vertical="center"/>
    </xf>
    <xf numFmtId="10" fontId="0" fillId="30" borderId="1" xfId="0" applyNumberFormat="1" applyFill="1" applyBorder="1" applyAlignment="1">
      <alignment horizontal="right"/>
    </xf>
    <xf numFmtId="173" fontId="0" fillId="30" borderId="1" xfId="0" applyNumberFormat="1" applyFill="1" applyBorder="1" applyAlignment="1">
      <alignment horizontal="right"/>
    </xf>
    <xf numFmtId="17" fontId="10" fillId="0" borderId="1" xfId="0" applyNumberFormat="1" applyFont="1" applyBorder="1" applyAlignment="1">
      <alignment horizontal="center"/>
    </xf>
    <xf numFmtId="9" fontId="0" fillId="0" borderId="1" xfId="0" applyNumberFormat="1" applyBorder="1" applyAlignment="1">
      <alignment vertical="center"/>
    </xf>
    <xf numFmtId="10" fontId="0" fillId="0" borderId="8" xfId="0" applyNumberFormat="1" applyBorder="1"/>
    <xf numFmtId="10" fontId="0" fillId="0" borderId="1" xfId="0" applyNumberFormat="1" applyBorder="1" applyAlignment="1">
      <alignment wrapText="1"/>
    </xf>
    <xf numFmtId="0" fontId="10" fillId="0" borderId="0" xfId="0" applyFont="1" applyAlignment="1">
      <alignment vertical="center"/>
    </xf>
    <xf numFmtId="0" fontId="0" fillId="0" borderId="0" xfId="0" applyAlignment="1">
      <alignment horizontal="center" vertical="center" wrapText="1"/>
    </xf>
    <xf numFmtId="10" fontId="0" fillId="7" borderId="1" xfId="0" applyNumberFormat="1" applyFill="1" applyBorder="1"/>
    <xf numFmtId="165" fontId="0" fillId="8" borderId="1" xfId="1" applyNumberFormat="1" applyFont="1" applyFill="1" applyBorder="1"/>
    <xf numFmtId="165" fontId="19" fillId="8" borderId="1" xfId="1" applyNumberFormat="1" applyFont="1" applyFill="1" applyBorder="1"/>
    <xf numFmtId="164" fontId="20" fillId="4" borderId="1" xfId="1" applyNumberFormat="1" applyFont="1" applyFill="1" applyBorder="1" applyAlignment="1">
      <alignment horizontal="center" vertical="center"/>
    </xf>
    <xf numFmtId="0" fontId="20" fillId="4" borderId="1" xfId="0" applyFont="1" applyFill="1" applyBorder="1" applyAlignment="1">
      <alignment horizontal="center" vertical="top" wrapText="1"/>
    </xf>
    <xf numFmtId="165" fontId="0" fillId="0" borderId="1" xfId="1" applyNumberFormat="1" applyFont="1" applyBorder="1" applyAlignment="1">
      <alignment horizontal="center" vertical="center"/>
    </xf>
    <xf numFmtId="165" fontId="0" fillId="0" borderId="1" xfId="1" applyNumberFormat="1" applyFont="1" applyBorder="1" applyAlignment="1">
      <alignment horizontal="center" vertical="center" wrapText="1"/>
    </xf>
    <xf numFmtId="165" fontId="0" fillId="6" borderId="1" xfId="1" applyNumberFormat="1" applyFont="1" applyFill="1" applyBorder="1"/>
    <xf numFmtId="165" fontId="0" fillId="6" borderId="1" xfId="1" applyNumberFormat="1" applyFont="1" applyFill="1" applyBorder="1" applyAlignment="1">
      <alignment horizontal="center" vertical="center"/>
    </xf>
    <xf numFmtId="165" fontId="0" fillId="0" borderId="1" xfId="1" applyNumberFormat="1" applyFont="1" applyBorder="1" applyAlignment="1">
      <alignment horizontal="center" vertical="top"/>
    </xf>
    <xf numFmtId="165" fontId="0" fillId="6" borderId="1" xfId="1" applyNumberFormat="1" applyFont="1" applyFill="1" applyBorder="1" applyAlignment="1">
      <alignment horizontal="center" vertical="top"/>
    </xf>
    <xf numFmtId="165" fontId="0" fillId="0" borderId="1" xfId="1" applyNumberFormat="1" applyFont="1" applyBorder="1"/>
    <xf numFmtId="0" fontId="0" fillId="33" borderId="0" xfId="0" applyFill="1"/>
    <xf numFmtId="165" fontId="0" fillId="6" borderId="4" xfId="1" applyNumberFormat="1" applyFont="1" applyFill="1" applyBorder="1"/>
    <xf numFmtId="174" fontId="0" fillId="6" borderId="1" xfId="1" applyNumberFormat="1" applyFont="1" applyFill="1" applyBorder="1" applyAlignment="1">
      <alignment horizontal="right" vertical="center"/>
    </xf>
    <xf numFmtId="174" fontId="0" fillId="0" borderId="1" xfId="0" applyNumberFormat="1" applyBorder="1" applyAlignment="1">
      <alignment horizontal="right" vertical="center"/>
    </xf>
    <xf numFmtId="174" fontId="0" fillId="6" borderId="5" xfId="1" applyNumberFormat="1" applyFont="1" applyFill="1" applyBorder="1" applyAlignment="1">
      <alignment horizontal="right" vertical="center"/>
    </xf>
    <xf numFmtId="0" fontId="10" fillId="33" borderId="0" xfId="0" applyFont="1" applyFill="1" applyAlignment="1">
      <alignment horizontal="right"/>
    </xf>
    <xf numFmtId="0" fontId="20" fillId="3" borderId="1" xfId="0" applyFont="1" applyFill="1" applyBorder="1" applyAlignment="1">
      <alignment horizontal="left" vertical="center" wrapText="1" indent="4"/>
    </xf>
    <xf numFmtId="0" fontId="20" fillId="3" borderId="0" xfId="0" applyFont="1" applyFill="1" applyAlignment="1">
      <alignment horizontal="left" vertical="center" wrapText="1" indent="4"/>
    </xf>
    <xf numFmtId="10" fontId="0" fillId="0" borderId="0" xfId="2" applyNumberFormat="1" applyFont="1" applyBorder="1"/>
    <xf numFmtId="10" fontId="42" fillId="3" borderId="0" xfId="2" applyNumberFormat="1" applyFont="1" applyFill="1" applyBorder="1" applyAlignment="1">
      <alignment vertical="center" wrapText="1"/>
    </xf>
    <xf numFmtId="10" fontId="19" fillId="3" borderId="0" xfId="2" applyNumberFormat="1" applyFont="1" applyFill="1" applyBorder="1" applyAlignment="1">
      <alignment horizontal="left" vertical="center" indent="4"/>
    </xf>
    <xf numFmtId="0" fontId="19" fillId="3" borderId="3" xfId="0" applyFont="1" applyFill="1" applyBorder="1" applyAlignment="1">
      <alignment vertical="center" wrapText="1"/>
    </xf>
    <xf numFmtId="0" fontId="10" fillId="5" borderId="1" xfId="0" applyFont="1" applyFill="1" applyBorder="1" applyAlignment="1">
      <alignment horizontal="center"/>
    </xf>
    <xf numFmtId="173" fontId="0" fillId="8" borderId="1" xfId="0" applyNumberFormat="1" applyFill="1" applyBorder="1"/>
    <xf numFmtId="173" fontId="0" fillId="7" borderId="1" xfId="0" applyNumberFormat="1" applyFill="1" applyBorder="1"/>
    <xf numFmtId="10" fontId="19" fillId="3" borderId="1" xfId="2" applyNumberFormat="1" applyFont="1" applyFill="1" applyBorder="1" applyAlignment="1">
      <alignment horizontal="left" vertical="center" indent="4"/>
    </xf>
    <xf numFmtId="0" fontId="0" fillId="19" borderId="0" xfId="0" applyFill="1" applyAlignment="1">
      <alignment vertical="center"/>
    </xf>
    <xf numFmtId="165" fontId="0" fillId="6" borderId="1" xfId="1" applyNumberFormat="1" applyFont="1" applyFill="1" applyBorder="1" applyAlignment="1">
      <alignment horizontal="right"/>
    </xf>
    <xf numFmtId="165" fontId="19" fillId="6" borderId="1" xfId="1" applyNumberFormat="1" applyFont="1" applyFill="1" applyBorder="1" applyAlignment="1">
      <alignment horizontal="right"/>
    </xf>
    <xf numFmtId="165" fontId="19" fillId="6" borderId="1" xfId="1" applyNumberFormat="1" applyFont="1" applyFill="1" applyBorder="1" applyAlignment="1">
      <alignment horizontal="right" vertical="center"/>
    </xf>
    <xf numFmtId="165" fontId="0" fillId="6" borderId="1" xfId="1" applyNumberFormat="1" applyFont="1" applyFill="1" applyBorder="1" applyAlignment="1">
      <alignment horizontal="right" vertical="center" wrapText="1"/>
    </xf>
    <xf numFmtId="165" fontId="0" fillId="6" borderId="1" xfId="1" applyNumberFormat="1" applyFont="1" applyFill="1" applyBorder="1" applyAlignment="1">
      <alignment horizontal="right" vertical="center"/>
    </xf>
    <xf numFmtId="165" fontId="0" fillId="6" borderId="1" xfId="1" applyNumberFormat="1" applyFont="1" applyFill="1" applyBorder="1" applyAlignment="1">
      <alignment horizontal="right" vertical="top"/>
    </xf>
    <xf numFmtId="0" fontId="19" fillId="17" borderId="1" xfId="0" applyFont="1" applyFill="1" applyBorder="1" applyAlignment="1">
      <alignment horizontal="left" vertical="center"/>
    </xf>
    <xf numFmtId="174" fontId="0" fillId="7" borderId="1" xfId="0" applyNumberFormat="1" applyFill="1" applyBorder="1" applyAlignment="1">
      <alignment horizontal="right"/>
    </xf>
    <xf numFmtId="174" fontId="0" fillId="7" borderId="1" xfId="1" applyNumberFormat="1" applyFont="1" applyFill="1" applyBorder="1" applyAlignment="1">
      <alignment horizontal="right"/>
    </xf>
    <xf numFmtId="165" fontId="19" fillId="6" borderId="1" xfId="1" applyNumberFormat="1" applyFont="1" applyFill="1" applyBorder="1"/>
    <xf numFmtId="177" fontId="20" fillId="4" borderId="1" xfId="0" applyNumberFormat="1" applyFont="1" applyFill="1" applyBorder="1" applyAlignment="1">
      <alignment horizontal="center" vertical="center"/>
    </xf>
    <xf numFmtId="9" fontId="20" fillId="4" borderId="1" xfId="2" applyFont="1" applyFill="1" applyBorder="1" applyAlignment="1">
      <alignment horizontal="center" vertical="center"/>
    </xf>
    <xf numFmtId="10" fontId="5" fillId="0" borderId="1" xfId="2" applyNumberFormat="1" applyFont="1" applyBorder="1" applyAlignment="1"/>
    <xf numFmtId="10" fontId="0" fillId="7" borderId="1" xfId="2" applyNumberFormat="1" applyFont="1" applyFill="1" applyBorder="1"/>
    <xf numFmtId="0" fontId="5" fillId="0" borderId="1" xfId="0" applyFont="1" applyBorder="1" applyAlignment="1">
      <alignment horizontal="right"/>
    </xf>
    <xf numFmtId="173" fontId="5" fillId="0" borderId="1" xfId="0" applyNumberFormat="1" applyFont="1" applyBorder="1" applyAlignment="1">
      <alignment horizontal="right"/>
    </xf>
    <xf numFmtId="10" fontId="5" fillId="0" borderId="1" xfId="0" applyNumberFormat="1" applyFont="1" applyBorder="1" applyAlignment="1">
      <alignment horizontal="right"/>
    </xf>
    <xf numFmtId="10" fontId="9" fillId="3" borderId="1" xfId="2" applyNumberFormat="1" applyFont="1" applyFill="1" applyBorder="1" applyAlignment="1">
      <alignment horizontal="right" vertical="center" wrapText="1"/>
    </xf>
    <xf numFmtId="10" fontId="4" fillId="3" borderId="1" xfId="2" applyNumberFormat="1" applyFont="1" applyFill="1" applyBorder="1" applyAlignment="1">
      <alignment horizontal="right" vertical="center"/>
    </xf>
    <xf numFmtId="0" fontId="11" fillId="8" borderId="1" xfId="0" applyFont="1" applyFill="1" applyBorder="1" applyAlignment="1">
      <alignment horizontal="center"/>
    </xf>
    <xf numFmtId="164" fontId="20" fillId="4" borderId="4" xfId="1" applyNumberFormat="1" applyFont="1" applyFill="1" applyBorder="1" applyAlignment="1">
      <alignment horizontal="center" vertical="center" wrapText="1"/>
    </xf>
    <xf numFmtId="164" fontId="20" fillId="4" borderId="11" xfId="1" applyNumberFormat="1" applyFont="1" applyFill="1" applyBorder="1" applyAlignment="1">
      <alignment horizontal="center" vertical="center" wrapText="1"/>
    </xf>
    <xf numFmtId="164" fontId="20" fillId="4" borderId="5" xfId="1" applyNumberFormat="1" applyFont="1" applyFill="1" applyBorder="1" applyAlignment="1">
      <alignment horizontal="center" vertical="center" wrapText="1"/>
    </xf>
    <xf numFmtId="0" fontId="41" fillId="25" borderId="6" xfId="0" applyFont="1" applyFill="1" applyBorder="1" applyAlignment="1">
      <alignment horizontal="center"/>
    </xf>
    <xf numFmtId="0" fontId="41" fillId="25" borderId="2" xfId="0" applyFont="1" applyFill="1" applyBorder="1" applyAlignment="1">
      <alignment horizontal="center"/>
    </xf>
    <xf numFmtId="0" fontId="11" fillId="7" borderId="1" xfId="0" applyFont="1" applyFill="1" applyBorder="1" applyAlignment="1">
      <alignment horizontal="center"/>
    </xf>
    <xf numFmtId="0" fontId="11" fillId="8" borderId="4" xfId="0" applyFont="1" applyFill="1" applyBorder="1" applyAlignment="1">
      <alignment horizontal="center"/>
    </xf>
    <xf numFmtId="0" fontId="11" fillId="8" borderId="11" xfId="0" applyFont="1" applyFill="1" applyBorder="1" applyAlignment="1">
      <alignment horizontal="center"/>
    </xf>
    <xf numFmtId="0" fontId="11" fillId="8" borderId="5" xfId="0" applyFont="1" applyFill="1" applyBorder="1" applyAlignment="1">
      <alignment horizontal="center"/>
    </xf>
    <xf numFmtId="0" fontId="11" fillId="7" borderId="4" xfId="0" applyFont="1" applyFill="1" applyBorder="1" applyAlignment="1">
      <alignment horizontal="center"/>
    </xf>
    <xf numFmtId="0" fontId="11" fillId="7" borderId="11" xfId="0" applyFont="1" applyFill="1" applyBorder="1" applyAlignment="1">
      <alignment horizontal="center"/>
    </xf>
    <xf numFmtId="0" fontId="11" fillId="7" borderId="5" xfId="0" applyFont="1" applyFill="1" applyBorder="1" applyAlignment="1">
      <alignment horizontal="center"/>
    </xf>
    <xf numFmtId="0" fontId="10" fillId="0" borderId="1" xfId="0" applyFont="1" applyBorder="1" applyAlignment="1">
      <alignment horizontal="center"/>
    </xf>
    <xf numFmtId="164" fontId="3" fillId="4" borderId="1" xfId="1" applyNumberFormat="1" applyFont="1" applyFill="1" applyBorder="1" applyAlignment="1">
      <alignment horizontal="center" vertical="top" wrapText="1"/>
    </xf>
    <xf numFmtId="0" fontId="10" fillId="8" borderId="1" xfId="0" applyFont="1" applyFill="1" applyBorder="1" applyAlignment="1">
      <alignment horizontal="center"/>
    </xf>
    <xf numFmtId="0" fontId="10" fillId="8" borderId="0" xfId="0" applyFont="1" applyFill="1" applyAlignment="1">
      <alignment horizontal="center"/>
    </xf>
    <xf numFmtId="0" fontId="10" fillId="0" borderId="0" xfId="0" applyFont="1" applyAlignment="1">
      <alignment horizontal="center"/>
    </xf>
    <xf numFmtId="164" fontId="3" fillId="4" borderId="4" xfId="1" applyNumberFormat="1" applyFont="1" applyFill="1" applyBorder="1" applyAlignment="1">
      <alignment horizontal="center" vertical="top" wrapText="1"/>
    </xf>
    <xf numFmtId="0" fontId="10" fillId="0" borderId="7" xfId="0" applyFont="1" applyBorder="1" applyAlignment="1">
      <alignment horizontal="center"/>
    </xf>
    <xf numFmtId="0" fontId="43" fillId="25" borderId="4" xfId="0" applyFont="1" applyFill="1" applyBorder="1" applyAlignment="1">
      <alignment horizontal="center"/>
    </xf>
    <xf numFmtId="0" fontId="43" fillId="25" borderId="11" xfId="0" applyFont="1" applyFill="1" applyBorder="1" applyAlignment="1">
      <alignment horizontal="center"/>
    </xf>
    <xf numFmtId="0" fontId="43" fillId="25" borderId="5" xfId="0" applyFont="1" applyFill="1" applyBorder="1" applyAlignment="1">
      <alignment horizontal="center"/>
    </xf>
    <xf numFmtId="0" fontId="47" fillId="25" borderId="1" xfId="0" applyFont="1" applyFill="1" applyBorder="1" applyAlignment="1">
      <alignment horizontal="center"/>
    </xf>
    <xf numFmtId="0" fontId="43" fillId="25" borderId="1" xfId="0" applyFont="1" applyFill="1" applyBorder="1" applyAlignment="1">
      <alignment horizontal="center"/>
    </xf>
    <xf numFmtId="164" fontId="20" fillId="5" borderId="1" xfId="1" applyNumberFormat="1" applyFont="1" applyFill="1" applyBorder="1" applyAlignment="1">
      <alignment horizontal="center" wrapText="1"/>
    </xf>
    <xf numFmtId="0" fontId="41" fillId="31" borderId="1" xfId="0" applyFont="1" applyFill="1" applyBorder="1" applyAlignment="1">
      <alignment horizontal="center" vertical="center"/>
    </xf>
    <xf numFmtId="164" fontId="20" fillId="5" borderId="4" xfId="1" applyNumberFormat="1" applyFont="1" applyFill="1" applyBorder="1" applyAlignment="1">
      <alignment horizontal="center" wrapText="1"/>
    </xf>
    <xf numFmtId="164" fontId="20" fillId="5" borderId="11" xfId="1" applyNumberFormat="1" applyFont="1" applyFill="1" applyBorder="1" applyAlignment="1">
      <alignment horizontal="center" wrapText="1"/>
    </xf>
    <xf numFmtId="164" fontId="20" fillId="5" borderId="5" xfId="1" applyNumberFormat="1" applyFont="1" applyFill="1" applyBorder="1" applyAlignment="1">
      <alignment horizontal="center" wrapText="1"/>
    </xf>
    <xf numFmtId="164" fontId="20" fillId="5" borderId="21" xfId="1" applyNumberFormat="1" applyFont="1" applyFill="1" applyBorder="1" applyAlignment="1">
      <alignment horizontal="center" wrapText="1"/>
    </xf>
    <xf numFmtId="164" fontId="20" fillId="5" borderId="10" xfId="1" applyNumberFormat="1" applyFont="1" applyFill="1" applyBorder="1" applyAlignment="1">
      <alignment horizontal="center" wrapText="1"/>
    </xf>
    <xf numFmtId="0" fontId="41" fillId="29" borderId="1" xfId="0" applyFont="1" applyFill="1" applyBorder="1" applyAlignment="1">
      <alignment horizontal="center" vertical="center"/>
    </xf>
    <xf numFmtId="0" fontId="20" fillId="4" borderId="1" xfId="0" applyFont="1" applyFill="1" applyBorder="1" applyAlignment="1">
      <alignment horizontal="center" vertical="center"/>
    </xf>
    <xf numFmtId="0" fontId="0" fillId="0" borderId="0" xfId="0" applyAlignment="1">
      <alignment horizontal="center" vertical="center" wrapText="1"/>
    </xf>
    <xf numFmtId="0" fontId="41" fillId="29" borderId="1" xfId="0" applyFont="1" applyFill="1" applyBorder="1" applyAlignment="1">
      <alignment horizontal="center"/>
    </xf>
    <xf numFmtId="0" fontId="0" fillId="0" borderId="0" xfId="0" applyAlignment="1">
      <alignment horizontal="center" wrapText="1"/>
    </xf>
    <xf numFmtId="0" fontId="0" fillId="0" borderId="0" xfId="0" applyAlignment="1">
      <alignment horizontal="left" vertical="top" wrapText="1"/>
    </xf>
    <xf numFmtId="0" fontId="12" fillId="9" borderId="7" xfId="0" applyFont="1" applyFill="1" applyBorder="1" applyAlignment="1">
      <alignment horizontal="center"/>
    </xf>
    <xf numFmtId="0" fontId="12" fillId="9" borderId="0" xfId="0" applyFont="1" applyFill="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0" fillId="0" borderId="2" xfId="0" applyFont="1" applyBorder="1" applyAlignment="1">
      <alignment horizontal="center"/>
    </xf>
    <xf numFmtId="0" fontId="0" fillId="0" borderId="0" xfId="0" applyAlignment="1">
      <alignment horizontal="center" vertical="top" wrapText="1"/>
    </xf>
    <xf numFmtId="0" fontId="10" fillId="19" borderId="2" xfId="0" applyFont="1" applyFill="1" applyBorder="1" applyAlignment="1">
      <alignment horizontal="center" vertical="center"/>
    </xf>
    <xf numFmtId="0" fontId="10" fillId="21" borderId="21" xfId="0" applyFont="1" applyFill="1" applyBorder="1" applyAlignment="1">
      <alignment horizontal="center" vertical="center"/>
    </xf>
    <xf numFmtId="0" fontId="10" fillId="21" borderId="22" xfId="0" applyFont="1" applyFill="1" applyBorder="1" applyAlignment="1">
      <alignment horizontal="center" vertical="center"/>
    </xf>
    <xf numFmtId="0" fontId="10" fillId="21" borderId="6" xfId="0" applyFont="1" applyFill="1" applyBorder="1" applyAlignment="1">
      <alignment horizontal="center" vertical="center"/>
    </xf>
    <xf numFmtId="0" fontId="10" fillId="21" borderId="23" xfId="0" applyFont="1" applyFill="1" applyBorder="1" applyAlignment="1">
      <alignment horizontal="center" vertical="center"/>
    </xf>
    <xf numFmtId="0" fontId="10" fillId="22" borderId="1" xfId="0" applyFont="1" applyFill="1" applyBorder="1" applyAlignment="1">
      <alignment horizontal="center" vertical="center"/>
    </xf>
    <xf numFmtId="0" fontId="10" fillId="21" borderId="1" xfId="0" applyFont="1" applyFill="1" applyBorder="1" applyAlignment="1">
      <alignment horizontal="center" vertical="center"/>
    </xf>
    <xf numFmtId="0" fontId="0" fillId="6" borderId="1" xfId="0" applyFill="1" applyBorder="1" applyAlignment="1">
      <alignment horizontal="center"/>
    </xf>
    <xf numFmtId="0" fontId="11" fillId="9" borderId="1" xfId="0" applyFont="1" applyFill="1" applyBorder="1" applyAlignment="1">
      <alignment horizontal="center"/>
    </xf>
    <xf numFmtId="0" fontId="0" fillId="8" borderId="1" xfId="0" applyFill="1" applyBorder="1" applyAlignment="1">
      <alignment horizontal="center"/>
    </xf>
    <xf numFmtId="0" fontId="11" fillId="9" borderId="2" xfId="0" applyFont="1" applyFill="1" applyBorder="1" applyAlignment="1">
      <alignment horizontal="center"/>
    </xf>
    <xf numFmtId="164" fontId="3" fillId="4" borderId="5" xfId="1" applyNumberFormat="1" applyFont="1" applyFill="1" applyBorder="1" applyAlignment="1">
      <alignment horizontal="center" vertical="top" wrapText="1"/>
    </xf>
    <xf numFmtId="0" fontId="10" fillId="8" borderId="7" xfId="0" applyFont="1" applyFill="1" applyBorder="1" applyAlignment="1">
      <alignment horizontal="center"/>
    </xf>
    <xf numFmtId="0" fontId="0" fillId="8" borderId="0" xfId="0" applyFill="1" applyAlignment="1">
      <alignment horizontal="center"/>
    </xf>
    <xf numFmtId="0" fontId="0" fillId="0" borderId="7" xfId="0" applyBorder="1" applyAlignment="1">
      <alignment horizontal="center"/>
    </xf>
    <xf numFmtId="0" fontId="0" fillId="0" borderId="0" xfId="0" applyAlignment="1">
      <alignment horizontal="center"/>
    </xf>
    <xf numFmtId="0" fontId="10" fillId="11" borderId="1" xfId="0" applyFont="1" applyFill="1" applyBorder="1" applyAlignment="1">
      <alignment horizontal="center"/>
    </xf>
    <xf numFmtId="0" fontId="11" fillId="9" borderId="0" xfId="0" applyFont="1" applyFill="1" applyAlignment="1">
      <alignment horizontal="center"/>
    </xf>
    <xf numFmtId="0" fontId="41" fillId="32" borderId="2" xfId="0" applyFont="1" applyFill="1" applyBorder="1" applyAlignment="1">
      <alignment horizontal="center" vertical="center"/>
    </xf>
    <xf numFmtId="0" fontId="41" fillId="25" borderId="2" xfId="0" applyFont="1" applyFill="1" applyBorder="1" applyAlignment="1">
      <alignment horizontal="center" vertical="center"/>
    </xf>
    <xf numFmtId="0" fontId="41" fillId="25" borderId="23" xfId="0" applyFont="1" applyFill="1" applyBorder="1" applyAlignment="1">
      <alignment horizontal="center" vertical="center"/>
    </xf>
    <xf numFmtId="0" fontId="45" fillId="5" borderId="4" xfId="0" applyFont="1" applyFill="1" applyBorder="1" applyAlignment="1">
      <alignment horizontal="center"/>
    </xf>
    <xf numFmtId="0" fontId="45" fillId="5" borderId="11" xfId="0" applyFont="1" applyFill="1" applyBorder="1" applyAlignment="1">
      <alignment horizontal="center"/>
    </xf>
    <xf numFmtId="0" fontId="45" fillId="5" borderId="5" xfId="0" applyFont="1" applyFill="1" applyBorder="1" applyAlignment="1">
      <alignment horizontal="center"/>
    </xf>
    <xf numFmtId="0" fontId="20" fillId="5" borderId="1" xfId="0" applyFont="1" applyFill="1" applyBorder="1" applyAlignment="1">
      <alignment horizontal="center" vertical="center"/>
    </xf>
    <xf numFmtId="0" fontId="41" fillId="29" borderId="2" xfId="0" applyFont="1" applyFill="1" applyBorder="1" applyAlignment="1">
      <alignment horizontal="center" vertical="center"/>
    </xf>
    <xf numFmtId="0" fontId="10" fillId="15" borderId="4" xfId="0" applyFont="1" applyFill="1" applyBorder="1" applyAlignment="1">
      <alignment horizontal="left"/>
    </xf>
    <xf numFmtId="0" fontId="10" fillId="15" borderId="11" xfId="0" applyFont="1" applyFill="1" applyBorder="1" applyAlignment="1">
      <alignment horizontal="left"/>
    </xf>
    <xf numFmtId="0" fontId="11" fillId="27" borderId="1" xfId="0" applyFont="1" applyFill="1" applyBorder="1" applyAlignment="1">
      <alignment horizontal="center"/>
    </xf>
    <xf numFmtId="0" fontId="20" fillId="15" borderId="4" xfId="0" applyFont="1" applyFill="1" applyBorder="1" applyAlignment="1">
      <alignment horizontal="left" vertical="center" wrapText="1"/>
    </xf>
    <xf numFmtId="0" fontId="20" fillId="15" borderId="11" xfId="0" applyFont="1" applyFill="1" applyBorder="1" applyAlignment="1">
      <alignment horizontal="left" vertical="center" wrapText="1"/>
    </xf>
    <xf numFmtId="0" fontId="3" fillId="4" borderId="1" xfId="0" applyFont="1" applyFill="1" applyBorder="1" applyAlignment="1">
      <alignment horizontal="center" vertical="center"/>
    </xf>
    <xf numFmtId="0" fontId="0" fillId="0" borderId="2" xfId="0" applyBorder="1" applyAlignment="1">
      <alignment horizontal="center"/>
    </xf>
    <xf numFmtId="0" fontId="0" fillId="0" borderId="2" xfId="0" applyBorder="1" applyAlignment="1">
      <alignment horizontal="center" vertical="center" wrapText="1"/>
    </xf>
    <xf numFmtId="0" fontId="10" fillId="22" borderId="1" xfId="0" applyFont="1" applyFill="1" applyBorder="1" applyAlignment="1">
      <alignment horizontal="righ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0" fillId="13" borderId="8" xfId="0" applyFont="1" applyFill="1" applyBorder="1" applyAlignment="1">
      <alignment horizontal="center" vertical="center"/>
    </xf>
    <xf numFmtId="0" fontId="20" fillId="13" borderId="9" xfId="0" applyFont="1" applyFill="1" applyBorder="1" applyAlignment="1">
      <alignment horizontal="center" vertical="center"/>
    </xf>
    <xf numFmtId="0" fontId="20" fillId="13" borderId="8" xfId="0" applyFont="1" applyFill="1" applyBorder="1" applyAlignment="1">
      <alignment horizontal="center" vertical="center" wrapText="1"/>
    </xf>
    <xf numFmtId="0" fontId="20" fillId="13" borderId="9" xfId="0" applyFont="1" applyFill="1" applyBorder="1" applyAlignment="1">
      <alignment horizontal="center" vertical="center" wrapText="1"/>
    </xf>
    <xf numFmtId="0" fontId="20" fillId="13" borderId="4" xfId="0" applyFont="1" applyFill="1" applyBorder="1" applyAlignment="1">
      <alignment vertical="center" wrapText="1"/>
    </xf>
    <xf numFmtId="0" fontId="20" fillId="13" borderId="5" xfId="0" applyFont="1" applyFill="1" applyBorder="1" applyAlignment="1">
      <alignment vertical="center" wrapText="1"/>
    </xf>
    <xf numFmtId="0" fontId="20" fillId="13" borderId="8" xfId="0" applyFont="1" applyFill="1" applyBorder="1" applyAlignment="1">
      <alignment vertical="center"/>
    </xf>
    <xf numFmtId="0" fontId="20" fillId="13" borderId="9" xfId="0" applyFont="1" applyFill="1" applyBorder="1" applyAlignment="1">
      <alignment vertical="center"/>
    </xf>
    <xf numFmtId="0" fontId="5" fillId="0" borderId="2" xfId="0" applyFont="1" applyBorder="1" applyAlignment="1">
      <alignment horizontal="center"/>
    </xf>
    <xf numFmtId="0" fontId="41" fillId="26" borderId="24" xfId="0" applyFont="1" applyFill="1" applyBorder="1" applyAlignment="1">
      <alignment horizontal="center"/>
    </xf>
    <xf numFmtId="0" fontId="41" fillId="26" borderId="25" xfId="0" applyFont="1" applyFill="1" applyBorder="1" applyAlignment="1">
      <alignment horizontal="center"/>
    </xf>
    <xf numFmtId="0" fontId="41" fillId="26" borderId="13" xfId="0" applyFont="1" applyFill="1" applyBorder="1" applyAlignment="1">
      <alignment horizontal="center"/>
    </xf>
    <xf numFmtId="0" fontId="0" fillId="0" borderId="0" xfId="0" applyAlignment="1">
      <alignment horizontal="left" vertical="center"/>
    </xf>
    <xf numFmtId="0" fontId="0" fillId="0" borderId="10" xfId="0" applyBorder="1" applyAlignment="1">
      <alignment horizontal="center" vertical="center"/>
    </xf>
    <xf numFmtId="0" fontId="0" fillId="0" borderId="0" xfId="0" applyAlignment="1">
      <alignment horizontal="center" vertical="center"/>
    </xf>
    <xf numFmtId="0" fontId="17" fillId="4" borderId="8"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6" fillId="4" borderId="8"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9" xfId="0" applyFont="1" applyFill="1" applyBorder="1" applyAlignment="1">
      <alignment horizontal="center" vertical="center"/>
    </xf>
    <xf numFmtId="0" fontId="19" fillId="0" borderId="4" xfId="0" applyFont="1" applyBorder="1" applyAlignment="1">
      <alignment horizontal="center"/>
    </xf>
    <xf numFmtId="0" fontId="19" fillId="0" borderId="11" xfId="0" applyFont="1" applyBorder="1" applyAlignment="1">
      <alignment horizontal="center"/>
    </xf>
    <xf numFmtId="0" fontId="19" fillId="0" borderId="5" xfId="0" applyFont="1" applyBorder="1" applyAlignment="1">
      <alignment horizontal="center"/>
    </xf>
    <xf numFmtId="0" fontId="3" fillId="4" borderId="8"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9" xfId="0" applyFont="1" applyFill="1" applyBorder="1" applyAlignment="1">
      <alignment horizontal="center" vertical="center"/>
    </xf>
    <xf numFmtId="174" fontId="19" fillId="34" borderId="9" xfId="0" applyNumberFormat="1" applyFont="1" applyFill="1" applyBorder="1" applyAlignment="1">
      <alignment horizontal="right" vertical="center"/>
    </xf>
    <xf numFmtId="174" fontId="19" fillId="34" borderId="1" xfId="0" applyNumberFormat="1" applyFont="1" applyFill="1" applyBorder="1" applyAlignment="1">
      <alignment horizontal="right" vertical="center"/>
    </xf>
    <xf numFmtId="174" fontId="19" fillId="6" borderId="1" xfId="0" applyNumberFormat="1" applyFont="1" applyFill="1" applyBorder="1" applyAlignment="1">
      <alignment horizontal="right" vertical="center"/>
    </xf>
    <xf numFmtId="10" fontId="19" fillId="6" borderId="1" xfId="0" applyNumberFormat="1" applyFont="1" applyFill="1" applyBorder="1" applyAlignment="1">
      <alignment vertical="center" wrapText="1"/>
    </xf>
    <xf numFmtId="173" fontId="19" fillId="6" borderId="1" xfId="0" applyNumberFormat="1" applyFont="1" applyFill="1" applyBorder="1" applyAlignment="1">
      <alignment vertical="center" wrapText="1"/>
    </xf>
    <xf numFmtId="173" fontId="0" fillId="6" borderId="1" xfId="0" applyNumberFormat="1" applyFill="1" applyBorder="1"/>
    <xf numFmtId="174" fontId="0" fillId="6" borderId="1" xfId="1" applyNumberFormat="1" applyFont="1" applyFill="1" applyBorder="1" applyAlignment="1">
      <alignment horizontal="right"/>
    </xf>
    <xf numFmtId="174" fontId="0" fillId="6" borderId="1" xfId="1" applyNumberFormat="1" applyFont="1" applyFill="1" applyBorder="1" applyAlignment="1">
      <alignment horizontal="right" vertical="top"/>
    </xf>
    <xf numFmtId="0" fontId="20" fillId="5" borderId="8"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11" xfId="0" applyFont="1" applyFill="1" applyBorder="1" applyAlignment="1">
      <alignment horizontal="center" vertical="center"/>
    </xf>
    <xf numFmtId="0" fontId="20" fillId="5" borderId="5" xfId="0" applyFont="1" applyFill="1" applyBorder="1" applyAlignment="1">
      <alignment horizontal="center" vertical="center"/>
    </xf>
    <xf numFmtId="164" fontId="20" fillId="5" borderId="1" xfId="1" applyNumberFormat="1" applyFont="1" applyFill="1" applyBorder="1" applyAlignment="1">
      <alignment horizontal="center" vertical="top" wrapText="1"/>
    </xf>
    <xf numFmtId="164" fontId="20" fillId="5" borderId="4" xfId="1" applyNumberFormat="1" applyFont="1" applyFill="1" applyBorder="1" applyAlignment="1">
      <alignment horizontal="center" vertical="top" wrapText="1"/>
    </xf>
    <xf numFmtId="164" fontId="20" fillId="5" borderId="11" xfId="1" applyNumberFormat="1" applyFont="1" applyFill="1" applyBorder="1" applyAlignment="1">
      <alignment horizontal="center" vertical="top" wrapText="1"/>
    </xf>
    <xf numFmtId="164" fontId="20" fillId="5" borderId="5" xfId="1" applyNumberFormat="1" applyFont="1" applyFill="1" applyBorder="1" applyAlignment="1">
      <alignment horizontal="center" vertical="top" wrapText="1"/>
    </xf>
    <xf numFmtId="0" fontId="10" fillId="5" borderId="1" xfId="0" applyFont="1" applyFill="1" applyBorder="1" applyAlignment="1">
      <alignment horizontal="center"/>
    </xf>
    <xf numFmtId="0" fontId="41" fillId="29" borderId="6" xfId="0" applyFont="1" applyFill="1" applyBorder="1" applyAlignment="1">
      <alignment horizontal="center" vertical="center"/>
    </xf>
    <xf numFmtId="0" fontId="41" fillId="29" borderId="23" xfId="0" applyFont="1" applyFill="1" applyBorder="1" applyAlignment="1">
      <alignment horizontal="center" vertical="center"/>
    </xf>
    <xf numFmtId="0" fontId="41" fillId="29" borderId="9" xfId="0" applyFont="1" applyFill="1" applyBorder="1" applyAlignment="1">
      <alignment horizontal="center" vertical="center"/>
    </xf>
  </cellXfs>
  <cellStyles count="4">
    <cellStyle name="Comma" xfId="1" builtinId="3"/>
    <cellStyle name="Comma 2" xfId="3" xr:uid="{00000000-0005-0000-0000-00000100000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8.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29.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7.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0.png"/></Relationships>
</file>

<file path=xl/drawings/_rels/drawing33.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5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5.png"/></Relationships>
</file>

<file path=xl/drawings/_rels/drawing37.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8.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9.png"/></Relationships>
</file>

<file path=xl/drawings/_rels/drawing40.xml.rels><?xml version="1.0" encoding="UTF-8" standalone="yes"?>
<Relationships xmlns="http://schemas.openxmlformats.org/package/2006/relationships"><Relationship Id="rId1" Type="http://schemas.openxmlformats.org/officeDocument/2006/relationships/image" Target="../media/image60.png"/></Relationships>
</file>

<file path=xl/drawings/_rels/drawing41.xml.rels><?xml version="1.0" encoding="UTF-8" standalone="yes"?>
<Relationships xmlns="http://schemas.openxmlformats.org/package/2006/relationships"><Relationship Id="rId1" Type="http://schemas.openxmlformats.org/officeDocument/2006/relationships/image" Target="../media/image6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6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6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64.png"/></Relationships>
</file>

<file path=xl/drawings/_rels/drawing45.xml.rels><?xml version="1.0" encoding="UTF-8" standalone="yes"?>
<Relationships xmlns="http://schemas.openxmlformats.org/package/2006/relationships"><Relationship Id="rId2" Type="http://schemas.openxmlformats.org/officeDocument/2006/relationships/image" Target="../media/image66.png"/><Relationship Id="rId1" Type="http://schemas.openxmlformats.org/officeDocument/2006/relationships/image" Target="../media/image65.png"/></Relationships>
</file>

<file path=xl/drawings/_rels/drawing46.xml.rels><?xml version="1.0" encoding="UTF-8" standalone="yes"?>
<Relationships xmlns="http://schemas.openxmlformats.org/package/2006/relationships"><Relationship Id="rId2" Type="http://schemas.openxmlformats.org/officeDocument/2006/relationships/image" Target="../media/image68.png"/><Relationship Id="rId1" Type="http://schemas.openxmlformats.org/officeDocument/2006/relationships/image" Target="../media/image67.png"/></Relationships>
</file>

<file path=xl/drawings/_rels/drawing47.xml.rels><?xml version="1.0" encoding="UTF-8" standalone="yes"?>
<Relationships xmlns="http://schemas.openxmlformats.org/package/2006/relationships"><Relationship Id="rId1" Type="http://schemas.openxmlformats.org/officeDocument/2006/relationships/image" Target="../media/image69.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14</xdr:row>
      <xdr:rowOff>0</xdr:rowOff>
    </xdr:from>
    <xdr:to>
      <xdr:col>28</xdr:col>
      <xdr:colOff>188437</xdr:colOff>
      <xdr:row>20</xdr:row>
      <xdr:rowOff>71574</xdr:rowOff>
    </xdr:to>
    <xdr:pic>
      <xdr:nvPicPr>
        <xdr:cNvPr id="2" name="Picture 1">
          <a:extLst>
            <a:ext uri="{FF2B5EF4-FFF2-40B4-BE49-F238E27FC236}">
              <a16:creationId xmlns:a16="http://schemas.microsoft.com/office/drawing/2014/main" id="{8E0D18E6-49FF-BECA-24A6-9A0EB0A8461C}"/>
            </a:ext>
          </a:extLst>
        </xdr:cNvPr>
        <xdr:cNvPicPr>
          <a:picLocks noChangeAspect="1"/>
        </xdr:cNvPicPr>
      </xdr:nvPicPr>
      <xdr:blipFill>
        <a:blip xmlns:r="http://schemas.openxmlformats.org/officeDocument/2006/relationships" r:embed="rId1"/>
        <a:stretch>
          <a:fillRect/>
        </a:stretch>
      </xdr:blipFill>
      <xdr:spPr>
        <a:xfrm>
          <a:off x="13564082" y="3026297"/>
          <a:ext cx="9412013" cy="1409897"/>
        </a:xfrm>
        <a:prstGeom prst="rect">
          <a:avLst/>
        </a:prstGeom>
      </xdr:spPr>
    </xdr:pic>
    <xdr:clientData/>
  </xdr:twoCellAnchor>
  <xdr:twoCellAnchor editAs="oneCell">
    <xdr:from>
      <xdr:col>13</xdr:col>
      <xdr:colOff>0</xdr:colOff>
      <xdr:row>25</xdr:row>
      <xdr:rowOff>0</xdr:rowOff>
    </xdr:from>
    <xdr:to>
      <xdr:col>28</xdr:col>
      <xdr:colOff>140806</xdr:colOff>
      <xdr:row>34</xdr:row>
      <xdr:rowOff>16642</xdr:rowOff>
    </xdr:to>
    <xdr:pic>
      <xdr:nvPicPr>
        <xdr:cNvPr id="3" name="Picture 2">
          <a:extLst>
            <a:ext uri="{FF2B5EF4-FFF2-40B4-BE49-F238E27FC236}">
              <a16:creationId xmlns:a16="http://schemas.microsoft.com/office/drawing/2014/main" id="{990FBFB4-CAC4-D632-11B2-9B71D16845C6}"/>
            </a:ext>
          </a:extLst>
        </xdr:cNvPr>
        <xdr:cNvPicPr>
          <a:picLocks noChangeAspect="1"/>
        </xdr:cNvPicPr>
      </xdr:nvPicPr>
      <xdr:blipFill>
        <a:blip xmlns:r="http://schemas.openxmlformats.org/officeDocument/2006/relationships" r:embed="rId2"/>
        <a:stretch>
          <a:fillRect/>
        </a:stretch>
      </xdr:blipFill>
      <xdr:spPr>
        <a:xfrm>
          <a:off x="13564082" y="5329177"/>
          <a:ext cx="9364382" cy="1752845"/>
        </a:xfrm>
        <a:prstGeom prst="rect">
          <a:avLst/>
        </a:prstGeom>
      </xdr:spPr>
    </xdr:pic>
    <xdr:clientData/>
  </xdr:twoCellAnchor>
  <xdr:twoCellAnchor editAs="oneCell">
    <xdr:from>
      <xdr:col>13</xdr:col>
      <xdr:colOff>0</xdr:colOff>
      <xdr:row>37</xdr:row>
      <xdr:rowOff>0</xdr:rowOff>
    </xdr:from>
    <xdr:to>
      <xdr:col>28</xdr:col>
      <xdr:colOff>226543</xdr:colOff>
      <xdr:row>60</xdr:row>
      <xdr:rowOff>11834</xdr:rowOff>
    </xdr:to>
    <xdr:pic>
      <xdr:nvPicPr>
        <xdr:cNvPr id="4" name="Picture 3">
          <a:extLst>
            <a:ext uri="{FF2B5EF4-FFF2-40B4-BE49-F238E27FC236}">
              <a16:creationId xmlns:a16="http://schemas.microsoft.com/office/drawing/2014/main" id="{BD30F2EF-4700-8FC1-3378-ABDFD9F615B3}"/>
            </a:ext>
          </a:extLst>
        </xdr:cNvPr>
        <xdr:cNvPicPr>
          <a:picLocks noChangeAspect="1"/>
        </xdr:cNvPicPr>
      </xdr:nvPicPr>
      <xdr:blipFill>
        <a:blip xmlns:r="http://schemas.openxmlformats.org/officeDocument/2006/relationships" r:embed="rId3"/>
        <a:stretch>
          <a:fillRect/>
        </a:stretch>
      </xdr:blipFill>
      <xdr:spPr>
        <a:xfrm>
          <a:off x="13564082" y="7451203"/>
          <a:ext cx="9450119" cy="44487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8</xdr:row>
      <xdr:rowOff>0</xdr:rowOff>
    </xdr:from>
    <xdr:to>
      <xdr:col>35</xdr:col>
      <xdr:colOff>280554</xdr:colOff>
      <xdr:row>29</xdr:row>
      <xdr:rowOff>113704</xdr:rowOff>
    </xdr:to>
    <xdr:pic>
      <xdr:nvPicPr>
        <xdr:cNvPr id="2" name="Picture 1">
          <a:extLst>
            <a:ext uri="{FF2B5EF4-FFF2-40B4-BE49-F238E27FC236}">
              <a16:creationId xmlns:a16="http://schemas.microsoft.com/office/drawing/2014/main" id="{28EEE3B1-598F-B951-A5F2-212AE97E14AE}"/>
            </a:ext>
          </a:extLst>
        </xdr:cNvPr>
        <xdr:cNvPicPr>
          <a:picLocks noChangeAspect="1"/>
        </xdr:cNvPicPr>
      </xdr:nvPicPr>
      <xdr:blipFill>
        <a:blip xmlns:r="http://schemas.openxmlformats.org/officeDocument/2006/relationships" r:embed="rId1"/>
        <a:stretch>
          <a:fillRect/>
        </a:stretch>
      </xdr:blipFill>
      <xdr:spPr>
        <a:xfrm>
          <a:off x="14534903" y="1533896"/>
          <a:ext cx="12403281" cy="45916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30</xdr:row>
      <xdr:rowOff>0</xdr:rowOff>
    </xdr:from>
    <xdr:to>
      <xdr:col>32</xdr:col>
      <xdr:colOff>125374</xdr:colOff>
      <xdr:row>41</xdr:row>
      <xdr:rowOff>162834</xdr:rowOff>
    </xdr:to>
    <xdr:pic>
      <xdr:nvPicPr>
        <xdr:cNvPr id="3" name="Picture 2">
          <a:extLst>
            <a:ext uri="{FF2B5EF4-FFF2-40B4-BE49-F238E27FC236}">
              <a16:creationId xmlns:a16="http://schemas.microsoft.com/office/drawing/2014/main" id="{F5A965BF-9D3D-1991-C9ED-14E0A8703681}"/>
            </a:ext>
          </a:extLst>
        </xdr:cNvPr>
        <xdr:cNvPicPr>
          <a:picLocks noChangeAspect="1"/>
        </xdr:cNvPicPr>
      </xdr:nvPicPr>
      <xdr:blipFill>
        <a:blip xmlns:r="http://schemas.openxmlformats.org/officeDocument/2006/relationships" r:embed="rId1"/>
        <a:stretch>
          <a:fillRect/>
        </a:stretch>
      </xdr:blipFill>
      <xdr:spPr>
        <a:xfrm>
          <a:off x="13830300" y="6315075"/>
          <a:ext cx="11098174" cy="2648320"/>
        </a:xfrm>
        <a:prstGeom prst="rect">
          <a:avLst/>
        </a:prstGeom>
      </xdr:spPr>
    </xdr:pic>
    <xdr:clientData/>
  </xdr:twoCellAnchor>
  <xdr:twoCellAnchor editAs="oneCell">
    <xdr:from>
      <xdr:col>1</xdr:col>
      <xdr:colOff>0</xdr:colOff>
      <xdr:row>50</xdr:row>
      <xdr:rowOff>0</xdr:rowOff>
    </xdr:from>
    <xdr:to>
      <xdr:col>8</xdr:col>
      <xdr:colOff>514350</xdr:colOff>
      <xdr:row>83</xdr:row>
      <xdr:rowOff>81080</xdr:rowOff>
    </xdr:to>
    <xdr:pic>
      <xdr:nvPicPr>
        <xdr:cNvPr id="4" name="Picture 3">
          <a:extLst>
            <a:ext uri="{FF2B5EF4-FFF2-40B4-BE49-F238E27FC236}">
              <a16:creationId xmlns:a16="http://schemas.microsoft.com/office/drawing/2014/main" id="{3E8006A5-1B53-448C-811B-386B98644B92}"/>
            </a:ext>
          </a:extLst>
        </xdr:cNvPr>
        <xdr:cNvPicPr>
          <a:picLocks noChangeAspect="1"/>
        </xdr:cNvPicPr>
      </xdr:nvPicPr>
      <xdr:blipFill>
        <a:blip xmlns:r="http://schemas.openxmlformats.org/officeDocument/2006/relationships" r:embed="rId2"/>
        <a:stretch>
          <a:fillRect/>
        </a:stretch>
      </xdr:blipFill>
      <xdr:spPr>
        <a:xfrm>
          <a:off x="127774" y="9908323"/>
          <a:ext cx="9667643" cy="6214250"/>
        </a:xfrm>
        <a:prstGeom prst="rect">
          <a:avLst/>
        </a:prstGeom>
      </xdr:spPr>
    </xdr:pic>
    <xdr:clientData/>
  </xdr:twoCellAnchor>
  <xdr:twoCellAnchor editAs="oneCell">
    <xdr:from>
      <xdr:col>14</xdr:col>
      <xdr:colOff>0</xdr:colOff>
      <xdr:row>12</xdr:row>
      <xdr:rowOff>0</xdr:rowOff>
    </xdr:from>
    <xdr:to>
      <xdr:col>32</xdr:col>
      <xdr:colOff>320998</xdr:colOff>
      <xdr:row>27</xdr:row>
      <xdr:rowOff>170030</xdr:rowOff>
    </xdr:to>
    <xdr:pic>
      <xdr:nvPicPr>
        <xdr:cNvPr id="5" name="Picture 4">
          <a:extLst>
            <a:ext uri="{FF2B5EF4-FFF2-40B4-BE49-F238E27FC236}">
              <a16:creationId xmlns:a16="http://schemas.microsoft.com/office/drawing/2014/main" id="{FB5363A9-61D0-6A79-9BB4-8FC736F3054E}"/>
            </a:ext>
          </a:extLst>
        </xdr:cNvPr>
        <xdr:cNvPicPr>
          <a:picLocks noChangeAspect="1"/>
        </xdr:cNvPicPr>
      </xdr:nvPicPr>
      <xdr:blipFill>
        <a:blip xmlns:r="http://schemas.openxmlformats.org/officeDocument/2006/relationships" r:embed="rId3"/>
        <a:stretch>
          <a:fillRect/>
        </a:stretch>
      </xdr:blipFill>
      <xdr:spPr>
        <a:xfrm>
          <a:off x="13788018" y="2660030"/>
          <a:ext cx="11193437" cy="3143689"/>
        </a:xfrm>
        <a:prstGeom prst="rect">
          <a:avLst/>
        </a:prstGeom>
      </xdr:spPr>
    </xdr:pic>
    <xdr:clientData/>
  </xdr:twoCellAnchor>
  <xdr:twoCellAnchor editAs="oneCell">
    <xdr:from>
      <xdr:col>14</xdr:col>
      <xdr:colOff>31230</xdr:colOff>
      <xdr:row>47</xdr:row>
      <xdr:rowOff>0</xdr:rowOff>
    </xdr:from>
    <xdr:to>
      <xdr:col>32</xdr:col>
      <xdr:colOff>63056</xdr:colOff>
      <xdr:row>72</xdr:row>
      <xdr:rowOff>154948</xdr:rowOff>
    </xdr:to>
    <xdr:pic>
      <xdr:nvPicPr>
        <xdr:cNvPr id="6" name="Picture 5">
          <a:extLst>
            <a:ext uri="{FF2B5EF4-FFF2-40B4-BE49-F238E27FC236}">
              <a16:creationId xmlns:a16="http://schemas.microsoft.com/office/drawing/2014/main" id="{C89D1B93-41CC-7A9B-18F1-56FD750EB669}"/>
            </a:ext>
          </a:extLst>
        </xdr:cNvPr>
        <xdr:cNvPicPr>
          <a:picLocks noChangeAspect="1"/>
        </xdr:cNvPicPr>
      </xdr:nvPicPr>
      <xdr:blipFill>
        <a:blip xmlns:r="http://schemas.openxmlformats.org/officeDocument/2006/relationships" r:embed="rId4"/>
        <a:stretch>
          <a:fillRect/>
        </a:stretch>
      </xdr:blipFill>
      <xdr:spPr>
        <a:xfrm>
          <a:off x="13850287" y="9431311"/>
          <a:ext cx="10993384" cy="4839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40706</xdr:colOff>
      <xdr:row>39</xdr:row>
      <xdr:rowOff>153323</xdr:rowOff>
    </xdr:from>
    <xdr:to>
      <xdr:col>26</xdr:col>
      <xdr:colOff>428165</xdr:colOff>
      <xdr:row>49</xdr:row>
      <xdr:rowOff>627547</xdr:rowOff>
    </xdr:to>
    <xdr:pic>
      <xdr:nvPicPr>
        <xdr:cNvPr id="3" name="Picture 2">
          <a:extLst>
            <a:ext uri="{FF2B5EF4-FFF2-40B4-BE49-F238E27FC236}">
              <a16:creationId xmlns:a16="http://schemas.microsoft.com/office/drawing/2014/main" id="{D3C39981-7E3A-50F0-9BF5-79F80A581804}"/>
            </a:ext>
          </a:extLst>
        </xdr:cNvPr>
        <xdr:cNvPicPr>
          <a:picLocks noChangeAspect="1"/>
        </xdr:cNvPicPr>
      </xdr:nvPicPr>
      <xdr:blipFill>
        <a:blip xmlns:r="http://schemas.openxmlformats.org/officeDocument/2006/relationships" r:embed="rId1"/>
        <a:stretch>
          <a:fillRect/>
        </a:stretch>
      </xdr:blipFill>
      <xdr:spPr>
        <a:xfrm>
          <a:off x="12199780" y="8008508"/>
          <a:ext cx="9559681" cy="2355705"/>
        </a:xfrm>
        <a:prstGeom prst="rect">
          <a:avLst/>
        </a:prstGeom>
      </xdr:spPr>
    </xdr:pic>
    <xdr:clientData/>
  </xdr:twoCellAnchor>
  <xdr:twoCellAnchor editAs="oneCell">
    <xdr:from>
      <xdr:col>11</xdr:col>
      <xdr:colOff>97692</xdr:colOff>
      <xdr:row>49</xdr:row>
      <xdr:rowOff>653544</xdr:rowOff>
    </xdr:from>
    <xdr:to>
      <xdr:col>26</xdr:col>
      <xdr:colOff>566099</xdr:colOff>
      <xdr:row>63</xdr:row>
      <xdr:rowOff>125922</xdr:rowOff>
    </xdr:to>
    <xdr:pic>
      <xdr:nvPicPr>
        <xdr:cNvPr id="4" name="Picture 3">
          <a:extLst>
            <a:ext uri="{FF2B5EF4-FFF2-40B4-BE49-F238E27FC236}">
              <a16:creationId xmlns:a16="http://schemas.microsoft.com/office/drawing/2014/main" id="{E1331E11-2085-CC51-1742-443E0D5FD23D}"/>
            </a:ext>
          </a:extLst>
        </xdr:cNvPr>
        <xdr:cNvPicPr>
          <a:picLocks noChangeAspect="1"/>
        </xdr:cNvPicPr>
      </xdr:nvPicPr>
      <xdr:blipFill>
        <a:blip xmlns:r="http://schemas.openxmlformats.org/officeDocument/2006/relationships" r:embed="rId2"/>
        <a:stretch>
          <a:fillRect/>
        </a:stretch>
      </xdr:blipFill>
      <xdr:spPr>
        <a:xfrm>
          <a:off x="12256766" y="10390211"/>
          <a:ext cx="9640629" cy="2906082"/>
        </a:xfrm>
        <a:prstGeom prst="rect">
          <a:avLst/>
        </a:prstGeom>
      </xdr:spPr>
    </xdr:pic>
    <xdr:clientData/>
  </xdr:twoCellAnchor>
  <xdr:twoCellAnchor editAs="oneCell">
    <xdr:from>
      <xdr:col>11</xdr:col>
      <xdr:colOff>195385</xdr:colOff>
      <xdr:row>28</xdr:row>
      <xdr:rowOff>24423</xdr:rowOff>
    </xdr:from>
    <xdr:to>
      <xdr:col>26</xdr:col>
      <xdr:colOff>592997</xdr:colOff>
      <xdr:row>39</xdr:row>
      <xdr:rowOff>98847</xdr:rowOff>
    </xdr:to>
    <xdr:pic>
      <xdr:nvPicPr>
        <xdr:cNvPr id="5" name="Picture 4">
          <a:extLst>
            <a:ext uri="{FF2B5EF4-FFF2-40B4-BE49-F238E27FC236}">
              <a16:creationId xmlns:a16="http://schemas.microsoft.com/office/drawing/2014/main" id="{95FF3486-833F-FD63-C8DA-54959507BFC4}"/>
            </a:ext>
          </a:extLst>
        </xdr:cNvPr>
        <xdr:cNvPicPr>
          <a:picLocks noChangeAspect="1"/>
        </xdr:cNvPicPr>
      </xdr:nvPicPr>
      <xdr:blipFill>
        <a:blip xmlns:r="http://schemas.openxmlformats.org/officeDocument/2006/relationships" r:embed="rId3"/>
        <a:stretch>
          <a:fillRect/>
        </a:stretch>
      </xdr:blipFill>
      <xdr:spPr>
        <a:xfrm>
          <a:off x="12382500" y="5983654"/>
          <a:ext cx="9556266" cy="22236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39</xdr:row>
      <xdr:rowOff>19050</xdr:rowOff>
    </xdr:from>
    <xdr:to>
      <xdr:col>8</xdr:col>
      <xdr:colOff>215369</xdr:colOff>
      <xdr:row>47</xdr:row>
      <xdr:rowOff>57150</xdr:rowOff>
    </xdr:to>
    <xdr:pic>
      <xdr:nvPicPr>
        <xdr:cNvPr id="2" name="Picture 1">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a:stretch>
          <a:fillRect/>
        </a:stretch>
      </xdr:blipFill>
      <xdr:spPr>
        <a:xfrm>
          <a:off x="4086225" y="8162925"/>
          <a:ext cx="4781549" cy="1562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31</xdr:row>
      <xdr:rowOff>0</xdr:rowOff>
    </xdr:from>
    <xdr:to>
      <xdr:col>7</xdr:col>
      <xdr:colOff>133894</xdr:colOff>
      <xdr:row>43</xdr:row>
      <xdr:rowOff>76530</xdr:rowOff>
    </xdr:to>
    <xdr:pic>
      <xdr:nvPicPr>
        <xdr:cNvPr id="2" name="Picture 1">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a:stretch>
          <a:fillRect/>
        </a:stretch>
      </xdr:blipFill>
      <xdr:spPr>
        <a:xfrm>
          <a:off x="2628900" y="12239625"/>
          <a:ext cx="3896269" cy="23625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34</xdr:row>
      <xdr:rowOff>152400</xdr:rowOff>
    </xdr:from>
    <xdr:to>
      <xdr:col>9</xdr:col>
      <xdr:colOff>409575</xdr:colOff>
      <xdr:row>64</xdr:row>
      <xdr:rowOff>152400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9525" y="7534275"/>
          <a:ext cx="8534400" cy="5715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8</xdr:col>
      <xdr:colOff>509258</xdr:colOff>
      <xdr:row>57</xdr:row>
      <xdr:rowOff>83936</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244505" y="9015743"/>
          <a:ext cx="5686708" cy="27245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10242</xdr:colOff>
      <xdr:row>33</xdr:row>
      <xdr:rowOff>40969</xdr:rowOff>
    </xdr:from>
    <xdr:to>
      <xdr:col>12</xdr:col>
      <xdr:colOff>399435</xdr:colOff>
      <xdr:row>44</xdr:row>
      <xdr:rowOff>174113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2788" t="39119" r="28214" b="30092"/>
        <a:stretch/>
      </xdr:blipFill>
      <xdr:spPr>
        <a:xfrm>
          <a:off x="5080000" y="6831372"/>
          <a:ext cx="5499919" cy="227370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47625</xdr:colOff>
      <xdr:row>39</xdr:row>
      <xdr:rowOff>180975</xdr:rowOff>
    </xdr:from>
    <xdr:to>
      <xdr:col>10</xdr:col>
      <xdr:colOff>162717</xdr:colOff>
      <xdr:row>50</xdr:row>
      <xdr:rowOff>47899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3343275" y="7991475"/>
          <a:ext cx="5677692" cy="19624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190500</xdr:colOff>
      <xdr:row>32</xdr:row>
      <xdr:rowOff>0</xdr:rowOff>
    </xdr:from>
    <xdr:to>
      <xdr:col>12</xdr:col>
      <xdr:colOff>381000</xdr:colOff>
      <xdr:row>62</xdr:row>
      <xdr:rowOff>66675</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3581400" y="6619875"/>
          <a:ext cx="6800850" cy="5781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34</xdr:row>
      <xdr:rowOff>0</xdr:rowOff>
    </xdr:from>
    <xdr:to>
      <xdr:col>11</xdr:col>
      <xdr:colOff>266700</xdr:colOff>
      <xdr:row>71</xdr:row>
      <xdr:rowOff>152400</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7000875"/>
          <a:ext cx="9991725" cy="72009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390525</xdr:colOff>
      <xdr:row>35</xdr:row>
      <xdr:rowOff>9525</xdr:rowOff>
    </xdr:from>
    <xdr:to>
      <xdr:col>8</xdr:col>
      <xdr:colOff>295275</xdr:colOff>
      <xdr:row>45</xdr:row>
      <xdr:rowOff>133633</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3219450" y="7343775"/>
          <a:ext cx="4876800" cy="20291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657226</xdr:colOff>
      <xdr:row>32</xdr:row>
      <xdr:rowOff>0</xdr:rowOff>
    </xdr:from>
    <xdr:to>
      <xdr:col>10</xdr:col>
      <xdr:colOff>247650</xdr:colOff>
      <xdr:row>47</xdr:row>
      <xdr:rowOff>181399</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3390901" y="6905625"/>
          <a:ext cx="6200774" cy="3038899"/>
        </a:xfrm>
        <a:prstGeom prst="rect">
          <a:avLst/>
        </a:prstGeom>
      </xdr:spPr>
    </xdr:pic>
    <xdr:clientData/>
  </xdr:twoCellAnchor>
  <xdr:twoCellAnchor editAs="oneCell">
    <xdr:from>
      <xdr:col>3</xdr:col>
      <xdr:colOff>0</xdr:colOff>
      <xdr:row>49</xdr:row>
      <xdr:rowOff>0</xdr:rowOff>
    </xdr:from>
    <xdr:to>
      <xdr:col>9</xdr:col>
      <xdr:colOff>391303</xdr:colOff>
      <xdr:row>59</xdr:row>
      <xdr:rowOff>9792</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409950" y="10144125"/>
          <a:ext cx="5572903" cy="1914792"/>
        </a:xfrm>
        <a:prstGeom prst="rect">
          <a:avLst/>
        </a:prstGeom>
      </xdr:spPr>
    </xdr:pic>
    <xdr:clientData/>
  </xdr:twoCellAnchor>
  <xdr:twoCellAnchor editAs="oneCell">
    <xdr:from>
      <xdr:col>3</xdr:col>
      <xdr:colOff>0</xdr:colOff>
      <xdr:row>59</xdr:row>
      <xdr:rowOff>0</xdr:rowOff>
    </xdr:from>
    <xdr:to>
      <xdr:col>12</xdr:col>
      <xdr:colOff>467798</xdr:colOff>
      <xdr:row>73</xdr:row>
      <xdr:rowOff>114688</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xfrm>
          <a:off x="3409950" y="12049125"/>
          <a:ext cx="7687748" cy="27816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371475</xdr:colOff>
      <xdr:row>38</xdr:row>
      <xdr:rowOff>28575</xdr:rowOff>
    </xdr:from>
    <xdr:to>
      <xdr:col>12</xdr:col>
      <xdr:colOff>239246</xdr:colOff>
      <xdr:row>65</xdr:row>
      <xdr:rowOff>181714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2552700" y="8172450"/>
          <a:ext cx="8030696" cy="529663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2190750</xdr:colOff>
      <xdr:row>55</xdr:row>
      <xdr:rowOff>85725</xdr:rowOff>
    </xdr:from>
    <xdr:to>
      <xdr:col>10</xdr:col>
      <xdr:colOff>657225</xdr:colOff>
      <xdr:row>82</xdr:row>
      <xdr:rowOff>9525</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2190750" y="11229975"/>
          <a:ext cx="7943850" cy="5067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7</xdr:col>
      <xdr:colOff>590550</xdr:colOff>
      <xdr:row>60</xdr:row>
      <xdr:rowOff>28575</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7191375"/>
          <a:ext cx="7353300" cy="51720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790575</xdr:colOff>
      <xdr:row>45</xdr:row>
      <xdr:rowOff>152400</xdr:rowOff>
    </xdr:from>
    <xdr:to>
      <xdr:col>7</xdr:col>
      <xdr:colOff>695325</xdr:colOff>
      <xdr:row>69</xdr:row>
      <xdr:rowOff>57775</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790575" y="9629775"/>
          <a:ext cx="6905625" cy="4477375"/>
        </a:xfrm>
        <a:prstGeom prst="rect">
          <a:avLst/>
        </a:prstGeom>
      </xdr:spPr>
    </xdr:pic>
    <xdr:clientData/>
  </xdr:twoCellAnchor>
  <xdr:twoCellAnchor editAs="oneCell">
    <xdr:from>
      <xdr:col>0</xdr:col>
      <xdr:colOff>0</xdr:colOff>
      <xdr:row>79</xdr:row>
      <xdr:rowOff>0</xdr:rowOff>
    </xdr:from>
    <xdr:to>
      <xdr:col>7</xdr:col>
      <xdr:colOff>619125</xdr:colOff>
      <xdr:row>117</xdr:row>
      <xdr:rowOff>114300</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a:stretch>
          <a:fillRect/>
        </a:stretch>
      </xdr:blipFill>
      <xdr:spPr>
        <a:xfrm>
          <a:off x="0" y="15954375"/>
          <a:ext cx="7620000" cy="7353300"/>
        </a:xfrm>
        <a:prstGeom prst="rect">
          <a:avLst/>
        </a:prstGeom>
      </xdr:spPr>
    </xdr:pic>
    <xdr:clientData/>
  </xdr:twoCellAnchor>
  <xdr:twoCellAnchor editAs="oneCell">
    <xdr:from>
      <xdr:col>0</xdr:col>
      <xdr:colOff>66675</xdr:colOff>
      <xdr:row>117</xdr:row>
      <xdr:rowOff>85725</xdr:rowOff>
    </xdr:from>
    <xdr:to>
      <xdr:col>7</xdr:col>
      <xdr:colOff>771525</xdr:colOff>
      <xdr:row>149</xdr:row>
      <xdr:rowOff>142875</xdr:rowOff>
    </xdr:to>
    <xdr:pic>
      <xdr:nvPicPr>
        <xdr:cNvPr id="4" name="Picture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3"/>
        <a:stretch>
          <a:fillRect/>
        </a:stretch>
      </xdr:blipFill>
      <xdr:spPr>
        <a:xfrm>
          <a:off x="66675" y="23279100"/>
          <a:ext cx="7705725" cy="61531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7</xdr:col>
      <xdr:colOff>588623</xdr:colOff>
      <xdr:row>48</xdr:row>
      <xdr:rowOff>96362</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7641404"/>
          <a:ext cx="6271516" cy="2600688"/>
        </a:xfrm>
        <a:prstGeom prst="rect">
          <a:avLst/>
        </a:prstGeom>
      </xdr:spPr>
    </xdr:pic>
    <xdr:clientData/>
  </xdr:twoCellAnchor>
  <xdr:twoCellAnchor editAs="oneCell">
    <xdr:from>
      <xdr:col>0</xdr:col>
      <xdr:colOff>0</xdr:colOff>
      <xdr:row>48</xdr:row>
      <xdr:rowOff>85618</xdr:rowOff>
    </xdr:from>
    <xdr:to>
      <xdr:col>8</xdr:col>
      <xdr:colOff>181939</xdr:colOff>
      <xdr:row>57</xdr:row>
      <xdr:rowOff>38014</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0" y="10231348"/>
          <a:ext cx="6474860" cy="16861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581025</xdr:colOff>
      <xdr:row>29</xdr:row>
      <xdr:rowOff>95250</xdr:rowOff>
    </xdr:from>
    <xdr:to>
      <xdr:col>10</xdr:col>
      <xdr:colOff>638175</xdr:colOff>
      <xdr:row>54</xdr:row>
      <xdr:rowOff>142875</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2733675" y="6524625"/>
          <a:ext cx="7429500" cy="48101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10</xdr:col>
      <xdr:colOff>486734</xdr:colOff>
      <xdr:row>46</xdr:row>
      <xdr:rowOff>152634</xdr:rowOff>
    </xdr:to>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2095500" y="8143875"/>
          <a:ext cx="6868484" cy="1676634"/>
        </a:xfrm>
        <a:prstGeom prst="rect">
          <a:avLst/>
        </a:prstGeom>
      </xdr:spPr>
    </xdr:pic>
    <xdr:clientData/>
  </xdr:twoCellAnchor>
  <xdr:twoCellAnchor editAs="oneCell">
    <xdr:from>
      <xdr:col>0</xdr:col>
      <xdr:colOff>2085975</xdr:colOff>
      <xdr:row>46</xdr:row>
      <xdr:rowOff>171450</xdr:rowOff>
    </xdr:from>
    <xdr:to>
      <xdr:col>10</xdr:col>
      <xdr:colOff>505788</xdr:colOff>
      <xdr:row>63</xdr:row>
      <xdr:rowOff>133797</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2"/>
        <a:stretch>
          <a:fillRect/>
        </a:stretch>
      </xdr:blipFill>
      <xdr:spPr>
        <a:xfrm>
          <a:off x="2085975" y="9839325"/>
          <a:ext cx="6897063" cy="320084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0</xdr:colOff>
      <xdr:row>30</xdr:row>
      <xdr:rowOff>57149</xdr:rowOff>
    </xdr:from>
    <xdr:to>
      <xdr:col>10</xdr:col>
      <xdr:colOff>285750</xdr:colOff>
      <xdr:row>51</xdr:row>
      <xdr:rowOff>9524</xdr:rowOff>
    </xdr:to>
    <xdr:pic>
      <xdr:nvPicPr>
        <xdr:cNvPr id="2" name="Picture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2762250" y="6677024"/>
          <a:ext cx="6419850" cy="39528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123825</xdr:colOff>
      <xdr:row>43</xdr:row>
      <xdr:rowOff>161925</xdr:rowOff>
    </xdr:from>
    <xdr:to>
      <xdr:col>10</xdr:col>
      <xdr:colOff>363236</xdr:colOff>
      <xdr:row>53</xdr:row>
      <xdr:rowOff>114559</xdr:rowOff>
    </xdr:to>
    <xdr:pic>
      <xdr:nvPicPr>
        <xdr:cNvPr id="2" name="Picture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123825" y="9020175"/>
          <a:ext cx="9211961" cy="185763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9</xdr:col>
      <xdr:colOff>124927</xdr:colOff>
      <xdr:row>47</xdr:row>
      <xdr:rowOff>57424</xdr:rowOff>
    </xdr:to>
    <xdr:pic>
      <xdr:nvPicPr>
        <xdr:cNvPr id="2" name="Pictur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7667625"/>
          <a:ext cx="7897327" cy="1962424"/>
        </a:xfrm>
        <a:prstGeom prst="rect">
          <a:avLst/>
        </a:prstGeom>
      </xdr:spPr>
    </xdr:pic>
    <xdr:clientData/>
  </xdr:twoCellAnchor>
  <xdr:twoCellAnchor editAs="oneCell">
    <xdr:from>
      <xdr:col>0</xdr:col>
      <xdr:colOff>0</xdr:colOff>
      <xdr:row>47</xdr:row>
      <xdr:rowOff>38100</xdr:rowOff>
    </xdr:from>
    <xdr:to>
      <xdr:col>9</xdr:col>
      <xdr:colOff>134453</xdr:colOff>
      <xdr:row>50</xdr:row>
      <xdr:rowOff>28653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2"/>
        <a:stretch>
          <a:fillRect/>
        </a:stretch>
      </xdr:blipFill>
      <xdr:spPr>
        <a:xfrm>
          <a:off x="0" y="9610725"/>
          <a:ext cx="7906853" cy="56205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3</xdr:col>
      <xdr:colOff>352425</xdr:colOff>
      <xdr:row>42</xdr:row>
      <xdr:rowOff>95609</xdr:rowOff>
    </xdr:to>
    <xdr:pic>
      <xdr:nvPicPr>
        <xdr:cNvPr id="2" name="Picture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0" y="6429375"/>
          <a:ext cx="3705225" cy="257210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11</xdr:col>
      <xdr:colOff>95249</xdr:colOff>
      <xdr:row>54</xdr:row>
      <xdr:rowOff>123825</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7334250"/>
          <a:ext cx="9915524" cy="37433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352425</xdr:colOff>
      <xdr:row>33</xdr:row>
      <xdr:rowOff>114300</xdr:rowOff>
    </xdr:from>
    <xdr:to>
      <xdr:col>7</xdr:col>
      <xdr:colOff>161925</xdr:colOff>
      <xdr:row>41</xdr:row>
      <xdr:rowOff>57150</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3476625" y="7067550"/>
          <a:ext cx="3924300" cy="14668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1409700</xdr:colOff>
      <xdr:row>38</xdr:row>
      <xdr:rowOff>47625</xdr:rowOff>
    </xdr:from>
    <xdr:to>
      <xdr:col>12</xdr:col>
      <xdr:colOff>533400</xdr:colOff>
      <xdr:row>72</xdr:row>
      <xdr:rowOff>9525</xdr:rowOff>
    </xdr:to>
    <xdr:pic>
      <xdr:nvPicPr>
        <xdr:cNvPr id="2" name="Picture 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1409700" y="8096250"/>
          <a:ext cx="8715375" cy="6438900"/>
        </a:xfrm>
        <a:prstGeom prst="rect">
          <a:avLst/>
        </a:prstGeom>
      </xdr:spPr>
    </xdr:pic>
    <xdr:clientData/>
  </xdr:twoCellAnchor>
  <xdr:twoCellAnchor editAs="oneCell">
    <xdr:from>
      <xdr:col>0</xdr:col>
      <xdr:colOff>1409699</xdr:colOff>
      <xdr:row>73</xdr:row>
      <xdr:rowOff>9525</xdr:rowOff>
    </xdr:from>
    <xdr:to>
      <xdr:col>12</xdr:col>
      <xdr:colOff>533399</xdr:colOff>
      <xdr:row>106</xdr:row>
      <xdr:rowOff>0</xdr:rowOff>
    </xdr:to>
    <xdr:pic>
      <xdr:nvPicPr>
        <xdr:cNvPr id="3" name="Picture 2">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2"/>
        <a:stretch>
          <a:fillRect/>
        </a:stretch>
      </xdr:blipFill>
      <xdr:spPr>
        <a:xfrm>
          <a:off x="1409699" y="14725650"/>
          <a:ext cx="8715375" cy="62769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9</xdr:col>
      <xdr:colOff>506021</xdr:colOff>
      <xdr:row>45</xdr:row>
      <xdr:rowOff>133767</xdr:rowOff>
    </xdr:to>
    <xdr:pic>
      <xdr:nvPicPr>
        <xdr:cNvPr id="2" name="Picture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0" y="6619875"/>
          <a:ext cx="8573696" cy="2991267"/>
        </a:xfrm>
        <a:prstGeom prst="rect">
          <a:avLst/>
        </a:prstGeom>
      </xdr:spPr>
    </xdr:pic>
    <xdr:clientData/>
  </xdr:twoCellAnchor>
  <xdr:twoCellAnchor editAs="oneCell">
    <xdr:from>
      <xdr:col>0</xdr:col>
      <xdr:colOff>19050</xdr:colOff>
      <xdr:row>45</xdr:row>
      <xdr:rowOff>95249</xdr:rowOff>
    </xdr:from>
    <xdr:to>
      <xdr:col>9</xdr:col>
      <xdr:colOff>552450</xdr:colOff>
      <xdr:row>77</xdr:row>
      <xdr:rowOff>9524</xdr:rowOff>
    </xdr:to>
    <xdr:pic>
      <xdr:nvPicPr>
        <xdr:cNvPr id="3" name="Picture 2">
          <a:extLst>
            <a:ext uri="{FF2B5EF4-FFF2-40B4-BE49-F238E27FC236}">
              <a16:creationId xmlns:a16="http://schemas.microsoft.com/office/drawing/2014/main" id="{00000000-0008-0000-3700-000003000000}"/>
            </a:ext>
          </a:extLst>
        </xdr:cNvPr>
        <xdr:cNvPicPr>
          <a:picLocks noChangeAspect="1"/>
        </xdr:cNvPicPr>
      </xdr:nvPicPr>
      <xdr:blipFill>
        <a:blip xmlns:r="http://schemas.openxmlformats.org/officeDocument/2006/relationships" r:embed="rId2"/>
        <a:stretch>
          <a:fillRect/>
        </a:stretch>
      </xdr:blipFill>
      <xdr:spPr>
        <a:xfrm>
          <a:off x="19050" y="9572624"/>
          <a:ext cx="8601075" cy="6010275"/>
        </a:xfrm>
        <a:prstGeom prst="rect">
          <a:avLst/>
        </a:prstGeom>
      </xdr:spPr>
    </xdr:pic>
    <xdr:clientData/>
  </xdr:twoCellAnchor>
  <xdr:twoCellAnchor editAs="oneCell">
    <xdr:from>
      <xdr:col>0</xdr:col>
      <xdr:colOff>0</xdr:colOff>
      <xdr:row>77</xdr:row>
      <xdr:rowOff>0</xdr:rowOff>
    </xdr:from>
    <xdr:to>
      <xdr:col>9</xdr:col>
      <xdr:colOff>476249</xdr:colOff>
      <xdr:row>98</xdr:row>
      <xdr:rowOff>38100</xdr:rowOff>
    </xdr:to>
    <xdr:pic>
      <xdr:nvPicPr>
        <xdr:cNvPr id="4" name="Picture 3">
          <a:extLst>
            <a:ext uri="{FF2B5EF4-FFF2-40B4-BE49-F238E27FC236}">
              <a16:creationId xmlns:a16="http://schemas.microsoft.com/office/drawing/2014/main" id="{00000000-0008-0000-3700-000004000000}"/>
            </a:ext>
          </a:extLst>
        </xdr:cNvPr>
        <xdr:cNvPicPr>
          <a:picLocks noChangeAspect="1"/>
        </xdr:cNvPicPr>
      </xdr:nvPicPr>
      <xdr:blipFill>
        <a:blip xmlns:r="http://schemas.openxmlformats.org/officeDocument/2006/relationships" r:embed="rId3"/>
        <a:stretch>
          <a:fillRect/>
        </a:stretch>
      </xdr:blipFill>
      <xdr:spPr>
        <a:xfrm>
          <a:off x="0" y="15573375"/>
          <a:ext cx="8543924" cy="40386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7</xdr:col>
      <xdr:colOff>466725</xdr:colOff>
      <xdr:row>55</xdr:row>
      <xdr:rowOff>57150</xdr:rowOff>
    </xdr:to>
    <xdr:pic>
      <xdr:nvPicPr>
        <xdr:cNvPr id="2" name="Picture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0" y="7000875"/>
          <a:ext cx="7096125" cy="44386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8</xdr:col>
      <xdr:colOff>477298</xdr:colOff>
      <xdr:row>49</xdr:row>
      <xdr:rowOff>114927</xdr:rowOff>
    </xdr:to>
    <xdr:pic>
      <xdr:nvPicPr>
        <xdr:cNvPr id="3" name="Picture 2">
          <a:extLst>
            <a:ext uri="{FF2B5EF4-FFF2-40B4-BE49-F238E27FC236}">
              <a16:creationId xmlns:a16="http://schemas.microsoft.com/office/drawing/2014/main" id="{00000000-0008-0000-4100-000003000000}"/>
            </a:ext>
          </a:extLst>
        </xdr:cNvPr>
        <xdr:cNvPicPr>
          <a:picLocks noChangeAspect="1"/>
        </xdr:cNvPicPr>
      </xdr:nvPicPr>
      <xdr:blipFill>
        <a:blip xmlns:r="http://schemas.openxmlformats.org/officeDocument/2006/relationships" r:embed="rId1"/>
        <a:stretch>
          <a:fillRect/>
        </a:stretch>
      </xdr:blipFill>
      <xdr:spPr>
        <a:xfrm>
          <a:off x="0" y="5857875"/>
          <a:ext cx="7506748" cy="4496427"/>
        </a:xfrm>
        <a:prstGeom prst="rect">
          <a:avLst/>
        </a:prstGeom>
      </xdr:spPr>
    </xdr:pic>
    <xdr:clientData/>
  </xdr:twoCellAnchor>
  <xdr:twoCellAnchor editAs="oneCell">
    <xdr:from>
      <xdr:col>0</xdr:col>
      <xdr:colOff>0</xdr:colOff>
      <xdr:row>50</xdr:row>
      <xdr:rowOff>0</xdr:rowOff>
    </xdr:from>
    <xdr:to>
      <xdr:col>7</xdr:col>
      <xdr:colOff>847725</xdr:colOff>
      <xdr:row>74</xdr:row>
      <xdr:rowOff>10164</xdr:rowOff>
    </xdr:to>
    <xdr:pic>
      <xdr:nvPicPr>
        <xdr:cNvPr id="4" name="Picture 3">
          <a:extLst>
            <a:ext uri="{FF2B5EF4-FFF2-40B4-BE49-F238E27FC236}">
              <a16:creationId xmlns:a16="http://schemas.microsoft.com/office/drawing/2014/main" id="{00000000-0008-0000-4100-000004000000}"/>
            </a:ext>
          </a:extLst>
        </xdr:cNvPr>
        <xdr:cNvPicPr>
          <a:picLocks noChangeAspect="1"/>
        </xdr:cNvPicPr>
      </xdr:nvPicPr>
      <xdr:blipFill>
        <a:blip xmlns:r="http://schemas.openxmlformats.org/officeDocument/2006/relationships" r:embed="rId2"/>
        <a:stretch>
          <a:fillRect/>
        </a:stretch>
      </xdr:blipFill>
      <xdr:spPr>
        <a:xfrm>
          <a:off x="0" y="10429875"/>
          <a:ext cx="6991350" cy="458216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31</xdr:row>
      <xdr:rowOff>114300</xdr:rowOff>
    </xdr:from>
    <xdr:to>
      <xdr:col>8</xdr:col>
      <xdr:colOff>523875</xdr:colOff>
      <xdr:row>62</xdr:row>
      <xdr:rowOff>152400</xdr:rowOff>
    </xdr:to>
    <xdr:pic>
      <xdr:nvPicPr>
        <xdr:cNvPr id="2" name="Picture 1">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a:stretch>
          <a:fillRect/>
        </a:stretch>
      </xdr:blipFill>
      <xdr:spPr>
        <a:xfrm>
          <a:off x="0" y="6924675"/>
          <a:ext cx="7486650" cy="59436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xdr:colOff>
      <xdr:row>29</xdr:row>
      <xdr:rowOff>28575</xdr:rowOff>
    </xdr:from>
    <xdr:to>
      <xdr:col>13</xdr:col>
      <xdr:colOff>19050</xdr:colOff>
      <xdr:row>61</xdr:row>
      <xdr:rowOff>38100</xdr:rowOff>
    </xdr:to>
    <xdr:pic>
      <xdr:nvPicPr>
        <xdr:cNvPr id="3" name="Picture 2">
          <a:extLst>
            <a:ext uri="{FF2B5EF4-FFF2-40B4-BE49-F238E27FC236}">
              <a16:creationId xmlns:a16="http://schemas.microsoft.com/office/drawing/2014/main" id="{00000000-0008-0000-4400-000003000000}"/>
            </a:ext>
          </a:extLst>
        </xdr:cNvPr>
        <xdr:cNvPicPr>
          <a:picLocks noChangeAspect="1"/>
        </xdr:cNvPicPr>
      </xdr:nvPicPr>
      <xdr:blipFill>
        <a:blip xmlns:r="http://schemas.openxmlformats.org/officeDocument/2006/relationships" r:embed="rId1"/>
        <a:stretch>
          <a:fillRect/>
        </a:stretch>
      </xdr:blipFill>
      <xdr:spPr>
        <a:xfrm>
          <a:off x="9525" y="6457950"/>
          <a:ext cx="10153650" cy="6105525"/>
        </a:xfrm>
        <a:prstGeom prst="rect">
          <a:avLst/>
        </a:prstGeom>
      </xdr:spPr>
    </xdr:pic>
    <xdr:clientData/>
  </xdr:twoCellAnchor>
  <xdr:twoCellAnchor editAs="oneCell">
    <xdr:from>
      <xdr:col>0</xdr:col>
      <xdr:colOff>47625</xdr:colOff>
      <xdr:row>61</xdr:row>
      <xdr:rowOff>123825</xdr:rowOff>
    </xdr:from>
    <xdr:to>
      <xdr:col>8</xdr:col>
      <xdr:colOff>247650</xdr:colOff>
      <xdr:row>74</xdr:row>
      <xdr:rowOff>104775</xdr:rowOff>
    </xdr:to>
    <xdr:pic>
      <xdr:nvPicPr>
        <xdr:cNvPr id="4" name="Picture 3">
          <a:extLst>
            <a:ext uri="{FF2B5EF4-FFF2-40B4-BE49-F238E27FC236}">
              <a16:creationId xmlns:a16="http://schemas.microsoft.com/office/drawing/2014/main" id="{00000000-0008-0000-4400-000004000000}"/>
            </a:ext>
          </a:extLst>
        </xdr:cNvPr>
        <xdr:cNvPicPr>
          <a:picLocks noChangeAspect="1"/>
        </xdr:cNvPicPr>
      </xdr:nvPicPr>
      <xdr:blipFill>
        <a:blip xmlns:r="http://schemas.openxmlformats.org/officeDocument/2006/relationships" r:embed="rId2"/>
        <a:stretch>
          <a:fillRect/>
        </a:stretch>
      </xdr:blipFill>
      <xdr:spPr>
        <a:xfrm>
          <a:off x="47625" y="12649200"/>
          <a:ext cx="7296150" cy="24574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7</xdr:col>
      <xdr:colOff>533400</xdr:colOff>
      <xdr:row>67</xdr:row>
      <xdr:rowOff>38100</xdr:rowOff>
    </xdr:to>
    <xdr:pic>
      <xdr:nvPicPr>
        <xdr:cNvPr id="2" name="Picture 1">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a:stretch>
          <a:fillRect/>
        </a:stretch>
      </xdr:blipFill>
      <xdr:spPr>
        <a:xfrm>
          <a:off x="0" y="7239000"/>
          <a:ext cx="6896100" cy="68961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1571625</xdr:colOff>
      <xdr:row>29</xdr:row>
      <xdr:rowOff>19050</xdr:rowOff>
    </xdr:from>
    <xdr:to>
      <xdr:col>11</xdr:col>
      <xdr:colOff>85725</xdr:colOff>
      <xdr:row>48</xdr:row>
      <xdr:rowOff>162450</xdr:rowOff>
    </xdr:to>
    <xdr:pic>
      <xdr:nvPicPr>
        <xdr:cNvPr id="2" name="Picture 1">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a:stretch>
          <a:fillRect/>
        </a:stretch>
      </xdr:blipFill>
      <xdr:spPr>
        <a:xfrm>
          <a:off x="1571625" y="6448425"/>
          <a:ext cx="7715250" cy="37629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457200</xdr:colOff>
      <xdr:row>32</xdr:row>
      <xdr:rowOff>76200</xdr:rowOff>
    </xdr:from>
    <xdr:to>
      <xdr:col>11</xdr:col>
      <xdr:colOff>295275</xdr:colOff>
      <xdr:row>44</xdr:row>
      <xdr:rowOff>105098</xdr:rowOff>
    </xdr:to>
    <xdr:pic>
      <xdr:nvPicPr>
        <xdr:cNvPr id="2" name="Picture 1">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a:stretch>
          <a:fillRect/>
        </a:stretch>
      </xdr:blipFill>
      <xdr:spPr>
        <a:xfrm>
          <a:off x="3209925" y="7077075"/>
          <a:ext cx="6429375" cy="231489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10</xdr:col>
      <xdr:colOff>257175</xdr:colOff>
      <xdr:row>46</xdr:row>
      <xdr:rowOff>181133</xdr:rowOff>
    </xdr:to>
    <xdr:pic>
      <xdr:nvPicPr>
        <xdr:cNvPr id="2" name="Picture 1">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a:stretch>
          <a:fillRect/>
        </a:stretch>
      </xdr:blipFill>
      <xdr:spPr>
        <a:xfrm>
          <a:off x="2676525" y="8715375"/>
          <a:ext cx="6877050" cy="1133633"/>
        </a:xfrm>
        <a:prstGeom prst="rect">
          <a:avLst/>
        </a:prstGeom>
      </xdr:spPr>
    </xdr:pic>
    <xdr:clientData/>
  </xdr:twoCellAnchor>
  <xdr:twoCellAnchor editAs="oneCell">
    <xdr:from>
      <xdr:col>1</xdr:col>
      <xdr:colOff>581026</xdr:colOff>
      <xdr:row>47</xdr:row>
      <xdr:rowOff>0</xdr:rowOff>
    </xdr:from>
    <xdr:to>
      <xdr:col>10</xdr:col>
      <xdr:colOff>296241</xdr:colOff>
      <xdr:row>49</xdr:row>
      <xdr:rowOff>142948</xdr:rowOff>
    </xdr:to>
    <xdr:pic>
      <xdr:nvPicPr>
        <xdr:cNvPr id="3" name="Picture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2"/>
        <a:stretch>
          <a:fillRect/>
        </a:stretch>
      </xdr:blipFill>
      <xdr:spPr>
        <a:xfrm>
          <a:off x="2647951" y="9858375"/>
          <a:ext cx="6944690" cy="52394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914400</xdr:colOff>
      <xdr:row>28</xdr:row>
      <xdr:rowOff>152400</xdr:rowOff>
    </xdr:from>
    <xdr:to>
      <xdr:col>11</xdr:col>
      <xdr:colOff>277471</xdr:colOff>
      <xdr:row>45</xdr:row>
      <xdr:rowOff>48062</xdr:rowOff>
    </xdr:to>
    <xdr:pic>
      <xdr:nvPicPr>
        <xdr:cNvPr id="2" name="Picture 1">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a:stretch>
          <a:fillRect/>
        </a:stretch>
      </xdr:blipFill>
      <xdr:spPr>
        <a:xfrm>
          <a:off x="914400" y="6391275"/>
          <a:ext cx="8926171" cy="3134162"/>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200025</xdr:colOff>
      <xdr:row>28</xdr:row>
      <xdr:rowOff>180975</xdr:rowOff>
    </xdr:from>
    <xdr:to>
      <xdr:col>7</xdr:col>
      <xdr:colOff>791284</xdr:colOff>
      <xdr:row>39</xdr:row>
      <xdr:rowOff>152688</xdr:rowOff>
    </xdr:to>
    <xdr:pic>
      <xdr:nvPicPr>
        <xdr:cNvPr id="2" name="Picture 1">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a:stretch>
          <a:fillRect/>
        </a:stretch>
      </xdr:blipFill>
      <xdr:spPr>
        <a:xfrm>
          <a:off x="2238375" y="6419850"/>
          <a:ext cx="5077534" cy="2067213"/>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361950</xdr:colOff>
      <xdr:row>31</xdr:row>
      <xdr:rowOff>9525</xdr:rowOff>
    </xdr:from>
    <xdr:to>
      <xdr:col>10</xdr:col>
      <xdr:colOff>600846</xdr:colOff>
      <xdr:row>41</xdr:row>
      <xdr:rowOff>9791</xdr:rowOff>
    </xdr:to>
    <xdr:pic>
      <xdr:nvPicPr>
        <xdr:cNvPr id="2" name="Picture 1">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1"/>
        <a:stretch>
          <a:fillRect/>
        </a:stretch>
      </xdr:blipFill>
      <xdr:spPr>
        <a:xfrm>
          <a:off x="3581400" y="6819900"/>
          <a:ext cx="5525271" cy="1905266"/>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0</xdr:colOff>
      <xdr:row>35</xdr:row>
      <xdr:rowOff>0</xdr:rowOff>
    </xdr:from>
    <xdr:to>
      <xdr:col>10</xdr:col>
      <xdr:colOff>276225</xdr:colOff>
      <xdr:row>42</xdr:row>
      <xdr:rowOff>76200</xdr:rowOff>
    </xdr:to>
    <xdr:pic>
      <xdr:nvPicPr>
        <xdr:cNvPr id="2" name="Picture 1">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1"/>
        <a:stretch>
          <a:fillRect/>
        </a:stretch>
      </xdr:blipFill>
      <xdr:spPr>
        <a:xfrm>
          <a:off x="3152775" y="7334250"/>
          <a:ext cx="5572125" cy="14097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542925</xdr:colOff>
      <xdr:row>29</xdr:row>
      <xdr:rowOff>66675</xdr:rowOff>
    </xdr:from>
    <xdr:to>
      <xdr:col>10</xdr:col>
      <xdr:colOff>686736</xdr:colOff>
      <xdr:row>42</xdr:row>
      <xdr:rowOff>9525</xdr:rowOff>
    </xdr:to>
    <xdr:pic>
      <xdr:nvPicPr>
        <xdr:cNvPr id="2" name="Picture 1">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1"/>
        <a:stretch>
          <a:fillRect/>
        </a:stretch>
      </xdr:blipFill>
      <xdr:spPr>
        <a:xfrm>
          <a:off x="2647950" y="6924675"/>
          <a:ext cx="6801786" cy="241935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0</xdr:colOff>
      <xdr:row>33</xdr:row>
      <xdr:rowOff>0</xdr:rowOff>
    </xdr:from>
    <xdr:to>
      <xdr:col>9</xdr:col>
      <xdr:colOff>333375</xdr:colOff>
      <xdr:row>42</xdr:row>
      <xdr:rowOff>171450</xdr:rowOff>
    </xdr:to>
    <xdr:pic>
      <xdr:nvPicPr>
        <xdr:cNvPr id="2" name="Picture 1">
          <a:extLst>
            <a:ext uri="{FF2B5EF4-FFF2-40B4-BE49-F238E27FC236}">
              <a16:creationId xmlns:a16="http://schemas.microsoft.com/office/drawing/2014/main" id="{00000000-0008-0000-5300-000002000000}"/>
            </a:ext>
          </a:extLst>
        </xdr:cNvPr>
        <xdr:cNvPicPr>
          <a:picLocks noChangeAspect="1"/>
        </xdr:cNvPicPr>
      </xdr:nvPicPr>
      <xdr:blipFill>
        <a:blip xmlns:r="http://schemas.openxmlformats.org/officeDocument/2006/relationships" r:embed="rId1"/>
        <a:stretch>
          <a:fillRect/>
        </a:stretch>
      </xdr:blipFill>
      <xdr:spPr>
        <a:xfrm>
          <a:off x="3181350" y="7191375"/>
          <a:ext cx="5086350" cy="188595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255763</xdr:colOff>
      <xdr:row>31</xdr:row>
      <xdr:rowOff>105833</xdr:rowOff>
    </xdr:from>
    <xdr:to>
      <xdr:col>12</xdr:col>
      <xdr:colOff>520347</xdr:colOff>
      <xdr:row>57</xdr:row>
      <xdr:rowOff>141111</xdr:rowOff>
    </xdr:to>
    <xdr:pic>
      <xdr:nvPicPr>
        <xdr:cNvPr id="2" name="Picture 1">
          <a:extLst>
            <a:ext uri="{FF2B5EF4-FFF2-40B4-BE49-F238E27FC236}">
              <a16:creationId xmlns:a16="http://schemas.microsoft.com/office/drawing/2014/main" id="{00000000-0008-0000-6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5336" t="18871" r="13153" b="7831"/>
        <a:stretch/>
      </xdr:blipFill>
      <xdr:spPr>
        <a:xfrm>
          <a:off x="3060346" y="6473472"/>
          <a:ext cx="7725834" cy="50800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6</xdr:col>
      <xdr:colOff>38938</xdr:colOff>
      <xdr:row>56</xdr:row>
      <xdr:rowOff>76875</xdr:rowOff>
    </xdr:to>
    <xdr:pic>
      <xdr:nvPicPr>
        <xdr:cNvPr id="2" name="Picture 1">
          <a:extLst>
            <a:ext uri="{FF2B5EF4-FFF2-40B4-BE49-F238E27FC236}">
              <a16:creationId xmlns:a16="http://schemas.microsoft.com/office/drawing/2014/main" id="{00000000-0008-0000-6700-000002000000}"/>
            </a:ext>
          </a:extLst>
        </xdr:cNvPr>
        <xdr:cNvPicPr>
          <a:picLocks noChangeAspect="1"/>
        </xdr:cNvPicPr>
      </xdr:nvPicPr>
      <xdr:blipFill>
        <a:blip xmlns:r="http://schemas.openxmlformats.org/officeDocument/2006/relationships" r:embed="rId1"/>
        <a:stretch>
          <a:fillRect/>
        </a:stretch>
      </xdr:blipFill>
      <xdr:spPr>
        <a:xfrm>
          <a:off x="0" y="6810375"/>
          <a:ext cx="6001588" cy="4839375"/>
        </a:xfrm>
        <a:prstGeom prst="rect">
          <a:avLst/>
        </a:prstGeom>
      </xdr:spPr>
    </xdr:pic>
    <xdr:clientData/>
  </xdr:twoCellAnchor>
  <xdr:twoCellAnchor editAs="oneCell">
    <xdr:from>
      <xdr:col>0</xdr:col>
      <xdr:colOff>0</xdr:colOff>
      <xdr:row>56</xdr:row>
      <xdr:rowOff>123824</xdr:rowOff>
    </xdr:from>
    <xdr:to>
      <xdr:col>6</xdr:col>
      <xdr:colOff>9524</xdr:colOff>
      <xdr:row>86</xdr:row>
      <xdr:rowOff>190499</xdr:rowOff>
    </xdr:to>
    <xdr:pic>
      <xdr:nvPicPr>
        <xdr:cNvPr id="3" name="Picture 2">
          <a:extLst>
            <a:ext uri="{FF2B5EF4-FFF2-40B4-BE49-F238E27FC236}">
              <a16:creationId xmlns:a16="http://schemas.microsoft.com/office/drawing/2014/main" id="{00000000-0008-0000-6700-000003000000}"/>
            </a:ext>
          </a:extLst>
        </xdr:cNvPr>
        <xdr:cNvPicPr>
          <a:picLocks noChangeAspect="1"/>
        </xdr:cNvPicPr>
      </xdr:nvPicPr>
      <xdr:blipFill>
        <a:blip xmlns:r="http://schemas.openxmlformats.org/officeDocument/2006/relationships" r:embed="rId2"/>
        <a:stretch>
          <a:fillRect/>
        </a:stretch>
      </xdr:blipFill>
      <xdr:spPr>
        <a:xfrm>
          <a:off x="0" y="11696699"/>
          <a:ext cx="5972174" cy="578167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7</xdr:col>
      <xdr:colOff>591482</xdr:colOff>
      <xdr:row>44</xdr:row>
      <xdr:rowOff>181452</xdr:rowOff>
    </xdr:to>
    <xdr:pic>
      <xdr:nvPicPr>
        <xdr:cNvPr id="2" name="Picture 1">
          <a:extLst>
            <a:ext uri="{FF2B5EF4-FFF2-40B4-BE49-F238E27FC236}">
              <a16:creationId xmlns:a16="http://schemas.microsoft.com/office/drawing/2014/main" id="{00000000-0008-0000-6D00-000002000000}"/>
            </a:ext>
          </a:extLst>
        </xdr:cNvPr>
        <xdr:cNvPicPr>
          <a:picLocks noChangeAspect="1"/>
        </xdr:cNvPicPr>
      </xdr:nvPicPr>
      <xdr:blipFill>
        <a:blip xmlns:r="http://schemas.openxmlformats.org/officeDocument/2006/relationships" r:embed="rId1"/>
        <a:stretch>
          <a:fillRect/>
        </a:stretch>
      </xdr:blipFill>
      <xdr:spPr>
        <a:xfrm>
          <a:off x="0" y="6048375"/>
          <a:ext cx="6677957" cy="3419952"/>
        </a:xfrm>
        <a:prstGeom prst="rect">
          <a:avLst/>
        </a:prstGeom>
      </xdr:spPr>
    </xdr:pic>
    <xdr:clientData/>
  </xdr:twoCellAnchor>
  <xdr:twoCellAnchor editAs="oneCell">
    <xdr:from>
      <xdr:col>0</xdr:col>
      <xdr:colOff>0</xdr:colOff>
      <xdr:row>46</xdr:row>
      <xdr:rowOff>0</xdr:rowOff>
    </xdr:from>
    <xdr:to>
      <xdr:col>7</xdr:col>
      <xdr:colOff>657225</xdr:colOff>
      <xdr:row>74</xdr:row>
      <xdr:rowOff>38850</xdr:rowOff>
    </xdr:to>
    <xdr:pic>
      <xdr:nvPicPr>
        <xdr:cNvPr id="3" name="Picture 2">
          <a:extLst>
            <a:ext uri="{FF2B5EF4-FFF2-40B4-BE49-F238E27FC236}">
              <a16:creationId xmlns:a16="http://schemas.microsoft.com/office/drawing/2014/main" id="{00000000-0008-0000-6D00-000003000000}"/>
            </a:ext>
          </a:extLst>
        </xdr:cNvPr>
        <xdr:cNvPicPr>
          <a:picLocks noChangeAspect="1"/>
        </xdr:cNvPicPr>
      </xdr:nvPicPr>
      <xdr:blipFill>
        <a:blip xmlns:r="http://schemas.openxmlformats.org/officeDocument/2006/relationships" r:embed="rId2"/>
        <a:stretch>
          <a:fillRect/>
        </a:stretch>
      </xdr:blipFill>
      <xdr:spPr>
        <a:xfrm>
          <a:off x="0" y="9667875"/>
          <a:ext cx="6743700" cy="537285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7</xdr:col>
      <xdr:colOff>648640</xdr:colOff>
      <xdr:row>52</xdr:row>
      <xdr:rowOff>153113</xdr:rowOff>
    </xdr:to>
    <xdr:pic>
      <xdr:nvPicPr>
        <xdr:cNvPr id="4" name="Picture 3">
          <a:extLst>
            <a:ext uri="{FF2B5EF4-FFF2-40B4-BE49-F238E27FC236}">
              <a16:creationId xmlns:a16="http://schemas.microsoft.com/office/drawing/2014/main" id="{00000000-0008-0000-6E00-000004000000}"/>
            </a:ext>
          </a:extLst>
        </xdr:cNvPr>
        <xdr:cNvPicPr>
          <a:picLocks noChangeAspect="1"/>
        </xdr:cNvPicPr>
      </xdr:nvPicPr>
      <xdr:blipFill>
        <a:blip xmlns:r="http://schemas.openxmlformats.org/officeDocument/2006/relationships" r:embed="rId1"/>
        <a:stretch>
          <a:fillRect/>
        </a:stretch>
      </xdr:blipFill>
      <xdr:spPr>
        <a:xfrm>
          <a:off x="0" y="5857875"/>
          <a:ext cx="6735115" cy="51061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4.bin"/></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15.bin"/></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0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0.bin"/></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B2:Y56"/>
  <sheetViews>
    <sheetView showGridLines="0" zoomScale="83" zoomScaleNormal="80" workbookViewId="0">
      <pane xSplit="2" ySplit="6" topLeftCell="I7" activePane="bottomRight" state="frozen"/>
      <selection pane="topRight" activeCell="C1" sqref="C1"/>
      <selection pane="bottomLeft" activeCell="A6" sqref="A6"/>
      <selection pane="bottomRight" activeCell="R1" sqref="R1"/>
    </sheetView>
  </sheetViews>
  <sheetFormatPr defaultRowHeight="15" x14ac:dyDescent="0.25"/>
  <cols>
    <col min="1" max="1" width="1.85546875" customWidth="1"/>
    <col min="2" max="2" width="36" customWidth="1"/>
    <col min="3" max="6" width="12.7109375" customWidth="1"/>
    <col min="7" max="23" width="15.7109375" customWidth="1"/>
  </cols>
  <sheetData>
    <row r="2" spans="2:25" ht="21" x14ac:dyDescent="0.35">
      <c r="C2" s="719" t="s">
        <v>717</v>
      </c>
      <c r="D2" s="719"/>
      <c r="E2" s="719"/>
      <c r="F2" s="719"/>
      <c r="G2" s="719"/>
      <c r="H2" s="719"/>
      <c r="I2" s="719"/>
      <c r="J2" s="719"/>
      <c r="K2" s="719"/>
      <c r="L2" s="719"/>
      <c r="M2" s="719"/>
      <c r="N2" s="719"/>
      <c r="O2" s="719"/>
      <c r="P2" s="719"/>
      <c r="Q2" s="719"/>
      <c r="R2" s="719"/>
      <c r="S2" s="719"/>
      <c r="T2" s="719"/>
      <c r="U2" s="719"/>
      <c r="V2" s="719"/>
      <c r="W2" s="719"/>
    </row>
    <row r="3" spans="2:25" ht="15.75" x14ac:dyDescent="0.25">
      <c r="C3" s="720" t="s">
        <v>697</v>
      </c>
      <c r="D3" s="720"/>
      <c r="E3" s="720"/>
      <c r="F3" s="720"/>
      <c r="G3" s="720" t="s">
        <v>153</v>
      </c>
      <c r="H3" s="720"/>
      <c r="I3" s="720"/>
      <c r="J3" s="720"/>
      <c r="K3" s="716" t="s">
        <v>154</v>
      </c>
      <c r="L3" s="717"/>
      <c r="M3" s="718"/>
      <c r="N3" s="720" t="s">
        <v>698</v>
      </c>
      <c r="O3" s="720"/>
      <c r="P3" s="720"/>
      <c r="Q3" s="720"/>
      <c r="R3" s="720"/>
      <c r="S3" s="720"/>
      <c r="T3" s="720" t="s">
        <v>182</v>
      </c>
      <c r="U3" s="720"/>
      <c r="V3" s="720"/>
      <c r="W3" s="720"/>
      <c r="X3" s="602"/>
      <c r="Y3" s="602"/>
    </row>
    <row r="4" spans="2:25" x14ac:dyDescent="0.25">
      <c r="B4" s="812"/>
      <c r="C4" s="561" t="str">
        <f>'IKF Finance'!C3</f>
        <v>FY23</v>
      </c>
      <c r="D4" s="561" t="str">
        <f>'IKF Finance'!D3</f>
        <v>FY24</v>
      </c>
      <c r="E4" s="561" t="str">
        <f>'IKF Finance'!E3</f>
        <v>FY25</v>
      </c>
      <c r="F4" s="561" t="str">
        <f>'IKF Finance'!F3</f>
        <v>FY26</v>
      </c>
      <c r="G4" s="561" t="s">
        <v>495</v>
      </c>
      <c r="H4" s="561" t="s">
        <v>556</v>
      </c>
      <c r="I4" s="561" t="s">
        <v>571</v>
      </c>
      <c r="J4" s="561" t="s">
        <v>572</v>
      </c>
      <c r="K4" s="561" t="s">
        <v>367</v>
      </c>
      <c r="L4" s="561" t="s">
        <v>368</v>
      </c>
      <c r="M4" s="561" t="s">
        <v>693</v>
      </c>
      <c r="N4" s="561" t="s">
        <v>45</v>
      </c>
      <c r="O4" s="561" t="s">
        <v>42</v>
      </c>
      <c r="P4" s="561" t="s">
        <v>366</v>
      </c>
      <c r="Q4" s="561" t="s">
        <v>367</v>
      </c>
      <c r="R4" s="561" t="s">
        <v>368</v>
      </c>
      <c r="S4" s="561" t="s">
        <v>693</v>
      </c>
      <c r="T4" s="561" t="s">
        <v>366</v>
      </c>
      <c r="U4" s="561" t="s">
        <v>367</v>
      </c>
      <c r="V4" s="561" t="s">
        <v>368</v>
      </c>
      <c r="W4" s="561" t="s">
        <v>693</v>
      </c>
    </row>
    <row r="5" spans="2:25" x14ac:dyDescent="0.25">
      <c r="B5" s="580" t="s">
        <v>4</v>
      </c>
      <c r="C5" s="561" t="str">
        <f>'IKF Finance'!C4</f>
        <v>Aud</v>
      </c>
      <c r="D5" s="561" t="str">
        <f>'IKF Finance'!D4</f>
        <v>Aud</v>
      </c>
      <c r="E5" s="561" t="str">
        <f>'IKF Finance'!E4</f>
        <v>Aud</v>
      </c>
      <c r="F5" s="561" t="str">
        <f>'IKF Finance'!F4</f>
        <v>Aud</v>
      </c>
      <c r="G5" s="563" t="s">
        <v>46</v>
      </c>
      <c r="H5" s="563"/>
      <c r="I5" s="563"/>
      <c r="J5" s="563" t="s">
        <v>46</v>
      </c>
      <c r="K5" s="563" t="s">
        <v>46</v>
      </c>
      <c r="L5" s="563" t="s">
        <v>46</v>
      </c>
      <c r="M5" s="563" t="s">
        <v>46</v>
      </c>
      <c r="N5" s="563" t="s">
        <v>46</v>
      </c>
      <c r="O5" s="563" t="s">
        <v>46</v>
      </c>
      <c r="P5" s="563" t="s">
        <v>46</v>
      </c>
      <c r="Q5" s="563" t="s">
        <v>46</v>
      </c>
      <c r="R5" s="563" t="s">
        <v>46</v>
      </c>
      <c r="S5" s="563" t="s">
        <v>46</v>
      </c>
      <c r="T5" s="563" t="s">
        <v>46</v>
      </c>
      <c r="U5" s="563" t="s">
        <v>46</v>
      </c>
      <c r="V5" s="563" t="s">
        <v>46</v>
      </c>
      <c r="W5" s="563" t="s">
        <v>46</v>
      </c>
    </row>
    <row r="6" spans="2:25" ht="15" customHeight="1" x14ac:dyDescent="0.25">
      <c r="B6" s="582"/>
      <c r="C6" s="813" t="s">
        <v>111</v>
      </c>
      <c r="D6" s="814"/>
      <c r="E6" s="814"/>
      <c r="F6" s="815"/>
      <c r="G6" s="816" t="s">
        <v>111</v>
      </c>
      <c r="H6" s="816"/>
      <c r="I6" s="816"/>
      <c r="J6" s="816"/>
      <c r="K6" s="817" t="s">
        <v>111</v>
      </c>
      <c r="L6" s="818"/>
      <c r="M6" s="819"/>
      <c r="N6" s="816" t="s">
        <v>114</v>
      </c>
      <c r="O6" s="816"/>
      <c r="P6" s="816"/>
      <c r="Q6" s="816"/>
      <c r="R6" s="816"/>
      <c r="S6" s="816"/>
      <c r="T6" s="820" t="s">
        <v>111</v>
      </c>
      <c r="U6" s="820"/>
      <c r="V6" s="820"/>
      <c r="W6" s="820"/>
    </row>
    <row r="7" spans="2:25" x14ac:dyDescent="0.25">
      <c r="B7" s="510" t="s">
        <v>23</v>
      </c>
      <c r="C7" s="804">
        <f>'IKF Finance'!C6</f>
        <v>287</v>
      </c>
      <c r="D7" s="804">
        <f>'IKF Finance'!D6</f>
        <v>437</v>
      </c>
      <c r="E7" s="804">
        <f>'IKF Finance'!E6</f>
        <v>660</v>
      </c>
      <c r="F7" s="804">
        <f>'IKF Finance'!F6</f>
        <v>908</v>
      </c>
      <c r="G7" s="519">
        <f>'Cholamandalam Inv &amp; Fin'!C6</f>
        <v>12757</v>
      </c>
      <c r="H7" s="519">
        <f>'Cholamandalam Inv &amp; Fin'!D6</f>
        <v>18845</v>
      </c>
      <c r="I7" s="519">
        <f>'Cholamandalam Inv &amp; Fin'!E6</f>
        <v>25746</v>
      </c>
      <c r="J7" s="519">
        <f>'Cholamandalam Inv &amp; Fin'!F6</f>
        <v>30982</v>
      </c>
      <c r="K7" s="810">
        <f>'SK Finance'!C6</f>
        <v>1791</v>
      </c>
      <c r="L7" s="810">
        <f>'SK Finance'!D6</f>
        <v>2378</v>
      </c>
      <c r="M7" s="810">
        <f>'SK Finance'!E6</f>
        <v>2824</v>
      </c>
      <c r="N7" s="519">
        <v>17420.45</v>
      </c>
      <c r="O7" s="519">
        <v>19255.169999999998</v>
      </c>
      <c r="P7" s="519">
        <f>'Shriram Finance'!E6</f>
        <v>29772.16</v>
      </c>
      <c r="Q7" s="519">
        <v>34964</v>
      </c>
      <c r="R7" s="519">
        <v>41834</v>
      </c>
      <c r="S7" s="519">
        <v>48118</v>
      </c>
      <c r="T7" s="810">
        <f>'Indostar Capital '!C6</f>
        <v>969</v>
      </c>
      <c r="U7" s="810">
        <f>'Indostar Capital '!D6</f>
        <v>1104</v>
      </c>
      <c r="V7" s="810">
        <f>'Indostar Capital '!E6</f>
        <v>1404</v>
      </c>
      <c r="W7" s="810">
        <f>'Indostar Capital '!F6</f>
        <v>1392.8917000000001</v>
      </c>
    </row>
    <row r="8" spans="2:25" x14ac:dyDescent="0.25">
      <c r="B8" s="473" t="s">
        <v>50</v>
      </c>
      <c r="C8" s="804">
        <f>'IKF Finance'!C7</f>
        <v>284</v>
      </c>
      <c r="D8" s="804">
        <f>'IKF Finance'!D7</f>
        <v>421</v>
      </c>
      <c r="E8" s="804">
        <f>'IKF Finance'!E7</f>
        <v>618</v>
      </c>
      <c r="F8" s="804">
        <f>'IKF Finance'!F7</f>
        <v>855</v>
      </c>
      <c r="G8" s="519">
        <f>'Cholamandalam Inv &amp; Fin'!C7</f>
        <v>12082</v>
      </c>
      <c r="H8" s="519">
        <f>'Cholamandalam Inv &amp; Fin'!D7</f>
        <v>17614</v>
      </c>
      <c r="I8" s="519">
        <f>'Cholamandalam Inv &amp; Fin'!E7</f>
        <v>23720</v>
      </c>
      <c r="J8" s="519">
        <f>'Cholamandalam Inv &amp; Fin'!F7</f>
        <v>28373</v>
      </c>
      <c r="K8" s="810">
        <f>'SK Finance'!C7</f>
        <v>1499</v>
      </c>
      <c r="L8" s="810">
        <f>'SK Finance'!D7</f>
        <v>1899</v>
      </c>
      <c r="M8" s="810">
        <f>'SK Finance'!E7</f>
        <v>2262</v>
      </c>
      <c r="N8" s="519">
        <v>16611.310000000001</v>
      </c>
      <c r="O8" s="519">
        <v>18028.13</v>
      </c>
      <c r="P8" s="519">
        <f>'Shriram Finance'!E7</f>
        <v>27504.2</v>
      </c>
      <c r="Q8" s="519">
        <v>33600</v>
      </c>
      <c r="R8" s="519">
        <v>40308</v>
      </c>
      <c r="S8" s="519">
        <v>46644</v>
      </c>
      <c r="T8" s="810">
        <f>'Indostar Capital '!C7</f>
        <v>864</v>
      </c>
      <c r="U8" s="810">
        <f>'Indostar Capital '!D7</f>
        <v>876</v>
      </c>
      <c r="V8" s="810">
        <f>'Indostar Capital '!E7</f>
        <v>1153</v>
      </c>
      <c r="W8" s="810">
        <f>'Indostar Capital '!F7</f>
        <v>1262.5166000000002</v>
      </c>
    </row>
    <row r="9" spans="2:25" x14ac:dyDescent="0.25">
      <c r="B9" s="473" t="s">
        <v>52</v>
      </c>
      <c r="C9" s="805">
        <f>'IKF Finance'!C9</f>
        <v>3</v>
      </c>
      <c r="D9" s="805">
        <f>'IKF Finance'!D9</f>
        <v>4</v>
      </c>
      <c r="E9" s="805">
        <f>'IKF Finance'!E9</f>
        <v>7</v>
      </c>
      <c r="F9" s="805">
        <f>'IKF Finance'!F9</f>
        <v>8</v>
      </c>
      <c r="G9" s="519">
        <f>'Cholamandalam Inv &amp; Fin'!C9</f>
        <v>674</v>
      </c>
      <c r="H9" s="519">
        <f>'Cholamandalam Inv &amp; Fin'!D9</f>
        <v>1232</v>
      </c>
      <c r="I9" s="519">
        <f>'Cholamandalam Inv &amp; Fin'!E9</f>
        <v>2025</v>
      </c>
      <c r="J9" s="519">
        <f>'Cholamandalam Inv &amp; Fin'!F9</f>
        <v>2609</v>
      </c>
      <c r="K9" s="810">
        <f>'SK Finance'!C9</f>
        <v>97</v>
      </c>
      <c r="L9" s="810">
        <f>'SK Finance'!D9</f>
        <v>161</v>
      </c>
      <c r="M9" s="810">
        <f>'SK Finance'!E9</f>
        <v>215</v>
      </c>
      <c r="N9" s="519">
        <f t="shared" ref="N9:S9" si="0">N7-N8</f>
        <v>809.13999999999942</v>
      </c>
      <c r="O9" s="519">
        <f t="shared" si="0"/>
        <v>1227.0399999999972</v>
      </c>
      <c r="P9" s="519">
        <f>'Shriram Finance'!E9</f>
        <v>2267.9599999999991</v>
      </c>
      <c r="Q9" s="519">
        <f t="shared" si="0"/>
        <v>1364</v>
      </c>
      <c r="R9" s="519">
        <f t="shared" si="0"/>
        <v>1526</v>
      </c>
      <c r="S9" s="519">
        <f t="shared" si="0"/>
        <v>1474</v>
      </c>
      <c r="T9" s="810">
        <f>SUM('Indostar Capital '!C8:C9)</f>
        <v>105</v>
      </c>
      <c r="U9" s="810">
        <f>SUM('Indostar Capital '!D8:D9)</f>
        <v>228</v>
      </c>
      <c r="V9" s="810">
        <f>SUM('Indostar Capital '!E8:E9)</f>
        <v>251</v>
      </c>
      <c r="W9" s="810">
        <f>SUM('Indostar Capital '!F8:F9)</f>
        <v>130.3751</v>
      </c>
    </row>
    <row r="10" spans="2:25" x14ac:dyDescent="0.25">
      <c r="B10" s="473" t="s">
        <v>24</v>
      </c>
      <c r="C10" s="806">
        <f>'IKF Finance'!C10</f>
        <v>154</v>
      </c>
      <c r="D10" s="806">
        <f>'IKF Finance'!D10</f>
        <v>220</v>
      </c>
      <c r="E10" s="806">
        <f>'IKF Finance'!E10</f>
        <v>332</v>
      </c>
      <c r="F10" s="806">
        <f>'IKF Finance'!F10</f>
        <v>417</v>
      </c>
      <c r="G10" s="519">
        <f>'Cholamandalam Inv &amp; Fin'!C10</f>
        <v>5749</v>
      </c>
      <c r="H10" s="519">
        <f>'Cholamandalam Inv &amp; Fin'!D10</f>
        <v>9231</v>
      </c>
      <c r="I10" s="519">
        <f>'Cholamandalam Inv &amp; Fin'!E10</f>
        <v>12485</v>
      </c>
      <c r="J10" s="519">
        <f>'Cholamandalam Inv &amp; Fin'!F10</f>
        <v>14374</v>
      </c>
      <c r="K10" s="810">
        <f>'SK Finance'!C10</f>
        <v>747</v>
      </c>
      <c r="L10" s="810">
        <f>'SK Finance'!D10</f>
        <v>971</v>
      </c>
      <c r="M10" s="810">
        <f>'SK Finance'!E10</f>
        <v>1119</v>
      </c>
      <c r="N10" s="519">
        <v>9054.26</v>
      </c>
      <c r="O10" s="519">
        <v>9734.31</v>
      </c>
      <c r="P10" s="519">
        <f>'Shriram Finance'!E10</f>
        <v>12545.76</v>
      </c>
      <c r="Q10" s="519">
        <v>14806</v>
      </c>
      <c r="R10" s="519">
        <v>18455</v>
      </c>
      <c r="S10" s="519">
        <v>21520</v>
      </c>
      <c r="T10" s="810">
        <f>'Indostar Capital '!C10</f>
        <v>518</v>
      </c>
      <c r="U10" s="810">
        <f>'Indostar Capital '!D10</f>
        <v>581</v>
      </c>
      <c r="V10" s="810">
        <f>'Indostar Capital '!E10</f>
        <v>741</v>
      </c>
      <c r="W10" s="810">
        <f>'Indostar Capital '!F10</f>
        <v>621.16</v>
      </c>
    </row>
    <row r="11" spans="2:25" x14ac:dyDescent="0.25">
      <c r="B11" s="473" t="s">
        <v>53</v>
      </c>
      <c r="C11" s="806">
        <f>C8-C10</f>
        <v>130</v>
      </c>
      <c r="D11" s="806">
        <f t="shared" ref="D11:F11" si="1">D8-D10</f>
        <v>201</v>
      </c>
      <c r="E11" s="806">
        <f t="shared" si="1"/>
        <v>286</v>
      </c>
      <c r="F11" s="806">
        <f t="shared" si="1"/>
        <v>438</v>
      </c>
      <c r="G11" s="519">
        <f>'Cholamandalam Inv &amp; Fin'!C11</f>
        <v>6333</v>
      </c>
      <c r="H11" s="519">
        <f>'Cholamandalam Inv &amp; Fin'!D11</f>
        <v>8383</v>
      </c>
      <c r="I11" s="519">
        <f>'Cholamandalam Inv &amp; Fin'!E11</f>
        <v>11235</v>
      </c>
      <c r="J11" s="519">
        <f>'Cholamandalam Inv &amp; Fin'!F11</f>
        <v>13998</v>
      </c>
      <c r="K11" s="810">
        <f>'SK Finance'!C11</f>
        <v>752</v>
      </c>
      <c r="L11" s="810">
        <f>'SK Finance'!D11</f>
        <v>928</v>
      </c>
      <c r="M11" s="810">
        <f>'SK Finance'!E11</f>
        <v>1142</v>
      </c>
      <c r="N11" s="520">
        <f t="shared" ref="N11:O11" si="2">N8-N10</f>
        <v>7557.0500000000011</v>
      </c>
      <c r="O11" s="520">
        <f t="shared" si="2"/>
        <v>8293.8200000000015</v>
      </c>
      <c r="P11" s="519">
        <f>'Shriram Finance'!E11</f>
        <v>14958.44</v>
      </c>
      <c r="Q11" s="520">
        <f>Q8-Q10</f>
        <v>18794</v>
      </c>
      <c r="R11" s="520">
        <f>R8-R10</f>
        <v>21853</v>
      </c>
      <c r="S11" s="520">
        <f>S8-S10</f>
        <v>25124</v>
      </c>
      <c r="T11" s="810">
        <f>'Indostar Capital '!C11</f>
        <v>346</v>
      </c>
      <c r="U11" s="810">
        <f>'Indostar Capital '!D11</f>
        <v>295</v>
      </c>
      <c r="V11" s="810">
        <f>'Indostar Capital '!E11</f>
        <v>412</v>
      </c>
      <c r="W11" s="810">
        <f>'Indostar Capital '!F11</f>
        <v>641.35660000000007</v>
      </c>
    </row>
    <row r="12" spans="2:25" x14ac:dyDescent="0.25">
      <c r="B12" s="683" t="s">
        <v>1</v>
      </c>
      <c r="C12" s="806">
        <f>C8+C9</f>
        <v>287</v>
      </c>
      <c r="D12" s="806">
        <f t="shared" ref="D12:M12" si="3">D8+D9</f>
        <v>425</v>
      </c>
      <c r="E12" s="806">
        <f t="shared" si="3"/>
        <v>625</v>
      </c>
      <c r="F12" s="806">
        <f t="shared" si="3"/>
        <v>863</v>
      </c>
      <c r="G12" s="591">
        <f t="shared" si="3"/>
        <v>12756</v>
      </c>
      <c r="H12" s="591">
        <f t="shared" si="3"/>
        <v>18846</v>
      </c>
      <c r="I12" s="591">
        <f t="shared" si="3"/>
        <v>25745</v>
      </c>
      <c r="J12" s="591">
        <f t="shared" si="3"/>
        <v>30982</v>
      </c>
      <c r="K12" s="806">
        <f t="shared" si="3"/>
        <v>1596</v>
      </c>
      <c r="L12" s="806">
        <f t="shared" si="3"/>
        <v>2060</v>
      </c>
      <c r="M12" s="806">
        <f t="shared" si="3"/>
        <v>2477</v>
      </c>
      <c r="N12" s="520">
        <f t="shared" ref="N12:S12" si="4">SUM(N8:N9)</f>
        <v>17420.45</v>
      </c>
      <c r="O12" s="520">
        <f t="shared" si="4"/>
        <v>19255.169999999998</v>
      </c>
      <c r="P12" s="519">
        <f>'Shriram Finance'!E12</f>
        <v>29772.16</v>
      </c>
      <c r="Q12" s="520">
        <f t="shared" si="4"/>
        <v>34964</v>
      </c>
      <c r="R12" s="520">
        <f t="shared" si="4"/>
        <v>41834</v>
      </c>
      <c r="S12" s="520">
        <f t="shared" si="4"/>
        <v>48118</v>
      </c>
      <c r="T12" s="810">
        <f>T8+T9</f>
        <v>969</v>
      </c>
      <c r="U12" s="810">
        <f t="shared" ref="U12:W12" si="5">U8+U9</f>
        <v>1104</v>
      </c>
      <c r="V12" s="810">
        <f t="shared" si="5"/>
        <v>1404</v>
      </c>
      <c r="W12" s="810">
        <f t="shared" si="5"/>
        <v>1392.8917000000001</v>
      </c>
    </row>
    <row r="13" spans="2:25" x14ac:dyDescent="0.25">
      <c r="B13" s="683" t="s">
        <v>91</v>
      </c>
      <c r="C13" s="806">
        <f>'IKF Finance'!C13</f>
        <v>0</v>
      </c>
      <c r="D13" s="806">
        <f>'IKF Finance'!D13</f>
        <v>12</v>
      </c>
      <c r="E13" s="806">
        <f>'IKF Finance'!E13</f>
        <v>35</v>
      </c>
      <c r="F13" s="806">
        <f>'IKF Finance'!F13</f>
        <v>46</v>
      </c>
      <c r="G13" s="520">
        <f>'Cholamandalam Inv &amp; Fin'!C13</f>
        <v>221</v>
      </c>
      <c r="H13" s="520">
        <f>'Cholamandalam Inv &amp; Fin'!D13</f>
        <v>371</v>
      </c>
      <c r="I13" s="520">
        <f>'Cholamandalam Inv &amp; Fin'!E13</f>
        <v>309</v>
      </c>
      <c r="J13" s="520">
        <f>'Cholamandalam Inv &amp; Fin'!F13</f>
        <v>463</v>
      </c>
      <c r="K13" s="811">
        <f>'SK Finance'!C13</f>
        <v>6.7545000000000002</v>
      </c>
      <c r="L13" s="811">
        <f>'SK Finance'!D13</f>
        <v>8</v>
      </c>
      <c r="M13" s="811">
        <f>'SK Finance'!E13</f>
        <v>4</v>
      </c>
      <c r="N13" s="520">
        <v>15.95</v>
      </c>
      <c r="O13" s="520">
        <v>19.059999999999999</v>
      </c>
      <c r="P13" s="519">
        <f>'Shriram Finance'!E13</f>
        <v>30.73</v>
      </c>
      <c r="Q13" s="520">
        <v>33.200000000000003</v>
      </c>
      <c r="R13" s="520">
        <v>25.05</v>
      </c>
      <c r="S13" s="520">
        <v>60</v>
      </c>
      <c r="T13" s="810">
        <f>'Indostar Capital '!C13</f>
        <v>24</v>
      </c>
      <c r="U13" s="810">
        <f>'Indostar Capital '!D13</f>
        <v>21</v>
      </c>
      <c r="V13" s="810">
        <f>'Indostar Capital '!E13</f>
        <v>8</v>
      </c>
      <c r="W13" s="810">
        <f>'Indostar Capital '!F13</f>
        <v>1</v>
      </c>
    </row>
    <row r="14" spans="2:25" x14ac:dyDescent="0.25">
      <c r="B14" s="683" t="s">
        <v>25</v>
      </c>
      <c r="C14" s="806">
        <f>C12+C13</f>
        <v>287</v>
      </c>
      <c r="D14" s="806">
        <f t="shared" ref="D14:F14" si="6">D12+D13</f>
        <v>437</v>
      </c>
      <c r="E14" s="806">
        <f t="shared" si="6"/>
        <v>660</v>
      </c>
      <c r="F14" s="806">
        <f t="shared" si="6"/>
        <v>909</v>
      </c>
      <c r="G14" s="591">
        <f t="shared" ref="G14" si="7">G12+G13</f>
        <v>12977</v>
      </c>
      <c r="H14" s="591">
        <f t="shared" ref="H14" si="8">H12+H13</f>
        <v>19217</v>
      </c>
      <c r="I14" s="591">
        <f t="shared" ref="I14" si="9">I12+I13</f>
        <v>26054</v>
      </c>
      <c r="J14" s="591">
        <f t="shared" ref="J14" si="10">J12+J13</f>
        <v>31445</v>
      </c>
      <c r="K14" s="806">
        <f t="shared" ref="K14" si="11">K12+K13</f>
        <v>1602.7545</v>
      </c>
      <c r="L14" s="806">
        <f t="shared" ref="L14" si="12">L12+L13</f>
        <v>2068</v>
      </c>
      <c r="M14" s="806">
        <f t="shared" ref="M14" si="13">M12+M13</f>
        <v>2481</v>
      </c>
      <c r="N14" s="521">
        <f t="shared" ref="N14:S14" si="14">N12+N13</f>
        <v>17436.400000000001</v>
      </c>
      <c r="O14" s="521">
        <f t="shared" si="14"/>
        <v>19274.23</v>
      </c>
      <c r="P14" s="521">
        <f t="shared" si="14"/>
        <v>29802.89</v>
      </c>
      <c r="Q14" s="521">
        <f t="shared" si="14"/>
        <v>34997.199999999997</v>
      </c>
      <c r="R14" s="521">
        <f t="shared" si="14"/>
        <v>41859.050000000003</v>
      </c>
      <c r="S14" s="521">
        <f t="shared" si="14"/>
        <v>48178</v>
      </c>
      <c r="T14" s="810">
        <f>T12+T13</f>
        <v>993</v>
      </c>
      <c r="U14" s="810">
        <f t="shared" ref="U14:W14" si="15">U12+U13</f>
        <v>1125</v>
      </c>
      <c r="V14" s="810">
        <f t="shared" si="15"/>
        <v>1412</v>
      </c>
      <c r="W14" s="810">
        <f t="shared" si="15"/>
        <v>1393.8917000000001</v>
      </c>
    </row>
    <row r="15" spans="2:25" x14ac:dyDescent="0.25">
      <c r="B15" s="473" t="s">
        <v>26</v>
      </c>
      <c r="C15" s="806">
        <f>'IKF Finance'!C15</f>
        <v>60</v>
      </c>
      <c r="D15" s="806">
        <f>'IKF Finance'!D15</f>
        <v>97</v>
      </c>
      <c r="E15" s="806">
        <f>'IKF Finance'!E15</f>
        <v>144</v>
      </c>
      <c r="F15" s="806">
        <f>'IKF Finance'!F15</f>
        <v>186</v>
      </c>
      <c r="G15" s="519">
        <f>'Cholamandalam Inv &amp; Fin'!C15</f>
        <v>2780</v>
      </c>
      <c r="H15" s="519">
        <f>'Cholamandalam Inv &amp; Fin'!D15</f>
        <v>4082</v>
      </c>
      <c r="I15" s="519">
        <f>'Cholamandalam Inv &amp; Fin'!E15</f>
        <v>5339</v>
      </c>
      <c r="J15" s="519">
        <f>'Cholamandalam Inv &amp; Fin'!F15</f>
        <v>6574</v>
      </c>
      <c r="K15" s="810">
        <f>'SK Finance'!C15</f>
        <v>531.85200000000009</v>
      </c>
      <c r="L15" s="810">
        <f>'SK Finance'!D15</f>
        <v>688</v>
      </c>
      <c r="M15" s="810">
        <f>'SK Finance'!E15</f>
        <v>816</v>
      </c>
      <c r="N15" s="519">
        <f>906.25+137.36+863.23+78.89</f>
        <v>1985.7300000000002</v>
      </c>
      <c r="O15" s="519">
        <f>997.09+135.37+905.61+91.74</f>
        <v>2129.81</v>
      </c>
      <c r="P15" s="519">
        <v>4913.07</v>
      </c>
      <c r="Q15" s="519">
        <v>5990</v>
      </c>
      <c r="R15" s="519">
        <v>7143</v>
      </c>
      <c r="S15" s="519">
        <v>8027</v>
      </c>
      <c r="T15" s="810">
        <f>'Indostar Capital '!C15</f>
        <v>328</v>
      </c>
      <c r="U15" s="810">
        <f>'Indostar Capital '!D15</f>
        <v>389</v>
      </c>
      <c r="V15" s="810">
        <f>'Indostar Capital '!E15</f>
        <v>481</v>
      </c>
      <c r="W15" s="810">
        <f>'Indostar Capital '!F15</f>
        <v>505.95260000000002</v>
      </c>
    </row>
    <row r="16" spans="2:25" x14ac:dyDescent="0.25">
      <c r="B16" s="683" t="s">
        <v>750</v>
      </c>
      <c r="C16" s="806">
        <f>'IKF Finance'!C16</f>
        <v>227</v>
      </c>
      <c r="D16" s="806">
        <f>'IKF Finance'!D16</f>
        <v>328</v>
      </c>
      <c r="E16" s="806">
        <f>'IKF Finance'!E16</f>
        <v>481</v>
      </c>
      <c r="F16" s="806">
        <f>'IKF Finance'!F16</f>
        <v>677</v>
      </c>
      <c r="G16" s="520">
        <f>'Cholamandalam Inv &amp; Fin'!C16</f>
        <v>9976</v>
      </c>
      <c r="H16" s="520">
        <f>'Cholamandalam Inv &amp; Fin'!D16</f>
        <v>14764</v>
      </c>
      <c r="I16" s="520">
        <f>'Cholamandalam Inv &amp; Fin'!E16</f>
        <v>20406</v>
      </c>
      <c r="J16" s="520">
        <f>'Cholamandalam Inv &amp; Fin'!F16</f>
        <v>24408</v>
      </c>
      <c r="K16" s="811">
        <f>'SK Finance'!C16</f>
        <v>1259.1479999999999</v>
      </c>
      <c r="L16" s="811">
        <f>'SK Finance'!D16</f>
        <v>1690</v>
      </c>
      <c r="M16" s="811">
        <f>'SK Finance'!E16</f>
        <v>2008</v>
      </c>
      <c r="N16" s="520">
        <f t="shared" ref="N16:S16" si="16">N12-N15</f>
        <v>15434.720000000001</v>
      </c>
      <c r="O16" s="520">
        <f t="shared" si="16"/>
        <v>17125.359999999997</v>
      </c>
      <c r="P16" s="519">
        <v>24859.09</v>
      </c>
      <c r="Q16" s="520">
        <f t="shared" si="16"/>
        <v>28974</v>
      </c>
      <c r="R16" s="520">
        <f t="shared" si="16"/>
        <v>34691</v>
      </c>
      <c r="S16" s="520">
        <f t="shared" si="16"/>
        <v>40091</v>
      </c>
      <c r="T16" s="810">
        <f>T12-T15</f>
        <v>641</v>
      </c>
      <c r="U16" s="810">
        <f t="shared" ref="U16:W16" si="17">U12-U15</f>
        <v>715</v>
      </c>
      <c r="V16" s="810">
        <f t="shared" si="17"/>
        <v>923</v>
      </c>
      <c r="W16" s="810">
        <f t="shared" si="17"/>
        <v>886.93910000000005</v>
      </c>
    </row>
    <row r="17" spans="2:23" x14ac:dyDescent="0.25">
      <c r="B17" s="473" t="s">
        <v>94</v>
      </c>
      <c r="C17" s="806">
        <f>'IKF Finance'!C17</f>
        <v>73</v>
      </c>
      <c r="D17" s="806">
        <f>'IKF Finance'!D17</f>
        <v>108</v>
      </c>
      <c r="E17" s="806">
        <f>'IKF Finance'!E17</f>
        <v>149</v>
      </c>
      <c r="F17" s="806">
        <f>'IKF Finance'!F17</f>
        <v>260</v>
      </c>
      <c r="G17" s="520">
        <f>'Cholamandalam Inv &amp; Fin'!C17</f>
        <v>4227</v>
      </c>
      <c r="H17" s="520">
        <f>'Cholamandalam Inv &amp; Fin'!D17</f>
        <v>5533</v>
      </c>
      <c r="I17" s="520">
        <f>'Cholamandalam Inv &amp; Fin'!E17</f>
        <v>7921</v>
      </c>
      <c r="J17" s="520">
        <f>'Cholamandalam Inv &amp; Fin'!F17</f>
        <v>10034</v>
      </c>
      <c r="K17" s="811">
        <f>'SK Finance'!C17</f>
        <v>512.14799999999991</v>
      </c>
      <c r="L17" s="811">
        <f>'SK Finance'!D17</f>
        <v>719</v>
      </c>
      <c r="M17" s="811">
        <f>'SK Finance'!E17</f>
        <v>889</v>
      </c>
      <c r="N17" s="520">
        <f t="shared" ref="N17:S17" si="18">N14-N15-N10</f>
        <v>6396.4100000000017</v>
      </c>
      <c r="O17" s="520">
        <f t="shared" si="18"/>
        <v>7410.1099999999988</v>
      </c>
      <c r="P17" s="520">
        <f t="shared" si="18"/>
        <v>12344.06</v>
      </c>
      <c r="Q17" s="520">
        <f t="shared" si="18"/>
        <v>14201.199999999997</v>
      </c>
      <c r="R17" s="520">
        <f t="shared" si="18"/>
        <v>16261.050000000003</v>
      </c>
      <c r="S17" s="520">
        <f t="shared" si="18"/>
        <v>18631</v>
      </c>
      <c r="T17" s="810">
        <f>T16-T10</f>
        <v>123</v>
      </c>
      <c r="U17" s="810">
        <f t="shared" ref="U17:W17" si="19">U16-U10</f>
        <v>134</v>
      </c>
      <c r="V17" s="810">
        <f t="shared" si="19"/>
        <v>182</v>
      </c>
      <c r="W17" s="810">
        <f t="shared" si="19"/>
        <v>265.77910000000008</v>
      </c>
    </row>
    <row r="18" spans="2:23" x14ac:dyDescent="0.25">
      <c r="B18" s="473" t="s">
        <v>27</v>
      </c>
      <c r="C18" s="806">
        <f>'IKF Finance'!C18</f>
        <v>5</v>
      </c>
      <c r="D18" s="806">
        <f>'IKF Finance'!D18</f>
        <v>16</v>
      </c>
      <c r="E18" s="806">
        <f>'IKF Finance'!E18</f>
        <v>40</v>
      </c>
      <c r="F18" s="806">
        <f>'IKF Finance'!F18</f>
        <v>84</v>
      </c>
      <c r="G18" s="520">
        <f>'Cholamandalam Inv &amp; Fin'!C18</f>
        <v>850</v>
      </c>
      <c r="H18" s="520">
        <f>'Cholamandalam Inv &amp; Fin'!D18</f>
        <v>1322</v>
      </c>
      <c r="I18" s="520">
        <f>'Cholamandalam Inv &amp; Fin'!E18</f>
        <v>2494</v>
      </c>
      <c r="J18" s="520">
        <f>'Cholamandalam Inv &amp; Fin'!F18</f>
        <v>3536</v>
      </c>
      <c r="K18" s="811">
        <f>'SK Finance'!C18</f>
        <v>119.43350000000001</v>
      </c>
      <c r="L18" s="811">
        <f>'SK Finance'!D18</f>
        <v>239</v>
      </c>
      <c r="M18" s="811">
        <f>'SK Finance'!E18</f>
        <v>326</v>
      </c>
      <c r="N18" s="519">
        <v>3118.4</v>
      </c>
      <c r="O18" s="519">
        <v>3860.86</v>
      </c>
      <c r="P18" s="519">
        <v>4159</v>
      </c>
      <c r="Q18" s="519">
        <v>4518</v>
      </c>
      <c r="R18" s="519">
        <v>5312</v>
      </c>
      <c r="S18" s="519">
        <v>5339</v>
      </c>
      <c r="T18" s="810">
        <f>'Indostar Capital '!C18</f>
        <v>-40</v>
      </c>
      <c r="U18" s="810">
        <f>'Indostar Capital '!D18</f>
        <v>83</v>
      </c>
      <c r="V18" s="810">
        <f>'Indostar Capital '!E18</f>
        <v>138</v>
      </c>
      <c r="W18" s="810">
        <f>'Indostar Capital '!F18</f>
        <v>621</v>
      </c>
    </row>
    <row r="19" spans="2:23" x14ac:dyDescent="0.25">
      <c r="B19" s="473" t="s">
        <v>55</v>
      </c>
      <c r="C19" s="806">
        <f>'IKF Finance'!C19</f>
        <v>50</v>
      </c>
      <c r="D19" s="806">
        <f>'IKF Finance'!D19</f>
        <v>77</v>
      </c>
      <c r="E19" s="806">
        <f>'IKF Finance'!E19</f>
        <v>108</v>
      </c>
      <c r="F19" s="806">
        <f>'IKF Finance'!F19</f>
        <v>165</v>
      </c>
      <c r="G19" s="520">
        <f>'Cholamandalam Inv &amp; Fin'!C19</f>
        <v>2666</v>
      </c>
      <c r="H19" s="520">
        <f>'Cholamandalam Inv &amp; Fin'!D19</f>
        <v>3423</v>
      </c>
      <c r="I19" s="520">
        <f>'Cholamandalam Inv &amp; Fin'!E19</f>
        <v>4259</v>
      </c>
      <c r="J19" s="520">
        <f>'Cholamandalam Inv &amp; Fin'!F19</f>
        <v>5220</v>
      </c>
      <c r="K19" s="811">
        <f>'SK Finance'!C19</f>
        <v>311.92330000000004</v>
      </c>
      <c r="L19" s="811">
        <f>'SK Finance'!D19</f>
        <v>380</v>
      </c>
      <c r="M19" s="811">
        <f>'SK Finance'!E19</f>
        <v>431</v>
      </c>
      <c r="N19" s="520">
        <v>2487.2600000000002</v>
      </c>
      <c r="O19" s="520">
        <v>2707.93</v>
      </c>
      <c r="P19" s="519">
        <v>5979</v>
      </c>
      <c r="Q19" s="520">
        <v>7190</v>
      </c>
      <c r="R19" s="520">
        <v>9761</v>
      </c>
      <c r="S19" s="520">
        <v>9998</v>
      </c>
      <c r="T19" s="810">
        <f>'Indostar Capital '!C19</f>
        <v>187</v>
      </c>
      <c r="U19" s="810">
        <f>'Indostar Capital '!D19</f>
        <v>72</v>
      </c>
      <c r="V19" s="810">
        <f>'Indostar Capital '!E19</f>
        <v>53</v>
      </c>
      <c r="W19" s="810">
        <f>'Indostar Capital '!F19</f>
        <v>130.20150000000001</v>
      </c>
    </row>
    <row r="20" spans="2:23" x14ac:dyDescent="0.25">
      <c r="B20" s="473" t="s">
        <v>28</v>
      </c>
      <c r="C20" s="806">
        <f>'IKF Finance'!C20</f>
        <v>691</v>
      </c>
      <c r="D20" s="806">
        <f>'IKF Finance'!D20</f>
        <v>879</v>
      </c>
      <c r="E20" s="806">
        <f>'IKF Finance'!E20</f>
        <v>987</v>
      </c>
      <c r="F20" s="806">
        <f>'IKF Finance'!F20</f>
        <v>1895</v>
      </c>
      <c r="G20" s="520">
        <f>'Cholamandalam Inv &amp; Fin'!C20</f>
        <v>13637</v>
      </c>
      <c r="H20" s="520">
        <f>'Cholamandalam Inv &amp; Fin'!D20</f>
        <v>18867</v>
      </c>
      <c r="I20" s="520">
        <f>'Cholamandalam Inv &amp; Fin'!E20</f>
        <v>22649</v>
      </c>
      <c r="J20" s="520">
        <f>'Cholamandalam Inv &amp; Fin'!F20</f>
        <v>29203</v>
      </c>
      <c r="K20" s="811">
        <f>'SK Finance'!C20</f>
        <v>3075.2916999999998</v>
      </c>
      <c r="L20" s="811">
        <f>'SK Finance'!D20</f>
        <v>3479</v>
      </c>
      <c r="M20" s="811">
        <f>'SK Finance'!E20</f>
        <v>3953</v>
      </c>
      <c r="N20" s="519">
        <v>21568.37</v>
      </c>
      <c r="O20" s="519">
        <v>25932.19</v>
      </c>
      <c r="P20" s="519">
        <v>43306.64</v>
      </c>
      <c r="Q20" s="519">
        <v>43244</v>
      </c>
      <c r="R20" s="519">
        <v>50698</v>
      </c>
      <c r="S20" s="519">
        <v>59916</v>
      </c>
      <c r="T20" s="810">
        <f>'Indostar Capital '!C20</f>
        <v>2386</v>
      </c>
      <c r="U20" s="810">
        <f>'Indostar Capital '!D20</f>
        <v>2475</v>
      </c>
      <c r="V20" s="810">
        <f>'Indostar Capital '!E20</f>
        <v>2804</v>
      </c>
      <c r="W20" s="810">
        <f>'Indostar Capital '!F20</f>
        <v>3156</v>
      </c>
    </row>
    <row r="21" spans="2:23" x14ac:dyDescent="0.25">
      <c r="B21" s="473" t="s">
        <v>57</v>
      </c>
      <c r="C21" s="806">
        <f>'IKF Finance'!C22</f>
        <v>2037</v>
      </c>
      <c r="D21" s="806">
        <f>'IKF Finance'!D22</f>
        <v>2733</v>
      </c>
      <c r="E21" s="806">
        <f>'IKF Finance'!E22</f>
        <v>3927</v>
      </c>
      <c r="F21" s="806">
        <f>'IKF Finance'!F22</f>
        <v>4743</v>
      </c>
      <c r="G21" s="520">
        <f>'Cholamandalam Inv &amp; Fin'!C22</f>
        <v>97356</v>
      </c>
      <c r="H21" s="520">
        <f>'Cholamandalam Inv &amp; Fin'!D22</f>
        <v>134474</v>
      </c>
      <c r="I21" s="520">
        <f>'Cholamandalam Inv &amp; Fin'!E22</f>
        <v>175036</v>
      </c>
      <c r="J21" s="520">
        <f>'Cholamandalam Inv &amp; Fin'!F22</f>
        <v>210867</v>
      </c>
      <c r="K21" s="810">
        <f>'SK Finance'!C22</f>
        <v>8934.8797000000013</v>
      </c>
      <c r="L21" s="810">
        <f>'SK Finance'!D22</f>
        <v>11604</v>
      </c>
      <c r="M21" s="810">
        <f>'SK Finance'!E22</f>
        <v>12820</v>
      </c>
      <c r="N21" s="519">
        <f>40061.87+45281.37+16232.41+4620.76</f>
        <v>106196.41</v>
      </c>
      <c r="O21" s="519">
        <f>41256.55+46676.93+21948.98+4614.25</f>
        <v>114496.71</v>
      </c>
      <c r="P21" s="519">
        <v>157906.29</v>
      </c>
      <c r="Q21" s="519">
        <v>185841</v>
      </c>
      <c r="R21" s="519">
        <v>234472</v>
      </c>
      <c r="S21" s="519">
        <v>250748</v>
      </c>
      <c r="T21" s="810">
        <f>'Indostar Capital '!C22</f>
        <v>4813</v>
      </c>
      <c r="U21" s="810">
        <f>'Indostar Capital '!D22</f>
        <v>6049</v>
      </c>
      <c r="V21" s="810">
        <f>'Indostar Capital '!E22</f>
        <v>6916</v>
      </c>
      <c r="W21" s="810">
        <f>'Indostar Capital '!F22</f>
        <v>5476.8355000000001</v>
      </c>
    </row>
    <row r="22" spans="2:23" x14ac:dyDescent="0.25">
      <c r="B22" s="473" t="s">
        <v>29</v>
      </c>
      <c r="C22" s="806">
        <f>'IKF Finance'!C23</f>
        <v>2764</v>
      </c>
      <c r="D22" s="806">
        <f>'IKF Finance'!D23</f>
        <v>3676</v>
      </c>
      <c r="E22" s="806">
        <f>'IKF Finance'!E23</f>
        <v>5012</v>
      </c>
      <c r="F22" s="806">
        <f>'IKF Finance'!F23</f>
        <v>6757</v>
      </c>
      <c r="G22" s="520">
        <f>'Cholamandalam Inv &amp; Fin'!C23</f>
        <v>113516</v>
      </c>
      <c r="H22" s="520">
        <f>'Cholamandalam Inv &amp; Fin'!D23</f>
        <v>156451</v>
      </c>
      <c r="I22" s="520">
        <f>'Cholamandalam Inv &amp; Fin'!E23</f>
        <v>201648</v>
      </c>
      <c r="J22" s="520">
        <f>'Cholamandalam Inv &amp; Fin'!F23</f>
        <v>245070</v>
      </c>
      <c r="K22" s="810">
        <f>'SK Finance'!C23</f>
        <v>12309.1222</v>
      </c>
      <c r="L22" s="810">
        <f>'SK Finance'!D23</f>
        <v>15419</v>
      </c>
      <c r="M22" s="810">
        <f>'SK Finance'!E23</f>
        <v>17152</v>
      </c>
      <c r="N22" s="519">
        <v>129761.34</v>
      </c>
      <c r="O22" s="519">
        <v>142106.09</v>
      </c>
      <c r="P22" s="519">
        <v>203663.86</v>
      </c>
      <c r="Q22" s="519">
        <v>237276</v>
      </c>
      <c r="R22" s="519">
        <v>293808</v>
      </c>
      <c r="S22" s="519">
        <v>321155</v>
      </c>
      <c r="T22" s="810">
        <f>'Indostar Capital '!C23</f>
        <v>8139</v>
      </c>
      <c r="U22" s="810">
        <f>'Indostar Capital '!D23</f>
        <v>9390</v>
      </c>
      <c r="V22" s="810">
        <f>'Indostar Capital '!E23</f>
        <v>10762</v>
      </c>
      <c r="W22" s="810">
        <f>'Indostar Capital '!F23</f>
        <v>9511.4377000000004</v>
      </c>
    </row>
    <row r="23" spans="2:23" x14ac:dyDescent="0.25">
      <c r="B23" s="473" t="s">
        <v>58</v>
      </c>
      <c r="C23" s="806">
        <f>'IKF Finance'!C24</f>
        <v>2137</v>
      </c>
      <c r="D23" s="806">
        <f>'IKF Finance'!D24</f>
        <v>3291</v>
      </c>
      <c r="E23" s="806">
        <f>'IKF Finance'!E24</f>
        <v>4574</v>
      </c>
      <c r="F23" s="806">
        <f>'IKF Finance'!F24</f>
        <v>5873</v>
      </c>
      <c r="G23" s="520">
        <f>'Cholamandalam Inv &amp; Fin'!C24</f>
        <v>104748</v>
      </c>
      <c r="H23" s="520">
        <f>'Cholamandalam Inv &amp; Fin'!D24</f>
        <v>144424</v>
      </c>
      <c r="I23" s="520">
        <f>'Cholamandalam Inv &amp; Fin'!E24</f>
        <v>181930</v>
      </c>
      <c r="J23" s="520">
        <f>'Cholamandalam Inv &amp; Fin'!F24</f>
        <v>217571</v>
      </c>
      <c r="K23" s="810">
        <f>'SK Finance'!C24</f>
        <v>9813.4220999999998</v>
      </c>
      <c r="L23" s="810">
        <f>'SK Finance'!D24</f>
        <v>12074</v>
      </c>
      <c r="M23" s="810">
        <f>'SK Finance'!E24</f>
        <v>14154</v>
      </c>
      <c r="N23" s="519">
        <v>116191.59</v>
      </c>
      <c r="O23" s="519">
        <v>125699.03</v>
      </c>
      <c r="P23" s="519">
        <v>183338.42</v>
      </c>
      <c r="Q23" s="519">
        <v>221668</v>
      </c>
      <c r="R23" s="519">
        <v>259916</v>
      </c>
      <c r="S23" s="519">
        <v>300216</v>
      </c>
      <c r="T23" s="810">
        <f>'Indostar Capital '!C24</f>
        <v>5737</v>
      </c>
      <c r="U23" s="810">
        <f>'Indostar Capital '!D24</f>
        <v>6298</v>
      </c>
      <c r="V23" s="810">
        <f>'Indostar Capital '!E24</f>
        <v>7464</v>
      </c>
      <c r="W23" s="810">
        <f>'Indostar Capital '!F24</f>
        <v>7850.1015000000007</v>
      </c>
    </row>
    <row r="24" spans="2:23" x14ac:dyDescent="0.25">
      <c r="B24" s="473" t="s">
        <v>59</v>
      </c>
      <c r="C24" s="806">
        <f>'IKF Finance'!C25</f>
        <v>61</v>
      </c>
      <c r="D24" s="806">
        <f>'IKF Finance'!D25</f>
        <v>77</v>
      </c>
      <c r="E24" s="806">
        <f>'IKF Finance'!E25</f>
        <v>103</v>
      </c>
      <c r="F24" s="806">
        <f>'IKF Finance'!F25</f>
        <v>148</v>
      </c>
      <c r="G24" s="520">
        <f>'Cholamandalam Inv &amp; Fin'!C25</f>
        <v>4953</v>
      </c>
      <c r="H24" s="520">
        <f>'Cholamandalam Inv &amp; Fin'!D25</f>
        <v>5205</v>
      </c>
      <c r="I24" s="520">
        <f>'Cholamandalam Inv &amp; Fin'!E25</f>
        <v>5213</v>
      </c>
      <c r="J24" s="520">
        <f>'Cholamandalam Inv &amp; Fin'!F25</f>
        <v>6767</v>
      </c>
      <c r="K24" s="810">
        <f>'SK Finance'!C25</f>
        <v>343.31809999999996</v>
      </c>
      <c r="L24" s="810">
        <f>'SK Finance'!D25</f>
        <v>573</v>
      </c>
      <c r="M24" s="810">
        <f>'SK Finance'!E25</f>
        <v>614</v>
      </c>
      <c r="N24" s="520">
        <v>8292.81</v>
      </c>
      <c r="O24" s="520">
        <v>8887.5499999999993</v>
      </c>
      <c r="P24" s="519">
        <v>11382.18</v>
      </c>
      <c r="Q24" s="520">
        <v>12081</v>
      </c>
      <c r="R24" s="520">
        <v>11839</v>
      </c>
      <c r="S24" s="520">
        <v>13743</v>
      </c>
      <c r="T24" s="810">
        <f>'Indostar Capital '!C25</f>
        <v>462</v>
      </c>
      <c r="U24" s="810">
        <f>'Indostar Capital '!D25</f>
        <v>313</v>
      </c>
      <c r="V24" s="810">
        <f>'Indostar Capital '!E25</f>
        <v>337</v>
      </c>
      <c r="W24" s="810">
        <f>'Indostar Capital '!F25</f>
        <v>374.69379999999995</v>
      </c>
    </row>
    <row r="25" spans="2:23" x14ac:dyDescent="0.25">
      <c r="B25" s="473" t="s">
        <v>60</v>
      </c>
      <c r="C25" s="806">
        <f>'IKF Finance'!C26</f>
        <v>48</v>
      </c>
      <c r="D25" s="806">
        <f>'IKF Finance'!D26</f>
        <v>59</v>
      </c>
      <c r="E25" s="806">
        <f>'IKF Finance'!E26</f>
        <v>68</v>
      </c>
      <c r="F25" s="806">
        <f>'IKF Finance'!F26</f>
        <v>98</v>
      </c>
      <c r="G25" s="520">
        <f>'Cholamandalam Inv &amp; Fin'!C26</f>
        <v>3281</v>
      </c>
      <c r="H25" s="520">
        <f>'Cholamandalam Inv &amp; Fin'!D26</f>
        <v>3374</v>
      </c>
      <c r="I25" s="520">
        <f>'Cholamandalam Inv &amp; Fin'!E26</f>
        <v>2853</v>
      </c>
      <c r="J25" s="520">
        <f>'Cholamandalam Inv &amp; Fin'!F26</f>
        <v>3567</v>
      </c>
      <c r="K25" s="810">
        <f>'SK Finance'!C26</f>
        <v>239.53620000000001</v>
      </c>
      <c r="L25" s="810">
        <f>'SK Finance'!D26</f>
        <v>407</v>
      </c>
      <c r="M25" s="810">
        <f>'SK Finance'!E26</f>
        <v>401</v>
      </c>
      <c r="N25" s="520">
        <v>4806.68</v>
      </c>
      <c r="O25" s="520">
        <v>4446.05</v>
      </c>
      <c r="P25" s="520">
        <v>5674.91</v>
      </c>
      <c r="Q25" s="520">
        <v>5824</v>
      </c>
      <c r="R25" s="520">
        <v>6714</v>
      </c>
      <c r="S25" s="520">
        <v>6825</v>
      </c>
      <c r="T25" s="810">
        <f>'Indostar Capital '!C26</f>
        <v>207</v>
      </c>
      <c r="U25" s="810">
        <f>'Indostar Capital '!D26</f>
        <v>128</v>
      </c>
      <c r="V25" s="810">
        <f>'Indostar Capital '!E26</f>
        <v>180</v>
      </c>
      <c r="W25" s="810">
        <f>'Indostar Capital '!F26</f>
        <v>159.61270000000002</v>
      </c>
    </row>
    <row r="27" spans="2:23" s="414" customFormat="1" x14ac:dyDescent="0.25">
      <c r="C27" s="565" t="str">
        <f>'IKF Finance'!J3</f>
        <v>FY23(A)</v>
      </c>
      <c r="D27" s="565" t="str">
        <f>'IKF Finance'!K3</f>
        <v>FY24 (A)</v>
      </c>
      <c r="E27" s="565" t="str">
        <f>'IKF Finance'!L3</f>
        <v>FY25 (A)</v>
      </c>
      <c r="F27" s="565" t="str">
        <f>'IKF Finance'!M3</f>
        <v>FY26 (A)</v>
      </c>
      <c r="G27" s="672" t="str">
        <f>'Cholamandalam Inv &amp; Fin'!K2</f>
        <v>FY23 (A)</v>
      </c>
      <c r="H27" s="672" t="str">
        <f>'Cholamandalam Inv &amp; Fin'!L2</f>
        <v>FY24 (A)</v>
      </c>
      <c r="I27" s="672" t="str">
        <f>'Cholamandalam Inv &amp; Fin'!M2</f>
        <v>FY25 (A)</v>
      </c>
      <c r="J27" s="672" t="str">
        <f>'Cholamandalam Inv &amp; Fin'!N2</f>
        <v>FY26 (A)</v>
      </c>
      <c r="K27" s="672" t="s">
        <v>623</v>
      </c>
      <c r="L27" s="672" t="s">
        <v>700</v>
      </c>
      <c r="M27" s="672" t="s">
        <v>701</v>
      </c>
      <c r="N27" s="672" t="s">
        <v>10</v>
      </c>
      <c r="O27" s="672" t="s">
        <v>90</v>
      </c>
      <c r="P27" s="672" t="s">
        <v>492</v>
      </c>
      <c r="Q27" s="672" t="s">
        <v>623</v>
      </c>
      <c r="R27" s="672" t="s">
        <v>700</v>
      </c>
      <c r="S27" s="672" t="s">
        <v>701</v>
      </c>
      <c r="T27" s="672" t="s">
        <v>492</v>
      </c>
      <c r="U27" s="672" t="s">
        <v>623</v>
      </c>
      <c r="V27" s="672" t="s">
        <v>700</v>
      </c>
      <c r="W27" s="672" t="s">
        <v>701</v>
      </c>
    </row>
    <row r="28" spans="2:23" x14ac:dyDescent="0.25">
      <c r="B28" s="565" t="s">
        <v>6</v>
      </c>
    </row>
    <row r="29" spans="2:23" x14ac:dyDescent="0.25">
      <c r="B29" s="474" t="s">
        <v>11</v>
      </c>
      <c r="C29" s="807">
        <f>'IKF Finance'!J5</f>
        <v>6.0832943378568087E-2</v>
      </c>
      <c r="D29" s="807">
        <f>'IKF Finance'!K5</f>
        <v>7.4060427413411942E-2</v>
      </c>
      <c r="E29" s="807">
        <f>'IKF Finance'!L5</f>
        <v>7.2727272727272724E-2</v>
      </c>
      <c r="F29" s="807">
        <f>'IKF Finance'!M5</f>
        <v>8.3851823489997132E-2</v>
      </c>
      <c r="G29" s="516">
        <f>'Cholamandalam Inv &amp; Fin'!K4</f>
        <v>6.0459388246076294E-2</v>
      </c>
      <c r="H29" s="516">
        <f>'Cholamandalam Inv &amp; Fin'!L4</f>
        <v>6.7286854060648868E-2</v>
      </c>
      <c r="I29" s="516">
        <f>'Cholamandalam Inv &amp; Fin'!M4</f>
        <v>6.8851615117326584E-2</v>
      </c>
      <c r="J29" s="516">
        <f>'Cholamandalam Inv &amp; Fin'!N4</f>
        <v>7.0077421583425323E-2</v>
      </c>
      <c r="K29" s="130">
        <f>'SK Finance'!I4</f>
        <v>8.8800000000000004E-2</v>
      </c>
      <c r="L29" s="130">
        <f>'SK Finance'!J4</f>
        <v>8.48E-2</v>
      </c>
      <c r="M29" s="130">
        <f>'SK Finance'!K4</f>
        <v>8.7099999999999997E-2</v>
      </c>
      <c r="N29" s="516">
        <v>6.7265468084718158E-2</v>
      </c>
      <c r="O29" s="516">
        <v>6.8574961691362832E-2</v>
      </c>
      <c r="P29" s="516">
        <f>'Shriram Finance'!N4</f>
        <v>8.744019206581051E-2</v>
      </c>
      <c r="Q29" s="516">
        <f>'Shriram Finance'!O4</f>
        <v>9.6064836201841586E-2</v>
      </c>
      <c r="R29" s="516">
        <f>'Shriram Finance'!P4</f>
        <v>9.3419747347740348E-2</v>
      </c>
      <c r="S29" s="516">
        <f>'Shriram Finance'!Q4</f>
        <v>8.9707426106703417E-2</v>
      </c>
      <c r="T29" s="130">
        <f>'Indostar Capital '!J4</f>
        <v>6.0310266689907618E-2</v>
      </c>
      <c r="U29" s="130">
        <f>'Indostar Capital '!K4</f>
        <v>4.9023680930619026E-2</v>
      </c>
      <c r="V29" s="130">
        <f>'Indostar Capital '!L4</f>
        <v>5.9875018165964251E-2</v>
      </c>
      <c r="W29" s="130">
        <f>'Indostar Capital '!M4</f>
        <v>8.3760265008038515E-2</v>
      </c>
    </row>
    <row r="30" spans="2:23" x14ac:dyDescent="0.25">
      <c r="B30" s="565" t="s">
        <v>12</v>
      </c>
      <c r="C30" s="807"/>
      <c r="D30" s="807"/>
      <c r="E30" s="807"/>
      <c r="F30" s="807"/>
      <c r="G30" s="516"/>
      <c r="H30" s="516"/>
      <c r="I30" s="516"/>
      <c r="J30" s="516"/>
      <c r="K30" s="130"/>
      <c r="L30" s="130"/>
      <c r="M30" s="130"/>
      <c r="N30" s="514" t="s">
        <v>5</v>
      </c>
      <c r="O30" s="514"/>
      <c r="P30" s="516"/>
      <c r="Q30" s="514"/>
      <c r="R30" s="514"/>
      <c r="S30" s="514"/>
      <c r="T30" s="130"/>
      <c r="U30" s="130"/>
      <c r="V30" s="130"/>
      <c r="W30" s="130"/>
    </row>
    <row r="31" spans="2:23" x14ac:dyDescent="0.25">
      <c r="B31" s="474" t="s">
        <v>127</v>
      </c>
      <c r="C31" s="808">
        <f>'IKF Finance'!J7</f>
        <v>3.1242331288343559</v>
      </c>
      <c r="D31" s="808">
        <f>'IKF Finance'!K7</f>
        <v>3.3533742331288345</v>
      </c>
      <c r="E31" s="808">
        <f>'IKF Finance'!L7</f>
        <v>4.2044967880085657</v>
      </c>
      <c r="F31" s="808">
        <f>'IKF Finance'!M7</f>
        <v>2.8367224880382773</v>
      </c>
      <c r="G31" s="593">
        <f>'Cholamandalam Inv &amp; Fin'!K6</f>
        <v>7.1391068416807215</v>
      </c>
      <c r="H31" s="593">
        <f>'Cholamandalam Inv &amp; Fin'!L6</f>
        <v>7.1274712460910585</v>
      </c>
      <c r="I31" s="593">
        <f>'Cholamandalam Inv &amp; Fin'!M6</f>
        <v>7.7281999205262926</v>
      </c>
      <c r="J31" s="593">
        <f>'Cholamandalam Inv &amp; Fin'!N6</f>
        <v>7.2207307468410784</v>
      </c>
      <c r="K31" s="809">
        <f>'SK Finance'!I6</f>
        <v>2.91</v>
      </c>
      <c r="L31" s="809">
        <f>'SK Finance'!J6</f>
        <v>3.34</v>
      </c>
      <c r="M31" s="809">
        <f>'SK Finance'!K6</f>
        <v>3.24</v>
      </c>
      <c r="N31" s="518">
        <v>4.9237105075626948</v>
      </c>
      <c r="O31" s="518">
        <v>4.4152348876049423</v>
      </c>
      <c r="P31" s="518">
        <f>'Shriram Finance'!N6</f>
        <v>3.6462373899245013</v>
      </c>
      <c r="Q31" s="518">
        <f>'Shriram Finance'!O6</f>
        <v>3.8263804915089841</v>
      </c>
      <c r="R31" s="518">
        <f>'Shriram Finance'!P6</f>
        <v>4.6248767209751867</v>
      </c>
      <c r="S31" s="518">
        <f>'Shriram Finance'!Q6</f>
        <v>4.1849923225849519</v>
      </c>
      <c r="T31" s="809">
        <f>'Indostar Capital '!J6</f>
        <v>2.2159300184162061</v>
      </c>
      <c r="U31" s="809">
        <f>'Indostar Capital '!K6</f>
        <v>2.6647577092511012</v>
      </c>
      <c r="V31" s="809">
        <f>'Indostar Capital '!L6</f>
        <v>2.4664764621968618</v>
      </c>
      <c r="W31" s="809">
        <f>'Indostar Capital '!M6</f>
        <v>1.7353724651457543</v>
      </c>
    </row>
    <row r="32" spans="2:23" x14ac:dyDescent="0.25">
      <c r="B32" s="474" t="s">
        <v>14</v>
      </c>
      <c r="C32" s="807">
        <f>'IKF Finance'!J8</f>
        <v>0.33019999999999999</v>
      </c>
      <c r="D32" s="807">
        <f>'IKF Finance'!K8</f>
        <v>0.26500000000000001</v>
      </c>
      <c r="E32" s="807">
        <f>'IKF Finance'!L8</f>
        <v>0.20860000000000001</v>
      </c>
      <c r="F32" s="807">
        <f>'IKF Finance'!M8</f>
        <v>0.27339999999999998</v>
      </c>
      <c r="G32" s="516">
        <f>'Cholamandalam Inv &amp; Fin'!K7</f>
        <v>0.17130000000000001</v>
      </c>
      <c r="H32" s="516">
        <f>'Cholamandalam Inv &amp; Fin'!L7</f>
        <v>0.1857</v>
      </c>
      <c r="I32" s="516">
        <f>'Cholamandalam Inv &amp; Fin'!M7</f>
        <v>0.19800000000000001</v>
      </c>
      <c r="J32" s="516">
        <f>'Cholamandalam Inv &amp; Fin'!N7</f>
        <v>0.192</v>
      </c>
      <c r="K32" s="130">
        <f>'SK Finance'!I7</f>
        <v>0.33860000000000001</v>
      </c>
      <c r="L32" s="130">
        <f>'SK Finance'!J7</f>
        <v>0.29509999999999997</v>
      </c>
      <c r="M32" s="130">
        <f>'SK Finance'!K7</f>
        <v>0.25409999999999999</v>
      </c>
      <c r="N32" s="516">
        <v>0.22500000000000001</v>
      </c>
      <c r="O32" s="516">
        <v>0.22969999999999999</v>
      </c>
      <c r="P32" s="516">
        <f>'Shriram Finance'!N7</f>
        <v>0.2261</v>
      </c>
      <c r="Q32" s="516">
        <f>'Shriram Finance'!O7</f>
        <v>0.20300000000000001</v>
      </c>
      <c r="R32" s="516">
        <f>'Shriram Finance'!P7</f>
        <v>0.20660000000000001</v>
      </c>
      <c r="S32" s="516">
        <f>'Shriram Finance'!Q7</f>
        <v>0.20399999999999999</v>
      </c>
      <c r="T32" s="130">
        <f>'Indostar Capital '!J7</f>
        <v>0.315</v>
      </c>
      <c r="U32" s="130">
        <f>'Indostar Capital '!K7</f>
        <v>0.28899999999999998</v>
      </c>
      <c r="V32" s="130">
        <f>'Indostar Capital '!L7</f>
        <v>0.28499999999999998</v>
      </c>
      <c r="W32" s="130">
        <f>'Indostar Capital '!M7</f>
        <v>0.36099999999999999</v>
      </c>
    </row>
    <row r="33" spans="2:23" x14ac:dyDescent="0.25">
      <c r="B33" s="594" t="s">
        <v>128</v>
      </c>
      <c r="C33" s="807">
        <f>'IKF Finance'!J9</f>
        <v>0.30510060832943381</v>
      </c>
      <c r="D33" s="807">
        <f>'IKF Finance'!K9</f>
        <v>0.24764509267699789</v>
      </c>
      <c r="E33" s="807">
        <f>'IKF Finance'!L9</f>
        <v>0.20419763882815917</v>
      </c>
      <c r="F33" s="807">
        <f>'IKF Finance'!M9</f>
        <v>0.28469266133151711</v>
      </c>
      <c r="G33" s="516">
        <f>'Cholamandalam Inv &amp; Fin'!K8</f>
        <v>0.13018864321991827</v>
      </c>
      <c r="H33" s="516">
        <f>'Cholamandalam Inv &amp; Fin'!L8</f>
        <v>0.13063618235196367</v>
      </c>
      <c r="I33" s="516">
        <f>'Cholamandalam Inv &amp; Fin'!M8</f>
        <v>0.12449293684384104</v>
      </c>
      <c r="J33" s="516">
        <f>'Cholamandalam Inv &amp; Fin'!N8</f>
        <v>0.13422285139104018</v>
      </c>
      <c r="K33" s="130">
        <f>'SK Finance'!I8</f>
        <v>0.31334635040308723</v>
      </c>
      <c r="L33" s="130">
        <f>'SK Finance'!J8</f>
        <v>0.28813980453867816</v>
      </c>
      <c r="M33" s="130">
        <f>'SK Finance'!K8</f>
        <v>0.27928500777165466</v>
      </c>
      <c r="N33" s="516">
        <v>0.18562763449574965</v>
      </c>
      <c r="O33" s="516">
        <v>0.20630381952828117</v>
      </c>
      <c r="P33" s="516">
        <f>'Shriram Finance'!N8</f>
        <v>0.23621148256868363</v>
      </c>
      <c r="Q33" s="516">
        <f>'Shriram Finance'!O8</f>
        <v>0.23358114660162793</v>
      </c>
      <c r="R33" s="516">
        <f>'Shriram Finance'!P8</f>
        <v>0.19505532556672156</v>
      </c>
      <c r="S33" s="516">
        <f>'Shriram Finance'!Q8</f>
        <v>0.19957630506035653</v>
      </c>
      <c r="T33" s="130">
        <f>'Indostar Capital '!J8</f>
        <v>0.37859508453895763</v>
      </c>
      <c r="U33" s="130">
        <f>'Indostar Capital '!K8</f>
        <v>0.36043188313750396</v>
      </c>
      <c r="V33" s="130">
        <f>'Indostar Capital '!L8</f>
        <v>0.37566988210075025</v>
      </c>
      <c r="W33" s="130">
        <f>'Indostar Capital '!M8</f>
        <v>0.40203301829919014</v>
      </c>
    </row>
    <row r="34" spans="2:23" x14ac:dyDescent="0.25">
      <c r="B34" s="565" t="s">
        <v>16</v>
      </c>
      <c r="C34" s="807"/>
      <c r="D34" s="807"/>
      <c r="E34" s="807"/>
      <c r="F34" s="807"/>
      <c r="G34" s="516"/>
      <c r="H34" s="516"/>
      <c r="I34" s="516"/>
      <c r="J34" s="516"/>
      <c r="K34" s="130"/>
      <c r="L34" s="130"/>
      <c r="M34" s="130"/>
      <c r="N34" s="516" t="s">
        <v>5</v>
      </c>
      <c r="O34" s="516"/>
      <c r="P34" s="516"/>
      <c r="Q34" s="516"/>
      <c r="R34" s="516"/>
      <c r="S34" s="516"/>
      <c r="T34" s="130"/>
      <c r="U34" s="130"/>
      <c r="V34" s="130"/>
      <c r="W34" s="130"/>
    </row>
    <row r="35" spans="2:23" ht="30" x14ac:dyDescent="0.25">
      <c r="B35" s="476" t="s">
        <v>93</v>
      </c>
      <c r="C35" s="807">
        <f>'IKF Finance'!J11</f>
        <v>0.45112781954887216</v>
      </c>
      <c r="D35" s="807">
        <f>'IKF Finance'!K11</f>
        <v>0.47317073170731705</v>
      </c>
      <c r="E35" s="807">
        <f>'IKF Finance'!L11</f>
        <v>0.49146757679180886</v>
      </c>
      <c r="F35" s="807">
        <f>'IKF Finance'!M11</f>
        <v>0.4170403587443946</v>
      </c>
      <c r="G35" s="516">
        <f>'Cholamandalam Inv &amp; Fin'!K10</f>
        <v>0.39674611103182533</v>
      </c>
      <c r="H35" s="516">
        <f>'Cholamandalam Inv &amp; Fin'!L10</f>
        <v>0.42454498179927197</v>
      </c>
      <c r="I35" s="516">
        <f>'Cholamandalam Inv &amp; Fin'!M10</f>
        <v>0.40263951734539971</v>
      </c>
      <c r="J35" s="516">
        <f>'Cholamandalam Inv &amp; Fin'!N10</f>
        <v>0.39583333333333331</v>
      </c>
      <c r="K35" s="130">
        <f>'SK Finance'!I10</f>
        <v>0.50943678160919548</v>
      </c>
      <c r="L35" s="130">
        <f>'SK Finance'!J10</f>
        <v>0.48898365316275766</v>
      </c>
      <c r="M35" s="130">
        <f>'SK Finance'!K10</f>
        <v>0.4785923753665689</v>
      </c>
      <c r="N35" s="516">
        <v>0.23735176944343842</v>
      </c>
      <c r="O35" s="516">
        <v>0.22369932968240266</v>
      </c>
      <c r="P35" s="516">
        <f>'Shriram Finance'!N10</f>
        <v>0.28520584683973432</v>
      </c>
      <c r="Q35" s="516">
        <f>'Shriram Finance'!O10</f>
        <v>0.29712391279220607</v>
      </c>
      <c r="R35" s="516">
        <f>'Shriram Finance'!P10</f>
        <v>0.30553060438855384</v>
      </c>
      <c r="S35" s="516">
        <f>'Shriram Finance'!Q10</f>
        <v>0.30178960824122114</v>
      </c>
      <c r="T35" s="130">
        <f>'Indostar Capital '!J10</f>
        <v>0.72727272727272729</v>
      </c>
      <c r="U35" s="130">
        <f>'Indostar Capital '!K10</f>
        <v>0.74378585086042071</v>
      </c>
      <c r="V35" s="130">
        <f>'Indostar Capital '!L10</f>
        <v>0.72549019607843135</v>
      </c>
      <c r="W35" s="130">
        <f>'Indostar Capital '!M10</f>
        <v>0.65560686440637328</v>
      </c>
    </row>
    <row r="36" spans="2:23" ht="30" x14ac:dyDescent="0.25">
      <c r="B36" s="594" t="s">
        <v>92</v>
      </c>
      <c r="C36" s="807">
        <f>'IKF Finance'!J12</f>
        <v>0.20905923344947736</v>
      </c>
      <c r="D36" s="807">
        <f>'IKF Finance'!K12</f>
        <v>0.22823529411764706</v>
      </c>
      <c r="E36" s="807">
        <f>'IKF Finance'!L12</f>
        <v>0.23039999999999999</v>
      </c>
      <c r="F36" s="807">
        <f>'IKF Finance'!M12</f>
        <v>0.21552723059096177</v>
      </c>
      <c r="G36" s="516">
        <f>'Cholamandalam Inv &amp; Fin'!K11</f>
        <v>0.21793665725932895</v>
      </c>
      <c r="H36" s="516">
        <f>'Cholamandalam Inv &amp; Fin'!L11</f>
        <v>0.21659768651172662</v>
      </c>
      <c r="I36" s="516">
        <f>'Cholamandalam Inv &amp; Fin'!M11</f>
        <v>0.207380073800738</v>
      </c>
      <c r="J36" s="516">
        <f>'Cholamandalam Inv &amp; Fin'!N11</f>
        <v>0.21218772190304047</v>
      </c>
      <c r="K36" s="130">
        <f>'SK Finance'!I11</f>
        <v>0.2969581239530989</v>
      </c>
      <c r="L36" s="130">
        <f>'SK Finance'!J11</f>
        <v>0.28931875525651807</v>
      </c>
      <c r="M36" s="130">
        <f>'SK Finance'!K11</f>
        <v>0.28895184135977336</v>
      </c>
      <c r="N36" s="516">
        <v>0.11398844461538021</v>
      </c>
      <c r="O36" s="516">
        <v>0.11060977389449173</v>
      </c>
      <c r="P36" s="516">
        <f>'Shriram Finance'!N11</f>
        <v>0.16502228927964915</v>
      </c>
      <c r="Q36" s="516">
        <f>'Shriram Finance'!O11</f>
        <v>0.17130304787067763</v>
      </c>
      <c r="R36" s="516">
        <f>'Shriram Finance'!P11</f>
        <v>0.17074628292776212</v>
      </c>
      <c r="S36" s="516">
        <f>'Shriram Finance'!Q11</f>
        <v>0.16681906978677419</v>
      </c>
      <c r="T36" s="130">
        <f>'Indostar Capital '!J11</f>
        <v>0.33849329205366357</v>
      </c>
      <c r="U36" s="130">
        <f>'Indostar Capital '!K11</f>
        <v>0.35235507246376813</v>
      </c>
      <c r="V36" s="130">
        <f>'Indostar Capital '!L11</f>
        <v>0.34259259259259262</v>
      </c>
      <c r="W36" s="130">
        <f>'Indostar Capital '!M11</f>
        <v>0.36323900845988238</v>
      </c>
    </row>
    <row r="37" spans="2:23" x14ac:dyDescent="0.25">
      <c r="B37" s="474" t="s">
        <v>17</v>
      </c>
      <c r="C37" s="807">
        <f>'IKF Finance'!J13</f>
        <v>2.1707670043415339E-2</v>
      </c>
      <c r="D37" s="807">
        <f>'IKF Finance'!K13</f>
        <v>2.6387377584330796E-2</v>
      </c>
      <c r="E37" s="807">
        <f>'IKF Finance'!L13</f>
        <v>2.8731045490822026E-2</v>
      </c>
      <c r="F37" s="807">
        <f>'IKF Finance'!M13</f>
        <v>2.7527009027675003E-2</v>
      </c>
      <c r="G37" s="516">
        <f>'Cholamandalam Inv &amp; Fin'!K12</f>
        <v>2.4489939744177031E-2</v>
      </c>
      <c r="H37" s="516">
        <f>'Cholamandalam Inv &amp; Fin'!L12</f>
        <v>3.0240733126641405E-2</v>
      </c>
      <c r="I37" s="516">
        <f>'Cholamandalam Inv &amp; Fin'!M12</f>
        <v>2.9818569725131878E-2</v>
      </c>
      <c r="J37" s="516">
        <f>'Cholamandalam Inv &amp; Fin'!N12</f>
        <v>2.9432438361561432E-2</v>
      </c>
      <c r="K37" s="130">
        <f>'SK Finance'!I12</f>
        <v>4.3207955153780182E-2</v>
      </c>
      <c r="L37" s="130">
        <f>'SK Finance'!J12</f>
        <v>4.9624709169811723E-2</v>
      </c>
      <c r="M37" s="130">
        <f>'SK Finance'!K12</f>
        <v>5.0105922446347977E-2</v>
      </c>
      <c r="N37" s="516">
        <v>1.6283817809981373E-2</v>
      </c>
      <c r="O37" s="516">
        <v>1.5668004070954731E-2</v>
      </c>
      <c r="P37" s="516">
        <f>'Shriram Finance'!N12</f>
        <v>2.54670365321326E-2</v>
      </c>
      <c r="Q37" s="516">
        <f>'Shriram Finance'!O12</f>
        <v>2.716701485851121E-2</v>
      </c>
      <c r="R37" s="516">
        <f>'Shriram Finance'!P12</f>
        <v>2.6899698976062186E-2</v>
      </c>
      <c r="S37" s="516">
        <f>'Shriram Finance'!Q12</f>
        <v>2.6105635623606623E-2</v>
      </c>
      <c r="T37" s="130">
        <f>'Indostar Capital '!J12</f>
        <v>4.0299791129131346E-2</v>
      </c>
      <c r="U37" s="130">
        <f>'Indostar Capital '!K12</f>
        <v>4.1427050053248135E-2</v>
      </c>
      <c r="V37" s="130">
        <f>'Indostar Capital '!L12</f>
        <v>4.4694294740754509E-2</v>
      </c>
      <c r="W37" s="130">
        <f>'Indostar Capital '!M12</f>
        <v>5.3194124375119445E-2</v>
      </c>
    </row>
    <row r="38" spans="2:23" x14ac:dyDescent="0.25">
      <c r="B38" s="565" t="s">
        <v>18</v>
      </c>
      <c r="C38" s="807"/>
      <c r="D38" s="807"/>
      <c r="E38" s="807"/>
      <c r="F38" s="807"/>
      <c r="G38" s="516"/>
      <c r="H38" s="516"/>
      <c r="I38" s="516"/>
      <c r="J38" s="516"/>
      <c r="K38" s="130"/>
      <c r="L38" s="130"/>
      <c r="M38" s="130"/>
      <c r="N38" s="516" t="s">
        <v>5</v>
      </c>
      <c r="O38" s="516"/>
      <c r="P38" s="516"/>
      <c r="Q38" s="516"/>
      <c r="R38" s="516"/>
      <c r="S38" s="516"/>
      <c r="T38" s="130"/>
      <c r="U38" s="130"/>
      <c r="V38" s="130"/>
      <c r="W38" s="130"/>
    </row>
    <row r="39" spans="2:23" x14ac:dyDescent="0.25">
      <c r="B39" s="474" t="s">
        <v>19</v>
      </c>
      <c r="C39" s="807">
        <f>'IKF Finance'!J15</f>
        <v>2.8544688816097334E-2</v>
      </c>
      <c r="D39" s="807">
        <f>'IKF Finance'!K15</f>
        <v>2.3397143725311455E-2</v>
      </c>
      <c r="E39" s="807">
        <f>'IKF Finance'!L15</f>
        <v>2.2518583296895496E-2</v>
      </c>
      <c r="F39" s="807">
        <f>'IKF Finance'!M15</f>
        <v>2.5200068108292183E-2</v>
      </c>
      <c r="G39" s="516">
        <f>'Cholamandalam Inv &amp; Fin'!K14</f>
        <v>4.7284912361095201E-2</v>
      </c>
      <c r="H39" s="516">
        <f>'Cholamandalam Inv &amp; Fin'!L14</f>
        <v>3.6039716390627599E-2</v>
      </c>
      <c r="I39" s="516">
        <f>'Cholamandalam Inv &amp; Fin'!M14</f>
        <v>2.8653877865112955E-2</v>
      </c>
      <c r="J39" s="516">
        <f>'Cholamandalam Inv &amp; Fin'!N14</f>
        <v>3.1102490681202917E-2</v>
      </c>
      <c r="K39" s="130">
        <f>'SK Finance'!I14</f>
        <v>3.4984544280429963E-2</v>
      </c>
      <c r="L39" s="130">
        <f>'SK Finance'!J14</f>
        <v>4.7457346364088125E-2</v>
      </c>
      <c r="M39" s="130">
        <f>'SK Finance'!K14</f>
        <v>4.3379963261268896E-2</v>
      </c>
      <c r="N39" s="516">
        <v>7.1371860906628434E-2</v>
      </c>
      <c r="O39" s="516">
        <v>7.0705000667069584E-2</v>
      </c>
      <c r="P39" s="516">
        <f>'Shriram Finance'!N14</f>
        <v>6.2082895663658495E-2</v>
      </c>
      <c r="Q39" s="516">
        <f>'Shriram Finance'!O14</f>
        <v>5.8101448948467652E-2</v>
      </c>
      <c r="R39" s="516">
        <f>'Shriram Finance'!P14</f>
        <v>4.5549331322427243E-2</v>
      </c>
      <c r="S39" s="516">
        <f>'Shriram Finance'!Q14</f>
        <v>4.5777040530817811E-2</v>
      </c>
      <c r="T39" s="130">
        <f>'Indostar Capital '!J14</f>
        <v>8.0529893672651218E-2</v>
      </c>
      <c r="U39" s="130">
        <f>'Indostar Capital '!K14</f>
        <v>4.9698316926008256E-2</v>
      </c>
      <c r="V39" s="130">
        <f>'Indostar Capital '!L14</f>
        <v>4.5150053590568062E-2</v>
      </c>
      <c r="W39" s="130">
        <f>'Indostar Capital '!M14</f>
        <v>4.7731077107729107E-2</v>
      </c>
    </row>
    <row r="40" spans="2:23" x14ac:dyDescent="0.25">
      <c r="B40" s="474" t="s">
        <v>20</v>
      </c>
      <c r="C40" s="807">
        <f>'IKF Finance'!J16</f>
        <v>2.2461394478240523E-2</v>
      </c>
      <c r="D40" s="807">
        <f>'IKF Finance'!K16</f>
        <v>1.7927681555758128E-2</v>
      </c>
      <c r="E40" s="807">
        <f>'IKF Finance'!L16</f>
        <v>1.4866637516397026E-2</v>
      </c>
      <c r="F40" s="807">
        <f>'IKF Finance'!M16</f>
        <v>1.6686531585220502E-2</v>
      </c>
      <c r="G40" s="516">
        <f>'Cholamandalam Inv &amp; Fin'!K15</f>
        <v>3.1322793752625346E-2</v>
      </c>
      <c r="H40" s="516">
        <f>'Cholamandalam Inv &amp; Fin'!L15</f>
        <v>2.3361768127181076E-2</v>
      </c>
      <c r="I40" s="516">
        <f>'Cholamandalam Inv &amp; Fin'!M15</f>
        <v>1.5681855658769856E-2</v>
      </c>
      <c r="J40" s="516">
        <f>'Cholamandalam Inv &amp; Fin'!N15</f>
        <v>1.6394648183811263E-2</v>
      </c>
      <c r="K40" s="130">
        <f>'SK Finance'!I15</f>
        <v>2.4409038718511866E-2</v>
      </c>
      <c r="L40" s="130">
        <f>'SK Finance'!J15</f>
        <v>3.3708795759483184E-2</v>
      </c>
      <c r="M40" s="130">
        <f>'SK Finance'!K15</f>
        <v>2.8331213791154445E-2</v>
      </c>
      <c r="N40" s="516">
        <v>4.1368570651283798E-2</v>
      </c>
      <c r="O40" s="516">
        <v>3.5370599120772853E-2</v>
      </c>
      <c r="P40" s="516">
        <f>'Shriram Finance'!N15</f>
        <v>3.0953195734969241E-2</v>
      </c>
      <c r="Q40" s="516">
        <f>'Shriram Finance'!O15</f>
        <v>2.8009505726005763E-2</v>
      </c>
      <c r="R40" s="516">
        <f>'Shriram Finance'!P15</f>
        <v>2.5831422459563859E-2</v>
      </c>
      <c r="S40" s="516">
        <f>'Shriram Finance'!Q15</f>
        <v>2.2733631785114717E-2</v>
      </c>
      <c r="T40" s="130">
        <f>'Indostar Capital '!J15</f>
        <v>3.6081575736447623E-2</v>
      </c>
      <c r="U40" s="130">
        <f>'Indostar Capital '!K15</f>
        <v>2.0323912353127978E-2</v>
      </c>
      <c r="V40" s="130">
        <f>'Indostar Capital '!L15</f>
        <v>2.4115755627009645E-2</v>
      </c>
      <c r="W40" s="130">
        <f>'Indostar Capital '!M15</f>
        <v>2.0332565126705688E-2</v>
      </c>
    </row>
    <row r="41" spans="2:23" x14ac:dyDescent="0.25">
      <c r="B41" s="474" t="s">
        <v>21</v>
      </c>
      <c r="C41" s="807">
        <f>'IKF Finance'!J17</f>
        <v>0.21311475409836075</v>
      </c>
      <c r="D41" s="807">
        <f>'IKF Finance'!K17</f>
        <v>0.23376623376623379</v>
      </c>
      <c r="E41" s="807">
        <f>'IKF Finance'!L17</f>
        <v>0.33980582524271846</v>
      </c>
      <c r="F41" s="807">
        <f>'IKF Finance'!M17</f>
        <v>0.33783783783783777</v>
      </c>
      <c r="G41" s="516">
        <f>(G39-G40)/G39</f>
        <v>0.33757318796688884</v>
      </c>
      <c r="H41" s="516">
        <f t="shared" ref="H41:J41" si="20">(H39-H40)/H39</f>
        <v>0.35177713736791555</v>
      </c>
      <c r="I41" s="516">
        <f t="shared" si="20"/>
        <v>0.45271436792633801</v>
      </c>
      <c r="J41" s="516">
        <f t="shared" si="20"/>
        <v>0.472883109206443</v>
      </c>
      <c r="K41" s="130">
        <f>'SK Finance'!I16</f>
        <v>0.30229079096033673</v>
      </c>
      <c r="L41" s="130">
        <f>'SK Finance'!J16</f>
        <v>0.28970331588132642</v>
      </c>
      <c r="M41" s="130">
        <f>'SK Finance'!K16</f>
        <v>0.34690553745928332</v>
      </c>
      <c r="N41" s="516">
        <v>0.4203798230033004</v>
      </c>
      <c r="O41" s="516">
        <v>0.49974402394360645</v>
      </c>
      <c r="P41" s="516">
        <f>'Shriram Finance'!N16</f>
        <v>0.50142152030630338</v>
      </c>
      <c r="Q41" s="516">
        <f>'Shriram Finance'!O16</f>
        <v>0.51792070192864825</v>
      </c>
      <c r="R41" s="516">
        <f>'Shriram Finance'!P16</f>
        <v>0.43289129149421401</v>
      </c>
      <c r="S41" s="516">
        <f>'Shriram Finance'!Q16</f>
        <v>0.50338354071163505</v>
      </c>
      <c r="T41" s="130">
        <f>'Indostar Capital '!J16</f>
        <v>0.55194805194805197</v>
      </c>
      <c r="U41" s="130">
        <f>'Indostar Capital '!K16</f>
        <v>0.59105431309904155</v>
      </c>
      <c r="V41" s="130">
        <f>'Indostar Capital '!L16</f>
        <v>0.46587537091988135</v>
      </c>
      <c r="W41" s="130">
        <f>'Indostar Capital '!M16</f>
        <v>0.57401830508004126</v>
      </c>
    </row>
    <row r="42" spans="2:23" x14ac:dyDescent="0.25">
      <c r="B42" s="474" t="s">
        <v>747</v>
      </c>
      <c r="C42" s="807" t="s">
        <v>373</v>
      </c>
      <c r="D42" s="807">
        <v>3.7999999999999999E-2</v>
      </c>
      <c r="E42" s="807">
        <v>3.4799999999999998E-2</v>
      </c>
      <c r="F42" s="807">
        <v>1.7600000000000001E-2</v>
      </c>
      <c r="G42" s="592" t="s">
        <v>373</v>
      </c>
      <c r="H42" s="592" t="s">
        <v>373</v>
      </c>
      <c r="I42" s="592" t="s">
        <v>373</v>
      </c>
      <c r="J42" s="592" t="s">
        <v>373</v>
      </c>
      <c r="K42" s="807" t="s">
        <v>373</v>
      </c>
      <c r="L42" s="807" t="s">
        <v>373</v>
      </c>
      <c r="M42" s="807">
        <v>7.3999999999999996E-2</v>
      </c>
      <c r="N42" s="592" t="s">
        <v>373</v>
      </c>
      <c r="O42" s="592" t="s">
        <v>373</v>
      </c>
      <c r="P42" s="592" t="s">
        <v>373</v>
      </c>
      <c r="Q42" s="592" t="s">
        <v>373</v>
      </c>
      <c r="R42" s="592" t="s">
        <v>373</v>
      </c>
      <c r="S42" s="592" t="s">
        <v>373</v>
      </c>
      <c r="T42" s="807" t="s">
        <v>373</v>
      </c>
      <c r="U42" s="807" t="s">
        <v>373</v>
      </c>
      <c r="V42" s="130">
        <v>0.06</v>
      </c>
      <c r="W42" s="109"/>
    </row>
    <row r="43" spans="2:23" x14ac:dyDescent="0.25">
      <c r="B43" s="474" t="s">
        <v>748</v>
      </c>
      <c r="C43" s="807" t="s">
        <v>373</v>
      </c>
      <c r="D43" s="807">
        <v>2.8000000000000001E-2</v>
      </c>
      <c r="E43" s="807">
        <v>3.7100000000000001E-2</v>
      </c>
      <c r="F43" s="807">
        <v>4.7399999999999998E-2</v>
      </c>
      <c r="G43" s="592" t="s">
        <v>373</v>
      </c>
      <c r="H43" s="592" t="s">
        <v>373</v>
      </c>
      <c r="I43" s="592" t="s">
        <v>373</v>
      </c>
      <c r="J43" s="592" t="s">
        <v>373</v>
      </c>
      <c r="K43" s="807" t="s">
        <v>373</v>
      </c>
      <c r="L43" s="807" t="s">
        <v>373</v>
      </c>
      <c r="M43" s="807">
        <v>4.2599999999999999E-2</v>
      </c>
      <c r="N43" s="592" t="s">
        <v>373</v>
      </c>
      <c r="O43" s="592" t="s">
        <v>373</v>
      </c>
      <c r="P43" s="592" t="s">
        <v>373</v>
      </c>
      <c r="Q43" s="592" t="s">
        <v>373</v>
      </c>
      <c r="R43" s="592" t="s">
        <v>373</v>
      </c>
      <c r="S43" s="592" t="s">
        <v>373</v>
      </c>
      <c r="T43" s="807" t="s">
        <v>373</v>
      </c>
      <c r="U43" s="807" t="s">
        <v>373</v>
      </c>
      <c r="V43" s="130">
        <v>0.02</v>
      </c>
      <c r="W43" s="109"/>
    </row>
    <row r="44" spans="2:23" x14ac:dyDescent="0.25">
      <c r="B44" s="474" t="s">
        <v>22</v>
      </c>
      <c r="C44" s="807">
        <f>'IKF Finance'!J18</f>
        <v>2.339728591483388E-3</v>
      </c>
      <c r="D44" s="807">
        <f>'IKF Finance'!K18</f>
        <v>4.8617441507140683E-3</v>
      </c>
      <c r="E44" s="807">
        <f>'IKF Finance'!L18</f>
        <v>8.7450808919982501E-3</v>
      </c>
      <c r="F44" s="807">
        <f>'IKF Finance'!M18</f>
        <v>1.4302741358760428E-2</v>
      </c>
      <c r="G44" s="516">
        <f>'Cholamandalam Inv &amp; Fin'!K16</f>
        <v>8.1147134074158935E-3</v>
      </c>
      <c r="H44" s="516">
        <f>'Cholamandalam Inv &amp; Fin'!L16</f>
        <v>1.0611144109289969E-2</v>
      </c>
      <c r="I44" s="516">
        <f>'Cholamandalam Inv &amp; Fin'!M16</f>
        <v>1.5284016742555629E-2</v>
      </c>
      <c r="J44" s="516">
        <f>'Cholamandalam Inv &amp; Fin'!N16</f>
        <v>1.770208334897785E-2</v>
      </c>
      <c r="K44" s="130">
        <f>'SK Finance'!I17</f>
        <v>1.217042320028199E-2</v>
      </c>
      <c r="L44" s="130">
        <f>'SK Finance'!J17</f>
        <v>2.1839026899380717E-2</v>
      </c>
      <c r="M44" s="130">
        <f>'SK Finance'!K17</f>
        <v>2.4858929388439834E-2</v>
      </c>
      <c r="N44" s="516">
        <v>2.7756946913859916E-2</v>
      </c>
      <c r="O44" s="516">
        <v>3.1922362264398679E-2</v>
      </c>
      <c r="P44" s="516">
        <f>'Shriram Finance'!N17</f>
        <v>2.4312603696264923E-2</v>
      </c>
      <c r="Q44" s="516">
        <f>'Shriram Finance'!O17</f>
        <v>2.3095893163514108E-2</v>
      </c>
      <c r="R44" s="516">
        <f>'Shriram Finance'!P17</f>
        <v>2.2708355736566911E-2</v>
      </c>
      <c r="S44" s="516">
        <f>'Shriram Finance'!Q17</f>
        <v>1.9063363635714439E-2</v>
      </c>
      <c r="T44" s="130">
        <f>'Indostar Capital '!J17</f>
        <v>-6.9722851664633084E-3</v>
      </c>
      <c r="U44" s="130">
        <f>'Indostar Capital '!K17</f>
        <v>1.3793103448275862E-2</v>
      </c>
      <c r="V44" s="130">
        <f>'Indostar Capital '!L17</f>
        <v>2.0055224531318121E-2</v>
      </c>
      <c r="W44" s="130">
        <f>'Indostar Capital '!M17</f>
        <v>8.1101721834611062E-2</v>
      </c>
    </row>
    <row r="45" spans="2:23" x14ac:dyDescent="0.25">
      <c r="B45" s="565" t="s">
        <v>30</v>
      </c>
      <c r="C45" s="807"/>
      <c r="D45" s="807"/>
      <c r="E45" s="807"/>
      <c r="F45" s="807"/>
      <c r="G45" s="516"/>
      <c r="H45" s="516"/>
      <c r="I45" s="516"/>
      <c r="J45" s="516"/>
      <c r="K45" s="130"/>
      <c r="L45" s="130"/>
      <c r="M45" s="130"/>
      <c r="N45" s="516" t="s">
        <v>5</v>
      </c>
      <c r="O45" s="516"/>
      <c r="P45" s="516"/>
      <c r="Q45" s="516"/>
      <c r="R45" s="516"/>
      <c r="S45" s="516"/>
      <c r="T45" s="130"/>
      <c r="U45" s="109"/>
      <c r="V45" s="109"/>
      <c r="W45" s="109"/>
    </row>
    <row r="46" spans="2:23" ht="30" x14ac:dyDescent="0.25">
      <c r="B46" s="476" t="s">
        <v>95</v>
      </c>
      <c r="C46" s="807">
        <f>'IKF Finance'!J20</f>
        <v>2.6410998552821998E-2</v>
      </c>
      <c r="D46" s="807">
        <f>'IKF Finance'!K20</f>
        <v>2.9379760609357999E-2</v>
      </c>
      <c r="E46" s="807">
        <f>'IKF Finance'!L20</f>
        <v>2.9728651237031126E-2</v>
      </c>
      <c r="F46" s="807">
        <f>'IKF Finance'!M20</f>
        <v>3.8478614769868281E-2</v>
      </c>
      <c r="G46" s="516">
        <f>'Cholamandalam Inv &amp; Fin'!K18</f>
        <v>3.7237041474329609E-2</v>
      </c>
      <c r="H46" s="516">
        <f>'Cholamandalam Inv &amp; Fin'!L18</f>
        <v>4.0990195097919374E-2</v>
      </c>
      <c r="I46" s="516">
        <f>'Cholamandalam Inv &amp; Fin'!M18</f>
        <v>4.4239162913049183E-2</v>
      </c>
      <c r="J46" s="516">
        <f>'Cholamandalam Inv &amp; Fin'!N18</f>
        <v>4.4923195393962188E-2</v>
      </c>
      <c r="K46" s="130">
        <f>'SK Finance'!I19</f>
        <v>4.160719112854367E-2</v>
      </c>
      <c r="L46" s="130">
        <f>'SK Finance'!J19</f>
        <v>5.1860706239963125E-2</v>
      </c>
      <c r="M46" s="130">
        <f>'SK Finance'!K19</f>
        <v>5.4588437567160975E-2</v>
      </c>
      <c r="N46" s="516">
        <v>5.2453241416478051E-2</v>
      </c>
      <c r="O46" s="516">
        <v>5.4512671856279359E-2</v>
      </c>
      <c r="P46" s="516">
        <f>'Shriram Finance'!N19</f>
        <v>6.3985782204372579E-2</v>
      </c>
      <c r="Q46" s="516">
        <f>'Shriram Finance'!O19</f>
        <v>6.4416855749515223E-2</v>
      </c>
      <c r="R46" s="516">
        <f>'Shriram Finance'!P19</f>
        <v>6.1237204260772234E-2</v>
      </c>
      <c r="S46" s="516">
        <f>'Shriram Finance'!Q19</f>
        <v>6.0592263274375856E-2</v>
      </c>
      <c r="T46" s="130">
        <f>'Indostar Capital '!J19</f>
        <v>1.5112421673424253E-2</v>
      </c>
      <c r="U46" s="130">
        <f>'Indostar Capital '!K19</f>
        <v>1.5288949740430144E-2</v>
      </c>
      <c r="V46" s="130">
        <f>'Indostar Capital '!L19</f>
        <v>1.8062723302897977E-2</v>
      </c>
      <c r="W46" s="130">
        <f>'Indostar Capital '!M19</f>
        <v>2.6219440820340011E-2</v>
      </c>
    </row>
    <row r="47" spans="2:23" x14ac:dyDescent="0.25">
      <c r="B47" s="474" t="s">
        <v>31</v>
      </c>
      <c r="C47" s="807">
        <f>'IKF Finance'!J21</f>
        <v>2.23E-2</v>
      </c>
      <c r="D47" s="807">
        <f>'IKF Finance'!K21</f>
        <v>2.3900000000000001E-2</v>
      </c>
      <c r="E47" s="807">
        <f>'IKF Finance'!L21</f>
        <v>2.4799999999999999E-2</v>
      </c>
      <c r="F47" s="807">
        <f>'IKF Finance'!M21</f>
        <v>2.8000000000000001E-2</v>
      </c>
      <c r="G47" s="516">
        <f>'Cholamandalam Inv &amp; Fin'!K19</f>
        <v>2.3485676028048911E-2</v>
      </c>
      <c r="H47" s="516">
        <f>'Cholamandalam Inv &amp; Fin'!L19</f>
        <v>2.5358654946715711E-2</v>
      </c>
      <c r="I47" s="516">
        <f>'Cholamandalam Inv &amp; Fin'!M19</f>
        <v>2.3786718198040208E-2</v>
      </c>
      <c r="J47" s="516">
        <f>'Cholamandalam Inv &amp; Fin'!N19</f>
        <v>2.337044847084738E-2</v>
      </c>
      <c r="K47" s="130">
        <f>'SK Finance'!I20</f>
        <v>2.5340824059736772E-2</v>
      </c>
      <c r="L47" s="130">
        <f>'SK Finance'!J20</f>
        <v>2.7408996343791361E-2</v>
      </c>
      <c r="M47" s="130">
        <f>'SK Finance'!K20</f>
        <v>2.6465260507813698E-2</v>
      </c>
      <c r="N47" s="516">
        <v>2.0396573897787849E-2</v>
      </c>
      <c r="O47" s="516">
        <v>1.9920959270479734E-2</v>
      </c>
      <c r="P47" s="516">
        <f>'Shriram Finance'!N20</f>
        <v>3.0994077067503976E-2</v>
      </c>
      <c r="Q47" s="516">
        <f>'Shriram Finance'!O20</f>
        <v>3.2614333559811678E-2</v>
      </c>
      <c r="R47" s="516">
        <f>'Shriram Finance'!P20</f>
        <v>3.675877946315876E-2</v>
      </c>
      <c r="S47" s="516">
        <f>'Shriram Finance'!Q20</f>
        <v>3.251577737197197E-2</v>
      </c>
      <c r="T47" s="130">
        <f>'Indostar Capital '!J20</f>
        <v>2.297579555227915E-2</v>
      </c>
      <c r="U47" s="130">
        <f>'Indostar Capital '!K20</f>
        <v>8.2149580694848533E-3</v>
      </c>
      <c r="V47" s="130">
        <f>'Indostar Capital '!L20</f>
        <v>5.2600238189757838E-3</v>
      </c>
      <c r="W47" s="130">
        <f>'Indostar Capital '!M20</f>
        <v>1.2844540913749423E-2</v>
      </c>
    </row>
    <row r="48" spans="2:23" x14ac:dyDescent="0.25">
      <c r="B48" s="474" t="s">
        <v>32</v>
      </c>
      <c r="C48" s="807">
        <f>'IKF Finance'!J22</f>
        <v>9.8699999999999996E-2</v>
      </c>
      <c r="D48" s="807">
        <f>'IKF Finance'!K22</f>
        <v>0.10489999999999999</v>
      </c>
      <c r="E48" s="807">
        <f>'IKF Finance'!L22</f>
        <v>0.1234</v>
      </c>
      <c r="F48" s="807">
        <f>'IKF Finance'!M22</f>
        <v>0.1265</v>
      </c>
      <c r="G48" s="516">
        <f>'Cholamandalam Inv &amp; Fin'!K20</f>
        <v>0.19549754344797243</v>
      </c>
      <c r="H48" s="516">
        <f>'Cholamandalam Inv &amp; Fin'!L20</f>
        <v>0.21062023135614077</v>
      </c>
      <c r="I48" s="516">
        <f>'Cholamandalam Inv &amp; Fin'!M20</f>
        <v>0.20517390885441758</v>
      </c>
      <c r="J48" s="516">
        <f>'Cholamandalam Inv &amp; Fin'!N20</f>
        <v>0.20134228187919462</v>
      </c>
      <c r="K48" s="130">
        <f>'SK Finance'!I21</f>
        <v>0.10142884982260385</v>
      </c>
      <c r="L48" s="130">
        <f>'SK Finance'!J21</f>
        <v>0.11595455844603315</v>
      </c>
      <c r="M48" s="130">
        <f>'SK Finance'!K21</f>
        <v>0.11598493003229279</v>
      </c>
      <c r="N48" s="516">
        <v>0.12570321626602429</v>
      </c>
      <c r="O48" s="516">
        <v>0.11401676106555375</v>
      </c>
      <c r="P48" s="516">
        <f>'Shriram Finance'!N21</f>
        <v>0.15462700096300844</v>
      </c>
      <c r="Q48" s="516">
        <f>'Shriram Finance'!O21</f>
        <v>0.15652740467132364</v>
      </c>
      <c r="R48" s="516">
        <f>'Shriram Finance'!P21</f>
        <v>0.19666273750863711</v>
      </c>
      <c r="S48" s="516">
        <f>'Shriram Finance'!Q21</f>
        <v>0.18077277740611497</v>
      </c>
      <c r="T48" s="130">
        <f>'Indostar Capital '!J21</f>
        <v>7.837384744341995E-2</v>
      </c>
      <c r="U48" s="130">
        <f>'Indostar Capital '!K21</f>
        <v>2.9623534252211481E-2</v>
      </c>
      <c r="V48" s="130">
        <f>'Indostar Capital '!L21</f>
        <v>2.0079560522826292E-2</v>
      </c>
      <c r="W48" s="130">
        <f>'Indostar Capital '!M21</f>
        <v>4.3691778523489939E-2</v>
      </c>
    </row>
    <row r="49" spans="2:23" x14ac:dyDescent="0.25">
      <c r="B49" s="565" t="s">
        <v>33</v>
      </c>
      <c r="C49" s="807"/>
      <c r="D49" s="807"/>
      <c r="E49" s="807"/>
      <c r="F49" s="807"/>
      <c r="G49" s="516"/>
      <c r="H49" s="516"/>
      <c r="I49" s="516"/>
      <c r="J49" s="516"/>
      <c r="K49" s="130"/>
      <c r="L49" s="130"/>
      <c r="M49" s="130"/>
      <c r="N49" s="516" t="s">
        <v>5</v>
      </c>
      <c r="O49" s="516"/>
      <c r="P49" s="516"/>
      <c r="Q49" s="516"/>
      <c r="R49" s="516"/>
      <c r="S49" s="516"/>
      <c r="T49" s="109"/>
      <c r="U49" s="109"/>
      <c r="V49" s="109"/>
      <c r="W49" s="109"/>
    </row>
    <row r="50" spans="2:23" x14ac:dyDescent="0.25">
      <c r="B50" s="474" t="s">
        <v>34</v>
      </c>
      <c r="C50" s="807">
        <f>'IKF Finance'!J24</f>
        <v>0.15229999999999999</v>
      </c>
      <c r="D50" s="807">
        <f>'IKF Finance'!K24</f>
        <v>0.15529999999999999</v>
      </c>
      <c r="E50" s="807">
        <f>'IKF Finance'!L24</f>
        <v>0.15720000000000001</v>
      </c>
      <c r="F50" s="807">
        <f>'IKF Finance'!M24</f>
        <v>0.16500000000000001</v>
      </c>
      <c r="G50" s="516">
        <f>'Cholamandalam Inv &amp; Fin'!K22</f>
        <v>0.11534349104517509</v>
      </c>
      <c r="H50" s="516">
        <f>'Cholamandalam Inv &amp; Fin'!L22</f>
        <v>0.14138025139261234</v>
      </c>
      <c r="I50" s="516">
        <f>'Cholamandalam Inv &amp; Fin'!M22</f>
        <v>0.14536362354988755</v>
      </c>
      <c r="J50" s="516">
        <f>'Cholamandalam Inv &amp; Fin'!N22</f>
        <v>0.14204219764155784</v>
      </c>
      <c r="K50" s="130">
        <f>'SK Finance'!I23</f>
        <v>0.17699999999999999</v>
      </c>
      <c r="L50" s="130">
        <f>'SK Finance'!J23</f>
        <v>0.17349999999999999</v>
      </c>
      <c r="M50" s="130">
        <f>'SK Finance'!K23</f>
        <v>0.17249999999999999</v>
      </c>
      <c r="N50" s="516">
        <v>0.14785763527439405</v>
      </c>
      <c r="O50" s="516">
        <v>0.14906018265611126</v>
      </c>
      <c r="P50" s="516">
        <f>'Shriram Finance'!N23</f>
        <v>0.16077696140884112</v>
      </c>
      <c r="Q50" s="516">
        <f>'Shriram Finance'!O23</f>
        <v>0.17174762361628351</v>
      </c>
      <c r="R50" s="516">
        <f>'Shriram Finance'!P23</f>
        <v>0.17231332888357287</v>
      </c>
      <c r="S50" s="516">
        <f>'Shriram Finance'!Q23</f>
        <v>0.16654645690658632</v>
      </c>
      <c r="T50" s="130">
        <f>'Indostar Capital '!J23</f>
        <v>0.15060135959560747</v>
      </c>
      <c r="U50" s="130">
        <f>'Indostar Capital '!K23</f>
        <v>0.14557540506855007</v>
      </c>
      <c r="V50" s="130">
        <f>'Indostar Capital '!L23</f>
        <v>0.16756285423630285</v>
      </c>
      <c r="W50" s="130">
        <f>'Indostar Capital '!M23</f>
        <v>0.1648828826163912</v>
      </c>
    </row>
    <row r="51" spans="2:23" x14ac:dyDescent="0.25">
      <c r="B51" s="474" t="s">
        <v>35</v>
      </c>
      <c r="C51" s="807">
        <f>'IKF Finance'!J25</f>
        <v>9.2100000000000001E-2</v>
      </c>
      <c r="D51" s="807">
        <f>'IKF Finance'!K25</f>
        <v>9.2299999999999993E-2</v>
      </c>
      <c r="E51" s="807">
        <f>'IKF Finance'!L25</f>
        <v>9.9699999999999997E-2</v>
      </c>
      <c r="F51" s="807">
        <f>'IKF Finance'!M25</f>
        <v>9.6199999999999994E-2</v>
      </c>
      <c r="G51" s="516">
        <f>'Cholamandalam Inv &amp; Fin'!K23</f>
        <v>5.9051316816631741E-2</v>
      </c>
      <c r="H51" s="516">
        <f>'Cholamandalam Inv &amp; Fin'!L23</f>
        <v>9.4816960433871569E-2</v>
      </c>
      <c r="I51" s="516">
        <f>'Cholamandalam Inv &amp; Fin'!M23</f>
        <v>9.2843226199860199E-2</v>
      </c>
      <c r="J51" s="516">
        <f>'Cholamandalam Inv &amp; Fin'!N23</f>
        <v>8.2120249548664273E-2</v>
      </c>
      <c r="K51" s="130">
        <f>'SK Finance'!I24</f>
        <v>9.35E-2</v>
      </c>
      <c r="L51" s="130">
        <f>'SK Finance'!J24</f>
        <v>9.4600000000000004E-2</v>
      </c>
      <c r="M51" s="130">
        <f>'SK Finance'!K24</f>
        <v>9.1600000000000001E-2</v>
      </c>
      <c r="N51" s="516">
        <v>9.028611520392868E-2</v>
      </c>
      <c r="O51" s="516">
        <v>8.8215799386949623E-2</v>
      </c>
      <c r="P51" s="516">
        <f>'Shriram Finance'!N24</f>
        <v>8.2800784503932079E-2</v>
      </c>
      <c r="Q51" s="516">
        <f>'Shriram Finance'!O24</f>
        <v>8.6145342235722303E-2</v>
      </c>
      <c r="R51" s="516">
        <f>'Shriram Finance'!P24</f>
        <v>8.7815479668325383E-2</v>
      </c>
      <c r="S51" s="516">
        <f>'Shriram Finance'!Q24</f>
        <v>8.8702032067927955E-2</v>
      </c>
      <c r="T51" s="130">
        <f>'Indostar Capital '!J24</f>
        <v>0.10762518179929358</v>
      </c>
      <c r="U51" s="130">
        <f>'Indostar Capital '!K24</f>
        <v>0.10697845700607624</v>
      </c>
      <c r="V51" s="130">
        <f>'Indostar Capital '!L24</f>
        <v>0.11430775163902815</v>
      </c>
      <c r="W51" s="130">
        <f>'Indostar Capital '!M24</f>
        <v>0.10024501656622488</v>
      </c>
    </row>
    <row r="52" spans="2:23" x14ac:dyDescent="0.25">
      <c r="B52" s="474" t="s">
        <v>36</v>
      </c>
      <c r="C52" s="807">
        <f>'IKF Finance'!J26</f>
        <v>6.0100000000000001E-2</v>
      </c>
      <c r="D52" s="807">
        <f>'IKF Finance'!K26</f>
        <v>6.2899999999999998E-2</v>
      </c>
      <c r="E52" s="807">
        <f>'IKF Finance'!L26</f>
        <v>5.7500000000000002E-2</v>
      </c>
      <c r="F52" s="807">
        <f>'IKF Finance'!M26</f>
        <v>6.8699999999999997E-2</v>
      </c>
      <c r="G52" s="516">
        <f>'Cholamandalam Inv &amp; Fin'!K24</f>
        <v>5.6292174228543351E-2</v>
      </c>
      <c r="H52" s="516">
        <f>'Cholamandalam Inv &amp; Fin'!L24</f>
        <v>4.6563290958740775E-2</v>
      </c>
      <c r="I52" s="516">
        <f>'Cholamandalam Inv &amp; Fin'!M24</f>
        <v>5.2520397350027351E-2</v>
      </c>
      <c r="J52" s="516">
        <f>'Cholamandalam Inv &amp; Fin'!N24</f>
        <v>5.992194809289357E-2</v>
      </c>
      <c r="K52" s="130">
        <f>'SK Finance'!I25</f>
        <v>8.3500000000000005E-2</v>
      </c>
      <c r="L52" s="130">
        <f>'SK Finance'!J25</f>
        <v>7.8899999999999998E-2</v>
      </c>
      <c r="M52" s="130">
        <f>'SK Finance'!K25</f>
        <v>8.0799999999999997E-2</v>
      </c>
      <c r="N52" s="516">
        <v>5.7571520070465371E-2</v>
      </c>
      <c r="O52" s="516">
        <v>6.0844383269161639E-2</v>
      </c>
      <c r="P52" s="516">
        <f>'Shriram Finance'!N25</f>
        <v>7.7976176904909045E-2</v>
      </c>
      <c r="Q52" s="516">
        <f>'Shriram Finance'!O25</f>
        <v>8.560228138056121E-2</v>
      </c>
      <c r="R52" s="516">
        <f>'Shriram Finance'!P25</f>
        <v>8.4497849215247486E-2</v>
      </c>
      <c r="S52" s="516">
        <f>'Shriram Finance'!Q25</f>
        <v>7.784442483865836E-2</v>
      </c>
      <c r="T52" s="130">
        <f>'Indostar Capital '!J25</f>
        <v>4.2976177796313894E-2</v>
      </c>
      <c r="U52" s="130">
        <f>'Indostar Capital '!K25</f>
        <v>3.8596948062473838E-2</v>
      </c>
      <c r="V52" s="130">
        <f>'Indostar Capital '!L25</f>
        <v>5.3255102597274701E-2</v>
      </c>
      <c r="W52" s="130">
        <f>'Indostar Capital '!M25</f>
        <v>6.4637866050166318E-2</v>
      </c>
    </row>
    <row r="53" spans="2:23" x14ac:dyDescent="0.25">
      <c r="B53" s="512"/>
      <c r="C53" s="512"/>
      <c r="D53" s="512"/>
    </row>
    <row r="54" spans="2:23" x14ac:dyDescent="0.25">
      <c r="B54" s="512"/>
      <c r="C54" s="512"/>
      <c r="D54" s="512"/>
    </row>
    <row r="55" spans="2:23" x14ac:dyDescent="0.25">
      <c r="B55" s="512"/>
      <c r="C55" s="512"/>
      <c r="D55" s="512"/>
    </row>
    <row r="56" spans="2:23" x14ac:dyDescent="0.25">
      <c r="B56" s="512"/>
      <c r="C56" s="512"/>
      <c r="D56" s="512"/>
    </row>
  </sheetData>
  <mergeCells count="11">
    <mergeCell ref="K3:M3"/>
    <mergeCell ref="K6:M6"/>
    <mergeCell ref="T6:W6"/>
    <mergeCell ref="C2:W2"/>
    <mergeCell ref="T3:W3"/>
    <mergeCell ref="G3:J3"/>
    <mergeCell ref="G6:J6"/>
    <mergeCell ref="N3:S3"/>
    <mergeCell ref="N6:S6"/>
    <mergeCell ref="C3:F3"/>
    <mergeCell ref="C6:F6"/>
  </mergeCells>
  <pageMargins left="0.7" right="0.7" top="0.75" bottom="0.75" header="0.3" footer="0.3"/>
  <pageSetup paperSize="9" orientation="portrait" r:id="rId1"/>
  <ignoredErrors>
    <ignoredError sqref="Q12 T9:U9" formulaRange="1"/>
    <ignoredError sqref="P9:P1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2:N53"/>
  <sheetViews>
    <sheetView showGridLines="0" zoomScale="73" zoomScaleNormal="90" workbookViewId="0">
      <selection activeCell="C3" sqref="C3:N3"/>
    </sheetView>
  </sheetViews>
  <sheetFormatPr defaultRowHeight="15" x14ac:dyDescent="0.25"/>
  <cols>
    <col min="1" max="1" width="1.85546875" customWidth="1"/>
    <col min="2" max="2" width="33.85546875" bestFit="1" customWidth="1"/>
    <col min="3" max="14" width="15.7109375" customWidth="1"/>
  </cols>
  <sheetData>
    <row r="2" spans="2:14" ht="21" customHeight="1" x14ac:dyDescent="0.25">
      <c r="C2" s="722" t="s">
        <v>755</v>
      </c>
      <c r="D2" s="722"/>
      <c r="E2" s="722"/>
      <c r="F2" s="722"/>
      <c r="G2" s="722"/>
      <c r="H2" s="722"/>
      <c r="I2" s="722"/>
      <c r="J2" s="722"/>
      <c r="K2" s="722"/>
      <c r="L2" s="722"/>
      <c r="M2" s="722"/>
      <c r="N2" s="722"/>
    </row>
    <row r="3" spans="2:14" ht="18.75" x14ac:dyDescent="0.25">
      <c r="C3" s="821" t="s">
        <v>158</v>
      </c>
      <c r="D3" s="765"/>
      <c r="E3" s="822"/>
      <c r="F3" s="821" t="s">
        <v>751</v>
      </c>
      <c r="G3" s="765"/>
      <c r="H3" s="822"/>
      <c r="I3" s="821" t="s">
        <v>164</v>
      </c>
      <c r="J3" s="765"/>
      <c r="K3" s="765"/>
      <c r="L3" s="823" t="s">
        <v>760</v>
      </c>
      <c r="M3" s="823"/>
      <c r="N3" s="823"/>
    </row>
    <row r="4" spans="2:14" x14ac:dyDescent="0.25">
      <c r="B4" s="617"/>
      <c r="C4" s="603" t="s">
        <v>367</v>
      </c>
      <c r="D4" s="603" t="s">
        <v>368</v>
      </c>
      <c r="E4" s="603" t="s">
        <v>693</v>
      </c>
      <c r="F4" s="603" t="s">
        <v>367</v>
      </c>
      <c r="G4" s="603" t="s">
        <v>368</v>
      </c>
      <c r="H4" s="603" t="s">
        <v>693</v>
      </c>
      <c r="I4" s="603" t="s">
        <v>367</v>
      </c>
      <c r="J4" s="603" t="s">
        <v>368</v>
      </c>
      <c r="K4" s="603" t="s">
        <v>693</v>
      </c>
      <c r="L4" s="603" t="s">
        <v>367</v>
      </c>
      <c r="M4" s="603" t="s">
        <v>368</v>
      </c>
      <c r="N4" s="603" t="s">
        <v>693</v>
      </c>
    </row>
    <row r="5" spans="2:14" x14ac:dyDescent="0.25">
      <c r="B5" s="604" t="s">
        <v>4</v>
      </c>
      <c r="C5" s="603" t="s">
        <v>46</v>
      </c>
      <c r="D5" s="603" t="s">
        <v>46</v>
      </c>
      <c r="E5" s="603" t="s">
        <v>46</v>
      </c>
      <c r="F5" s="603" t="s">
        <v>46</v>
      </c>
      <c r="G5" s="603" t="s">
        <v>46</v>
      </c>
      <c r="H5" s="603" t="s">
        <v>46</v>
      </c>
      <c r="I5" s="603" t="s">
        <v>46</v>
      </c>
      <c r="J5" s="603" t="s">
        <v>46</v>
      </c>
      <c r="K5" s="603" t="s">
        <v>46</v>
      </c>
      <c r="L5" s="603" t="s">
        <v>46</v>
      </c>
      <c r="M5" s="603" t="s">
        <v>46</v>
      </c>
      <c r="N5" s="603" t="s">
        <v>46</v>
      </c>
    </row>
    <row r="6" spans="2:14" x14ac:dyDescent="0.25">
      <c r="B6" s="618"/>
      <c r="C6" s="723" t="s">
        <v>111</v>
      </c>
      <c r="D6" s="724"/>
      <c r="E6" s="725"/>
      <c r="F6" s="723" t="s">
        <v>111</v>
      </c>
      <c r="G6" s="724"/>
      <c r="H6" s="725"/>
      <c r="I6" s="726" t="s">
        <v>111</v>
      </c>
      <c r="J6" s="727"/>
      <c r="K6" s="727"/>
      <c r="L6" s="721" t="s">
        <v>111</v>
      </c>
      <c r="M6" s="721"/>
      <c r="N6" s="721"/>
    </row>
    <row r="7" spans="2:14" x14ac:dyDescent="0.25">
      <c r="B7" s="619" t="s">
        <v>23</v>
      </c>
      <c r="C7" s="612">
        <f>'Avanse Financial'!C6</f>
        <v>1726.2</v>
      </c>
      <c r="D7" s="612">
        <f>'Avanse Financial'!D6</f>
        <v>2013</v>
      </c>
      <c r="E7" s="612">
        <f>'Avanse Financial'!E6</f>
        <v>2882</v>
      </c>
      <c r="F7" s="614">
        <f>'Auxilo Finserve '!C6</f>
        <v>356.7</v>
      </c>
      <c r="G7" s="614">
        <f>'Auxilo Finserve '!D6</f>
        <v>528.1</v>
      </c>
      <c r="H7" s="614">
        <f>'Auxilo Finserve '!E6</f>
        <v>675.8</v>
      </c>
      <c r="I7" s="611">
        <f>'Hdfc Credila'!C6</f>
        <v>2771.04</v>
      </c>
      <c r="J7" s="611">
        <f>'Hdfc Credila'!D6</f>
        <v>4726</v>
      </c>
      <c r="K7" s="611">
        <f>'Hdfc Credila'!E6</f>
        <v>6061.49</v>
      </c>
      <c r="L7" s="613">
        <f>'EdGro Finance'!C6</f>
        <v>4</v>
      </c>
      <c r="M7" s="613">
        <f>'EdGro Finance'!D6</f>
        <v>48</v>
      </c>
      <c r="N7" s="613">
        <f>'EdGro Finance'!E6</f>
        <v>102</v>
      </c>
    </row>
    <row r="8" spans="2:14" x14ac:dyDescent="0.25">
      <c r="B8" s="164" t="s">
        <v>50</v>
      </c>
      <c r="C8" s="612">
        <f>'Avanse Financial'!C7</f>
        <v>1386.4</v>
      </c>
      <c r="D8" s="612">
        <f>'Avanse Financial'!D7</f>
        <v>1963.7</v>
      </c>
      <c r="E8" s="612">
        <f>'Avanse Financial'!E7</f>
        <v>2462.4</v>
      </c>
      <c r="F8" s="614">
        <f>'Auxilo Finserve '!C7</f>
        <v>312.10000000000002</v>
      </c>
      <c r="G8" s="614">
        <f>'Auxilo Finserve '!D7</f>
        <v>463.9</v>
      </c>
      <c r="H8" s="614">
        <f>'Auxilo Finserve '!E7</f>
        <v>596.29999999999995</v>
      </c>
      <c r="I8" s="611">
        <f>'Hdfc Credila'!C7</f>
        <v>2535.35</v>
      </c>
      <c r="J8" s="611">
        <f>'Hdfc Credila'!D7</f>
        <v>4165.57</v>
      </c>
      <c r="K8" s="611">
        <f>'Hdfc Credila'!E7</f>
        <v>5690.4</v>
      </c>
      <c r="L8" s="613">
        <f>'EdGro Finance'!C7</f>
        <v>3</v>
      </c>
      <c r="M8" s="613">
        <f>'EdGro Finance'!D7</f>
        <v>32</v>
      </c>
      <c r="N8" s="613">
        <f>'EdGro Finance'!E7</f>
        <v>74</v>
      </c>
    </row>
    <row r="9" spans="2:14" x14ac:dyDescent="0.25">
      <c r="B9" s="164" t="s">
        <v>52</v>
      </c>
      <c r="C9" s="611">
        <f>'Avanse Financial'!C9</f>
        <v>339.7</v>
      </c>
      <c r="D9" s="611">
        <f>'Avanse Financial'!D9</f>
        <v>49.3</v>
      </c>
      <c r="E9" s="611">
        <f>'Avanse Financial'!E9</f>
        <v>419.6</v>
      </c>
      <c r="F9" s="613">
        <f>'Auxilo Finserve '!C9</f>
        <v>44.599999999999966</v>
      </c>
      <c r="G9" s="613">
        <f>'Auxilo Finserve '!D9</f>
        <v>64.200000000000045</v>
      </c>
      <c r="H9" s="613">
        <f>'Auxilo Finserve '!E9</f>
        <v>79.5</v>
      </c>
      <c r="I9" s="611">
        <f>'Hdfc Credila'!C9</f>
        <v>235.69</v>
      </c>
      <c r="J9" s="611">
        <f>'Hdfc Credila'!D9</f>
        <v>560.42999999999995</v>
      </c>
      <c r="K9" s="611">
        <f>'Hdfc Credila'!E9</f>
        <v>371.09</v>
      </c>
      <c r="L9" s="613">
        <f>'EdGro Finance'!C9</f>
        <v>1</v>
      </c>
      <c r="M9" s="613">
        <f>'EdGro Finance'!D9</f>
        <v>16</v>
      </c>
      <c r="N9" s="613">
        <f>'EdGro Finance'!E9</f>
        <v>19</v>
      </c>
    </row>
    <row r="10" spans="2:14" x14ac:dyDescent="0.25">
      <c r="B10" s="164" t="s">
        <v>24</v>
      </c>
      <c r="C10" s="611">
        <f>'Avanse Financial'!C10</f>
        <v>875.6</v>
      </c>
      <c r="D10" s="611">
        <f>'Avanse Financial'!D10</f>
        <v>1217</v>
      </c>
      <c r="E10" s="611">
        <f>'Avanse Financial'!E10</f>
        <v>1530</v>
      </c>
      <c r="F10" s="613">
        <f>'Auxilo Finserve '!C10</f>
        <v>195.3</v>
      </c>
      <c r="G10" s="613">
        <f>'Auxilo Finserve '!D10</f>
        <v>282.2</v>
      </c>
      <c r="H10" s="613">
        <f>'Auxilo Finserve '!E10</f>
        <v>384.7</v>
      </c>
      <c r="I10" s="611">
        <f>'Hdfc Credila'!C10</f>
        <v>1731.02</v>
      </c>
      <c r="J10" s="611">
        <f>'Hdfc Credila'!D10</f>
        <v>2893.44</v>
      </c>
      <c r="K10" s="611">
        <f>'Hdfc Credila'!E10</f>
        <v>3639.34</v>
      </c>
      <c r="L10" s="613">
        <f>'EdGro Finance'!C10</f>
        <v>3</v>
      </c>
      <c r="M10" s="613">
        <f>'EdGro Finance'!D10</f>
        <v>24</v>
      </c>
      <c r="N10" s="613">
        <f>'EdGro Finance'!E10</f>
        <v>34</v>
      </c>
    </row>
    <row r="11" spans="2:14" x14ac:dyDescent="0.25">
      <c r="B11" s="164" t="s">
        <v>53</v>
      </c>
      <c r="C11" s="611">
        <f>'Avanse Financial'!C11</f>
        <v>510.8</v>
      </c>
      <c r="D11" s="611">
        <f>'Avanse Financial'!D11</f>
        <v>746.7</v>
      </c>
      <c r="E11" s="611">
        <f>'Avanse Financial'!E11</f>
        <v>932.4</v>
      </c>
      <c r="F11" s="613">
        <f>'Auxilo Finserve '!C11</f>
        <v>116.9</v>
      </c>
      <c r="G11" s="613">
        <f>'Auxilo Finserve '!D11</f>
        <v>181.7</v>
      </c>
      <c r="H11" s="613">
        <f>'Auxilo Finserve '!E11</f>
        <v>211.6</v>
      </c>
      <c r="I11" s="611">
        <f>'Hdfc Credila'!C11</f>
        <v>804.33</v>
      </c>
      <c r="J11" s="611">
        <f>'Hdfc Credila'!D11</f>
        <v>1272.1300000000001</v>
      </c>
      <c r="K11" s="611">
        <f>'Hdfc Credila'!E11</f>
        <v>2051.06</v>
      </c>
      <c r="L11" s="613">
        <f>'EdGro Finance'!C11</f>
        <v>0</v>
      </c>
      <c r="M11" s="613">
        <f>'EdGro Finance'!D11</f>
        <v>8</v>
      </c>
      <c r="N11" s="613">
        <f>'EdGro Finance'!E11</f>
        <v>40</v>
      </c>
    </row>
    <row r="12" spans="2:14" x14ac:dyDescent="0.25">
      <c r="B12" s="164" t="s">
        <v>1</v>
      </c>
      <c r="C12" s="611">
        <f>'Avanse Financial'!C12</f>
        <v>1726.1000000000001</v>
      </c>
      <c r="D12" s="611">
        <f>'Avanse Financial'!D12</f>
        <v>2013</v>
      </c>
      <c r="E12" s="611">
        <f>'Avanse Financial'!E12</f>
        <v>2882</v>
      </c>
      <c r="F12" s="613">
        <f>'Auxilo Finserve '!C12</f>
        <v>356.7</v>
      </c>
      <c r="G12" s="613">
        <f>'Auxilo Finserve '!D12</f>
        <v>528.1</v>
      </c>
      <c r="H12" s="613">
        <f>'Auxilo Finserve '!E12</f>
        <v>675.8</v>
      </c>
      <c r="I12" s="611">
        <f>'Hdfc Credila'!C12</f>
        <v>2771.04</v>
      </c>
      <c r="J12" s="611">
        <f>'Hdfc Credila'!D12</f>
        <v>4726</v>
      </c>
      <c r="K12" s="611">
        <f>'Hdfc Credila'!E12</f>
        <v>6061.49</v>
      </c>
      <c r="L12" s="613">
        <f>'EdGro Finance'!C12</f>
        <v>4</v>
      </c>
      <c r="M12" s="613">
        <f>'EdGro Finance'!D12</f>
        <v>48</v>
      </c>
      <c r="N12" s="613">
        <f>'EdGro Finance'!E12</f>
        <v>93</v>
      </c>
    </row>
    <row r="13" spans="2:14" x14ac:dyDescent="0.25">
      <c r="B13" s="164" t="s">
        <v>91</v>
      </c>
      <c r="C13" s="611">
        <f>'Avanse Financial'!C13</f>
        <v>2.0999999999999091</v>
      </c>
      <c r="D13" s="611">
        <f>'Avanse Financial'!D13</f>
        <v>337.80000000000018</v>
      </c>
      <c r="E13" s="611">
        <f>'Avanse Financial'!E13</f>
        <v>6.9000000000000909</v>
      </c>
      <c r="F13" s="613">
        <f>'Auxilo Finserve '!C13</f>
        <v>10.600000000000023</v>
      </c>
      <c r="G13" s="613">
        <f>'Auxilo Finserve '!D13</f>
        <v>15.5</v>
      </c>
      <c r="H13" s="613">
        <f>'Auxilo Finserve '!E13</f>
        <v>13.900000000000091</v>
      </c>
      <c r="I13" s="611">
        <f>'Hdfc Credila'!C13</f>
        <v>0</v>
      </c>
      <c r="J13" s="611">
        <f>'Hdfc Credila'!D13</f>
        <v>0</v>
      </c>
      <c r="K13" s="611">
        <f>'Hdfc Credila'!E13</f>
        <v>5.5399999999999636</v>
      </c>
      <c r="L13" s="613">
        <f>'EdGro Finance'!C13</f>
        <v>3</v>
      </c>
      <c r="M13" s="613">
        <f>'EdGro Finance'!D13</f>
        <v>3</v>
      </c>
      <c r="N13" s="613">
        <f>'EdGro Finance'!E13</f>
        <v>9</v>
      </c>
    </row>
    <row r="14" spans="2:14" x14ac:dyDescent="0.25">
      <c r="B14" s="164" t="s">
        <v>25</v>
      </c>
      <c r="C14" s="611">
        <f>'Avanse Financial'!C14</f>
        <v>1728.3</v>
      </c>
      <c r="D14" s="611">
        <f>'Avanse Financial'!D14</f>
        <v>2350.8000000000002</v>
      </c>
      <c r="E14" s="611">
        <f>'Avanse Financial'!E14</f>
        <v>2888.9</v>
      </c>
      <c r="F14" s="613">
        <f>'Auxilo Finserve '!C14</f>
        <v>367.3</v>
      </c>
      <c r="G14" s="613">
        <f>'Auxilo Finserve '!D14</f>
        <v>543.6</v>
      </c>
      <c r="H14" s="613">
        <f>'Auxilo Finserve '!E14</f>
        <v>689.7</v>
      </c>
      <c r="I14" s="611">
        <f>'Hdfc Credila'!C14</f>
        <v>2771.04</v>
      </c>
      <c r="J14" s="611">
        <f>'Hdfc Credila'!D14</f>
        <v>4726</v>
      </c>
      <c r="K14" s="611">
        <f>'Hdfc Credila'!E14</f>
        <v>6067.03</v>
      </c>
      <c r="L14" s="613">
        <f>'EdGro Finance'!C14</f>
        <v>7</v>
      </c>
      <c r="M14" s="613">
        <f>'EdGro Finance'!D14</f>
        <v>51</v>
      </c>
      <c r="N14" s="613">
        <f>'EdGro Finance'!E14</f>
        <v>102</v>
      </c>
    </row>
    <row r="15" spans="2:14" x14ac:dyDescent="0.25">
      <c r="B15" s="164" t="s">
        <v>26</v>
      </c>
      <c r="C15" s="611">
        <f>'Avanse Financial'!C15</f>
        <v>313.39999999999998</v>
      </c>
      <c r="D15" s="611">
        <f>'Avanse Financial'!D15</f>
        <v>394.2</v>
      </c>
      <c r="E15" s="611">
        <f>'Avanse Financial'!E15</f>
        <v>438.1</v>
      </c>
      <c r="F15" s="613">
        <f>'Auxilo Finserve '!C15</f>
        <v>72.599999999999994</v>
      </c>
      <c r="G15" s="613">
        <f>'Auxilo Finserve '!D15</f>
        <v>98.5</v>
      </c>
      <c r="H15" s="613">
        <f>'Auxilo Finserve '!E15</f>
        <v>135.6</v>
      </c>
      <c r="I15" s="611">
        <f>'Hdfc Credila'!C15</f>
        <v>281.87</v>
      </c>
      <c r="J15" s="611">
        <f>'Hdfc Credila'!D15</f>
        <v>360.04</v>
      </c>
      <c r="K15" s="611">
        <f>'Hdfc Credila'!E15</f>
        <v>498.13</v>
      </c>
      <c r="L15" s="613">
        <f>'EdGro Finance'!C15</f>
        <v>4</v>
      </c>
      <c r="M15" s="613">
        <f>'EdGro Finance'!D15</f>
        <v>21</v>
      </c>
      <c r="N15" s="613">
        <f>'EdGro Finance'!E15</f>
        <v>54</v>
      </c>
    </row>
    <row r="16" spans="2:14" x14ac:dyDescent="0.25">
      <c r="B16" s="164" t="s">
        <v>54</v>
      </c>
      <c r="C16" s="611">
        <f>'Avanse Financial'!C16</f>
        <v>1412.7000000000003</v>
      </c>
      <c r="D16" s="611">
        <f>'Avanse Financial'!D16</f>
        <v>1618.8</v>
      </c>
      <c r="E16" s="611">
        <f>'Avanse Financial'!E16</f>
        <v>2443.9</v>
      </c>
      <c r="F16" s="613">
        <f>'Auxilo Finserve '!C16</f>
        <v>284.10000000000002</v>
      </c>
      <c r="G16" s="613">
        <f>'Auxilo Finserve '!D16</f>
        <v>429.6</v>
      </c>
      <c r="H16" s="613">
        <f>'Auxilo Finserve '!E16</f>
        <v>540.19999999999993</v>
      </c>
      <c r="I16" s="611">
        <f>'Hdfc Credila'!C16</f>
        <v>2489.17</v>
      </c>
      <c r="J16" s="611">
        <f>'Hdfc Credila'!D16</f>
        <v>4365.96</v>
      </c>
      <c r="K16" s="611">
        <f>'Hdfc Credila'!E16</f>
        <v>5563.36</v>
      </c>
      <c r="L16" s="613">
        <f>'EdGro Finance'!C16</f>
        <v>0</v>
      </c>
      <c r="M16" s="613">
        <f>'EdGro Finance'!D16</f>
        <v>27</v>
      </c>
      <c r="N16" s="613">
        <f>'EdGro Finance'!E16</f>
        <v>39</v>
      </c>
    </row>
    <row r="17" spans="1:14" x14ac:dyDescent="0.25">
      <c r="B17" s="164" t="s">
        <v>767</v>
      </c>
      <c r="C17" s="611">
        <f>'Avanse Financial'!C17</f>
        <v>539.30000000000007</v>
      </c>
      <c r="D17" s="611">
        <f>'Avanse Financial'!D17</f>
        <v>739.60000000000014</v>
      </c>
      <c r="E17" s="611">
        <f>'Avanse Financial'!E17</f>
        <v>920.80000000000018</v>
      </c>
      <c r="F17" s="613">
        <f>'Auxilo Finserve '!C17</f>
        <v>99.400000000000034</v>
      </c>
      <c r="G17" s="613">
        <f>'Auxilo Finserve '!D17</f>
        <v>162.90000000000003</v>
      </c>
      <c r="H17" s="613">
        <f>'Auxilo Finserve '!E17</f>
        <v>169.40000000000003</v>
      </c>
      <c r="I17" s="611">
        <f>'Hdfc Credila'!C17</f>
        <v>758.15000000000009</v>
      </c>
      <c r="J17" s="611">
        <f>'Hdfc Credila'!D17</f>
        <v>1472.52</v>
      </c>
      <c r="K17" s="611">
        <f>'Hdfc Credila'!E17</f>
        <v>1929.5599999999995</v>
      </c>
      <c r="L17" s="613">
        <f>'EdGro Finance'!C17</f>
        <v>-3</v>
      </c>
      <c r="M17" s="613">
        <f>'EdGro Finance'!D17</f>
        <v>3</v>
      </c>
      <c r="N17" s="613">
        <f>'EdGro Finance'!E17</f>
        <v>5</v>
      </c>
    </row>
    <row r="18" spans="1:14" x14ac:dyDescent="0.25">
      <c r="B18" s="164" t="s">
        <v>27</v>
      </c>
      <c r="C18" s="611">
        <f>'Avanse Financial'!C18</f>
        <v>79.599999999999994</v>
      </c>
      <c r="D18" s="611">
        <f>'Avanse Financial'!D18</f>
        <v>64.7</v>
      </c>
      <c r="E18" s="611">
        <f>'Avanse Financial'!E18</f>
        <v>116.3</v>
      </c>
      <c r="F18" s="613">
        <f>'Auxilo Finserve '!C18</f>
        <v>6.8</v>
      </c>
      <c r="G18" s="613">
        <f>'Auxilo Finserve '!D18</f>
        <v>12.9</v>
      </c>
      <c r="H18" s="613">
        <f>'Auxilo Finserve '!E18</f>
        <v>12.7</v>
      </c>
      <c r="I18" s="611">
        <f>'Hdfc Credila'!C18</f>
        <v>49.79</v>
      </c>
      <c r="J18" s="611">
        <f>'Hdfc Credila'!D18</f>
        <v>146.54</v>
      </c>
      <c r="K18" s="611">
        <f>'Hdfc Credila'!E18</f>
        <v>173.33</v>
      </c>
      <c r="L18" s="613">
        <f>'EdGro Finance'!C18</f>
        <v>1</v>
      </c>
      <c r="M18" s="613">
        <f>'EdGro Finance'!D18</f>
        <v>3</v>
      </c>
      <c r="N18" s="613">
        <f>'EdGro Finance'!E18</f>
        <v>8</v>
      </c>
    </row>
    <row r="19" spans="1:14" x14ac:dyDescent="0.25">
      <c r="B19" s="164" t="s">
        <v>55</v>
      </c>
      <c r="C19" s="611">
        <f>'Avanse Financial'!C19</f>
        <v>342.6</v>
      </c>
      <c r="D19" s="611">
        <f>'Avanse Financial'!D19</f>
        <v>504.2</v>
      </c>
      <c r="E19" s="611">
        <f>'Avanse Financial'!E19</f>
        <v>597.9</v>
      </c>
      <c r="F19" s="613">
        <f>'Auxilo Finserve '!C19</f>
        <v>69.2</v>
      </c>
      <c r="G19" s="613">
        <f>'Auxilo Finserve '!D19</f>
        <v>111.9</v>
      </c>
      <c r="H19" s="613">
        <f>'Auxilo Finserve '!E19</f>
        <v>116.9</v>
      </c>
      <c r="I19" s="611">
        <f>'Hdfc Credila'!C19</f>
        <v>528.84</v>
      </c>
      <c r="J19" s="611">
        <f>'Hdfc Credila'!D19</f>
        <v>989.96</v>
      </c>
      <c r="K19" s="611">
        <f>'Hdfc Credila'!E19</f>
        <v>1316.3</v>
      </c>
      <c r="L19" s="613">
        <f>'EdGro Finance'!C19</f>
        <v>0.31</v>
      </c>
      <c r="M19" s="613">
        <f>'EdGro Finance'!D19</f>
        <v>2</v>
      </c>
      <c r="N19" s="613">
        <f>'EdGro Finance'!E19</f>
        <v>5</v>
      </c>
    </row>
    <row r="20" spans="1:14" x14ac:dyDescent="0.25">
      <c r="B20" s="164" t="s">
        <v>28</v>
      </c>
      <c r="C20" s="611">
        <f>'Avanse Financial'!C20</f>
        <v>3600.5</v>
      </c>
      <c r="D20" s="611">
        <f>'Avanse Financial'!D20</f>
        <v>4065</v>
      </c>
      <c r="E20" s="611">
        <f>'Avanse Financial'!E20</f>
        <v>5999.4</v>
      </c>
      <c r="F20" s="613">
        <f>'Auxilo Finserve '!C20</f>
        <v>982.6</v>
      </c>
      <c r="G20" s="613">
        <f>'Auxilo Finserve '!D20</f>
        <v>1387.5</v>
      </c>
      <c r="H20" s="613">
        <f>'Auxilo Finserve '!E20</f>
        <v>1505</v>
      </c>
      <c r="I20" s="611">
        <f>'Hdfc Credila'!C20</f>
        <v>4981.2299999999996</v>
      </c>
      <c r="J20" s="611">
        <f>'Hdfc Credila'!D20</f>
        <v>8619.57</v>
      </c>
      <c r="K20" s="611">
        <f>'Hdfc Credila'!E20</f>
        <v>9923.31</v>
      </c>
      <c r="L20" s="613">
        <f>'EdGro Finance'!C20</f>
        <v>107</v>
      </c>
      <c r="M20" s="613">
        <f>'EdGro Finance'!D20</f>
        <v>113</v>
      </c>
      <c r="N20" s="613">
        <f>'EdGro Finance'!E20</f>
        <v>351</v>
      </c>
    </row>
    <row r="21" spans="1:14" x14ac:dyDescent="0.25">
      <c r="B21" s="164" t="s">
        <v>57</v>
      </c>
      <c r="C21" s="611">
        <f>'Avanse Financial'!C22</f>
        <v>10135.200000000001</v>
      </c>
      <c r="D21" s="611">
        <f>'Avanse Financial'!D22</f>
        <v>14473.6</v>
      </c>
      <c r="E21" s="611">
        <f>'Avanse Financial'!E22</f>
        <v>18471.400000000001</v>
      </c>
      <c r="F21" s="613">
        <f>'Auxilo Finserve '!C22</f>
        <v>2345.1999999999998</v>
      </c>
      <c r="G21" s="613">
        <f>'Auxilo Finserve '!D22</f>
        <v>3417.8</v>
      </c>
      <c r="H21" s="613">
        <f>'Auxilo Finserve '!E22</f>
        <v>3931.4</v>
      </c>
      <c r="I21" s="611">
        <f>'Hdfc Credila'!C22</f>
        <v>26032.83</v>
      </c>
      <c r="J21" s="611">
        <f>'Hdfc Credila'!D22</f>
        <v>38869.01</v>
      </c>
      <c r="K21" s="611">
        <f>'Hdfc Credila'!E22</f>
        <v>45866.02</v>
      </c>
      <c r="L21" s="613">
        <f>'EdGro Finance'!C22</f>
        <v>156</v>
      </c>
      <c r="M21" s="613">
        <f>'EdGro Finance'!D22</f>
        <v>221</v>
      </c>
      <c r="N21" s="613">
        <f>'EdGro Finance'!E22</f>
        <v>450</v>
      </c>
    </row>
    <row r="22" spans="1:14" x14ac:dyDescent="0.25">
      <c r="B22" s="164" t="s">
        <v>29</v>
      </c>
      <c r="C22" s="611">
        <f>'Avanse Financial'!C23</f>
        <v>14267.6</v>
      </c>
      <c r="D22" s="611">
        <f>'Avanse Financial'!D23</f>
        <v>18931.900000000001</v>
      </c>
      <c r="E22" s="611">
        <f>'Avanse Financial'!E23</f>
        <v>25114.3</v>
      </c>
      <c r="F22" s="613">
        <f>'Auxilo Finserve '!C23</f>
        <v>3363.6</v>
      </c>
      <c r="G22" s="613">
        <f>'Auxilo Finserve '!D23</f>
        <v>4858.8999999999996</v>
      </c>
      <c r="H22" s="613">
        <f>'Auxilo Finserve '!E23</f>
        <v>5489.1</v>
      </c>
      <c r="I22" s="611">
        <f>'Hdfc Credila'!C23</f>
        <v>31503.84</v>
      </c>
      <c r="J22" s="611">
        <f>'Hdfc Credila'!D23</f>
        <v>48119.57</v>
      </c>
      <c r="K22" s="611">
        <f>'Hdfc Credila'!E23</f>
        <v>57272.75</v>
      </c>
      <c r="L22" s="613">
        <f>'EdGro Finance'!C23</f>
        <v>271</v>
      </c>
      <c r="M22" s="613">
        <f>'EdGro Finance'!D23</f>
        <v>354</v>
      </c>
      <c r="N22" s="613">
        <f>'EdGro Finance'!E23</f>
        <v>830</v>
      </c>
    </row>
    <row r="23" spans="1:14" x14ac:dyDescent="0.25">
      <c r="B23" s="164" t="s">
        <v>58</v>
      </c>
      <c r="C23" s="611">
        <f>'Avanse Financial'!C24</f>
        <v>12520.7</v>
      </c>
      <c r="D23" s="611">
        <f>'Avanse Financial'!D24</f>
        <v>17419.900000000001</v>
      </c>
      <c r="E23" s="611">
        <f>'Avanse Financial'!E24</f>
        <v>20600.5</v>
      </c>
      <c r="F23" s="613">
        <f>'Auxilo Finserve '!C24</f>
        <v>2859.4</v>
      </c>
      <c r="G23" s="613">
        <f>'Auxilo Finserve '!D24</f>
        <v>4298.5</v>
      </c>
      <c r="H23" s="613">
        <f>'Auxilo Finserve '!E24</f>
        <v>4936.7</v>
      </c>
      <c r="I23" s="611">
        <f>'Hdfc Credila'!C24</f>
        <v>28187.200000000001</v>
      </c>
      <c r="J23" s="611">
        <f>'Hdfc Credila'!D24</f>
        <v>41709.64</v>
      </c>
      <c r="K23" s="611">
        <f>'Hdfc Credila'!E24</f>
        <v>50653.56</v>
      </c>
      <c r="L23" s="613">
        <f>'EdGro Finance'!C24</f>
        <v>153</v>
      </c>
      <c r="M23" s="613">
        <f>'EdGro Finance'!D24</f>
        <v>279</v>
      </c>
      <c r="N23" s="613">
        <f>'EdGro Finance'!E24</f>
        <v>608</v>
      </c>
    </row>
    <row r="24" spans="1:14" x14ac:dyDescent="0.25">
      <c r="B24" s="164" t="s">
        <v>59</v>
      </c>
      <c r="C24" s="611">
        <f>'Avanse Financial'!C25</f>
        <v>53.1</v>
      </c>
      <c r="D24" s="611">
        <f>'Avanse Financial'!D25</f>
        <v>44.5</v>
      </c>
      <c r="E24" s="611">
        <f>'Avanse Financial'!E25</f>
        <v>75</v>
      </c>
      <c r="F24" s="613">
        <f>'Auxilo Finserve '!C25</f>
        <v>25</v>
      </c>
      <c r="G24" s="613">
        <f>'Auxilo Finserve '!D25</f>
        <v>22.6</v>
      </c>
      <c r="H24" s="613">
        <f>'Auxilo Finserve '!E25</f>
        <v>18</v>
      </c>
      <c r="I24" s="611">
        <f>'Hdfc Credila'!C25</f>
        <v>21.46</v>
      </c>
      <c r="J24" s="611">
        <f>'Hdfc Credila'!D25</f>
        <v>79.88</v>
      </c>
      <c r="K24" s="611">
        <f>'Hdfc Credila'!E25</f>
        <v>131.69999999999999</v>
      </c>
      <c r="L24" s="613">
        <f>'EdGro Finance'!C25</f>
        <v>0</v>
      </c>
      <c r="M24" s="613">
        <f>'EdGro Finance'!D25</f>
        <v>3</v>
      </c>
      <c r="N24" s="613">
        <f>'EdGro Finance'!E25</f>
        <v>0</v>
      </c>
    </row>
    <row r="25" spans="1:14" x14ac:dyDescent="0.25">
      <c r="B25" s="164" t="s">
        <v>60</v>
      </c>
      <c r="C25" s="611">
        <f>'Avanse Financial'!C26</f>
        <v>16</v>
      </c>
      <c r="D25" s="611">
        <f>'Avanse Financial'!D26</f>
        <v>6.8</v>
      </c>
      <c r="E25" s="611">
        <f>'Avanse Financial'!E26</f>
        <v>12.2</v>
      </c>
      <c r="F25" s="613">
        <f>'Auxilo Finserve '!C26</f>
        <v>14.4</v>
      </c>
      <c r="G25" s="613">
        <f>'Auxilo Finserve '!D26</f>
        <v>3.5</v>
      </c>
      <c r="H25" s="613">
        <f>'Auxilo Finserve '!E26</f>
        <v>5</v>
      </c>
      <c r="I25" s="611">
        <f>'Hdfc Credila'!C26</f>
        <v>9.7899999999999991</v>
      </c>
      <c r="J25" s="611">
        <f>'Hdfc Credila'!D26</f>
        <v>27.95</v>
      </c>
      <c r="K25" s="611">
        <f>'Hdfc Credila'!E26</f>
        <v>50.65</v>
      </c>
      <c r="L25" s="613">
        <f>'EdGro Finance'!C26</f>
        <v>0</v>
      </c>
      <c r="M25" s="613">
        <f>'EdGro Finance'!D26</f>
        <v>1</v>
      </c>
      <c r="N25" s="613">
        <f>'EdGro Finance'!E26</f>
        <v>0</v>
      </c>
    </row>
    <row r="26" spans="1:14" x14ac:dyDescent="0.25">
      <c r="C26" s="606"/>
      <c r="D26" s="606"/>
      <c r="E26" s="606"/>
      <c r="F26" s="609"/>
      <c r="G26" s="609"/>
      <c r="H26" s="609"/>
    </row>
    <row r="27" spans="1:14" x14ac:dyDescent="0.25">
      <c r="B27" s="638"/>
      <c r="C27" s="608" t="str">
        <f>'Avanse Financial'!H3</f>
        <v>FY24(A)</v>
      </c>
      <c r="D27" s="608" t="str">
        <f>'Avanse Financial'!I3</f>
        <v>FY25(A)</v>
      </c>
      <c r="E27" s="608" t="str">
        <f>'Avanse Financial'!J3</f>
        <v>FY26(A)</v>
      </c>
      <c r="F27" s="608" t="str">
        <f>'Auxilo Finserve '!H3</f>
        <v>FY24(A)</v>
      </c>
      <c r="G27" s="608" t="str">
        <f>'Auxilo Finserve '!I3</f>
        <v>FY25(A)</v>
      </c>
      <c r="H27" s="608" t="str">
        <f>'Auxilo Finserve '!J3</f>
        <v>FY26(A)</v>
      </c>
      <c r="I27" s="608" t="str">
        <f>'Hdfc Credila'!H3</f>
        <v>FY24 (A)</v>
      </c>
      <c r="J27" s="608" t="str">
        <f>'Hdfc Credila'!I3</f>
        <v>FY25 (A)</v>
      </c>
      <c r="K27" s="608" t="str">
        <f>'Hdfc Credila'!J3</f>
        <v>FY26 (A)</v>
      </c>
      <c r="L27" s="608" t="str">
        <f>'EdGro Finance'!H3</f>
        <v>FY24 (A)</v>
      </c>
      <c r="M27" s="608" t="str">
        <f>'EdGro Finance'!I3</f>
        <v>FY25 (A)</v>
      </c>
      <c r="N27" s="608" t="str">
        <f>'EdGro Finance'!J3</f>
        <v>FY26 (A)</v>
      </c>
    </row>
    <row r="28" spans="1:14" x14ac:dyDescent="0.25">
      <c r="B28" s="630" t="s">
        <v>6</v>
      </c>
      <c r="C28" s="145"/>
      <c r="D28" s="145"/>
      <c r="E28" s="145"/>
      <c r="F28" s="145"/>
      <c r="G28" s="145"/>
      <c r="H28" s="145"/>
    </row>
    <row r="29" spans="1:14" s="80" customFormat="1" x14ac:dyDescent="0.25">
      <c r="A29"/>
      <c r="B29" s="620" t="s">
        <v>11</v>
      </c>
      <c r="C29" s="515">
        <f>'Avanse Financial'!H5</f>
        <v>4.87E-2</v>
      </c>
      <c r="D29" s="515">
        <f>'Avanse Financial'!I5</f>
        <v>4.9878759944690487E-2</v>
      </c>
      <c r="E29" s="515">
        <f>'Avanse Financial'!J5</f>
        <v>4.9047353526001827E-2</v>
      </c>
      <c r="F29" s="615">
        <f>'Auxilo Finserve '!H5</f>
        <v>5.1150960745002944E-2</v>
      </c>
      <c r="G29" s="615">
        <f>'Auxilo Finserve '!I5</f>
        <v>5.0769080316852705E-2</v>
      </c>
      <c r="H29" s="615">
        <f>'Auxilo Finserve '!J5</f>
        <v>4.5824670824670823E-2</v>
      </c>
      <c r="I29" s="515">
        <f>'Hdfc Credila'!H5</f>
        <v>3.6999999999999998E-2</v>
      </c>
      <c r="J29" s="515">
        <f>'Hdfc Credila'!I5</f>
        <v>3.6400214945339453E-2</v>
      </c>
      <c r="K29" s="515">
        <f>'Hdfc Credila'!J5</f>
        <v>4.4412926360282018E-2</v>
      </c>
      <c r="L29" s="640" t="str">
        <f>'EdGro Finance'!H5</f>
        <v>-</v>
      </c>
      <c r="M29" s="640">
        <f>'EdGro Finance'!I5</f>
        <v>3.7037037037037035E-2</v>
      </c>
      <c r="N29" s="640">
        <f>'EdGro Finance'!J5</f>
        <v>9.0191657271702363E-2</v>
      </c>
    </row>
    <row r="30" spans="1:14" x14ac:dyDescent="0.25">
      <c r="B30" s="630" t="s">
        <v>12</v>
      </c>
      <c r="C30" s="515"/>
      <c r="D30" s="515"/>
      <c r="E30" s="515"/>
      <c r="F30" s="570"/>
      <c r="G30" s="570"/>
      <c r="H30" s="570"/>
      <c r="I30" s="515"/>
      <c r="J30" s="515"/>
      <c r="K30" s="515"/>
      <c r="L30" s="640"/>
      <c r="M30" s="640"/>
      <c r="N30" s="640"/>
    </row>
    <row r="31" spans="1:14" s="610" customFormat="1" x14ac:dyDescent="0.25">
      <c r="A31"/>
      <c r="B31" s="620" t="s">
        <v>127</v>
      </c>
      <c r="C31" s="517">
        <f>'Avanse Financial'!H7</f>
        <v>2.8149423691154007</v>
      </c>
      <c r="D31" s="517">
        <f>'Avanse Financial'!I7</f>
        <v>3.5605412054120542</v>
      </c>
      <c r="E31" s="517">
        <f>'Avanse Financial'!J7</f>
        <v>3.0788745541220792</v>
      </c>
      <c r="F31" s="616">
        <f>'Auxilo Finserve '!H7</f>
        <v>2.3867290860981067</v>
      </c>
      <c r="G31" s="616">
        <f>'Auxilo Finserve '!I7</f>
        <v>2.4632792792792793</v>
      </c>
      <c r="H31" s="616">
        <f>'Auxilo Finserve '!J7</f>
        <v>2.6122259136212627</v>
      </c>
      <c r="I31" s="517">
        <f>'Hdfc Credila'!H7</f>
        <v>5.2261850988611256</v>
      </c>
      <c r="J31" s="517">
        <f>'Hdfc Credila'!I7</f>
        <v>4.5093908396822586</v>
      </c>
      <c r="K31" s="517">
        <f>'Hdfc Credila'!J7</f>
        <v>4.6220484898688037</v>
      </c>
      <c r="L31" s="641">
        <f>'EdGro Finance'!H7</f>
        <v>1.4579439252336448</v>
      </c>
      <c r="M31" s="641">
        <f>'EdGro Finance'!I7</f>
        <v>1.9557522123893805</v>
      </c>
      <c r="N31" s="641">
        <f>'EdGro Finance'!J7</f>
        <v>1.2820512820512822</v>
      </c>
    </row>
    <row r="32" spans="1:14" s="80" customFormat="1" x14ac:dyDescent="0.25">
      <c r="A32"/>
      <c r="B32" s="620" t="s">
        <v>14</v>
      </c>
      <c r="C32" s="515">
        <f>'Avanse Financial'!H8</f>
        <v>0.2752</v>
      </c>
      <c r="D32" s="515">
        <f>'Avanse Financial'!I8</f>
        <v>0.22439999999999999</v>
      </c>
      <c r="E32" s="515">
        <f>'Avanse Financial'!J8</f>
        <v>0.26729999999999998</v>
      </c>
      <c r="F32" s="615">
        <f>'Auxilo Finserve '!H8</f>
        <v>0.31490000000000001</v>
      </c>
      <c r="G32" s="615">
        <f>'Auxilo Finserve '!I8</f>
        <v>0.3</v>
      </c>
      <c r="H32" s="615">
        <f>'Auxilo Finserve '!J8</f>
        <v>0.32100000000000001</v>
      </c>
      <c r="I32" s="515">
        <f>'Hdfc Credila'!H8</f>
        <v>0.20449999999999999</v>
      </c>
      <c r="J32" s="515">
        <f>'Hdfc Credila'!I8</f>
        <v>0.21809999999999999</v>
      </c>
      <c r="K32" s="515">
        <f>'Hdfc Credila'!J8</f>
        <v>0.19889999999999999</v>
      </c>
      <c r="L32" s="640">
        <f>'EdGro Finance'!H8</f>
        <v>0.47370000000000001</v>
      </c>
      <c r="M32" s="640">
        <f>'EdGro Finance'!I8</f>
        <v>0.33979999999999999</v>
      </c>
      <c r="N32" s="640">
        <f>'EdGro Finance'!J8</f>
        <v>0.45019999999999999</v>
      </c>
    </row>
    <row r="33" spans="1:14" s="80" customFormat="1" x14ac:dyDescent="0.25">
      <c r="A33"/>
      <c r="B33" s="620" t="s">
        <v>128</v>
      </c>
      <c r="C33" s="515">
        <f>'Avanse Financial'!H9</f>
        <v>0.28756379435654555</v>
      </c>
      <c r="D33" s="515">
        <f>'Avanse Financial'!I9</f>
        <v>0.23335380800119401</v>
      </c>
      <c r="E33" s="515">
        <f>'Avanse Financial'!J9</f>
        <v>0.29122594111793404</v>
      </c>
      <c r="F33" s="615">
        <f>'Auxilo Finserve '!H9</f>
        <v>0.34363852556480379</v>
      </c>
      <c r="G33" s="615">
        <f>'Auxilo Finserve '!I9</f>
        <v>0.32278701872746307</v>
      </c>
      <c r="H33" s="615">
        <f>'Auxilo Finserve '!J9</f>
        <v>0.30485952154273099</v>
      </c>
      <c r="I33" s="515">
        <f>'Hdfc Credila'!H9</f>
        <v>0.17671957484248169</v>
      </c>
      <c r="J33" s="515">
        <f>'Hdfc Credila'!I9</f>
        <v>0.20665654270811257</v>
      </c>
      <c r="K33" s="515">
        <f>'Hdfc Credila'!J9</f>
        <v>0.19590548028608454</v>
      </c>
      <c r="L33" s="640">
        <f>'EdGro Finance'!H9</f>
        <v>0.69934640522875813</v>
      </c>
      <c r="M33" s="640">
        <f>'EdGro Finance'!I9</f>
        <v>0.4050179211469534</v>
      </c>
      <c r="N33" s="640">
        <f>'EdGro Finance'!J9</f>
        <v>0.57730263157894735</v>
      </c>
    </row>
    <row r="34" spans="1:14" s="80" customFormat="1" x14ac:dyDescent="0.25">
      <c r="A34"/>
      <c r="B34" s="630" t="s">
        <v>16</v>
      </c>
      <c r="C34" s="515"/>
      <c r="D34" s="515"/>
      <c r="E34" s="515"/>
      <c r="F34" s="615"/>
      <c r="G34" s="615"/>
      <c r="H34" s="615"/>
      <c r="I34" s="515"/>
      <c r="J34" s="515"/>
      <c r="K34" s="515"/>
      <c r="L34" s="640"/>
      <c r="M34" s="640"/>
      <c r="N34" s="640"/>
    </row>
    <row r="35" spans="1:14" s="80" customFormat="1" ht="47.25" customHeight="1" x14ac:dyDescent="0.25">
      <c r="A35"/>
      <c r="B35" s="620" t="s">
        <v>93</v>
      </c>
      <c r="C35" s="515">
        <f>'Avanse Financial'!H11</f>
        <v>0.36848912404467954</v>
      </c>
      <c r="D35" s="515">
        <f>'Avanse Financial'!I11</f>
        <v>0.49522613065326632</v>
      </c>
      <c r="E35" s="515">
        <f>'Avanse Financial'!J11</f>
        <v>0.32403846153846155</v>
      </c>
      <c r="F35" s="615">
        <f>'Auxilo Finserve '!H11</f>
        <v>0.44981412639405205</v>
      </c>
      <c r="G35" s="615">
        <f>'Auxilo Finserve '!I11</f>
        <v>0.40056933712891413</v>
      </c>
      <c r="H35" s="615">
        <f>'Auxilo Finserve '!J11</f>
        <v>0.4658193060803848</v>
      </c>
      <c r="I35" s="515">
        <f>'Hdfc Credila'!H11</f>
        <v>0.27102363416088154</v>
      </c>
      <c r="J35" s="515">
        <f>'Hdfc Credila'!I11</f>
        <v>0.19646832845854981</v>
      </c>
      <c r="K35" s="515">
        <f>'Hdfc Credila'!J11</f>
        <v>0.2056561319488884</v>
      </c>
      <c r="L35" s="640">
        <f>'EdGro Finance'!H11</f>
        <v>4</v>
      </c>
      <c r="M35" s="640">
        <f>'EdGro Finance'!I11</f>
        <v>0.875</v>
      </c>
      <c r="N35" s="640">
        <f>'EdGro Finance'!J11</f>
        <v>0.9152542372881356</v>
      </c>
    </row>
    <row r="36" spans="1:14" s="80" customFormat="1" ht="29.25" customHeight="1" x14ac:dyDescent="0.25">
      <c r="A36"/>
      <c r="B36" s="620" t="s">
        <v>92</v>
      </c>
      <c r="C36" s="515">
        <f>'Avanse Financial'!H12</f>
        <v>0.18156537859915414</v>
      </c>
      <c r="D36" s="515">
        <f>'Avanse Financial'!I12</f>
        <v>0.19582712369597616</v>
      </c>
      <c r="E36" s="515">
        <f>'Avanse Financial'!J12</f>
        <v>0.15201249132546843</v>
      </c>
      <c r="F36" s="615">
        <f>'Auxilo Finserve '!H12</f>
        <v>0.20353238015138772</v>
      </c>
      <c r="G36" s="615">
        <f>'Auxilo Finserve '!I12</f>
        <v>0.18651770498011738</v>
      </c>
      <c r="H36" s="615">
        <f>'Auxilo Finserve '!J12</f>
        <v>0.20065108020124298</v>
      </c>
      <c r="I36" s="515">
        <f>'Hdfc Credila'!H12</f>
        <v>0.10171993186673596</v>
      </c>
      <c r="J36" s="515">
        <f>'Hdfc Credila'!I12</f>
        <v>7.6182818451121459E-2</v>
      </c>
      <c r="K36" s="515">
        <f>'Hdfc Credila'!J12</f>
        <v>8.217946412515735E-2</v>
      </c>
      <c r="L36" s="640">
        <f>'EdGro Finance'!H12</f>
        <v>1</v>
      </c>
      <c r="M36" s="640">
        <f>'EdGro Finance'!I12</f>
        <v>0.4375</v>
      </c>
      <c r="N36" s="640">
        <f>'EdGro Finance'!J12</f>
        <v>0.58064516129032262</v>
      </c>
    </row>
    <row r="37" spans="1:14" s="80" customFormat="1" x14ac:dyDescent="0.25">
      <c r="A37"/>
      <c r="B37" s="620" t="s">
        <v>17</v>
      </c>
      <c r="C37" s="515">
        <f>'Avanse Financial'!H13</f>
        <v>2.5999999999999999E-2</v>
      </c>
      <c r="D37" s="515">
        <f>'Avanse Financial'!I13</f>
        <v>2.3747345592554103E-2</v>
      </c>
      <c r="E37" s="515">
        <f>'Avanse Financial'!J13</f>
        <v>1.9892748977210294E-2</v>
      </c>
      <c r="F37" s="615">
        <f>'Auxilo Finserve '!H13</f>
        <v>2.7262572250279712E-2</v>
      </c>
      <c r="G37" s="615">
        <f>'Auxilo Finserve '!I13</f>
        <v>2.3958650045606569E-2</v>
      </c>
      <c r="H37" s="615">
        <f>'Auxilo Finserve '!J13</f>
        <v>2.6207962891379975E-2</v>
      </c>
      <c r="I37" s="515">
        <f>'Hdfc Credila'!H13</f>
        <v>1.1767421938078155E-2</v>
      </c>
      <c r="J37" s="515">
        <f>'Hdfc Credila'!I13</f>
        <v>9.0435714823065231E-3</v>
      </c>
      <c r="K37" s="515">
        <f>'Hdfc Credila'!J13</f>
        <v>9.452870949230455E-3</v>
      </c>
      <c r="L37" s="640">
        <f>'EdGro Finance'!H13</f>
        <v>2.6143790849673203E-2</v>
      </c>
      <c r="M37" s="640">
        <f>'EdGro Finance'!I13</f>
        <v>6.7199999999999996E-2</v>
      </c>
      <c r="N37" s="640">
        <f>'EdGro Finance'!J13</f>
        <v>9.1216216216216214E-2</v>
      </c>
    </row>
    <row r="38" spans="1:14" s="80" customFormat="1" x14ac:dyDescent="0.25">
      <c r="A38"/>
      <c r="B38" s="630" t="s">
        <v>18</v>
      </c>
      <c r="C38" s="515"/>
      <c r="D38" s="515"/>
      <c r="E38" s="515"/>
      <c r="F38" s="615"/>
      <c r="G38" s="615"/>
      <c r="H38" s="615"/>
      <c r="I38" s="515"/>
      <c r="J38" s="515"/>
      <c r="K38" s="515"/>
      <c r="L38" s="640"/>
      <c r="M38" s="640"/>
      <c r="N38" s="640"/>
    </row>
    <row r="39" spans="1:14" s="80" customFormat="1" x14ac:dyDescent="0.25">
      <c r="A39"/>
      <c r="B39" s="620" t="s">
        <v>19</v>
      </c>
      <c r="C39" s="515">
        <f>'Avanse Financial'!H15</f>
        <v>4.2409769421837438E-3</v>
      </c>
      <c r="D39" s="515">
        <f>'Avanse Financial'!I15</f>
        <v>2.5545496816858876E-3</v>
      </c>
      <c r="E39" s="515">
        <f>'Avanse Financial'!J15</f>
        <v>3.6406883328074561E-3</v>
      </c>
      <c r="F39" s="615">
        <f>'Auxilo Finserve '!H15</f>
        <v>8.7430929565643131E-3</v>
      </c>
      <c r="G39" s="615">
        <f>'Auxilo Finserve '!I15</f>
        <v>5.2576480167500295E-3</v>
      </c>
      <c r="H39" s="615">
        <f>'Auxilo Finserve '!J15</f>
        <v>3.6461603905442908E-3</v>
      </c>
      <c r="I39" s="515">
        <f>'Hdfc Credila'!H15</f>
        <v>7.6133847987739115E-4</v>
      </c>
      <c r="J39" s="515">
        <f>'Hdfc Credila'!I15</f>
        <v>1.9151447962629262E-3</v>
      </c>
      <c r="K39" s="515">
        <f>'Hdfc Credila'!J15</f>
        <v>2.6000146880100824E-3</v>
      </c>
      <c r="L39" s="640" t="str">
        <f>'EdGro Finance'!H15</f>
        <v>-</v>
      </c>
      <c r="M39" s="640">
        <f>'EdGro Finance'!I15</f>
        <v>9.4999999999999998E-3</v>
      </c>
      <c r="N39" s="640">
        <f>'EdGro Finance'!J15</f>
        <v>3.8999999999999998E-3</v>
      </c>
    </row>
    <row r="40" spans="1:14" s="80" customFormat="1" x14ac:dyDescent="0.25">
      <c r="A40"/>
      <c r="B40" s="620" t="s">
        <v>20</v>
      </c>
      <c r="C40" s="515">
        <f>'Avanse Financial'!H16</f>
        <v>1.2778838243868154E-3</v>
      </c>
      <c r="D40" s="515">
        <f>'Avanse Financial'!I16</f>
        <v>3.9035815360593341E-4</v>
      </c>
      <c r="E40" s="515">
        <f>'Avanse Financial'!J16</f>
        <v>5.9221863547001281E-4</v>
      </c>
      <c r="F40" s="615">
        <f>'Auxilo Finserve '!H16</f>
        <v>5.0360215429810446E-3</v>
      </c>
      <c r="G40" s="615">
        <f>'Auxilo Finserve '!I16</f>
        <v>8.1423752471792481E-4</v>
      </c>
      <c r="H40" s="615">
        <f>'Auxilo Finserve '!J16</f>
        <v>1.0128223307067474E-3</v>
      </c>
      <c r="I40" s="515">
        <f>'Hdfc Credila'!H16</f>
        <v>3.4732076971107447E-4</v>
      </c>
      <c r="J40" s="515">
        <f>'Hdfc Credila'!I16</f>
        <v>6.7010887650912352E-4</v>
      </c>
      <c r="K40" s="515">
        <f>'Hdfc Credila'!J16</f>
        <v>9.9992971866143276E-4</v>
      </c>
      <c r="L40" s="640" t="str">
        <f>'EdGro Finance'!H16</f>
        <v>-</v>
      </c>
      <c r="M40" s="640">
        <f>'EdGro Finance'!I16</f>
        <v>3.8999999999999998E-3</v>
      </c>
      <c r="N40" s="640">
        <f>'EdGro Finance'!J16</f>
        <v>2.8999999999999998E-3</v>
      </c>
    </row>
    <row r="41" spans="1:14" s="80" customFormat="1" x14ac:dyDescent="0.25">
      <c r="A41"/>
      <c r="B41" s="620" t="s">
        <v>21</v>
      </c>
      <c r="C41" s="515">
        <f>'Avanse Financial'!H17</f>
        <v>0.69868173258003774</v>
      </c>
      <c r="D41" s="515">
        <f>'Avanse Financial'!I17</f>
        <v>0.84719101123595497</v>
      </c>
      <c r="E41" s="515">
        <f>'Avanse Financial'!J17</f>
        <v>0.83733333333333337</v>
      </c>
      <c r="F41" s="615">
        <f>'Auxilo Finserve '!H17</f>
        <v>0.42399999999999999</v>
      </c>
      <c r="G41" s="615">
        <f>'Auxilo Finserve '!I17</f>
        <v>0.84513274336283184</v>
      </c>
      <c r="H41" s="615">
        <f>'Auxilo Finserve '!J17</f>
        <v>0.72222222222222232</v>
      </c>
      <c r="I41" s="515">
        <f>'Hdfc Credila'!H17</f>
        <v>0.54380242311276805</v>
      </c>
      <c r="J41" s="515">
        <f>'Hdfc Credila'!I17</f>
        <v>0.65010015022533796</v>
      </c>
      <c r="K41" s="515">
        <f>'Hdfc Credila'!J17</f>
        <v>0.6154138192862566</v>
      </c>
      <c r="L41" s="640" t="str">
        <f>'EdGro Finance'!H17</f>
        <v>-</v>
      </c>
      <c r="M41" s="640">
        <f>'EdGro Finance'!I17</f>
        <v>0.58947368421052637</v>
      </c>
      <c r="N41" s="640">
        <f>'EdGro Finance'!J17</f>
        <v>0.25641025641025644</v>
      </c>
    </row>
    <row r="42" spans="1:14" s="80" customFormat="1" x14ac:dyDescent="0.25">
      <c r="A42"/>
      <c r="B42" s="620" t="s">
        <v>22</v>
      </c>
      <c r="C42" s="515">
        <f>'Avanse Financial'!H18</f>
        <v>7.6E-3</v>
      </c>
      <c r="D42" s="515">
        <f>'Avanse Financial'!I18</f>
        <v>4.3218906768735426E-3</v>
      </c>
      <c r="E42" s="515">
        <f>'Avanse Financial'!J18</f>
        <v>6.1177683559352344E-3</v>
      </c>
      <c r="F42" s="615">
        <f>'Auxilo Finserve '!H18</f>
        <v>2.9713043196016677E-3</v>
      </c>
      <c r="G42" s="615">
        <f>'Auxilo Finserve '!I18</f>
        <v>3.6044091144050634E-3</v>
      </c>
      <c r="H42" s="615">
        <f>'Auxilo Finserve '!J18</f>
        <v>2.7503465003464998E-3</v>
      </c>
      <c r="I42" s="515">
        <f>'Hdfc Credila'!H18</f>
        <v>2.2899745200665976E-3</v>
      </c>
      <c r="J42" s="515">
        <f>'Hdfc Credila'!I18</f>
        <v>4.1930364806191528E-3</v>
      </c>
      <c r="K42" s="515">
        <f>'Hdfc Credila'!J18</f>
        <v>3.7532263931955587E-3</v>
      </c>
      <c r="L42" s="640">
        <f>'EdGro Finance'!H18</f>
        <v>8.0000000000000002E-3</v>
      </c>
      <c r="M42" s="640">
        <f>'EdGro Finance'!I18</f>
        <v>1.3599999999999999E-2</v>
      </c>
      <c r="N42" s="640">
        <f>'EdGro Finance'!J18</f>
        <v>1.8038331454340473E-2</v>
      </c>
    </row>
    <row r="43" spans="1:14" s="80" customFormat="1" x14ac:dyDescent="0.25">
      <c r="A43"/>
      <c r="B43" s="630" t="s">
        <v>30</v>
      </c>
      <c r="C43" s="515"/>
      <c r="D43" s="515"/>
      <c r="E43" s="515"/>
      <c r="F43" s="615"/>
      <c r="G43" s="615"/>
      <c r="H43" s="615"/>
      <c r="I43" s="515"/>
      <c r="J43" s="515"/>
      <c r="K43" s="515"/>
      <c r="L43" s="640"/>
      <c r="M43" s="640"/>
      <c r="N43" s="640"/>
    </row>
    <row r="44" spans="1:14" s="80" customFormat="1" ht="30" x14ac:dyDescent="0.25">
      <c r="A44"/>
      <c r="B44" s="620" t="s">
        <v>768</v>
      </c>
      <c r="C44" s="515">
        <f>'Avanse Financial'!H20</f>
        <v>4.4793131280094371E-2</v>
      </c>
      <c r="D44" s="515">
        <f>'Avanse Financial'!I20</f>
        <v>4.45548878748174E-2</v>
      </c>
      <c r="E44" s="515">
        <f>'Avanse Financial'!J20</f>
        <v>4.1810644278053512E-2</v>
      </c>
      <c r="F44" s="615">
        <f>'Auxilo Finserve '!H20</f>
        <v>3.7374690385462921E-2</v>
      </c>
      <c r="G44" s="615">
        <f>'Auxilo Finserve '!I20</f>
        <v>3.9622985709942243E-2</v>
      </c>
      <c r="H44" s="615">
        <f>'Auxilo Finserve '!J20</f>
        <v>3.2740626207962899E-2</v>
      </c>
      <c r="I44" s="515">
        <f>'Hdfc Credila'!H20</f>
        <v>3.1651012673764335E-2</v>
      </c>
      <c r="J44" s="515">
        <f>'Hdfc Credila'!I20</f>
        <v>3.6987112207326964E-2</v>
      </c>
      <c r="K44" s="515">
        <f>'Hdfc Credila'!J20</f>
        <v>3.6616709832367277E-2</v>
      </c>
      <c r="L44" s="640">
        <f>'EdGro Finance'!H20</f>
        <v>-1.107011070110701E-2</v>
      </c>
      <c r="M44" s="640">
        <f>'EdGro Finance'!I20</f>
        <v>9.5999999999999992E-3</v>
      </c>
      <c r="N44" s="640">
        <f>'EdGro Finance'!J20</f>
        <v>8.4459459459459464E-3</v>
      </c>
    </row>
    <row r="45" spans="1:14" s="80" customFormat="1" x14ac:dyDescent="0.25">
      <c r="A45"/>
      <c r="B45" s="620" t="s">
        <v>31</v>
      </c>
      <c r="C45" s="515">
        <f>'Avanse Financial'!H21</f>
        <v>2.8457487444639749E-2</v>
      </c>
      <c r="D45" s="515">
        <f>'Avanse Financial'!I21</f>
        <v>3.0373951414930947E-2</v>
      </c>
      <c r="E45" s="515">
        <f>'Avanse Financial'!J21</f>
        <v>2.7148766522424182E-2</v>
      </c>
      <c r="F45" s="615">
        <f>'Auxilo Finserve '!H21</f>
        <v>2.600508517539166E-2</v>
      </c>
      <c r="G45" s="615">
        <f>'Auxilo Finserve '!I21</f>
        <v>2.7217999391912436E-2</v>
      </c>
      <c r="H45" s="615">
        <f>'Auxilo Finserve '!J21</f>
        <v>2.2593737920371088E-2</v>
      </c>
      <c r="I45" s="515">
        <f>'Hdfc Credila'!H21</f>
        <v>2.2077849426094483E-2</v>
      </c>
      <c r="J45" s="515">
        <f>'Hdfc Credila'!I21</f>
        <v>2.4866053840195992E-2</v>
      </c>
      <c r="K45" s="515">
        <f>'Hdfc Credila'!J21</f>
        <v>2.4979049706847709E-2</v>
      </c>
      <c r="L45" s="640">
        <f>'EdGro Finance'!H21</f>
        <v>2.2000000000000001E-3</v>
      </c>
      <c r="M45" s="640">
        <f>'EdGro Finance'!I21</f>
        <v>1.3599999999999999E-2</v>
      </c>
      <c r="N45" s="640">
        <f>'EdGro Finance'!J21</f>
        <v>8.4459459459459464E-3</v>
      </c>
    </row>
    <row r="46" spans="1:14" s="80" customFormat="1" x14ac:dyDescent="0.25">
      <c r="A46"/>
      <c r="B46" s="620" t="s">
        <v>32</v>
      </c>
      <c r="C46" s="515">
        <f>'Avanse Financial'!H22</f>
        <v>0.11801450421816012</v>
      </c>
      <c r="D46" s="515">
        <f>'Avanse Financial'!I22</f>
        <v>0.13155045332985454</v>
      </c>
      <c r="E46" s="515">
        <f>'Avanse Financial'!J22</f>
        <v>0.1188148324788363</v>
      </c>
      <c r="F46" s="615">
        <f>'Auxilo Finserve '!H22</f>
        <v>9.6016948793998524E-2</v>
      </c>
      <c r="G46" s="615">
        <f>'Auxilo Finserve '!I22</f>
        <v>9.4426395510737948E-2</v>
      </c>
      <c r="H46" s="615">
        <f>'Auxilo Finserve '!J22</f>
        <v>8.0829732065687124E-2</v>
      </c>
      <c r="I46" s="515">
        <f>'Hdfc Credila'!H22</f>
        <v>0.14344866496772787</v>
      </c>
      <c r="J46" s="515">
        <f>'Hdfc Credila'!I22</f>
        <v>0.14557378977707194</v>
      </c>
      <c r="K46" s="515">
        <f>'Hdfc Credila'!J22</f>
        <v>0.14197363084914535</v>
      </c>
      <c r="L46" s="640">
        <f>'EdGro Finance'!H22</f>
        <v>5.3E-3</v>
      </c>
      <c r="M46" s="640">
        <f>'EdGro Finance'!I22</f>
        <v>3.9899999999999998E-2</v>
      </c>
      <c r="N46" s="640">
        <f>'EdGro Finance'!J22</f>
        <v>2.1551724137931036E-2</v>
      </c>
    </row>
    <row r="47" spans="1:14" s="80" customFormat="1" x14ac:dyDescent="0.25">
      <c r="A47"/>
      <c r="B47" s="630" t="s">
        <v>33</v>
      </c>
      <c r="C47" s="515"/>
      <c r="D47" s="515"/>
      <c r="E47" s="515"/>
      <c r="F47" s="615"/>
      <c r="G47" s="615"/>
      <c r="H47" s="615"/>
      <c r="I47" s="515"/>
      <c r="J47" s="515"/>
      <c r="K47" s="515"/>
      <c r="L47" s="640"/>
      <c r="M47" s="640"/>
      <c r="N47" s="640"/>
    </row>
    <row r="48" spans="1:14" s="80" customFormat="1" x14ac:dyDescent="0.25">
      <c r="A48"/>
      <c r="B48" s="620" t="s">
        <v>34</v>
      </c>
      <c r="C48" s="515">
        <f>'Avanse Financial'!H24</f>
        <v>0.13212547170058558</v>
      </c>
      <c r="D48" s="515">
        <f>'Avanse Financial'!I24</f>
        <v>0.131173055984182</v>
      </c>
      <c r="E48" s="515">
        <f>'Avanse Financial'!J24</f>
        <v>0.12953046259376544</v>
      </c>
      <c r="F48" s="615">
        <f>'Auxilo Finserve '!H24</f>
        <v>0.13663241686052693</v>
      </c>
      <c r="G48" s="615">
        <f>'Auxilo Finserve '!I24</f>
        <v>0.12961902233895417</v>
      </c>
      <c r="H48" s="615">
        <f>'Auxilo Finserve '!J24</f>
        <v>0.12913634788634787</v>
      </c>
      <c r="I48" s="515">
        <f>'Hdfc Credila'!H24</f>
        <v>0.11660748944468463</v>
      </c>
      <c r="J48" s="515">
        <f>'Hdfc Credila'!I24</f>
        <v>0.11919194057986027</v>
      </c>
      <c r="K48" s="515">
        <f>'Hdfc Credila'!J24</f>
        <v>0.12321790496648015</v>
      </c>
      <c r="L48" s="640">
        <f>'EdGro Finance'!H24</f>
        <v>3.5400000000000001E-2</v>
      </c>
      <c r="M48" s="640">
        <f>'EdGro Finance'!I24</f>
        <v>0.14814814814814814</v>
      </c>
      <c r="N48" s="640">
        <f>'EdGro Finance'!J24</f>
        <v>0.16685456595264939</v>
      </c>
    </row>
    <row r="49" spans="1:14" s="80" customFormat="1" x14ac:dyDescent="0.25">
      <c r="A49"/>
      <c r="B49" s="620" t="s">
        <v>35</v>
      </c>
      <c r="C49" s="515">
        <f>'Avanse Financial'!H25</f>
        <v>0.1036883005973246</v>
      </c>
      <c r="D49" s="515">
        <f>'Avanse Financial'!I25</f>
        <v>9.8907707811839649E-2</v>
      </c>
      <c r="E49" s="515">
        <f>'Avanse Financial'!J25</f>
        <v>9.2882076187585372E-2</v>
      </c>
      <c r="F49" s="615">
        <f>'Auxilo Finserve '!H25</f>
        <v>0.10264120109081418</v>
      </c>
      <c r="G49" s="615">
        <f>'Auxilo Finserve '!I25</f>
        <v>9.7935103244837757E-2</v>
      </c>
      <c r="H49" s="615">
        <f>'Auxilo Finserve '!J25</f>
        <v>0.10469166712023076</v>
      </c>
      <c r="I49" s="515">
        <f>'Hdfc Credila'!H25</f>
        <v>8.7231778608203067E-2</v>
      </c>
      <c r="J49" s="515">
        <f>'Hdfc Credila'!I25</f>
        <v>8.91635737908201E-2</v>
      </c>
      <c r="K49" s="515">
        <f>'Hdfc Credila'!J25</f>
        <v>8.5899302803102803E-2</v>
      </c>
      <c r="L49" s="640">
        <f>'EdGro Finance'!H25</f>
        <v>3.5900000000000001E-2</v>
      </c>
      <c r="M49" s="640">
        <f>'EdGro Finance'!I25</f>
        <v>0.1273209549071618</v>
      </c>
      <c r="N49" s="640">
        <f>'EdGro Finance'!J25</f>
        <v>0.10134128166915052</v>
      </c>
    </row>
    <row r="50" spans="1:14" s="80" customFormat="1" x14ac:dyDescent="0.25">
      <c r="A50"/>
      <c r="B50" s="620" t="s">
        <v>36</v>
      </c>
      <c r="C50" s="515">
        <f>'Avanse Financial'!H26</f>
        <v>2.843717110326098E-2</v>
      </c>
      <c r="D50" s="515">
        <f>'Avanse Financial'!I26</f>
        <v>3.2265348172342348E-2</v>
      </c>
      <c r="E50" s="515">
        <f>'Avanse Financial'!J26</f>
        <v>3.6648386406180067E-2</v>
      </c>
      <c r="F50" s="615">
        <f>'Auxilo Finserve '!H26</f>
        <v>3.3991215769712757E-2</v>
      </c>
      <c r="G50" s="615">
        <f>'Auxilo Finserve '!I26</f>
        <v>3.1683919094116414E-2</v>
      </c>
      <c r="H50" s="615">
        <f>'Auxilo Finserve '!J26</f>
        <v>2.4444680766117111E-2</v>
      </c>
      <c r="I50" s="515">
        <f>'Hdfc Credila'!H26</f>
        <v>2.9375710836481564E-2</v>
      </c>
      <c r="J50" s="515">
        <f>'Hdfc Credila'!I26</f>
        <v>3.0028366789040167E-2</v>
      </c>
      <c r="K50" s="515">
        <f>'Hdfc Credila'!J26</f>
        <v>3.7318602163377346E-2</v>
      </c>
      <c r="L50" s="640">
        <f>'EdGro Finance'!H26</f>
        <v>-5.0000000000000044E-4</v>
      </c>
      <c r="M50" s="640">
        <f>'EdGro Finance'!I26</f>
        <v>2.0827193240986336E-2</v>
      </c>
      <c r="N50" s="640">
        <f>'EdGro Finance'!J26</f>
        <v>6.5513284283498868E-2</v>
      </c>
    </row>
    <row r="51" spans="1:14" x14ac:dyDescent="0.25">
      <c r="I51" s="80"/>
      <c r="J51" s="80"/>
      <c r="K51" s="80"/>
    </row>
    <row r="52" spans="1:14" x14ac:dyDescent="0.25">
      <c r="I52" s="80"/>
      <c r="J52" s="80"/>
      <c r="K52" s="80"/>
    </row>
    <row r="53" spans="1:14" x14ac:dyDescent="0.25">
      <c r="I53" s="80"/>
      <c r="J53" s="80"/>
      <c r="K53" s="80"/>
    </row>
  </sheetData>
  <mergeCells count="9">
    <mergeCell ref="L3:N3"/>
    <mergeCell ref="L6:N6"/>
    <mergeCell ref="C2:N2"/>
    <mergeCell ref="C3:E3"/>
    <mergeCell ref="C6:E6"/>
    <mergeCell ref="F6:H6"/>
    <mergeCell ref="F3:H3"/>
    <mergeCell ref="I3:K3"/>
    <mergeCell ref="I6:K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2:V50"/>
  <sheetViews>
    <sheetView showGridLines="0" zoomScale="59" zoomScaleNormal="55" workbookViewId="0">
      <pane xSplit="2" topLeftCell="C1" activePane="topRight" state="frozen"/>
      <selection pane="topRight" activeCell="A9" sqref="A9"/>
    </sheetView>
  </sheetViews>
  <sheetFormatPr defaultRowHeight="15" x14ac:dyDescent="0.25"/>
  <cols>
    <col min="1" max="1" width="1.85546875" customWidth="1"/>
    <col min="2" max="2" width="32.7109375" customWidth="1"/>
    <col min="3" max="22" width="15.7109375" customWidth="1"/>
  </cols>
  <sheetData>
    <row r="2" spans="2:22" ht="18.75" x14ac:dyDescent="0.3">
      <c r="C2" s="700" t="s">
        <v>126</v>
      </c>
      <c r="D2" s="701"/>
      <c r="E2" s="701"/>
      <c r="F2" s="701"/>
      <c r="G2" s="701"/>
      <c r="H2" s="701"/>
      <c r="I2" s="701"/>
      <c r="J2" s="701"/>
      <c r="K2" s="701"/>
      <c r="L2" s="701"/>
      <c r="M2" s="701"/>
      <c r="N2" s="701"/>
      <c r="O2" s="701"/>
      <c r="P2" s="701"/>
      <c r="Q2" s="701"/>
      <c r="R2" s="701"/>
      <c r="S2" s="701"/>
      <c r="T2" s="701"/>
      <c r="U2" s="701"/>
      <c r="V2" s="701"/>
    </row>
    <row r="3" spans="2:22" ht="18.75" x14ac:dyDescent="0.3">
      <c r="C3" s="703" t="s">
        <v>769</v>
      </c>
      <c r="D3" s="704"/>
      <c r="E3" s="704"/>
      <c r="F3" s="705"/>
      <c r="G3" s="706" t="s">
        <v>124</v>
      </c>
      <c r="H3" s="707"/>
      <c r="I3" s="707"/>
      <c r="J3" s="708"/>
      <c r="K3" s="703" t="s">
        <v>125</v>
      </c>
      <c r="L3" s="704"/>
      <c r="M3" s="704"/>
      <c r="N3" s="705"/>
      <c r="O3" s="702" t="s">
        <v>772</v>
      </c>
      <c r="P3" s="702"/>
      <c r="Q3" s="702"/>
      <c r="R3" s="702"/>
      <c r="S3" s="696" t="s">
        <v>773</v>
      </c>
      <c r="T3" s="696"/>
      <c r="U3" s="696"/>
      <c r="V3" s="696"/>
    </row>
    <row r="4" spans="2:22" x14ac:dyDescent="0.25">
      <c r="B4" s="471" t="s">
        <v>4</v>
      </c>
      <c r="C4" s="471" t="str">
        <f>'Manappuram Finance'!H3</f>
        <v>FY23</v>
      </c>
      <c r="D4" s="471" t="str">
        <f>'Manappuram Finance'!I3</f>
        <v>FY24</v>
      </c>
      <c r="E4" s="471" t="str">
        <f>'Manappuram Finance'!J3</f>
        <v>FY25</v>
      </c>
      <c r="F4" s="471" t="str">
        <f>'Manappuram Finance'!K3</f>
        <v>FY26</v>
      </c>
      <c r="G4" s="471" t="s">
        <v>366</v>
      </c>
      <c r="H4" s="471" t="s">
        <v>367</v>
      </c>
      <c r="I4" s="471" t="s">
        <v>368</v>
      </c>
      <c r="J4" s="471" t="s">
        <v>693</v>
      </c>
      <c r="K4" s="471" t="s">
        <v>366</v>
      </c>
      <c r="L4" s="471" t="s">
        <v>367</v>
      </c>
      <c r="M4" s="471" t="s">
        <v>368</v>
      </c>
      <c r="N4" s="471" t="s">
        <v>693</v>
      </c>
      <c r="O4" s="688" t="s">
        <v>366</v>
      </c>
      <c r="P4" s="688" t="s">
        <v>367</v>
      </c>
      <c r="Q4" s="688" t="s">
        <v>368</v>
      </c>
      <c r="R4" s="688" t="s">
        <v>693</v>
      </c>
      <c r="S4" s="688" t="s">
        <v>366</v>
      </c>
      <c r="T4" s="688" t="s">
        <v>367</v>
      </c>
      <c r="U4" s="688" t="s">
        <v>368</v>
      </c>
      <c r="V4" s="688" t="s">
        <v>693</v>
      </c>
    </row>
    <row r="5" spans="2:22" x14ac:dyDescent="0.25">
      <c r="B5" s="471"/>
      <c r="C5" s="471" t="str">
        <f>'Manappuram Finance'!H4</f>
        <v>Aud</v>
      </c>
      <c r="D5" s="471" t="str">
        <f>'Manappuram Finance'!I4</f>
        <v>Aud</v>
      </c>
      <c r="E5" s="471" t="str">
        <f>'Manappuram Finance'!J4</f>
        <v>Aud</v>
      </c>
      <c r="F5" s="471" t="str">
        <f>'Manappuram Finance'!K4</f>
        <v>Aud</v>
      </c>
      <c r="G5" s="472" t="s">
        <v>46</v>
      </c>
      <c r="H5" s="472" t="s">
        <v>46</v>
      </c>
      <c r="I5" s="472" t="s">
        <v>46</v>
      </c>
      <c r="J5" s="472" t="s">
        <v>46</v>
      </c>
      <c r="K5" s="472" t="s">
        <v>46</v>
      </c>
      <c r="L5" s="472" t="s">
        <v>46</v>
      </c>
      <c r="M5" s="472" t="s">
        <v>46</v>
      </c>
      <c r="N5" s="472" t="s">
        <v>46</v>
      </c>
      <c r="O5" s="472" t="s">
        <v>46</v>
      </c>
      <c r="P5" s="472" t="s">
        <v>46</v>
      </c>
      <c r="Q5" s="472" t="s">
        <v>46</v>
      </c>
      <c r="R5" s="472" t="s">
        <v>46</v>
      </c>
      <c r="S5" s="472" t="s">
        <v>46</v>
      </c>
      <c r="T5" s="472" t="s">
        <v>46</v>
      </c>
      <c r="U5" s="472" t="s">
        <v>46</v>
      </c>
      <c r="V5" s="472" t="s">
        <v>46</v>
      </c>
    </row>
    <row r="6" spans="2:22" ht="22.5" customHeight="1" x14ac:dyDescent="0.25">
      <c r="B6" s="471"/>
      <c r="C6" s="697" t="s">
        <v>111</v>
      </c>
      <c r="D6" s="698"/>
      <c r="E6" s="698"/>
      <c r="F6" s="699"/>
      <c r="G6" s="697" t="s">
        <v>111</v>
      </c>
      <c r="H6" s="698"/>
      <c r="I6" s="698"/>
      <c r="J6" s="699"/>
      <c r="K6" s="697" t="s">
        <v>111</v>
      </c>
      <c r="L6" s="698"/>
      <c r="M6" s="698"/>
      <c r="N6" s="699"/>
      <c r="O6" s="697" t="s">
        <v>111</v>
      </c>
      <c r="P6" s="698"/>
      <c r="Q6" s="698"/>
      <c r="R6" s="699"/>
      <c r="S6" s="697" t="s">
        <v>111</v>
      </c>
      <c r="T6" s="698"/>
      <c r="U6" s="698"/>
      <c r="V6" s="699"/>
    </row>
    <row r="7" spans="2:22" x14ac:dyDescent="0.25">
      <c r="B7" s="473" t="s">
        <v>23</v>
      </c>
      <c r="C7" s="95">
        <f>'Manappuram Finance'!H6</f>
        <v>4827</v>
      </c>
      <c r="D7" s="95">
        <f>'Manappuram Finance'!I6</f>
        <v>5855</v>
      </c>
      <c r="E7" s="95">
        <f>'Manappuram Finance'!J6</f>
        <v>6914</v>
      </c>
      <c r="F7" s="95">
        <f>'Manappuram Finance'!K6</f>
        <v>7653</v>
      </c>
      <c r="G7" s="684">
        <f>'Muthoot Finance'!I6</f>
        <v>10514.849</v>
      </c>
      <c r="H7" s="684">
        <f>'Muthoot Finance'!J6</f>
        <v>12694</v>
      </c>
      <c r="I7" s="684">
        <f>'Muthoot Finance'!K6</f>
        <v>17156</v>
      </c>
      <c r="J7" s="684">
        <f>'Muthoot Finance'!L6</f>
        <v>27600</v>
      </c>
      <c r="K7" s="650">
        <f>'Muthoot Fincorp'!D6</f>
        <v>3469.8253000000004</v>
      </c>
      <c r="L7" s="650">
        <f>'Muthoot Fincorp'!E6</f>
        <v>4011</v>
      </c>
      <c r="M7" s="650">
        <f>'Muthoot Fincorp'!F6</f>
        <v>5540</v>
      </c>
      <c r="N7" s="650">
        <f>'Muthoot Fincorp'!G6</f>
        <v>8364</v>
      </c>
      <c r="O7" s="684">
        <f>'Muthoot MCred'!D6</f>
        <v>544</v>
      </c>
      <c r="P7" s="684">
        <f>'Muthoot MCred'!E6</f>
        <v>672</v>
      </c>
      <c r="Q7" s="684">
        <f>'Muthoot MCred'!F6</f>
        <v>815</v>
      </c>
      <c r="R7" s="684">
        <f>'Muthoot MCred'!G6</f>
        <v>1113</v>
      </c>
      <c r="S7" s="649">
        <f>'Kosamattam Finance'!D6</f>
        <v>765</v>
      </c>
      <c r="T7" s="649">
        <f>'Kosamattam Finance'!E6</f>
        <v>859</v>
      </c>
      <c r="U7" s="649">
        <f>'Kosamattam Finance'!F6</f>
        <v>900</v>
      </c>
      <c r="V7" s="649">
        <f>'Kosamattam Finance'!G6</f>
        <v>1128</v>
      </c>
    </row>
    <row r="8" spans="2:22" x14ac:dyDescent="0.25">
      <c r="B8" s="473" t="s">
        <v>50</v>
      </c>
      <c r="C8" s="95">
        <f>'Manappuram Finance'!H7</f>
        <v>4666</v>
      </c>
      <c r="D8" s="95">
        <f>'Manappuram Finance'!I7</f>
        <v>5664</v>
      </c>
      <c r="E8" s="95">
        <f>'Manappuram Finance'!J7</f>
        <v>6694</v>
      </c>
      <c r="F8" s="95">
        <f>'Manappuram Finance'!K7</f>
        <v>7437</v>
      </c>
      <c r="G8" s="684">
        <f>'Muthoot Finance'!I7</f>
        <v>10148.790999999999</v>
      </c>
      <c r="H8" s="684">
        <f>'Muthoot Finance'!J7</f>
        <v>12186</v>
      </c>
      <c r="I8" s="684">
        <f>'Muthoot Finance'!K7</f>
        <v>16525</v>
      </c>
      <c r="J8" s="684">
        <f>'Muthoot Finance'!L7</f>
        <v>27066</v>
      </c>
      <c r="K8" s="650">
        <f>'Muthoot Fincorp'!D7</f>
        <v>3304.8309000000004</v>
      </c>
      <c r="L8" s="650">
        <f>'Muthoot Fincorp'!E7</f>
        <v>3715</v>
      </c>
      <c r="M8" s="650">
        <f>'Muthoot Fincorp'!F7</f>
        <v>4936</v>
      </c>
      <c r="N8" s="650">
        <f>'Muthoot Fincorp'!G7</f>
        <v>7728</v>
      </c>
      <c r="O8" s="684">
        <f>'Muthoot MCred'!D7</f>
        <v>519</v>
      </c>
      <c r="P8" s="684">
        <f>'Muthoot MCred'!E7</f>
        <v>627</v>
      </c>
      <c r="Q8" s="684">
        <f>'Muthoot MCred'!F7</f>
        <v>744</v>
      </c>
      <c r="R8" s="684">
        <f>'Muthoot MCred'!G7</f>
        <v>1046</v>
      </c>
      <c r="S8" s="649">
        <f>'Kosamattam Finance'!D7</f>
        <v>761</v>
      </c>
      <c r="T8" s="649">
        <f>'Kosamattam Finance'!E7</f>
        <v>854</v>
      </c>
      <c r="U8" s="649">
        <f>'Kosamattam Finance'!F7</f>
        <v>894</v>
      </c>
      <c r="V8" s="649">
        <f>'Kosamattam Finance'!G7</f>
        <v>1107</v>
      </c>
    </row>
    <row r="9" spans="2:22" x14ac:dyDescent="0.25">
      <c r="B9" s="473" t="s">
        <v>52</v>
      </c>
      <c r="C9" s="649">
        <f>'Manappuram Finance'!H9</f>
        <v>161</v>
      </c>
      <c r="D9" s="649">
        <f>'Manappuram Finance'!I9</f>
        <v>191</v>
      </c>
      <c r="E9" s="649">
        <f>'Manappuram Finance'!J9</f>
        <v>214</v>
      </c>
      <c r="F9" s="649">
        <f>'Manappuram Finance'!K9</f>
        <v>206</v>
      </c>
      <c r="G9" s="685">
        <f>'Muthoot Finance'!I9</f>
        <v>366.0580000000009</v>
      </c>
      <c r="H9" s="685">
        <f>'Muthoot Finance'!J9</f>
        <v>508</v>
      </c>
      <c r="I9" s="685">
        <f>'Muthoot Finance'!K9</f>
        <v>631</v>
      </c>
      <c r="J9" s="685">
        <f>'Muthoot Finance'!L9</f>
        <v>534</v>
      </c>
      <c r="K9" s="649">
        <f>'Muthoot Fincorp'!D9</f>
        <v>164.99440000000004</v>
      </c>
      <c r="L9" s="649">
        <f>'Muthoot Fincorp'!E9</f>
        <v>177</v>
      </c>
      <c r="M9" s="649">
        <f>'Muthoot Fincorp'!F9</f>
        <v>273</v>
      </c>
      <c r="N9" s="649">
        <f>'Muthoot Fincorp'!G9</f>
        <v>462</v>
      </c>
      <c r="O9" s="684">
        <f>'Muthoot MCred'!D9</f>
        <v>24</v>
      </c>
      <c r="P9" s="684">
        <f>'Muthoot MCred'!E9</f>
        <v>42</v>
      </c>
      <c r="Q9" s="684">
        <f>'Muthoot MCred'!F9</f>
        <v>67</v>
      </c>
      <c r="R9" s="684">
        <f>'Muthoot MCred'!G9</f>
        <v>63</v>
      </c>
      <c r="S9" s="649">
        <f>'Kosamattam Finance'!D9</f>
        <v>4</v>
      </c>
      <c r="T9" s="649">
        <f>'Kosamattam Finance'!E9</f>
        <v>4</v>
      </c>
      <c r="U9" s="649">
        <f>'Kosamattam Finance'!F9</f>
        <v>6</v>
      </c>
      <c r="V9" s="649">
        <f>'Kosamattam Finance'!G9</f>
        <v>21</v>
      </c>
    </row>
    <row r="10" spans="2:22" x14ac:dyDescent="0.25">
      <c r="B10" s="473" t="s">
        <v>24</v>
      </c>
      <c r="C10" s="649">
        <f>'Manappuram Finance'!H10</f>
        <v>1498</v>
      </c>
      <c r="D10" s="649">
        <f>'Manappuram Finance'!I10</f>
        <v>1776</v>
      </c>
      <c r="E10" s="649">
        <f>'Manappuram Finance'!J10</f>
        <v>2327</v>
      </c>
      <c r="F10" s="649">
        <f>'Manappuram Finance'!K10</f>
        <v>2953</v>
      </c>
      <c r="G10" s="685">
        <f>'Muthoot Finance'!I10</f>
        <v>3699.14</v>
      </c>
      <c r="H10" s="685">
        <f>'Muthoot Finance'!J10</f>
        <v>4655</v>
      </c>
      <c r="I10" s="685">
        <f>'Muthoot Finance'!K10</f>
        <v>6429</v>
      </c>
      <c r="J10" s="685">
        <f>'Muthoot Finance'!L10</f>
        <v>9941</v>
      </c>
      <c r="K10" s="649">
        <f>'Muthoot Fincorp'!D10</f>
        <v>1571.3254999999999</v>
      </c>
      <c r="L10" s="649">
        <f>'Muthoot Fincorp'!E10</f>
        <v>1805</v>
      </c>
      <c r="M10" s="649">
        <f>'Muthoot Fincorp'!F10</f>
        <v>2313</v>
      </c>
      <c r="N10" s="649">
        <f>'Muthoot Fincorp'!G10</f>
        <v>3069</v>
      </c>
      <c r="O10" s="684">
        <f>'Muthoot MCred'!D10</f>
        <v>283</v>
      </c>
      <c r="P10" s="684">
        <f>'Muthoot MCred'!E10</f>
        <v>345</v>
      </c>
      <c r="Q10" s="684">
        <f>'Muthoot MCred'!F10</f>
        <v>398</v>
      </c>
      <c r="R10" s="684">
        <f>'Muthoot MCred'!G10</f>
        <v>530</v>
      </c>
      <c r="S10" s="649">
        <f>'Kosamattam Finance'!D10</f>
        <v>433</v>
      </c>
      <c r="T10" s="649">
        <f>'Kosamattam Finance'!E10</f>
        <v>512</v>
      </c>
      <c r="U10" s="649">
        <f>'Kosamattam Finance'!F10</f>
        <v>539</v>
      </c>
      <c r="V10" s="649">
        <f>'Kosamattam Finance'!G10</f>
        <v>628</v>
      </c>
    </row>
    <row r="11" spans="2:22" x14ac:dyDescent="0.25">
      <c r="B11" s="473" t="s">
        <v>53</v>
      </c>
      <c r="C11" s="649">
        <f>'Manappuram Finance'!H11</f>
        <v>3168</v>
      </c>
      <c r="D11" s="649">
        <f>'Manappuram Finance'!I11</f>
        <v>3888</v>
      </c>
      <c r="E11" s="649">
        <f>'Manappuram Finance'!J11</f>
        <v>4367</v>
      </c>
      <c r="F11" s="649">
        <f>'Manappuram Finance'!K11</f>
        <v>4484</v>
      </c>
      <c r="G11" s="685">
        <f>'Muthoot Finance'!I11</f>
        <v>6449.6509999999998</v>
      </c>
      <c r="H11" s="685">
        <f>'Muthoot Finance'!J11</f>
        <v>7531</v>
      </c>
      <c r="I11" s="685">
        <f>'Muthoot Finance'!K11</f>
        <v>10097</v>
      </c>
      <c r="J11" s="685">
        <f>'Muthoot Finance'!L11</f>
        <v>17125</v>
      </c>
      <c r="K11" s="649">
        <f>'Muthoot Fincorp'!D11</f>
        <v>1733.5054000000005</v>
      </c>
      <c r="L11" s="649">
        <f>'Muthoot Fincorp'!E11</f>
        <v>1910</v>
      </c>
      <c r="M11" s="649">
        <f>'Muthoot Fincorp'!F11</f>
        <v>2623</v>
      </c>
      <c r="N11" s="649">
        <f>'Muthoot Fincorp'!G11</f>
        <v>4659</v>
      </c>
      <c r="O11" s="684">
        <f>'Muthoot MCred'!D11</f>
        <v>236</v>
      </c>
      <c r="P11" s="684">
        <f>'Muthoot MCred'!E11</f>
        <v>282</v>
      </c>
      <c r="Q11" s="684">
        <f>'Muthoot MCred'!F11</f>
        <v>347</v>
      </c>
      <c r="R11" s="684">
        <f>'Muthoot MCred'!G11</f>
        <v>516</v>
      </c>
      <c r="S11" s="649">
        <f>'Kosamattam Finance'!D11</f>
        <v>328</v>
      </c>
      <c r="T11" s="649">
        <f>'Kosamattam Finance'!E11</f>
        <v>342</v>
      </c>
      <c r="U11" s="649">
        <f>'Kosamattam Finance'!F11</f>
        <v>355</v>
      </c>
      <c r="V11" s="649">
        <f>'Kosamattam Finance'!G11</f>
        <v>479</v>
      </c>
    </row>
    <row r="12" spans="2:22" x14ac:dyDescent="0.25">
      <c r="B12" s="473" t="s">
        <v>1</v>
      </c>
      <c r="C12" s="649">
        <f>'Manappuram Finance'!H12</f>
        <v>4827</v>
      </c>
      <c r="D12" s="649">
        <f>'Manappuram Finance'!I12</f>
        <v>5855</v>
      </c>
      <c r="E12" s="649">
        <f>'Manappuram Finance'!J12</f>
        <v>6908</v>
      </c>
      <c r="F12" s="649">
        <f>'Manappuram Finance'!K12</f>
        <v>7643</v>
      </c>
      <c r="G12" s="685">
        <f>'Muthoot Finance'!I12</f>
        <v>10514.849</v>
      </c>
      <c r="H12" s="685">
        <f>'Muthoot Finance'!J12</f>
        <v>12694</v>
      </c>
      <c r="I12" s="685">
        <f>'Muthoot Finance'!K12</f>
        <v>17156</v>
      </c>
      <c r="J12" s="685">
        <f>'Muthoot Finance'!L12</f>
        <v>27600</v>
      </c>
      <c r="K12" s="649">
        <f>'Muthoot Fincorp'!D12</f>
        <v>3469.8253000000004</v>
      </c>
      <c r="L12" s="649">
        <f>'Muthoot Fincorp'!E12</f>
        <v>3892</v>
      </c>
      <c r="M12" s="649">
        <f>'Muthoot Fincorp'!F12</f>
        <v>5209</v>
      </c>
      <c r="N12" s="649">
        <f>'Muthoot Fincorp'!G12</f>
        <v>8190</v>
      </c>
      <c r="O12" s="684">
        <f>'Muthoot MCred'!D12</f>
        <v>543</v>
      </c>
      <c r="P12" s="684">
        <f>'Muthoot MCred'!E12</f>
        <v>669</v>
      </c>
      <c r="Q12" s="684">
        <f>'Muthoot MCred'!F12</f>
        <v>811</v>
      </c>
      <c r="R12" s="684">
        <f>'Muthoot MCred'!G12</f>
        <v>1109</v>
      </c>
      <c r="S12" s="649">
        <f>'Kosamattam Finance'!D12</f>
        <v>765</v>
      </c>
      <c r="T12" s="649">
        <f>'Kosamattam Finance'!E12</f>
        <v>858</v>
      </c>
      <c r="U12" s="649">
        <f>'Kosamattam Finance'!F12</f>
        <v>900</v>
      </c>
      <c r="V12" s="649">
        <f>'Kosamattam Finance'!G12</f>
        <v>1128</v>
      </c>
    </row>
    <row r="13" spans="2:22" x14ac:dyDescent="0.25">
      <c r="B13" s="473" t="s">
        <v>91</v>
      </c>
      <c r="C13" s="649">
        <f>'Manappuram Finance'!H13</f>
        <v>0</v>
      </c>
      <c r="D13" s="649">
        <f>'Manappuram Finance'!I13</f>
        <v>0</v>
      </c>
      <c r="E13" s="649">
        <f>'Manappuram Finance'!J13</f>
        <v>6</v>
      </c>
      <c r="F13" s="649">
        <f>'Manappuram Finance'!K13</f>
        <v>11</v>
      </c>
      <c r="G13" s="685">
        <f>'Muthoot Finance'!I13</f>
        <v>28.899000000000001</v>
      </c>
      <c r="H13" s="685">
        <f>'Muthoot Finance'!J13</f>
        <v>59</v>
      </c>
      <c r="I13" s="685">
        <f>'Muthoot Finance'!K13</f>
        <v>57</v>
      </c>
      <c r="J13" s="685">
        <f>'Muthoot Finance'!L13</f>
        <v>42</v>
      </c>
      <c r="K13" s="649">
        <f>'Muthoot Fincorp'!D13</f>
        <v>21.438299999999998</v>
      </c>
      <c r="L13" s="649">
        <f>'Muthoot Fincorp'!E13</f>
        <v>119</v>
      </c>
      <c r="M13" s="649">
        <f>'Muthoot Fincorp'!F13</f>
        <v>331</v>
      </c>
      <c r="N13" s="649">
        <f>'Muthoot Fincorp'!G13</f>
        <v>174</v>
      </c>
      <c r="O13" s="684">
        <f>'Muthoot MCred'!D13</f>
        <v>1</v>
      </c>
      <c r="P13" s="684">
        <f>'Muthoot MCred'!E13</f>
        <v>2</v>
      </c>
      <c r="Q13" s="684">
        <f>'Muthoot MCred'!F13</f>
        <v>4</v>
      </c>
      <c r="R13" s="684">
        <f>'Muthoot MCred'!G13</f>
        <v>4</v>
      </c>
      <c r="S13" s="649">
        <f>'Kosamattam Finance'!D13</f>
        <v>0</v>
      </c>
      <c r="T13" s="649">
        <f>'Kosamattam Finance'!E13</f>
        <v>1</v>
      </c>
      <c r="U13" s="649">
        <f>'Kosamattam Finance'!F13</f>
        <v>0</v>
      </c>
      <c r="V13" s="649">
        <f>'Kosamattam Finance'!G13</f>
        <v>0</v>
      </c>
    </row>
    <row r="14" spans="2:22" x14ac:dyDescent="0.25">
      <c r="B14" s="473" t="s">
        <v>25</v>
      </c>
      <c r="C14" s="649">
        <f>'Manappuram Finance'!H14</f>
        <v>4827</v>
      </c>
      <c r="D14" s="649">
        <f>'Manappuram Finance'!I14</f>
        <v>5855</v>
      </c>
      <c r="E14" s="649">
        <f>'Manappuram Finance'!J14</f>
        <v>6914</v>
      </c>
      <c r="F14" s="649">
        <f>'Manappuram Finance'!K14</f>
        <v>7654</v>
      </c>
      <c r="G14" s="685">
        <f>'Muthoot Finance'!I14</f>
        <v>10543.748</v>
      </c>
      <c r="H14" s="685">
        <f>'Muthoot Finance'!J14</f>
        <v>12753</v>
      </c>
      <c r="I14" s="685">
        <f>'Muthoot Finance'!K14</f>
        <v>17213</v>
      </c>
      <c r="J14" s="685">
        <f>'Muthoot Finance'!L14</f>
        <v>27642</v>
      </c>
      <c r="K14" s="649">
        <f>'Muthoot Fincorp'!D14</f>
        <v>3491.2636000000002</v>
      </c>
      <c r="L14" s="649">
        <f>'Muthoot Fincorp'!E14</f>
        <v>4011</v>
      </c>
      <c r="M14" s="649">
        <f>'Muthoot Fincorp'!F14</f>
        <v>5540</v>
      </c>
      <c r="N14" s="649">
        <f>'Muthoot Fincorp'!G14</f>
        <v>8364</v>
      </c>
      <c r="O14" s="684">
        <f>'Muthoot MCred'!D14</f>
        <v>544</v>
      </c>
      <c r="P14" s="684">
        <f>'Muthoot MCred'!E14</f>
        <v>671</v>
      </c>
      <c r="Q14" s="684">
        <f>'Muthoot MCred'!F14</f>
        <v>815</v>
      </c>
      <c r="R14" s="684">
        <f>'Muthoot MCred'!G14</f>
        <v>1113</v>
      </c>
      <c r="S14" s="649">
        <f>'Kosamattam Finance'!D14</f>
        <v>765</v>
      </c>
      <c r="T14" s="649">
        <f>'Kosamattam Finance'!E14</f>
        <v>859</v>
      </c>
      <c r="U14" s="649">
        <f>'Kosamattam Finance'!F14</f>
        <v>900</v>
      </c>
      <c r="V14" s="649">
        <f>'Kosamattam Finance'!G14</f>
        <v>1128</v>
      </c>
    </row>
    <row r="15" spans="2:22" x14ac:dyDescent="0.25">
      <c r="B15" s="473" t="s">
        <v>26</v>
      </c>
      <c r="C15" s="649">
        <f>'Manappuram Finance'!H15</f>
        <v>1577</v>
      </c>
      <c r="D15" s="649">
        <f>'Manappuram Finance'!I15</f>
        <v>1749</v>
      </c>
      <c r="E15" s="649">
        <f>'Manappuram Finance'!J15</f>
        <v>1949</v>
      </c>
      <c r="F15" s="649">
        <f>'Manappuram Finance'!K15</f>
        <v>2126</v>
      </c>
      <c r="G15" s="685">
        <f>'Muthoot Finance'!I15</f>
        <v>2117.6550000000002</v>
      </c>
      <c r="H15" s="685">
        <f>'Muthoot Finance'!J15</f>
        <v>2393</v>
      </c>
      <c r="I15" s="685">
        <f>'Muthoot Finance'!K15</f>
        <v>2890</v>
      </c>
      <c r="J15" s="685">
        <f>'Muthoot Finance'!L15</f>
        <v>3544</v>
      </c>
      <c r="K15" s="649">
        <f>'Muthoot Fincorp'!D15</f>
        <v>1227.4369999999999</v>
      </c>
      <c r="L15" s="649">
        <f>'Muthoot Fincorp'!E15</f>
        <v>1396</v>
      </c>
      <c r="M15" s="649">
        <f>'Muthoot Fincorp'!F15</f>
        <v>1971</v>
      </c>
      <c r="N15" s="649">
        <f>'Muthoot Fincorp'!G15</f>
        <v>2853</v>
      </c>
      <c r="O15" s="684">
        <f>'Muthoot MCred'!D15</f>
        <v>181</v>
      </c>
      <c r="P15" s="684">
        <f>'Muthoot MCred'!E15</f>
        <v>209</v>
      </c>
      <c r="Q15" s="684">
        <f>'Muthoot MCred'!F15</f>
        <v>274</v>
      </c>
      <c r="R15" s="684">
        <f>'Muthoot MCred'!G15</f>
        <v>333</v>
      </c>
      <c r="S15" s="649">
        <f>'Kosamattam Finance'!D15</f>
        <v>176</v>
      </c>
      <c r="T15" s="649">
        <f>'Kosamattam Finance'!E15</f>
        <v>183</v>
      </c>
      <c r="U15" s="649">
        <f>'Kosamattam Finance'!F15</f>
        <v>185</v>
      </c>
      <c r="V15" s="649">
        <f>'Kosamattam Finance'!G15</f>
        <v>239</v>
      </c>
    </row>
    <row r="16" spans="2:22" x14ac:dyDescent="0.25">
      <c r="B16" s="473" t="s">
        <v>54</v>
      </c>
      <c r="C16" s="649">
        <f>'Manappuram Finance'!H16</f>
        <v>3250</v>
      </c>
      <c r="D16" s="649">
        <f>'Manappuram Finance'!I16</f>
        <v>4106</v>
      </c>
      <c r="E16" s="649">
        <f>'Manappuram Finance'!J16</f>
        <v>4959</v>
      </c>
      <c r="F16" s="649">
        <f>'Manappuram Finance'!K16</f>
        <v>5517</v>
      </c>
      <c r="G16" s="685">
        <f>'Muthoot Finance'!I16</f>
        <v>8397.1939999999995</v>
      </c>
      <c r="H16" s="685">
        <f>'Muthoot Finance'!J16</f>
        <v>10301</v>
      </c>
      <c r="I16" s="685">
        <f>'Muthoot Finance'!K16</f>
        <v>14266</v>
      </c>
      <c r="J16" s="685">
        <f>'Muthoot Finance'!L16</f>
        <v>24056</v>
      </c>
      <c r="K16" s="649">
        <f>'Muthoot Fincorp'!D16</f>
        <v>2242.3883000000005</v>
      </c>
      <c r="L16" s="649">
        <f>'Muthoot Fincorp'!E16</f>
        <v>2496</v>
      </c>
      <c r="M16" s="649">
        <f>'Muthoot Fincorp'!F16</f>
        <v>3238</v>
      </c>
      <c r="N16" s="649">
        <f>'Muthoot Fincorp'!G16</f>
        <v>5337</v>
      </c>
      <c r="O16" s="684">
        <f>'Muthoot MCred'!D16</f>
        <v>362</v>
      </c>
      <c r="P16" s="684">
        <f>'Muthoot MCred'!E16</f>
        <v>460</v>
      </c>
      <c r="Q16" s="684">
        <f>'Muthoot MCred'!F16</f>
        <v>537</v>
      </c>
      <c r="R16" s="684">
        <f>'Muthoot MCred'!G16</f>
        <v>776</v>
      </c>
      <c r="S16" s="649">
        <f>'Kosamattam Finance'!D16</f>
        <v>589</v>
      </c>
      <c r="T16" s="649">
        <f>'Kosamattam Finance'!E16</f>
        <v>675</v>
      </c>
      <c r="U16" s="649">
        <f>'Kosamattam Finance'!F16</f>
        <v>715</v>
      </c>
      <c r="V16" s="649">
        <f>'Kosamattam Finance'!G16</f>
        <v>889</v>
      </c>
    </row>
    <row r="17" spans="1:22" x14ac:dyDescent="0.25">
      <c r="B17" s="473" t="s">
        <v>94</v>
      </c>
      <c r="C17" s="649">
        <f>'Manappuram Finance'!H17</f>
        <v>1752</v>
      </c>
      <c r="D17" s="649">
        <f>'Manappuram Finance'!I17</f>
        <v>2330</v>
      </c>
      <c r="E17" s="649">
        <f>'Manappuram Finance'!J17</f>
        <v>2638</v>
      </c>
      <c r="F17" s="649">
        <f>'Manappuram Finance'!K17</f>
        <v>2575</v>
      </c>
      <c r="G17" s="685">
        <f>'Muthoot Finance'!I17</f>
        <v>4726.9529999999995</v>
      </c>
      <c r="H17" s="685">
        <f>'Muthoot Finance'!J17</f>
        <v>5705</v>
      </c>
      <c r="I17" s="685">
        <f>'Muthoot Finance'!K17</f>
        <v>7894</v>
      </c>
      <c r="J17" s="685">
        <f>'Muthoot Finance'!L17</f>
        <v>14157</v>
      </c>
      <c r="K17" s="649">
        <f>'Muthoot Fincorp'!D17</f>
        <v>692.50110000000041</v>
      </c>
      <c r="L17" s="649">
        <f>'Muthoot Fincorp'!E17</f>
        <v>810</v>
      </c>
      <c r="M17" s="649">
        <f>'Muthoot Fincorp'!F17</f>
        <v>1256</v>
      </c>
      <c r="N17" s="649">
        <f>'Muthoot Fincorp'!G17</f>
        <v>2442</v>
      </c>
      <c r="O17" s="684">
        <f>'Muthoot MCred'!D17</f>
        <v>80</v>
      </c>
      <c r="P17" s="684">
        <f>'Muthoot MCred'!E17</f>
        <v>117</v>
      </c>
      <c r="Q17" s="684">
        <f>'Muthoot MCred'!F17</f>
        <v>143</v>
      </c>
      <c r="R17" s="684">
        <f>'Muthoot MCred'!G17</f>
        <v>250</v>
      </c>
      <c r="S17" s="649">
        <f>'Kosamattam Finance'!D17</f>
        <v>156</v>
      </c>
      <c r="T17" s="649">
        <f>'Kosamattam Finance'!E17</f>
        <v>163</v>
      </c>
      <c r="U17" s="649">
        <f>'Kosamattam Finance'!F17</f>
        <v>176</v>
      </c>
      <c r="V17" s="649">
        <f>'Kosamattam Finance'!G17</f>
        <v>261</v>
      </c>
    </row>
    <row r="18" spans="1:22" x14ac:dyDescent="0.25">
      <c r="B18" s="473" t="s">
        <v>27</v>
      </c>
      <c r="C18" s="649">
        <f>'Manappuram Finance'!H18</f>
        <v>45</v>
      </c>
      <c r="D18" s="649">
        <f>'Manappuram Finance'!I18</f>
        <v>108</v>
      </c>
      <c r="E18" s="649">
        <f>'Manappuram Finance'!J18</f>
        <v>263</v>
      </c>
      <c r="F18" s="649">
        <f>'Manappuram Finance'!K18</f>
        <v>535</v>
      </c>
      <c r="G18" s="685">
        <f>'Muthoot Finance'!I18</f>
        <v>60.527000000000001</v>
      </c>
      <c r="H18" s="685">
        <f>'Muthoot Finance'!J18</f>
        <v>198</v>
      </c>
      <c r="I18" s="685">
        <f>'Muthoot Finance'!K18</f>
        <v>767</v>
      </c>
      <c r="J18" s="685">
        <f>'Muthoot Finance'!L18</f>
        <v>470</v>
      </c>
      <c r="K18" s="649">
        <f>'Muthoot Fincorp'!D18</f>
        <v>67.170200000000008</v>
      </c>
      <c r="L18" s="649">
        <f>'Muthoot Fincorp'!E18</f>
        <v>30</v>
      </c>
      <c r="M18" s="649">
        <f>'Muthoot Fincorp'!F18</f>
        <v>111</v>
      </c>
      <c r="N18" s="649">
        <f>'Muthoot Fincorp'!G18</f>
        <v>259</v>
      </c>
      <c r="O18" s="684">
        <f>'Muthoot MCred'!D18</f>
        <v>-2</v>
      </c>
      <c r="P18" s="684">
        <f>'Muthoot MCred'!E18</f>
        <v>7</v>
      </c>
      <c r="Q18" s="684">
        <f>'Muthoot MCred'!F18</f>
        <v>14</v>
      </c>
      <c r="R18" s="684">
        <f>'Muthoot MCred'!G18</f>
        <v>11</v>
      </c>
      <c r="S18" s="649">
        <f>'Kosamattam Finance'!D18</f>
        <v>28</v>
      </c>
      <c r="T18" s="649">
        <f>'Kosamattam Finance'!E18</f>
        <v>10</v>
      </c>
      <c r="U18" s="649">
        <f>'Kosamattam Finance'!F18</f>
        <v>6</v>
      </c>
      <c r="V18" s="649">
        <f>'Kosamattam Finance'!G18</f>
        <v>11</v>
      </c>
    </row>
    <row r="19" spans="1:22" x14ac:dyDescent="0.25">
      <c r="B19" s="473" t="s">
        <v>55</v>
      </c>
      <c r="C19" s="649">
        <f>'Manappuram Finance'!H19</f>
        <v>1266</v>
      </c>
      <c r="D19" s="649">
        <f>'Manappuram Finance'!I19</f>
        <v>1658</v>
      </c>
      <c r="E19" s="649">
        <f>'Manappuram Finance'!J19</f>
        <v>1783</v>
      </c>
      <c r="F19" s="649">
        <f>'Manappuram Finance'!K19</f>
        <v>1525</v>
      </c>
      <c r="G19" s="685">
        <f>'Muthoot Finance'!I19</f>
        <v>3473.5309999999999</v>
      </c>
      <c r="H19" s="685">
        <f>'Muthoot Finance'!J19</f>
        <v>4050</v>
      </c>
      <c r="I19" s="685">
        <f>'Muthoot Finance'!K19</f>
        <v>5201</v>
      </c>
      <c r="J19" s="685">
        <f>'Muthoot Finance'!L19</f>
        <v>10134</v>
      </c>
      <c r="K19" s="649">
        <f>'Muthoot Fincorp'!D19</f>
        <v>459.81080000000003</v>
      </c>
      <c r="L19" s="649">
        <f>'Muthoot Fincorp'!E19</f>
        <v>563</v>
      </c>
      <c r="M19" s="649">
        <f>'Muthoot Fincorp'!F19</f>
        <v>787</v>
      </c>
      <c r="N19" s="649">
        <f>'Muthoot Fincorp'!G19</f>
        <v>1640</v>
      </c>
      <c r="O19" s="684">
        <f>'Muthoot MCred'!D19</f>
        <v>67</v>
      </c>
      <c r="P19" s="684">
        <f>'Muthoot MCred'!E19</f>
        <v>78</v>
      </c>
      <c r="Q19" s="684">
        <f>'Muthoot MCred'!F19</f>
        <v>94</v>
      </c>
      <c r="R19" s="684">
        <f>'Muthoot MCred'!G19</f>
        <v>177</v>
      </c>
      <c r="S19" s="649">
        <f>'Kosamattam Finance'!D19</f>
        <v>107</v>
      </c>
      <c r="T19" s="649">
        <f>'Kosamattam Finance'!E19</f>
        <v>114</v>
      </c>
      <c r="U19" s="649">
        <f>'Kosamattam Finance'!F19</f>
        <v>127</v>
      </c>
      <c r="V19" s="649">
        <f>'Kosamattam Finance'!G19</f>
        <v>185</v>
      </c>
    </row>
    <row r="20" spans="1:22" x14ac:dyDescent="0.25">
      <c r="B20" s="473" t="s">
        <v>28</v>
      </c>
      <c r="C20" s="649">
        <f>'Manappuram Finance'!H20</f>
        <v>8885</v>
      </c>
      <c r="D20" s="649">
        <f>'Manappuram Finance'!I20</f>
        <v>10246</v>
      </c>
      <c r="E20" s="649">
        <f>'Manappuram Finance'!J20</f>
        <v>11682</v>
      </c>
      <c r="F20" s="649">
        <f>'Manappuram Finance'!K20</f>
        <v>15832</v>
      </c>
      <c r="G20" s="685">
        <f>'Muthoot Finance'!I20</f>
        <v>21061.928</v>
      </c>
      <c r="H20" s="685">
        <f>'Muthoot Finance'!J20</f>
        <v>24253</v>
      </c>
      <c r="I20" s="685">
        <f>'Muthoot Finance'!K20</f>
        <v>26724</v>
      </c>
      <c r="J20" s="685">
        <f>'Muthoot Finance'!L20</f>
        <v>34081</v>
      </c>
      <c r="K20" s="649">
        <f>'Muthoot Fincorp'!D20</f>
        <v>3893.0345000000002</v>
      </c>
      <c r="L20" s="649">
        <f>'Muthoot Fincorp'!E20</f>
        <v>4305</v>
      </c>
      <c r="M20" s="649">
        <f>'Muthoot Fincorp'!F20</f>
        <v>4810</v>
      </c>
      <c r="N20" s="649">
        <f>'Muthoot Fincorp'!G20</f>
        <v>6679</v>
      </c>
      <c r="O20" s="684">
        <f>'Muthoot MCred'!D20</f>
        <v>622</v>
      </c>
      <c r="P20" s="684">
        <f>'Muthoot MCred'!E20</f>
        <v>701</v>
      </c>
      <c r="Q20" s="684">
        <f>'Muthoot MCred'!F20</f>
        <v>797</v>
      </c>
      <c r="R20" s="684">
        <f>'Muthoot MCred'!G20</f>
        <v>1159</v>
      </c>
      <c r="S20" s="649">
        <f>'Kosamattam Finance'!D20</f>
        <v>761</v>
      </c>
      <c r="T20" s="649">
        <f>'Kosamattam Finance'!E20</f>
        <v>912</v>
      </c>
      <c r="U20" s="649">
        <f>'Kosamattam Finance'!F20</f>
        <v>1047</v>
      </c>
      <c r="V20" s="649">
        <f>'Kosamattam Finance'!G20</f>
        <v>1067</v>
      </c>
    </row>
    <row r="21" spans="1:22" x14ac:dyDescent="0.25">
      <c r="B21" s="473" t="s">
        <v>57</v>
      </c>
      <c r="C21" s="649">
        <f>'Manappuram Finance'!H22</f>
        <v>19229</v>
      </c>
      <c r="D21" s="649">
        <f>'Manappuram Finance'!I22</f>
        <v>22467</v>
      </c>
      <c r="E21" s="649">
        <f>'Manappuram Finance'!J22</f>
        <v>27046</v>
      </c>
      <c r="F21" s="649">
        <f>'Manappuram Finance'!K22</f>
        <v>50611</v>
      </c>
      <c r="G21" s="685">
        <f>'Muthoot Finance'!I22</f>
        <v>49734.307000000001</v>
      </c>
      <c r="H21" s="685">
        <f>'Muthoot Finance'!J22</f>
        <v>58783</v>
      </c>
      <c r="I21" s="685">
        <f>'Muthoot Finance'!K22</f>
        <v>89820</v>
      </c>
      <c r="J21" s="685">
        <f>'Muthoot Finance'!L22</f>
        <v>138443</v>
      </c>
      <c r="K21" s="649">
        <f>'Muthoot Fincorp'!D22</f>
        <v>17823.1747</v>
      </c>
      <c r="L21" s="649">
        <f>'Muthoot Fincorp'!E22</f>
        <v>20596</v>
      </c>
      <c r="M21" s="649">
        <f>'Muthoot Fincorp'!F22</f>
        <v>25855</v>
      </c>
      <c r="N21" s="649">
        <f>'Muthoot Fincorp'!G22</f>
        <v>43609</v>
      </c>
      <c r="O21" s="684">
        <f>'Muthoot MCred'!D22</f>
        <v>3207</v>
      </c>
      <c r="P21" s="684">
        <f>'Muthoot MCred'!E22</f>
        <v>3581</v>
      </c>
      <c r="Q21" s="684">
        <f>'Muthoot MCred'!F22</f>
        <v>4119</v>
      </c>
      <c r="R21" s="684">
        <f>'Muthoot MCred'!G22</f>
        <v>6261</v>
      </c>
      <c r="S21" s="649">
        <f>'Kosamattam Finance'!D22</f>
        <v>4659</v>
      </c>
      <c r="T21" s="649">
        <f>'Kosamattam Finance'!E22</f>
        <v>5001</v>
      </c>
      <c r="U21" s="649">
        <f>'Kosamattam Finance'!F22</f>
        <v>5281</v>
      </c>
      <c r="V21" s="649">
        <f>'Kosamattam Finance'!G22</f>
        <v>6925</v>
      </c>
    </row>
    <row r="22" spans="1:22" x14ac:dyDescent="0.25">
      <c r="B22" s="473" t="s">
        <v>29</v>
      </c>
      <c r="C22" s="649">
        <f>'Manappuram Finance'!H23</f>
        <v>29338</v>
      </c>
      <c r="D22" s="649">
        <f>'Manappuram Finance'!I23</f>
        <v>33893</v>
      </c>
      <c r="E22" s="649">
        <f>'Manappuram Finance'!J23</f>
        <v>39836</v>
      </c>
      <c r="F22" s="649">
        <f>'Manappuram Finance'!K23</f>
        <v>67554</v>
      </c>
      <c r="G22" s="685">
        <f>'Muthoot Finance'!I23</f>
        <v>72619.813999999998</v>
      </c>
      <c r="H22" s="685">
        <f>'Muthoot Finance'!J23</f>
        <v>85028</v>
      </c>
      <c r="I22" s="685">
        <f>'Muthoot Finance'!K23</f>
        <v>121249</v>
      </c>
      <c r="J22" s="685">
        <f>'Muthoot Finance'!L23</f>
        <v>179945</v>
      </c>
      <c r="K22" s="649">
        <f>'Muthoot Fincorp'!D23</f>
        <v>23699.001200000002</v>
      </c>
      <c r="L22" s="649">
        <f>'Muthoot Fincorp'!E23</f>
        <v>26611</v>
      </c>
      <c r="M22" s="649">
        <f>'Muthoot Fincorp'!F23</f>
        <v>32811</v>
      </c>
      <c r="N22" s="649">
        <f>'Muthoot Fincorp'!G23</f>
        <v>52671</v>
      </c>
      <c r="O22" s="684">
        <f>'Muthoot MCred'!D23</f>
        <v>3858</v>
      </c>
      <c r="P22" s="684">
        <f>'Muthoot MCred'!E23</f>
        <v>4316</v>
      </c>
      <c r="Q22" s="684">
        <f>'Muthoot MCred'!F23</f>
        <v>4960</v>
      </c>
      <c r="R22" s="684">
        <f>'Muthoot MCred'!G23</f>
        <v>7493</v>
      </c>
      <c r="S22" s="649">
        <f>'Kosamattam Finance'!D23</f>
        <v>5444</v>
      </c>
      <c r="T22" s="649">
        <f>'Kosamattam Finance'!E23</f>
        <v>5986</v>
      </c>
      <c r="U22" s="649">
        <f>'Kosamattam Finance'!F23</f>
        <v>6406</v>
      </c>
      <c r="V22" s="649">
        <f>'Kosamattam Finance'!G23</f>
        <v>8285</v>
      </c>
    </row>
    <row r="23" spans="1:22" x14ac:dyDescent="0.25">
      <c r="B23" s="473" t="s">
        <v>58</v>
      </c>
      <c r="C23" s="649">
        <f>'Manappuram Finance'!H24</f>
        <v>24735</v>
      </c>
      <c r="D23" s="649">
        <f>'Manappuram Finance'!I24</f>
        <v>29271</v>
      </c>
      <c r="E23" s="649">
        <f>'Manappuram Finance'!J24</f>
        <v>33690</v>
      </c>
      <c r="F23" s="649">
        <f>'Manappuram Finance'!K24</f>
        <v>56228</v>
      </c>
      <c r="G23" s="685">
        <f>'Muthoot Finance'!I24</f>
        <v>65030.642</v>
      </c>
      <c r="H23" s="685">
        <f>'Muthoot Finance'!J24</f>
        <v>77936</v>
      </c>
      <c r="I23" s="685">
        <f>'Muthoot Finance'!K24</f>
        <v>110254</v>
      </c>
      <c r="J23" s="685">
        <f>'Muthoot Finance'!L24</f>
        <v>163400</v>
      </c>
      <c r="K23" s="649">
        <f>'Muthoot Fincorp'!D24</f>
        <v>17585.781800000001</v>
      </c>
      <c r="L23" s="649">
        <f>'Muthoot Fincorp'!E24</f>
        <v>21415</v>
      </c>
      <c r="M23" s="649">
        <f>'Muthoot Fincorp'!F24</f>
        <v>25752</v>
      </c>
      <c r="N23" s="649">
        <f>'Muthoot Fincorp'!G24</f>
        <v>46193</v>
      </c>
      <c r="O23" s="684">
        <f>'Muthoot MCred'!D24</f>
        <v>3263</v>
      </c>
      <c r="P23" s="684">
        <f>'Muthoot MCred'!E24</f>
        <v>3523</v>
      </c>
      <c r="Q23" s="684">
        <f>'Muthoot MCred'!F24</f>
        <v>4142</v>
      </c>
      <c r="R23" s="684">
        <f>'Muthoot MCred'!G24</f>
        <v>6625</v>
      </c>
      <c r="S23" s="649">
        <f>'Kosamattam Finance'!D24</f>
        <v>4910</v>
      </c>
      <c r="T23" s="649">
        <f>'Kosamattam Finance'!E24</f>
        <v>5383</v>
      </c>
      <c r="U23" s="649">
        <f>'Kosamattam Finance'!F24</f>
        <v>5766</v>
      </c>
      <c r="V23" s="649">
        <f>'Kosamattam Finance'!G24</f>
        <v>7786</v>
      </c>
    </row>
    <row r="24" spans="1:22" x14ac:dyDescent="0.25">
      <c r="B24" s="473" t="s">
        <v>59</v>
      </c>
      <c r="C24" s="649">
        <f>'Manappuram Finance'!H25</f>
        <v>321</v>
      </c>
      <c r="D24" s="649">
        <f>'Manappuram Finance'!I25</f>
        <v>547</v>
      </c>
      <c r="E24" s="649">
        <f>'Manappuram Finance'!J25</f>
        <v>891</v>
      </c>
      <c r="F24" s="649">
        <f>'Manappuram Finance'!K25</f>
        <v>991</v>
      </c>
      <c r="G24" s="685">
        <f>'Muthoot Finance'!I25</f>
        <v>2398.596</v>
      </c>
      <c r="H24" s="685">
        <f>'Muthoot Finance'!J25</f>
        <v>2485</v>
      </c>
      <c r="I24" s="685">
        <f>'Muthoot Finance'!K25</f>
        <v>3700</v>
      </c>
      <c r="J24" s="685">
        <f>'Muthoot Finance'!L25</f>
        <v>3824</v>
      </c>
      <c r="K24" s="649">
        <f>'Muthoot Fincorp'!D25</f>
        <v>371.61129999999997</v>
      </c>
      <c r="L24" s="649">
        <f>'Muthoot Fincorp'!E25</f>
        <v>351</v>
      </c>
      <c r="M24" s="649">
        <f>'Muthoot Fincorp'!F25</f>
        <v>516</v>
      </c>
      <c r="N24" s="649">
        <f>'Muthoot Fincorp'!G25</f>
        <v>476</v>
      </c>
      <c r="O24" s="684">
        <f>'Muthoot MCred'!D25</f>
        <v>14</v>
      </c>
      <c r="P24" s="684">
        <f>'Muthoot MCred'!E25</f>
        <v>31</v>
      </c>
      <c r="Q24" s="684">
        <f>'Muthoot MCred'!F25</f>
        <v>35</v>
      </c>
      <c r="R24" s="684">
        <f>'Muthoot MCred'!G25</f>
        <v>41</v>
      </c>
      <c r="S24" s="649">
        <f>'Kosamattam Finance'!D25</f>
        <v>78</v>
      </c>
      <c r="T24" s="649">
        <f>'Kosamattam Finance'!E25</f>
        <v>78</v>
      </c>
      <c r="U24" s="649">
        <f>'Kosamattam Finance'!F25</f>
        <v>79</v>
      </c>
      <c r="V24" s="649">
        <f>'Kosamattam Finance'!G25</f>
        <v>94</v>
      </c>
    </row>
    <row r="25" spans="1:22" x14ac:dyDescent="0.25">
      <c r="B25" s="473" t="s">
        <v>60</v>
      </c>
      <c r="C25" s="649">
        <f>'Manappuram Finance'!H26</f>
        <v>255</v>
      </c>
      <c r="D25" s="649">
        <f>'Manappuram Finance'!I26</f>
        <v>456</v>
      </c>
      <c r="E25" s="649">
        <f>'Manappuram Finance'!J26</f>
        <v>753</v>
      </c>
      <c r="F25" s="649">
        <f>'Manappuram Finance'!K26</f>
        <v>842</v>
      </c>
      <c r="G25" s="685">
        <f>'Muthoot Finance'!I26</f>
        <v>2152.1239999999998</v>
      </c>
      <c r="H25" s="685">
        <f>'Muthoot Finance'!J26</f>
        <v>2197</v>
      </c>
      <c r="I25" s="685">
        <f>'Muthoot Finance'!K26</f>
        <v>3037</v>
      </c>
      <c r="J25" s="685">
        <f>'Muthoot Finance'!L26</f>
        <v>3324</v>
      </c>
      <c r="K25" s="649">
        <f>'Muthoot Fincorp'!D26</f>
        <v>102.21420000000001</v>
      </c>
      <c r="L25" s="649">
        <f>'Muthoot Fincorp'!E26</f>
        <v>139</v>
      </c>
      <c r="M25" s="649">
        <f>'Muthoot Fincorp'!F26</f>
        <v>332</v>
      </c>
      <c r="N25" s="649">
        <f>'Muthoot Fincorp'!G26</f>
        <v>263</v>
      </c>
      <c r="O25" s="684">
        <f>'Muthoot MCred'!D26</f>
        <v>12</v>
      </c>
      <c r="P25" s="684">
        <f>'Muthoot MCred'!E26</f>
        <v>25</v>
      </c>
      <c r="Q25" s="684">
        <f>'Muthoot MCred'!F26</f>
        <v>21</v>
      </c>
      <c r="R25" s="684">
        <f>'Muthoot MCred'!G26</f>
        <v>17</v>
      </c>
      <c r="S25" s="649">
        <f>'Kosamattam Finance'!D26</f>
        <v>33</v>
      </c>
      <c r="T25" s="649">
        <f>'Kosamattam Finance'!E26</f>
        <v>28</v>
      </c>
      <c r="U25" s="649">
        <f>'Kosamattam Finance'!F26</f>
        <v>27</v>
      </c>
      <c r="V25" s="649">
        <f>'Kosamattam Finance'!G26</f>
        <v>38</v>
      </c>
    </row>
    <row r="27" spans="1:22" x14ac:dyDescent="0.25">
      <c r="C27" s="672" t="str">
        <f>'Manappuram Finance'!N2</f>
        <v>FY23 (A)</v>
      </c>
      <c r="D27" s="672" t="str">
        <f>'Manappuram Finance'!O2</f>
        <v>FY24 (A)</v>
      </c>
      <c r="E27" s="672" t="str">
        <f>'Manappuram Finance'!P2</f>
        <v>FY25 (A)</v>
      </c>
      <c r="F27" s="672" t="str">
        <f>'Manappuram Finance'!Q2</f>
        <v>FY26 (A)</v>
      </c>
      <c r="G27" s="672" t="str">
        <f>'Muthoot Finance'!P3</f>
        <v>FY23 (A)</v>
      </c>
      <c r="H27" s="672" t="str">
        <f>'Muthoot Finance'!Q3</f>
        <v>FY24 (A)</v>
      </c>
      <c r="I27" s="672" t="str">
        <f>'Muthoot Finance'!R3</f>
        <v>FY25 (A)</v>
      </c>
      <c r="J27" s="672" t="str">
        <f>'Muthoot Finance'!S3</f>
        <v>FY26 (A)</v>
      </c>
      <c r="K27" s="672" t="str">
        <f>'Muthoot Fincorp'!K3</f>
        <v>FY23 (A)</v>
      </c>
      <c r="L27" s="672" t="str">
        <f>'Muthoot Fincorp'!L3</f>
        <v>FY24 (A)</v>
      </c>
      <c r="M27" s="672" t="str">
        <f>'Muthoot Fincorp'!M3</f>
        <v>FY25 (A)</v>
      </c>
      <c r="N27" s="672" t="str">
        <f>'Muthoot Fincorp'!N3</f>
        <v>FY26 (A)</v>
      </c>
      <c r="O27" s="672" t="str">
        <f>'Muthoot MCred'!K3</f>
        <v>FY23 (A)</v>
      </c>
      <c r="P27" s="672" t="str">
        <f>'Muthoot MCred'!L3</f>
        <v>FY24 (A)</v>
      </c>
      <c r="Q27" s="672" t="str">
        <f>'Muthoot MCred'!M3</f>
        <v>FY25 (A)</v>
      </c>
      <c r="R27" s="672" t="str">
        <f>'Muthoot MCred'!N3</f>
        <v>FY26 (A)</v>
      </c>
      <c r="S27" s="672" t="str">
        <f>'Kosamattam Finance'!K3</f>
        <v>FY23 (A)</v>
      </c>
      <c r="T27" s="672" t="str">
        <f>'Kosamattam Finance'!L3</f>
        <v>FY24 (A)</v>
      </c>
      <c r="U27" s="672" t="str">
        <f>'Kosamattam Finance'!M3</f>
        <v>FY25 (A)</v>
      </c>
      <c r="V27" s="672" t="str">
        <f>'Kosamattam Finance'!N3</f>
        <v>FY26 (A)</v>
      </c>
    </row>
    <row r="28" spans="1:22" x14ac:dyDescent="0.25">
      <c r="B28" s="565" t="s">
        <v>6</v>
      </c>
    </row>
    <row r="29" spans="1:22" x14ac:dyDescent="0.25">
      <c r="B29" s="474" t="s">
        <v>11</v>
      </c>
      <c r="C29" s="100">
        <f>'Manappuram Finance'!N4</f>
        <v>0.13312948640508265</v>
      </c>
      <c r="D29" s="100">
        <f>'Manappuram Finance'!O4</f>
        <v>0.14114776515000027</v>
      </c>
      <c r="E29" s="100">
        <f>'Manappuram Finance'!P4</f>
        <v>0.13872079541303348</v>
      </c>
      <c r="F29" s="100">
        <f>'Manappuram Finance'!Q4</f>
        <v>9.9735314397562225E-2</v>
      </c>
      <c r="G29" s="648">
        <f>'Muthoot Finance'!P5</f>
        <v>0.10303727014995259</v>
      </c>
      <c r="H29" s="648">
        <f>'Muthoot Finance'!Q5</f>
        <v>0.10535324736801191</v>
      </c>
      <c r="I29" s="648">
        <f>'Muthoot Finance'!R5</f>
        <v>0.10730644561347574</v>
      </c>
      <c r="J29" s="648">
        <f>'Muthoot Finance'!S5</f>
        <v>0.125158046292033</v>
      </c>
      <c r="K29" s="100">
        <f>'Muthoot Fincorp'!K4</f>
        <v>9.9315909733262583E-2</v>
      </c>
      <c r="L29" s="100">
        <f>'Muthoot Fincorp'!L4</f>
        <v>9.7946754493008659E-2</v>
      </c>
      <c r="M29" s="100">
        <f>'Muthoot Fincorp'!M4</f>
        <v>0.11122182882099774</v>
      </c>
      <c r="N29" s="100">
        <f>'Muthoot Fincorp'!N4</f>
        <v>0.12951560219612204</v>
      </c>
      <c r="O29" s="690">
        <f>'Muthoot MCred'!K4</f>
        <v>8.1921623014533138E-2</v>
      </c>
      <c r="P29" s="690">
        <f>'Muthoot MCred'!L4</f>
        <v>8.3112290008841738E-2</v>
      </c>
      <c r="Q29" s="690">
        <f>'Muthoot MCred'!M4</f>
        <v>9.0541422048271369E-2</v>
      </c>
      <c r="R29" s="690">
        <f>'Muthoot MCred'!N4</f>
        <v>9.5848425745332963E-2</v>
      </c>
      <c r="S29" s="100">
        <f>'Kosamattam Finance'!J4</f>
        <v>5.8619836754884989E-2</v>
      </c>
      <c r="T29" s="100">
        <f>'Kosamattam Finance'!K4</f>
        <v>7.3271529096392271E-2</v>
      </c>
      <c r="U29" s="100">
        <f>'Kosamattam Finance'!L4</f>
        <v>6.6452929175167597E-2</v>
      </c>
      <c r="V29" s="100">
        <f>'Kosamattam Finance'!M4</f>
        <v>6.3682841510449367E-2</v>
      </c>
    </row>
    <row r="30" spans="1:22" x14ac:dyDescent="0.25">
      <c r="B30" s="565" t="s">
        <v>12</v>
      </c>
      <c r="C30" s="100"/>
      <c r="D30" s="100"/>
      <c r="E30" s="100"/>
      <c r="F30" s="100"/>
      <c r="G30" s="648"/>
      <c r="H30" s="648"/>
      <c r="I30" s="648"/>
      <c r="J30" s="648"/>
      <c r="K30" s="100"/>
      <c r="L30" s="100"/>
      <c r="M30" s="100"/>
      <c r="N30" s="100"/>
      <c r="O30" s="690"/>
      <c r="P30" s="690"/>
      <c r="Q30" s="690"/>
      <c r="R30" s="690"/>
      <c r="S30" s="100"/>
      <c r="T30" s="100"/>
      <c r="U30" s="100"/>
      <c r="V30" s="100"/>
    </row>
    <row r="31" spans="1:22" s="610" customFormat="1" x14ac:dyDescent="0.25">
      <c r="A31"/>
      <c r="B31" s="474" t="s">
        <v>127</v>
      </c>
      <c r="C31" s="673">
        <f>'Manappuram Finance'!N6</f>
        <v>2.1413701565762149</v>
      </c>
      <c r="D31" s="673">
        <f>'Manappuram Finance'!O6</f>
        <v>2.1928271648317326</v>
      </c>
      <c r="E31" s="673">
        <f>'Manappuram Finance'!P6</f>
        <v>2.3852191551283184</v>
      </c>
      <c r="F31" s="673">
        <f>'Manappuram Finance'!Q6</f>
        <v>3.196753410813542</v>
      </c>
      <c r="G31" s="674">
        <f>'Muthoot Finance'!P7</f>
        <v>2.3613368633678742</v>
      </c>
      <c r="H31" s="674">
        <f>'Muthoot Finance'!Q7</f>
        <v>2.4237413928173832</v>
      </c>
      <c r="I31" s="674">
        <f>'Muthoot Finance'!R7</f>
        <v>3.3610237988325102</v>
      </c>
      <c r="J31" s="674">
        <f>'Muthoot Finance'!S7</f>
        <v>4.0621754056512422</v>
      </c>
      <c r="K31" s="673">
        <f>'Muthoot Fincorp'!K6</f>
        <v>4.5782216160683902</v>
      </c>
      <c r="L31" s="673">
        <f>'Muthoot Fincorp'!L6</f>
        <v>4.7842044134727058</v>
      </c>
      <c r="M31" s="673">
        <f>'Muthoot Fincorp'!M6</f>
        <v>5.375259875259875</v>
      </c>
      <c r="N31" s="673">
        <f>'Muthoot Fincorp'!N6</f>
        <v>6.5292708489294808</v>
      </c>
      <c r="O31" s="674">
        <f>'Muthoot MCred'!K6</f>
        <v>5.155948553054662</v>
      </c>
      <c r="P31" s="674">
        <f>'Muthoot MCred'!L6</f>
        <v>5.108416547788873</v>
      </c>
      <c r="Q31" s="674">
        <f>'Muthoot MCred'!M6</f>
        <v>5.168130489335006</v>
      </c>
      <c r="R31" s="674">
        <f>'Muthoot MCred'!N6</f>
        <v>5.40207075064711</v>
      </c>
      <c r="S31" s="673">
        <f>'Kosamattam Finance'!J6</f>
        <v>6.0372093023255813</v>
      </c>
      <c r="T31" s="673">
        <f>'Kosamattam Finance'!K6</f>
        <v>6.122207621550591</v>
      </c>
      <c r="U31" s="673">
        <f>'Kosamattam Finance'!L6</f>
        <v>5.4835526315789478</v>
      </c>
      <c r="V31" s="673">
        <f>'Kosamattam Finance'!M6</f>
        <v>5.0439350525310411</v>
      </c>
    </row>
    <row r="32" spans="1:22" x14ac:dyDescent="0.25">
      <c r="B32" s="474" t="s">
        <v>14</v>
      </c>
      <c r="C32" s="100">
        <f>'Manappuram Finance'!N7</f>
        <v>0.317</v>
      </c>
      <c r="D32" s="100">
        <f>'Manappuram Finance'!O7</f>
        <v>0.30580000000000002</v>
      </c>
      <c r="E32" s="100">
        <f>'Manappuram Finance'!P7</f>
        <v>0.30909999999999999</v>
      </c>
      <c r="F32" s="100">
        <f>'Manappuram Finance'!Q7</f>
        <v>0.21299999999999999</v>
      </c>
      <c r="G32" s="648">
        <f>'Muthoot Finance'!P8</f>
        <v>0.31769999999999998</v>
      </c>
      <c r="H32" s="648">
        <f>'Muthoot Finance'!Q8</f>
        <v>0</v>
      </c>
      <c r="I32" s="648">
        <f>'Muthoot Finance'!R8</f>
        <v>0</v>
      </c>
      <c r="J32" s="648">
        <f>'Muthoot Finance'!S8</f>
        <v>0</v>
      </c>
      <c r="K32" s="100">
        <f>'Muthoot Fincorp'!K7</f>
        <v>0.21340000000000001</v>
      </c>
      <c r="L32" s="100">
        <v>0.2001</v>
      </c>
      <c r="M32" s="100">
        <v>0.19500000000000001</v>
      </c>
      <c r="N32" s="100">
        <v>0.18</v>
      </c>
      <c r="O32" s="690">
        <f>'Muthoot MCred'!K7</f>
        <v>0.22819999999999999</v>
      </c>
      <c r="P32" s="690">
        <f>'Muthoot MCred'!L7</f>
        <v>0.23860000000000001</v>
      </c>
      <c r="Q32" s="690">
        <f>'Muthoot MCred'!M7</f>
        <v>0.21379999999999999</v>
      </c>
      <c r="R32" s="690">
        <f>'Muthoot MCred'!N7</f>
        <v>0.1812</v>
      </c>
      <c r="S32" s="100">
        <f>'Kosamattam Finance'!J7</f>
        <v>0.1865</v>
      </c>
      <c r="T32" s="100">
        <f>'Kosamattam Finance'!K7</f>
        <v>0.17710000000000001</v>
      </c>
      <c r="U32" s="100">
        <f>'Kosamattam Finance'!L7</f>
        <v>0.1842</v>
      </c>
      <c r="V32" s="100">
        <f>'Kosamattam Finance'!M7</f>
        <v>0.18779999999999999</v>
      </c>
    </row>
    <row r="33" spans="2:22" x14ac:dyDescent="0.25">
      <c r="B33" s="474" t="s">
        <v>128</v>
      </c>
      <c r="C33" s="100">
        <f>'Manappuram Finance'!N8</f>
        <v>0.36305093341432115</v>
      </c>
      <c r="D33" s="100">
        <f>'Manappuram Finance'!O8</f>
        <v>0.34907520929231828</v>
      </c>
      <c r="E33" s="100">
        <f>'Manappuram Finance'!P8</f>
        <v>0.336568714752152</v>
      </c>
      <c r="F33" s="100">
        <f>'Manappuram Finance'!Q8</f>
        <v>0.28156790211282634</v>
      </c>
      <c r="G33" s="648">
        <f>'Muthoot Finance'!P9</f>
        <v>0.32387698094692036</v>
      </c>
      <c r="H33" s="648">
        <f>'Muthoot Finance'!Q9</f>
        <v>0.31119123383288855</v>
      </c>
      <c r="I33" s="648">
        <f>'Muthoot Finance'!R9</f>
        <v>0.2423857637818129</v>
      </c>
      <c r="J33" s="648">
        <f>'Muthoot Finance'!S9</f>
        <v>0.20857405140758875</v>
      </c>
      <c r="K33" s="100">
        <f>'Muthoot Fincorp'!K8</f>
        <v>0.22137397951793078</v>
      </c>
      <c r="L33" s="100">
        <f>'Muthoot Fincorp'!L8</f>
        <v>0.20102731730095727</v>
      </c>
      <c r="M33" s="100">
        <f>'Muthoot Fincorp'!M8</f>
        <v>0.18678160919540229</v>
      </c>
      <c r="N33" s="100">
        <f>'Muthoot Fincorp'!N8</f>
        <v>0.14458900699240146</v>
      </c>
      <c r="O33" s="690">
        <f>'Muthoot MCred'!K8</f>
        <v>0.19062212687710695</v>
      </c>
      <c r="P33" s="690">
        <f>'Muthoot MCred'!L8</f>
        <v>0.19897814362759011</v>
      </c>
      <c r="Q33" s="690">
        <f>'Muthoot MCred'!M8</f>
        <v>0.19241912119748913</v>
      </c>
      <c r="R33" s="690">
        <f>'Muthoot MCred'!N8</f>
        <v>0.17494339622641508</v>
      </c>
      <c r="S33" s="100">
        <f>'Kosamattam Finance'!J8</f>
        <v>0.15953499876329458</v>
      </c>
      <c r="T33" s="100">
        <f>'Kosamattam Finance'!K8</f>
        <v>0.15498981670061099</v>
      </c>
      <c r="U33" s="100">
        <f>'Kosamattam Finance'!L8</f>
        <v>0.16942225524800297</v>
      </c>
      <c r="V33" s="100">
        <f>'Kosamattam Finance'!M8</f>
        <v>0.18158168574401665</v>
      </c>
    </row>
    <row r="34" spans="2:22" x14ac:dyDescent="0.25">
      <c r="B34" s="565" t="s">
        <v>16</v>
      </c>
      <c r="C34" s="100"/>
      <c r="D34" s="100"/>
      <c r="E34" s="100"/>
      <c r="F34" s="100"/>
      <c r="G34" s="648"/>
      <c r="H34" s="648"/>
      <c r="I34" s="648"/>
      <c r="J34" s="648"/>
      <c r="K34" s="100"/>
      <c r="L34" s="100"/>
      <c r="M34" s="100"/>
      <c r="N34" s="100"/>
      <c r="O34" s="690"/>
      <c r="P34" s="690"/>
      <c r="Q34" s="690"/>
      <c r="R34" s="690"/>
      <c r="S34" s="100"/>
      <c r="T34" s="100"/>
      <c r="U34" s="100"/>
      <c r="V34" s="100"/>
    </row>
    <row r="35" spans="2:22" ht="30" x14ac:dyDescent="0.25">
      <c r="B35" s="476" t="s">
        <v>93</v>
      </c>
      <c r="C35" s="100">
        <f>'Manappuram Finance'!N10</f>
        <v>0.47740882795448286</v>
      </c>
      <c r="D35" s="100">
        <f>'Manappuram Finance'!O10</f>
        <v>0.42393528895819127</v>
      </c>
      <c r="E35" s="100">
        <f>'Manappuram Finance'!P10</f>
        <v>0.4254529578694608</v>
      </c>
      <c r="F35" s="100">
        <f>'Manappuram Finance'!Q10</f>
        <v>0.45330490405117269</v>
      </c>
      <c r="G35" s="648">
        <f>'Muthoot Finance'!P11</f>
        <v>0.31070208543234462</v>
      </c>
      <c r="H35" s="648">
        <f>'Muthoot Finance'!Q11</f>
        <v>0.29767384002985448</v>
      </c>
      <c r="I35" s="648">
        <f>'Muthoot Finance'!R11</f>
        <v>0.26941362916006339</v>
      </c>
      <c r="J35" s="648">
        <f>'Muthoot Finance'!S11</f>
        <v>0.20069086584744322</v>
      </c>
      <c r="K35" s="100">
        <f>'Muthoot Fincorp'!K10</f>
        <v>0.64652996012957153</v>
      </c>
      <c r="L35" s="100">
        <f>'Muthoot Fincorp'!L10</f>
        <v>0.66890273119310018</v>
      </c>
      <c r="M35" s="100">
        <f>'Muthoot Fincorp'!M10</f>
        <v>0.68059392265193375</v>
      </c>
      <c r="N35" s="100">
        <f>'Muthoot Fincorp'!N10</f>
        <v>0.55711775043936729</v>
      </c>
      <c r="O35" s="690">
        <f>'Muthoot MCred'!K10</f>
        <v>0.69615384615384612</v>
      </c>
      <c r="P35" s="690">
        <f>'Muthoot MCred'!L10</f>
        <v>0.64506172839506171</v>
      </c>
      <c r="Q35" s="690">
        <f>'Muthoot MCred'!M10</f>
        <v>0.66343825665859568</v>
      </c>
      <c r="R35" s="690">
        <f>'Muthoot MCred'!N10</f>
        <v>0.57512953367875652</v>
      </c>
      <c r="S35" s="100">
        <f>'Kosamattam Finance'!J10</f>
        <v>0.59583333333333333</v>
      </c>
      <c r="T35" s="100">
        <f>'Kosamattam Finance'!K10</f>
        <v>0.53012048192771088</v>
      </c>
      <c r="U35" s="100">
        <f>'Kosamattam Finance'!L10</f>
        <v>0.52890173410404628</v>
      </c>
      <c r="V35" s="100">
        <f>'Kosamattam Finance'!M10</f>
        <v>0.51246537396121883</v>
      </c>
    </row>
    <row r="36" spans="2:22" ht="30" x14ac:dyDescent="0.25">
      <c r="B36" s="474" t="s">
        <v>92</v>
      </c>
      <c r="C36" s="100">
        <f>'Manappuram Finance'!N11</f>
        <v>0.32843181968694124</v>
      </c>
      <c r="D36" s="100">
        <f>'Manappuram Finance'!O11</f>
        <v>0.29099934647361625</v>
      </c>
      <c r="E36" s="100">
        <f>'Manappuram Finance'!P11</f>
        <v>0.28213665315576142</v>
      </c>
      <c r="F36" s="100">
        <f>'Manappuram Finance'!Q11</f>
        <v>0.27816302499018708</v>
      </c>
      <c r="G36" s="648">
        <f>'Muthoot Finance'!P12</f>
        <v>0.20139661539599857</v>
      </c>
      <c r="H36" s="648">
        <f>'Muthoot Finance'!Q12</f>
        <v>0.18851425870489996</v>
      </c>
      <c r="I36" s="648">
        <f>'Muthoot Finance'!R12</f>
        <v>0.1684541851247377</v>
      </c>
      <c r="J36" s="648">
        <f>'Muthoot Finance'!S12</f>
        <v>0.12840579710144928</v>
      </c>
      <c r="K36" s="100">
        <f>'Muthoot Fincorp'!K11</f>
        <v>0.35374605171044193</v>
      </c>
      <c r="L36" s="100">
        <f>'Muthoot Fincorp'!L11</f>
        <v>0.35868448098663924</v>
      </c>
      <c r="M36" s="100">
        <f>'Muthoot Fincorp'!M11</f>
        <v>0.37838356690343639</v>
      </c>
      <c r="N36" s="100">
        <f>'Muthoot Fincorp'!N11</f>
        <v>0.34835164835164834</v>
      </c>
      <c r="O36" s="690">
        <f>'Muthoot MCred'!K11</f>
        <v>0.33333333333333331</v>
      </c>
      <c r="P36" s="690">
        <f>'Muthoot MCred'!L11</f>
        <v>0.31240657698056801</v>
      </c>
      <c r="Q36" s="690">
        <f>'Muthoot MCred'!M11</f>
        <v>0.33785450061652283</v>
      </c>
      <c r="R36" s="690">
        <f>'Muthoot MCred'!N11</f>
        <v>0.30027051397655546</v>
      </c>
      <c r="S36" s="100">
        <f>'Kosamattam Finance'!J11</f>
        <v>0.2348111658456486</v>
      </c>
      <c r="T36" s="100">
        <f>'Kosamattam Finance'!K11</f>
        <v>0.23006535947712417</v>
      </c>
      <c r="U36" s="100">
        <f>'Kosamattam Finance'!L11</f>
        <v>0.21328671328671328</v>
      </c>
      <c r="V36" s="100">
        <f>'Kosamattam Finance'!M11</f>
        <v>0.20555555555555555</v>
      </c>
    </row>
    <row r="37" spans="2:22" x14ac:dyDescent="0.25">
      <c r="B37" s="474" t="s">
        <v>17</v>
      </c>
      <c r="C37" s="100">
        <f>'Manappuram Finance'!N12</f>
        <v>5.6015315736101912E-2</v>
      </c>
      <c r="D37" s="100">
        <f>'Manappuram Finance'!O12</f>
        <v>5.3593322496309673E-2</v>
      </c>
      <c r="E37" s="100">
        <f>'Manappuram Finance'!P12</f>
        <v>5.286929159489482E-2</v>
      </c>
      <c r="F37" s="100">
        <f>'Manappuram Finance'!Q12</f>
        <v>3.9594003166030359E-2</v>
      </c>
      <c r="G37" s="648">
        <f>'Muthoot Finance'!P13</f>
        <v>2.9581389922392357E-2</v>
      </c>
      <c r="H37" s="648">
        <f>'Muthoot Finance'!Q13</f>
        <v>3.0358809796119341E-2</v>
      </c>
      <c r="I37" s="648">
        <f>'Muthoot Finance'!R13</f>
        <v>2.8020574276337157E-2</v>
      </c>
      <c r="J37" s="648">
        <f>'Muthoot Finance'!S13</f>
        <v>2.3533005305550577E-2</v>
      </c>
      <c r="K37" s="100">
        <f>'Muthoot Fincorp'!K12</f>
        <v>5.2676566106410999E-2</v>
      </c>
      <c r="L37" s="100">
        <f>'Muthoot Fincorp'!L12</f>
        <v>5.5495923939671864E-2</v>
      </c>
      <c r="M37" s="100">
        <f>'Muthoot Fincorp'!M12</f>
        <v>6.6339066339066333E-2</v>
      </c>
      <c r="N37" s="100">
        <f>'Muthoot Fincorp'!N12</f>
        <v>6.6750894925247425E-2</v>
      </c>
      <c r="O37" s="690">
        <f>'Muthoot MCred'!K12</f>
        <v>5.1066453043373691E-2</v>
      </c>
      <c r="P37" s="690">
        <f>'Muthoot MCred'!L12</f>
        <v>5.1137753853682411E-2</v>
      </c>
      <c r="Q37" s="690">
        <f>'Muthoot MCred'!M12</f>
        <v>5.9077188443294522E-2</v>
      </c>
      <c r="R37" s="690">
        <f>'Muthoot MCred'!N12</f>
        <v>5.348108889424235E-2</v>
      </c>
      <c r="S37" s="100">
        <f>'Kosamattam Finance'!J12</f>
        <v>3.5369774919614148E-2</v>
      </c>
      <c r="T37" s="100">
        <f>'Kosamattam Finance'!K12</f>
        <v>3.7103404659007064E-2</v>
      </c>
      <c r="U37" s="100">
        <f>'Kosamattam Finance'!L12</f>
        <v>3.2020997375328084E-2</v>
      </c>
      <c r="V37" s="100">
        <f>'Kosamattam Finance'!M12</f>
        <v>2.985797288573273E-2</v>
      </c>
    </row>
    <row r="38" spans="2:22" x14ac:dyDescent="0.25">
      <c r="B38" s="565" t="s">
        <v>18</v>
      </c>
      <c r="C38" s="100"/>
      <c r="D38" s="100"/>
      <c r="E38" s="100"/>
      <c r="F38" s="100"/>
      <c r="G38" s="648"/>
      <c r="H38" s="648"/>
      <c r="I38" s="648"/>
      <c r="J38" s="648"/>
      <c r="K38" s="100"/>
      <c r="L38" s="100"/>
      <c r="M38" s="100"/>
      <c r="N38" s="100"/>
      <c r="O38" s="690"/>
      <c r="P38" s="690"/>
      <c r="Q38" s="690"/>
      <c r="R38" s="690"/>
      <c r="S38" s="100"/>
      <c r="T38" s="100"/>
      <c r="U38" s="100"/>
      <c r="V38" s="100"/>
    </row>
    <row r="39" spans="2:22" x14ac:dyDescent="0.25">
      <c r="B39" s="474" t="s">
        <v>19</v>
      </c>
      <c r="C39" s="100">
        <f>'Manappuram Finance'!N14</f>
        <v>1.2981548737782685E-2</v>
      </c>
      <c r="D39" s="100">
        <f>'Manappuram Finance'!O14</f>
        <v>1.862504448361444E-2</v>
      </c>
      <c r="E39" s="100">
        <f>'Manappuram Finance'!P14</f>
        <v>2.6447016918967052E-2</v>
      </c>
      <c r="F39" s="100">
        <f>'Manappuram Finance'!Q14</f>
        <v>1.7624670982428682E-2</v>
      </c>
      <c r="G39" s="648">
        <f>'Muthoot Finance'!P15</f>
        <v>3.6884089195982413E-2</v>
      </c>
      <c r="H39" s="648">
        <f>'Muthoot Finance'!Q15</f>
        <v>3.188513652227469E-2</v>
      </c>
      <c r="I39" s="648">
        <f>'Muthoot Finance'!R15</f>
        <v>3.3558873147459506E-2</v>
      </c>
      <c r="J39" s="648">
        <f>'Muthoot Finance'!S15</f>
        <v>2.3402692778457773E-2</v>
      </c>
      <c r="K39" s="100">
        <f>'Muthoot Fincorp'!K14</f>
        <v>2.1131349417743826E-2</v>
      </c>
      <c r="L39" s="100">
        <f>'Muthoot Fincorp'!L14</f>
        <v>1.6390380574363764E-2</v>
      </c>
      <c r="M39" s="100">
        <f>'Muthoot Fincorp'!M14</f>
        <v>2.0037278657968314E-2</v>
      </c>
      <c r="N39" s="100">
        <f>'Muthoot Fincorp'!N14</f>
        <v>1.0304591604788605E-2</v>
      </c>
      <c r="O39" s="690">
        <f>'Muthoot MCred'!K14</f>
        <v>4.2905301869445292E-3</v>
      </c>
      <c r="P39" s="690">
        <f>'Muthoot MCred'!L14</f>
        <v>8.7993187624183927E-3</v>
      </c>
      <c r="Q39" s="690">
        <f>'Muthoot MCred'!M14</f>
        <v>8.4500241429261227E-3</v>
      </c>
      <c r="R39" s="690">
        <f>'Muthoot MCred'!N14</f>
        <v>6.1886792452830186E-3</v>
      </c>
      <c r="S39" s="100">
        <f>'Kosamattam Finance'!J14</f>
        <v>1.409844175117487E-2</v>
      </c>
      <c r="T39" s="100">
        <f>'Kosamattam Finance'!K14</f>
        <v>1.5885947046843176E-2</v>
      </c>
      <c r="U39" s="100">
        <f>'Kosamattam Finance'!L14</f>
        <v>1.4490061304105517E-2</v>
      </c>
      <c r="V39" s="100">
        <f>'Kosamattam Finance'!M14</f>
        <v>1.3701005896635449E-2</v>
      </c>
    </row>
    <row r="40" spans="2:22" x14ac:dyDescent="0.25">
      <c r="B40" s="474" t="s">
        <v>20</v>
      </c>
      <c r="C40" s="100">
        <f>'Manappuram Finance'!N15</f>
        <v>1.0327085558963472E-2</v>
      </c>
      <c r="D40" s="100">
        <f>'Manappuram Finance'!O15</f>
        <v>1.5513056845843001E-2</v>
      </c>
      <c r="E40" s="100">
        <f>'Manappuram Finance'!P15</f>
        <v>2.2350845948352627E-2</v>
      </c>
      <c r="F40" s="100">
        <f>'Manappuram Finance'!Q15</f>
        <v>1.4974745678309739E-2</v>
      </c>
      <c r="G40" s="648">
        <f>'Muthoot Finance'!P16</f>
        <v>3.3093998979742502E-2</v>
      </c>
      <c r="H40" s="648">
        <f>'Muthoot Finance'!Q16</f>
        <v>2.8189796756312873E-2</v>
      </c>
      <c r="I40" s="648">
        <f>'Muthoot Finance'!R16</f>
        <v>2.754548587806338E-2</v>
      </c>
      <c r="J40" s="648">
        <f>'Muthoot Finance'!S16</f>
        <v>2.0342717258261932E-2</v>
      </c>
      <c r="K40" s="100">
        <f>'Muthoot Fincorp'!K15</f>
        <v>5.8123204963227738E-3</v>
      </c>
      <c r="L40" s="100">
        <f>'Muthoot Fincorp'!L15</f>
        <v>6.4907774924118609E-3</v>
      </c>
      <c r="M40" s="100">
        <f>'Muthoot Fincorp'!M15</f>
        <v>1.2892202547374962E-2</v>
      </c>
      <c r="N40" s="100">
        <f>'Muthoot Fincorp'!N15</f>
        <v>5.6935033446626109E-3</v>
      </c>
      <c r="O40" s="690">
        <f>'Muthoot MCred'!K15</f>
        <v>3.6775973030953109E-3</v>
      </c>
      <c r="P40" s="690">
        <f>'Muthoot MCred'!L15</f>
        <v>7.0962248084019304E-3</v>
      </c>
      <c r="Q40" s="690">
        <f>'Muthoot MCred'!M15</f>
        <v>5.0700144857556738E-3</v>
      </c>
      <c r="R40" s="690">
        <f>'Muthoot MCred'!N15</f>
        <v>2.5660377358490568E-3</v>
      </c>
      <c r="S40" s="100">
        <f>'Kosamattam Finance'!J15</f>
        <v>8.6569379173880787E-3</v>
      </c>
      <c r="T40" s="100">
        <f>'Kosamattam Finance'!K15</f>
        <v>6.7209775967413442E-3</v>
      </c>
      <c r="U40" s="100">
        <f>'Kosamattam Finance'!L15</f>
        <v>5.2015604681404422E-3</v>
      </c>
      <c r="V40" s="100">
        <f>'Kosamattam Finance'!M15</f>
        <v>4.6826222684703432E-3</v>
      </c>
    </row>
    <row r="41" spans="2:22" x14ac:dyDescent="0.25">
      <c r="B41" s="474" t="s">
        <v>21</v>
      </c>
      <c r="C41" s="100">
        <f>'Manappuram Finance'!N16</f>
        <v>0.20447969902800736</v>
      </c>
      <c r="D41" s="100">
        <f>'Manappuram Finance'!O16</f>
        <v>0.16708618551269719</v>
      </c>
      <c r="E41" s="100">
        <f>'Manappuram Finance'!P16</f>
        <v>0.15488215488215487</v>
      </c>
      <c r="F41" s="100">
        <f>'Manappuram Finance'!Q16</f>
        <v>0.15035317860746714</v>
      </c>
      <c r="G41" s="648">
        <f>'Muthoot Finance'!P17</f>
        <v>0.10275677938260558</v>
      </c>
      <c r="H41" s="648">
        <f>'Muthoot Finance'!Q17</f>
        <v>0.11589537223340046</v>
      </c>
      <c r="I41" s="648">
        <f>'Muthoot Finance'!R17</f>
        <v>0.17918918918918927</v>
      </c>
      <c r="J41" s="648">
        <f>'Muthoot Finance'!S17</f>
        <v>0.13075313807531391</v>
      </c>
      <c r="K41" s="100">
        <f>'Muthoot Fincorp'!K16</f>
        <v>0.72494324042352853</v>
      </c>
      <c r="L41" s="100">
        <f>'Muthoot Fincorp'!L16</f>
        <v>0.60398860398860399</v>
      </c>
      <c r="M41" s="100">
        <f>'Muthoot Fincorp'!M16</f>
        <v>0.35658914728682173</v>
      </c>
      <c r="N41" s="100">
        <f>'Muthoot Fincorp'!N16</f>
        <v>0.44747899159663873</v>
      </c>
      <c r="O41" s="690">
        <f>'Muthoot MCred'!K16</f>
        <v>0.14285714285714282</v>
      </c>
      <c r="P41" s="690">
        <f>'Muthoot MCred'!L16</f>
        <v>0.1935483870967741</v>
      </c>
      <c r="Q41" s="690">
        <f>'Muthoot MCred'!M16</f>
        <v>0.39999999999999997</v>
      </c>
      <c r="R41" s="690">
        <f>'Muthoot MCred'!N16</f>
        <v>0.58536585365853655</v>
      </c>
      <c r="S41" s="100">
        <f>'Kosamattam Finance'!J16</f>
        <v>0.38596491228070173</v>
      </c>
      <c r="T41" s="100">
        <f>'Kosamattam Finance'!K16</f>
        <v>0.57692307692307698</v>
      </c>
      <c r="U41" s="100">
        <f>'Kosamattam Finance'!L16</f>
        <v>0.64102564102564097</v>
      </c>
      <c r="V41" s="100">
        <f>'Kosamattam Finance'!M16</f>
        <v>0.65822784810126578</v>
      </c>
    </row>
    <row r="42" spans="2:22" x14ac:dyDescent="0.25">
      <c r="B42" s="474" t="s">
        <v>22</v>
      </c>
      <c r="C42" s="100">
        <f>'Manappuram Finance'!N17</f>
        <v>1.8935467037453312E-3</v>
      </c>
      <c r="D42" s="100">
        <f>'Manappuram Finance'!O17</f>
        <v>4.0084856386849782E-3</v>
      </c>
      <c r="E42" s="100">
        <f>'Manappuram Finance'!P17</f>
        <v>8.3543781070821617E-3</v>
      </c>
      <c r="F42" s="100">
        <f>'Manappuram Finance'!Q17</f>
        <v>1.1899730865900042E-2</v>
      </c>
      <c r="G42" s="648">
        <f>'Muthoot Finance'!P18</f>
        <v>9.6695725867433451E-4</v>
      </c>
      <c r="H42" s="648">
        <f>'Muthoot Finance'!Q18</f>
        <v>2.7698769059708349E-3</v>
      </c>
      <c r="I42" s="648">
        <f>'Muthoot Finance'!R18</f>
        <v>8.151336415324938E-3</v>
      </c>
      <c r="J42" s="648">
        <f>'Muthoot Finance'!S18</f>
        <v>3.4349945551682051E-3</v>
      </c>
      <c r="K42" s="100">
        <f>'Muthoot Fincorp'!K17</f>
        <v>3.8483119348605398E-3</v>
      </c>
      <c r="L42" s="100">
        <f>'Muthoot Fincorp'!L17</f>
        <v>1.538430698843068E-3</v>
      </c>
      <c r="M42" s="100">
        <f>'Muthoot Fincorp'!M17</f>
        <v>4.7066805181588825E-3</v>
      </c>
      <c r="N42" s="100">
        <f>'Muthoot Fincorp'!N17</f>
        <v>7.1999444019737301E-3</v>
      </c>
      <c r="O42" s="690">
        <f>'Muthoot MCred'!K17</f>
        <v>-6.9425104249604347E-4</v>
      </c>
      <c r="P42" s="690">
        <f>'Muthoot MCred'!L17</f>
        <v>2.0630710285882699E-3</v>
      </c>
      <c r="Q42" s="690">
        <f>'Muthoot MCred'!M17</f>
        <v>3.6529680365296802E-3</v>
      </c>
      <c r="R42" s="690">
        <f>'Muthoot MCred'!N17</f>
        <v>2.0432803937958577E-3</v>
      </c>
      <c r="S42" s="100">
        <f>'Kosamattam Finance'!J17</f>
        <v>1.4840465001236705E-3</v>
      </c>
      <c r="T42" s="100">
        <f>'Kosamattam Finance'!K17</f>
        <v>6.2548866301798279E-3</v>
      </c>
      <c r="U42" s="100">
        <f>'Kosamattam Finance'!L17</f>
        <v>1.943068104537064E-3</v>
      </c>
      <c r="V42" s="100">
        <f>'Kosamattam Finance'!M17</f>
        <v>1.0763297156695668E-3</v>
      </c>
    </row>
    <row r="43" spans="2:22" x14ac:dyDescent="0.25">
      <c r="B43" s="565" t="s">
        <v>30</v>
      </c>
      <c r="C43" s="100"/>
      <c r="D43" s="100"/>
      <c r="E43" s="100"/>
      <c r="F43" s="100"/>
      <c r="G43" s="648"/>
      <c r="H43" s="648"/>
      <c r="I43" s="648"/>
      <c r="J43" s="648"/>
      <c r="K43" s="100"/>
      <c r="L43" s="100"/>
      <c r="M43" s="100"/>
      <c r="N43" s="100"/>
      <c r="O43" s="690"/>
      <c r="P43" s="690"/>
      <c r="Q43" s="690"/>
      <c r="R43" s="690"/>
      <c r="S43" s="100"/>
      <c r="T43" s="100"/>
      <c r="U43" s="100"/>
      <c r="V43" s="100"/>
    </row>
    <row r="44" spans="2:22" ht="30" x14ac:dyDescent="0.25">
      <c r="B44" s="477" t="s">
        <v>95</v>
      </c>
      <c r="C44" s="100">
        <f>'Manappuram Finance'!N19</f>
        <v>6.2207320083611406E-2</v>
      </c>
      <c r="D44" s="100">
        <f>'Manappuram Finance'!O19</f>
        <v>7.3606550711966673E-2</v>
      </c>
      <c r="E44" s="100">
        <f>'Manappuram Finance'!P19</f>
        <v>7.1559359275183448E-2</v>
      </c>
      <c r="F44" s="100">
        <f>'Manappuram Finance'!Q19</f>
        <v>4.7956048049166589E-2</v>
      </c>
      <c r="G44" s="648">
        <f>'Muthoot Finance'!P21</f>
        <v>6.6030510086781027E-2</v>
      </c>
      <c r="H44" s="648">
        <f>'Muthoot Finance'!Q21</f>
        <v>7.2376518966511011E-2</v>
      </c>
      <c r="I44" s="648">
        <f>'Muthoot Finance'!R21</f>
        <v>7.6537859286299484E-2</v>
      </c>
      <c r="J44" s="648">
        <f>'Muthoot Finance'!S21</f>
        <v>9.4005856690372314E-2</v>
      </c>
      <c r="K44" s="100">
        <f>'Muthoot Fincorp'!K20</f>
        <v>2.971930940073695E-2</v>
      </c>
      <c r="L44" s="100">
        <f>'Muthoot Fincorp'!L20</f>
        <v>3.2200357013706452E-2</v>
      </c>
      <c r="M44" s="100">
        <f>'Muthoot Fincorp'!M20</f>
        <v>4.227390528760392E-2</v>
      </c>
      <c r="N44" s="100">
        <f>'Muthoot Fincorp'!N20</f>
        <v>5.7134835403944692E-2</v>
      </c>
      <c r="O44" s="690">
        <f>'Muthoot MCred'!K19</f>
        <v>2.2570807974971796E-2</v>
      </c>
      <c r="P44" s="690">
        <f>'Muthoot MCred'!L19</f>
        <v>2.8627355028137999E-2</v>
      </c>
      <c r="Q44" s="690">
        <f>'Muthoot MCred'!M19</f>
        <v>3.0832255282449331E-2</v>
      </c>
      <c r="R44" s="690">
        <f>'Muthoot MCred'!N19</f>
        <v>4.0150967638320087E-2</v>
      </c>
      <c r="S44" s="100">
        <f>'Kosamattam Finance'!J19</f>
        <v>2.3992085085332675E-2</v>
      </c>
      <c r="T44" s="100">
        <f>'Kosamattam Finance'!K19</f>
        <v>3.2887108675028989E-2</v>
      </c>
      <c r="U44" s="100">
        <f>'Kosamattam Finance'!L19</f>
        <v>2.852143482064742E-2</v>
      </c>
      <c r="V44" s="100">
        <f>'Kosamattam Finance'!M19</f>
        <v>2.8405422853453842E-2</v>
      </c>
    </row>
    <row r="45" spans="2:22" x14ac:dyDescent="0.25">
      <c r="B45" s="474" t="s">
        <v>31</v>
      </c>
      <c r="C45" s="100">
        <f>'Manappuram Finance'!N20</f>
        <v>4.4976228997249061E-2</v>
      </c>
      <c r="D45" s="100">
        <f>'Manappuram Finance'!O20</f>
        <v>5.2369821535341754E-2</v>
      </c>
      <c r="E45" s="100">
        <f>'Manappuram Finance'!P20</f>
        <v>4.8366314475986383E-2</v>
      </c>
      <c r="F45" s="100">
        <f>'Manappuram Finance'!Q20</f>
        <v>2.8401154669894776E-2</v>
      </c>
      <c r="G45" s="648">
        <f>'Muthoot Finance'!P22</f>
        <v>4.8521536755759286E-2</v>
      </c>
      <c r="H45" s="648">
        <f>'Muthoot Finance'!Q22</f>
        <v>5.1380350887707198E-2</v>
      </c>
      <c r="I45" s="648">
        <f>'Muthoot Finance'!R22</f>
        <v>5.0427337996965249E-2</v>
      </c>
      <c r="J45" s="648">
        <f>'Muthoot Finance'!S22</f>
        <v>6.7292177135002684E-2</v>
      </c>
      <c r="K45" s="100">
        <f>'Muthoot Fincorp'!K21</f>
        <v>1.9733195270015269E-2</v>
      </c>
      <c r="L45" s="100">
        <f>'Muthoot Fincorp'!L21</f>
        <v>2.2381235800884854E-2</v>
      </c>
      <c r="M45" s="100">
        <f>'Muthoot Fincorp'!M21</f>
        <v>2.6488505940560736E-2</v>
      </c>
      <c r="N45" s="100">
        <f>'Muthoot Fincorp'!N21</f>
        <v>3.8370651131232308E-2</v>
      </c>
      <c r="O45" s="690">
        <f>'Muthoot MCred'!K20</f>
        <v>1.8903051679038878E-2</v>
      </c>
      <c r="P45" s="690">
        <f>'Muthoot MCred'!L20</f>
        <v>1.9084903352091998E-2</v>
      </c>
      <c r="Q45" s="690">
        <f>'Muthoot MCred'!M20</f>
        <v>2.0267356619232429E-2</v>
      </c>
      <c r="R45" s="690">
        <f>'Muthoot MCred'!N20</f>
        <v>2.842688508793062E-2</v>
      </c>
      <c r="S45" s="100">
        <f>'Kosamattam Finance'!J20</f>
        <v>1.9787286668315609E-2</v>
      </c>
      <c r="T45" s="100">
        <f>'Kosamattam Finance'!K20</f>
        <v>2.2557183514282701E-2</v>
      </c>
      <c r="U45" s="100">
        <f>'Kosamattam Finance'!L20</f>
        <v>1.994750656167979E-2</v>
      </c>
      <c r="V45" s="100">
        <f>'Kosamattam Finance'!M20</f>
        <v>2.0497094899935443E-2</v>
      </c>
    </row>
    <row r="46" spans="2:22" x14ac:dyDescent="0.25">
      <c r="B46" s="474" t="s">
        <v>32</v>
      </c>
      <c r="C46" s="100">
        <f>'Manappuram Finance'!N21</f>
        <v>0.14965183628747655</v>
      </c>
      <c r="D46" s="100">
        <f>'Manappuram Finance'!O21</f>
        <v>0.17245526100012548</v>
      </c>
      <c r="E46" s="100">
        <f>'Manappuram Finance'!P21</f>
        <v>0.16262313024443634</v>
      </c>
      <c r="F46" s="100">
        <f>'Manappuram Finance'!Q21</f>
        <v>0.11085265682925056</v>
      </c>
      <c r="G46" s="648">
        <f>'Muthoot Finance'!P23</f>
        <v>0.17628142536635352</v>
      </c>
      <c r="H46" s="648">
        <f>'Muthoot Finance'!Q23</f>
        <v>0.17874904269957131</v>
      </c>
      <c r="I46" s="648">
        <f>'Muthoot Finance'!R23</f>
        <v>0.2040528081291563</v>
      </c>
      <c r="J46" s="648">
        <f>'Muthoot Finance'!S23</f>
        <v>0.33332785132801579</v>
      </c>
      <c r="K46" s="100">
        <f>'Muthoot Fincorp'!K22</f>
        <v>0.12524591326709039</v>
      </c>
      <c r="L46" s="100">
        <f>'Muthoot Fincorp'!L22</f>
        <v>0.13734999529460384</v>
      </c>
      <c r="M46" s="100">
        <f>'Muthoot Fincorp'!M22</f>
        <v>0.17268239166209545</v>
      </c>
      <c r="N46" s="100">
        <f>'Muthoot Fincorp'!N22</f>
        <v>0.28549046914439902</v>
      </c>
      <c r="O46" s="690">
        <f>'Muthoot MCred'!K21</f>
        <v>0.113588055961614</v>
      </c>
      <c r="P46" s="690">
        <f>'Muthoot MCred'!L21</f>
        <v>0.11791383219954649</v>
      </c>
      <c r="Q46" s="690">
        <f>'Muthoot MCred'!M21</f>
        <v>0.12550066755674233</v>
      </c>
      <c r="R46" s="690">
        <f>'Muthoot MCred'!N21</f>
        <v>0.18098159509202455</v>
      </c>
      <c r="S46" s="100">
        <f>'Kosamattam Finance'!J21</f>
        <v>0.12403100775193798</v>
      </c>
      <c r="T46" s="100">
        <f>'Kosamattam Finance'!K21</f>
        <v>0.15220483641536273</v>
      </c>
      <c r="U46" s="100">
        <f>'Kosamattam Finance'!L21</f>
        <v>0.13628212791392708</v>
      </c>
      <c r="V46" s="100">
        <f>'Kosamattam Finance'!M21</f>
        <v>0.12965798876978049</v>
      </c>
    </row>
    <row r="47" spans="2:22" x14ac:dyDescent="0.25">
      <c r="B47" s="565" t="s">
        <v>33</v>
      </c>
      <c r="C47" s="100"/>
      <c r="D47" s="100"/>
      <c r="E47" s="100"/>
      <c r="F47" s="100"/>
      <c r="G47" s="648"/>
      <c r="H47" s="648"/>
      <c r="I47" s="648"/>
      <c r="J47" s="648"/>
      <c r="K47" s="100"/>
      <c r="L47" s="100"/>
      <c r="M47" s="100"/>
      <c r="N47" s="100"/>
      <c r="O47" s="690"/>
      <c r="P47" s="690"/>
      <c r="Q47" s="690"/>
      <c r="R47" s="690"/>
      <c r="S47" s="100"/>
      <c r="T47" s="100"/>
      <c r="U47" s="100"/>
      <c r="V47" s="100"/>
    </row>
    <row r="48" spans="2:22" x14ac:dyDescent="0.25">
      <c r="B48" s="474" t="s">
        <v>34</v>
      </c>
      <c r="C48" s="100">
        <f>'Manappuram Finance'!N23</f>
        <v>0.19609693210975307</v>
      </c>
      <c r="D48" s="100">
        <f>'Manappuram Finance'!O23</f>
        <v>0.20874917442853147</v>
      </c>
      <c r="E48" s="100">
        <f>'Manappuram Finance'!P23</f>
        <v>0.21263957052778704</v>
      </c>
      <c r="F48" s="100">
        <f>'Manappuram Finance'!Q23</f>
        <v>0.16541738027981048</v>
      </c>
      <c r="G48" s="648">
        <f>'Muthoot Finance'!P25</f>
        <v>0.16213338054452983</v>
      </c>
      <c r="H48" s="648">
        <f>'Muthoot Finance'!Q25</f>
        <v>0.17047333321293229</v>
      </c>
      <c r="I48" s="648">
        <f>'Muthoot Finance'!R25</f>
        <v>0.17562038365481694</v>
      </c>
      <c r="J48" s="648">
        <f>'Muthoot Finance'!S25</f>
        <v>0.19781183538336733</v>
      </c>
      <c r="K48" s="100">
        <f>'Muthoot Fincorp'!K24</f>
        <v>0.18934021627397118</v>
      </c>
      <c r="L48" s="100">
        <f>'Muthoot Fincorp'!L24</f>
        <v>0.19050900154006659</v>
      </c>
      <c r="M48" s="100">
        <f>'Muthoot Fincorp'!M24</f>
        <v>0.20929887421290308</v>
      </c>
      <c r="N48" s="100">
        <f>'Muthoot Fincorp'!N24</f>
        <v>0.21483077350754048</v>
      </c>
      <c r="O48" s="690">
        <f>'Muthoot MCred'!K23</f>
        <v>0.18015814552772327</v>
      </c>
      <c r="P48" s="690">
        <f>'Muthoot MCred'!L23</f>
        <v>0.18479221927497791</v>
      </c>
      <c r="Q48" s="690">
        <f>'Muthoot MCred'!M23</f>
        <v>0.19412915851272017</v>
      </c>
      <c r="R48" s="690">
        <f>'Muthoot MCred'!N23</f>
        <v>0.19429739017367884</v>
      </c>
      <c r="S48" s="100">
        <f>'Kosamattam Finance'!J23</f>
        <v>0.14988869651249073</v>
      </c>
      <c r="T48" s="100">
        <f>'Kosamattam Finance'!K23</f>
        <v>0.16999888305595889</v>
      </c>
      <c r="U48" s="100">
        <f>'Kosamattam Finance'!L23</f>
        <v>0.16593801612746525</v>
      </c>
      <c r="V48" s="100">
        <f>'Kosamattam Finance'!M23</f>
        <v>0.16037312763476544</v>
      </c>
    </row>
    <row r="49" spans="2:22" x14ac:dyDescent="0.25">
      <c r="B49" s="474" t="s">
        <v>35</v>
      </c>
      <c r="C49" s="100">
        <f>'Manappuram Finance'!N24</f>
        <v>8.0656757351412423E-2</v>
      </c>
      <c r="D49" s="100">
        <f>'Manappuram Finance'!O24</f>
        <v>8.7687739514094559E-2</v>
      </c>
      <c r="E49" s="100">
        <f>'Manappuram Finance'!P24</f>
        <v>9.3995516329044904E-2</v>
      </c>
      <c r="F49" s="100">
        <f>'Manappuram Finance'!Q24</f>
        <v>7.6052384202325615E-2</v>
      </c>
      <c r="G49" s="648">
        <f>'Muthoot Finance'!P26</f>
        <v>7.4320731162143078E-2</v>
      </c>
      <c r="H49" s="648">
        <f>'Muthoot Finance'!Q26</f>
        <v>8.5792766678222124E-2</v>
      </c>
      <c r="I49" s="648">
        <f>'Muthoot Finance'!R26</f>
        <v>8.6525844027374954E-2</v>
      </c>
      <c r="J49" s="648">
        <f>'Muthoot Finance'!S26</f>
        <v>8.7101282292793833E-2</v>
      </c>
      <c r="K49" s="100">
        <f>'Muthoot Fincorp'!K25</f>
        <v>8.8430966897606586E-2</v>
      </c>
      <c r="L49" s="100">
        <f>'Muthoot Fincorp'!L25</f>
        <v>9.3963496826494811E-2</v>
      </c>
      <c r="M49" s="100">
        <f>'Muthoot Fincorp'!M25</f>
        <v>9.9588814019073865E-2</v>
      </c>
      <c r="N49" s="100">
        <f>'Muthoot Fincorp'!N25</f>
        <v>8.8362317171484517E-2</v>
      </c>
      <c r="O49" s="690">
        <f>'Muthoot MCred'!K24</f>
        <v>9.6624742397327115E-2</v>
      </c>
      <c r="P49" s="690">
        <f>'Muthoot MCred'!L24</f>
        <v>0.10164997053624042</v>
      </c>
      <c r="Q49" s="690">
        <f>'Muthoot MCred'!M24</f>
        <v>0.10337662337662337</v>
      </c>
      <c r="R49" s="690">
        <f>'Muthoot MCred'!N24</f>
        <v>0.10211946050096339</v>
      </c>
      <c r="S49" s="100">
        <f>'Kosamattam Finance'!J24</f>
        <v>9.4761171032357469E-2</v>
      </c>
      <c r="T49" s="100">
        <f>'Kosamattam Finance'!K24</f>
        <v>0.10125102303285397</v>
      </c>
      <c r="U49" s="100">
        <f>'Kosamattam Finance'!L24</f>
        <v>0.10600414078674948</v>
      </c>
      <c r="V49" s="100">
        <f>'Kosamattam Finance'!M24</f>
        <v>0.10484341567788368</v>
      </c>
    </row>
    <row r="50" spans="2:22" x14ac:dyDescent="0.25">
      <c r="B50" s="474" t="s">
        <v>36</v>
      </c>
      <c r="C50" s="100">
        <f>'Manappuram Finance'!N25</f>
        <v>0.11544017475834065</v>
      </c>
      <c r="D50" s="100">
        <f>'Manappuram Finance'!O25</f>
        <v>0.12106143491443691</v>
      </c>
      <c r="E50" s="100">
        <f>'Manappuram Finance'!P25</f>
        <v>0.11864405419874213</v>
      </c>
      <c r="F50" s="100">
        <f>'Manappuram Finance'!Q25</f>
        <v>8.9364996077484868E-2</v>
      </c>
      <c r="G50" s="648">
        <f>'Muthoot Finance'!P27</f>
        <v>8.7812649382386754E-2</v>
      </c>
      <c r="H50" s="648">
        <f>'Muthoot Finance'!Q27</f>
        <v>8.4680566534710164E-2</v>
      </c>
      <c r="I50" s="648">
        <f>'Muthoot Finance'!R27</f>
        <v>8.9094539627441988E-2</v>
      </c>
      <c r="J50" s="648">
        <f>'Muthoot Finance'!S27</f>
        <v>0.1107105530905735</v>
      </c>
      <c r="K50" s="100">
        <f>'Muthoot Fincorp'!K26</f>
        <v>0.1009092493763646</v>
      </c>
      <c r="L50" s="100">
        <f>'Muthoot Fincorp'!L26</f>
        <v>9.6545504713571775E-2</v>
      </c>
      <c r="M50" s="100">
        <f>'Muthoot Fincorp'!M26</f>
        <v>0.10971006019382921</v>
      </c>
      <c r="N50" s="100">
        <f>'Muthoot Fincorp'!N26</f>
        <v>0.12646845633605597</v>
      </c>
      <c r="O50" s="690">
        <f>'Muthoot MCred'!K25</f>
        <v>8.3533403130396158E-2</v>
      </c>
      <c r="P50" s="690">
        <f>'Muthoot MCred'!L25</f>
        <v>8.314224873873749E-2</v>
      </c>
      <c r="Q50" s="690">
        <f>'Muthoot MCred'!M25</f>
        <v>9.0752535136096796E-2</v>
      </c>
      <c r="R50" s="690">
        <f>'Muthoot MCred'!N25</f>
        <v>9.2177929672715445E-2</v>
      </c>
      <c r="S50" s="100">
        <f>'Kosamattam Finance'!J25</f>
        <v>5.5127525480133263E-2</v>
      </c>
      <c r="T50" s="100">
        <f>'Kosamattam Finance'!K25</f>
        <v>6.8747860023104929E-2</v>
      </c>
      <c r="U50" s="100">
        <f>'Kosamattam Finance'!L25</f>
        <v>5.9933875340715773E-2</v>
      </c>
      <c r="V50" s="100">
        <f>'Kosamattam Finance'!M25</f>
        <v>5.5529711956881764E-2</v>
      </c>
    </row>
  </sheetData>
  <mergeCells count="11">
    <mergeCell ref="S3:V3"/>
    <mergeCell ref="S6:V6"/>
    <mergeCell ref="C2:V2"/>
    <mergeCell ref="O6:R6"/>
    <mergeCell ref="O3:R3"/>
    <mergeCell ref="C6:F6"/>
    <mergeCell ref="C3:F3"/>
    <mergeCell ref="G3:J3"/>
    <mergeCell ref="G6:J6"/>
    <mergeCell ref="K6:N6"/>
    <mergeCell ref="K3:N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8"/>
  <sheetViews>
    <sheetView tabSelected="1" zoomScale="73" zoomScaleNormal="90" workbookViewId="0">
      <pane ySplit="1" topLeftCell="A2" activePane="bottomLeft" state="frozen"/>
      <selection activeCell="AG6" sqref="AG6"/>
      <selection pane="bottomLeft" activeCell="J1" sqref="J1:K1"/>
    </sheetView>
  </sheetViews>
  <sheetFormatPr defaultRowHeight="15" x14ac:dyDescent="0.25"/>
  <cols>
    <col min="1" max="1" width="30.85546875" customWidth="1"/>
    <col min="2" max="2" width="14.28515625" customWidth="1"/>
    <col min="3" max="3" width="13.7109375" customWidth="1"/>
    <col min="4" max="4" width="12" customWidth="1"/>
    <col min="5" max="5" width="11.7109375" customWidth="1"/>
    <col min="6" max="7" width="11.85546875" customWidth="1"/>
    <col min="8" max="8" width="13.42578125" customWidth="1"/>
    <col min="9" max="9" width="11.140625" customWidth="1"/>
    <col min="10" max="10" width="12.28515625" customWidth="1"/>
    <col min="11" max="11" width="11.5703125" customWidth="1"/>
    <col min="12" max="12" width="12.85546875" customWidth="1"/>
    <col min="13" max="13" width="13.28515625" customWidth="1"/>
    <col min="14" max="14" width="13.7109375" customWidth="1"/>
    <col min="15" max="15" width="14.5703125" customWidth="1"/>
    <col min="16" max="16" width="11.28515625" customWidth="1"/>
    <col min="17" max="17" width="12.28515625" customWidth="1"/>
    <col min="18" max="18" width="15.140625" customWidth="1"/>
    <col min="19" max="19" width="14.140625" customWidth="1"/>
    <col min="20" max="20" width="12.140625" customWidth="1"/>
    <col min="21" max="21" width="11.42578125" customWidth="1"/>
    <col min="22" max="22" width="11.7109375" customWidth="1"/>
    <col min="23" max="23" width="11.42578125" customWidth="1"/>
    <col min="24" max="24" width="11.28515625" customWidth="1"/>
    <col min="25" max="25" width="12.28515625" customWidth="1"/>
    <col min="26" max="26" width="11.7109375" customWidth="1"/>
    <col min="27" max="27" width="11.28515625" customWidth="1"/>
    <col min="28" max="28" width="13" customWidth="1"/>
    <col min="29" max="29" width="14.85546875" customWidth="1"/>
    <col min="30" max="30" width="12.85546875" customWidth="1"/>
    <col min="31" max="31" width="11.5703125" customWidth="1"/>
    <col min="32" max="33" width="11.7109375" customWidth="1"/>
    <col min="34" max="34" width="12.42578125" customWidth="1"/>
    <col min="35" max="35" width="11.7109375" customWidth="1"/>
    <col min="36" max="36" width="13.140625" customWidth="1"/>
    <col min="37" max="37" width="13" customWidth="1"/>
    <col min="38" max="38" width="12" customWidth="1"/>
    <col min="39" max="39" width="11.42578125" customWidth="1"/>
    <col min="40" max="40" width="10.7109375" customWidth="1"/>
    <col min="41" max="41" width="12.42578125" customWidth="1"/>
    <col min="42" max="42" width="13.7109375" customWidth="1"/>
    <col min="43" max="43" width="13.85546875" customWidth="1"/>
    <col min="44" max="44" width="11.140625" customWidth="1"/>
    <col min="45" max="45" width="11.85546875" customWidth="1"/>
    <col min="46" max="46" width="13.5703125" customWidth="1"/>
    <col min="47" max="47" width="13.7109375" customWidth="1"/>
    <col min="48" max="48" width="11.7109375" customWidth="1"/>
    <col min="49" max="49" width="11" customWidth="1"/>
    <col min="50" max="50" width="10.140625" customWidth="1"/>
    <col min="51" max="51" width="6.140625" customWidth="1"/>
    <col min="52" max="52" width="11.42578125" customWidth="1"/>
    <col min="53" max="53" width="12.5703125" customWidth="1"/>
    <col min="54" max="54" width="14.140625" customWidth="1"/>
    <col min="55" max="55" width="13.7109375" customWidth="1"/>
    <col min="56" max="56" width="14" customWidth="1"/>
    <col min="57" max="57" width="14.140625" customWidth="1"/>
    <col min="58" max="58" width="13.42578125" customWidth="1"/>
    <col min="59" max="59" width="13.5703125" customWidth="1"/>
    <col min="60" max="60" width="12" customWidth="1"/>
    <col min="61" max="61" width="10.5703125" customWidth="1"/>
    <col min="64" max="64" width="11.7109375" customWidth="1"/>
    <col min="65" max="65" width="10.85546875" customWidth="1"/>
    <col min="66" max="66" width="10" customWidth="1"/>
  </cols>
  <sheetData>
    <row r="1" spans="1:47" x14ac:dyDescent="0.25">
      <c r="A1" s="110"/>
      <c r="B1" s="715" t="s">
        <v>155</v>
      </c>
      <c r="C1" s="713"/>
      <c r="D1" s="711" t="s">
        <v>184</v>
      </c>
      <c r="E1" s="711"/>
      <c r="F1" s="713" t="s">
        <v>156</v>
      </c>
      <c r="G1" s="713"/>
      <c r="H1" s="712" t="s">
        <v>157</v>
      </c>
      <c r="I1" s="712"/>
      <c r="J1" s="709" t="s">
        <v>177</v>
      </c>
      <c r="K1" s="709"/>
      <c r="L1" s="711" t="s">
        <v>182</v>
      </c>
      <c r="M1" s="711"/>
      <c r="N1" s="713" t="s">
        <v>159</v>
      </c>
      <c r="O1" s="713"/>
      <c r="P1" s="711" t="s">
        <v>180</v>
      </c>
      <c r="Q1" s="711"/>
      <c r="R1" s="713" t="s">
        <v>161</v>
      </c>
      <c r="S1" s="713"/>
      <c r="T1" s="712" t="s">
        <v>160</v>
      </c>
      <c r="U1" s="712"/>
      <c r="V1" s="709" t="s">
        <v>179</v>
      </c>
      <c r="W1" s="709"/>
      <c r="X1" s="712" t="s">
        <v>162</v>
      </c>
      <c r="Y1" s="712"/>
      <c r="Z1" s="713" t="s">
        <v>163</v>
      </c>
      <c r="AA1" s="713"/>
      <c r="AB1" s="709" t="s">
        <v>172</v>
      </c>
      <c r="AC1" s="709"/>
      <c r="AD1" s="713" t="s">
        <v>165</v>
      </c>
      <c r="AE1" s="713"/>
      <c r="AF1" s="711" t="s">
        <v>166</v>
      </c>
      <c r="AG1" s="711"/>
      <c r="AH1" s="709" t="s">
        <v>167</v>
      </c>
      <c r="AI1" s="709"/>
      <c r="AJ1" s="711" t="s">
        <v>168</v>
      </c>
      <c r="AK1" s="711"/>
      <c r="AL1" s="709" t="s">
        <v>169</v>
      </c>
      <c r="AM1" s="709"/>
      <c r="AN1" s="711" t="s">
        <v>185</v>
      </c>
      <c r="AO1" s="711"/>
      <c r="AP1" s="709" t="s">
        <v>171</v>
      </c>
      <c r="AQ1" s="709"/>
      <c r="AR1" s="709" t="s">
        <v>173</v>
      </c>
      <c r="AS1" s="709"/>
      <c r="AT1" s="709" t="s">
        <v>181</v>
      </c>
      <c r="AU1" s="709"/>
    </row>
    <row r="2" spans="1:47" x14ac:dyDescent="0.25">
      <c r="A2" s="3" t="s">
        <v>4</v>
      </c>
      <c r="B2" s="3" t="s">
        <v>45</v>
      </c>
      <c r="C2" s="3" t="s">
        <v>42</v>
      </c>
      <c r="D2" s="3" t="s">
        <v>45</v>
      </c>
      <c r="E2" s="81"/>
      <c r="F2" s="3" t="s">
        <v>45</v>
      </c>
      <c r="G2" s="3" t="s">
        <v>42</v>
      </c>
      <c r="H2" s="3" t="s">
        <v>45</v>
      </c>
      <c r="I2" s="3" t="s">
        <v>42</v>
      </c>
      <c r="J2" s="3" t="s">
        <v>45</v>
      </c>
      <c r="K2" s="3" t="s">
        <v>42</v>
      </c>
      <c r="L2" s="3" t="s">
        <v>45</v>
      </c>
      <c r="M2" s="3" t="s">
        <v>42</v>
      </c>
      <c r="N2" s="3" t="s">
        <v>45</v>
      </c>
      <c r="O2" s="3" t="s">
        <v>42</v>
      </c>
      <c r="P2" s="3" t="s">
        <v>45</v>
      </c>
      <c r="Q2" s="3" t="s">
        <v>42</v>
      </c>
      <c r="R2" s="3" t="s">
        <v>45</v>
      </c>
      <c r="S2" s="3" t="s">
        <v>42</v>
      </c>
      <c r="T2" s="3" t="s">
        <v>45</v>
      </c>
      <c r="U2" s="3" t="s">
        <v>42</v>
      </c>
      <c r="V2" s="3" t="s">
        <v>45</v>
      </c>
      <c r="W2" s="3" t="s">
        <v>42</v>
      </c>
      <c r="X2" s="3" t="s">
        <v>45</v>
      </c>
      <c r="Y2" s="3" t="s">
        <v>42</v>
      </c>
      <c r="Z2" s="3" t="s">
        <v>45</v>
      </c>
      <c r="AA2" s="3" t="s">
        <v>42</v>
      </c>
      <c r="AB2" s="3" t="s">
        <v>45</v>
      </c>
      <c r="AC2" s="3" t="s">
        <v>42</v>
      </c>
      <c r="AD2" s="3" t="s">
        <v>45</v>
      </c>
      <c r="AE2" s="113" t="s">
        <v>42</v>
      </c>
      <c r="AF2" s="3" t="s">
        <v>45</v>
      </c>
      <c r="AG2" s="3" t="s">
        <v>42</v>
      </c>
      <c r="AH2" s="3" t="s">
        <v>45</v>
      </c>
      <c r="AI2" s="3" t="s">
        <v>42</v>
      </c>
      <c r="AJ2" s="3" t="s">
        <v>45</v>
      </c>
      <c r="AK2" s="3" t="s">
        <v>42</v>
      </c>
      <c r="AL2" s="3" t="s">
        <v>45</v>
      </c>
      <c r="AM2" s="3" t="s">
        <v>42</v>
      </c>
      <c r="AN2" s="3" t="s">
        <v>45</v>
      </c>
      <c r="AO2" s="3" t="s">
        <v>42</v>
      </c>
      <c r="AP2" s="3" t="s">
        <v>45</v>
      </c>
      <c r="AQ2" s="3" t="s">
        <v>42</v>
      </c>
      <c r="AR2" s="3" t="s">
        <v>45</v>
      </c>
      <c r="AS2" s="81"/>
      <c r="AT2" s="3" t="s">
        <v>45</v>
      </c>
      <c r="AU2" s="3" t="s">
        <v>42</v>
      </c>
    </row>
    <row r="3" spans="1:47" x14ac:dyDescent="0.25">
      <c r="A3" s="3"/>
      <c r="B3" s="1" t="s">
        <v>46</v>
      </c>
      <c r="C3" s="1" t="s">
        <v>46</v>
      </c>
      <c r="D3" s="1" t="s">
        <v>46</v>
      </c>
      <c r="E3" s="81"/>
      <c r="F3" s="1" t="s">
        <v>46</v>
      </c>
      <c r="G3" s="1" t="s">
        <v>46</v>
      </c>
      <c r="H3" s="1" t="s">
        <v>46</v>
      </c>
      <c r="I3" s="1" t="s">
        <v>46</v>
      </c>
      <c r="J3" s="1" t="s">
        <v>46</v>
      </c>
      <c r="K3" s="1" t="s">
        <v>46</v>
      </c>
      <c r="L3" s="1" t="s">
        <v>46</v>
      </c>
      <c r="M3" s="1" t="s">
        <v>46</v>
      </c>
      <c r="N3" s="1" t="s">
        <v>46</v>
      </c>
      <c r="O3" s="1" t="s">
        <v>46</v>
      </c>
      <c r="P3" s="1" t="s">
        <v>46</v>
      </c>
      <c r="Q3" s="1" t="s">
        <v>46</v>
      </c>
      <c r="R3" s="1" t="s">
        <v>46</v>
      </c>
      <c r="S3" s="1" t="s">
        <v>46</v>
      </c>
      <c r="T3" s="1" t="s">
        <v>46</v>
      </c>
      <c r="U3" s="1" t="s">
        <v>46</v>
      </c>
      <c r="V3" s="1" t="s">
        <v>46</v>
      </c>
      <c r="W3" s="1" t="s">
        <v>46</v>
      </c>
      <c r="X3" s="1" t="s">
        <v>46</v>
      </c>
      <c r="Y3" s="1" t="s">
        <v>46</v>
      </c>
      <c r="Z3" s="1" t="s">
        <v>46</v>
      </c>
      <c r="AA3" s="1" t="s">
        <v>46</v>
      </c>
      <c r="AB3" s="1" t="s">
        <v>46</v>
      </c>
      <c r="AC3" s="1" t="s">
        <v>46</v>
      </c>
      <c r="AD3" s="1" t="s">
        <v>46</v>
      </c>
      <c r="AE3" s="114" t="s">
        <v>46</v>
      </c>
      <c r="AF3" s="1" t="s">
        <v>46</v>
      </c>
      <c r="AG3" s="1" t="s">
        <v>46</v>
      </c>
      <c r="AH3" s="1" t="s">
        <v>46</v>
      </c>
      <c r="AI3" s="1" t="s">
        <v>46</v>
      </c>
      <c r="AJ3" s="1" t="s">
        <v>46</v>
      </c>
      <c r="AK3" s="1" t="s">
        <v>46</v>
      </c>
      <c r="AL3" s="1" t="s">
        <v>46</v>
      </c>
      <c r="AM3" s="1" t="s">
        <v>46</v>
      </c>
      <c r="AN3" s="1" t="s">
        <v>46</v>
      </c>
      <c r="AO3" s="1" t="s">
        <v>46</v>
      </c>
      <c r="AP3" s="1" t="s">
        <v>46</v>
      </c>
      <c r="AQ3" s="1" t="s">
        <v>46</v>
      </c>
      <c r="AR3" s="1" t="s">
        <v>46</v>
      </c>
      <c r="AS3" s="81"/>
      <c r="AT3" s="1" t="s">
        <v>46</v>
      </c>
      <c r="AU3" s="1" t="s">
        <v>46</v>
      </c>
    </row>
    <row r="4" spans="1:47" ht="22.5" customHeight="1" x14ac:dyDescent="0.25">
      <c r="A4" s="3"/>
      <c r="B4" s="710" t="s">
        <v>119</v>
      </c>
      <c r="C4" s="710"/>
      <c r="D4" s="710" t="s">
        <v>119</v>
      </c>
      <c r="E4" s="710"/>
      <c r="F4" s="710" t="s">
        <v>119</v>
      </c>
      <c r="G4" s="710"/>
      <c r="H4" s="710" t="s">
        <v>119</v>
      </c>
      <c r="I4" s="710"/>
      <c r="J4" s="710" t="s">
        <v>119</v>
      </c>
      <c r="K4" s="710"/>
      <c r="L4" s="710" t="s">
        <v>119</v>
      </c>
      <c r="M4" s="710"/>
      <c r="N4" s="710" t="s">
        <v>119</v>
      </c>
      <c r="O4" s="710"/>
      <c r="P4" s="710" t="s">
        <v>119</v>
      </c>
      <c r="Q4" s="710"/>
      <c r="R4" s="710" t="s">
        <v>119</v>
      </c>
      <c r="S4" s="710"/>
      <c r="T4" s="710" t="s">
        <v>119</v>
      </c>
      <c r="U4" s="710"/>
      <c r="V4" s="710" t="s">
        <v>119</v>
      </c>
      <c r="W4" s="710"/>
      <c r="X4" s="710" t="s">
        <v>119</v>
      </c>
      <c r="Y4" s="710"/>
      <c r="Z4" s="710" t="s">
        <v>119</v>
      </c>
      <c r="AA4" s="710"/>
      <c r="AB4" s="710" t="s">
        <v>119</v>
      </c>
      <c r="AC4" s="710"/>
      <c r="AD4" s="710" t="s">
        <v>119</v>
      </c>
      <c r="AE4" s="714"/>
      <c r="AF4" s="710" t="s">
        <v>119</v>
      </c>
      <c r="AG4" s="710"/>
      <c r="AH4" s="710" t="s">
        <v>119</v>
      </c>
      <c r="AI4" s="710"/>
      <c r="AJ4" s="710" t="s">
        <v>119</v>
      </c>
      <c r="AK4" s="710"/>
      <c r="AL4" s="710" t="s">
        <v>119</v>
      </c>
      <c r="AM4" s="710"/>
      <c r="AN4" s="710" t="s">
        <v>119</v>
      </c>
      <c r="AO4" s="710"/>
      <c r="AP4" s="710" t="s">
        <v>119</v>
      </c>
      <c r="AQ4" s="710"/>
      <c r="AR4" s="710" t="s">
        <v>119</v>
      </c>
      <c r="AS4" s="710"/>
      <c r="AT4" s="710" t="s">
        <v>114</v>
      </c>
      <c r="AU4" s="710"/>
    </row>
    <row r="5" spans="1:47" x14ac:dyDescent="0.25">
      <c r="A5" s="6" t="s">
        <v>23</v>
      </c>
      <c r="B5" s="85">
        <v>14312.84</v>
      </c>
      <c r="C5" s="90">
        <v>20302.22</v>
      </c>
      <c r="D5" s="96">
        <v>65128.56</v>
      </c>
      <c r="E5" s="99">
        <v>86711.4</v>
      </c>
      <c r="F5" s="85">
        <v>10996.64</v>
      </c>
      <c r="G5" s="90">
        <v>14129.6</v>
      </c>
      <c r="H5" s="96">
        <v>10188.51</v>
      </c>
      <c r="I5" s="99">
        <v>20172.740000000002</v>
      </c>
      <c r="J5" s="85">
        <v>9886</v>
      </c>
      <c r="K5" s="90">
        <v>16147</v>
      </c>
      <c r="L5" s="96">
        <v>118780.16</v>
      </c>
      <c r="M5" s="99">
        <v>104218.4</v>
      </c>
      <c r="N5" s="85">
        <v>16646.3</v>
      </c>
      <c r="O5" s="90">
        <v>19919.37</v>
      </c>
      <c r="P5" s="96">
        <v>38537.82</v>
      </c>
      <c r="Q5" s="99">
        <v>48791.66</v>
      </c>
      <c r="R5" s="85">
        <v>101518.07</v>
      </c>
      <c r="S5" s="90">
        <v>81229.38</v>
      </c>
      <c r="T5" s="96">
        <v>12011</v>
      </c>
      <c r="U5" s="99">
        <v>16209</v>
      </c>
      <c r="V5" s="85">
        <v>8671.1299999999992</v>
      </c>
      <c r="W5" s="90">
        <v>12394.73</v>
      </c>
      <c r="X5" s="96">
        <v>12296.13</v>
      </c>
      <c r="Y5" s="99">
        <v>18329.07</v>
      </c>
      <c r="Z5" s="85">
        <v>104974.22</v>
      </c>
      <c r="AA5" s="90">
        <v>125406.36</v>
      </c>
      <c r="AB5" s="96">
        <v>573069.65</v>
      </c>
      <c r="AC5" s="99">
        <v>652675.6</v>
      </c>
      <c r="AD5" s="85">
        <f>232655.41+23129.49</f>
        <v>255784.9</v>
      </c>
      <c r="AE5" s="115">
        <f>155339.26+25609.26</f>
        <v>180948.52000000002</v>
      </c>
      <c r="AF5" s="96">
        <v>21938.19</v>
      </c>
      <c r="AG5" s="99">
        <v>34487.19</v>
      </c>
      <c r="AH5" s="85">
        <v>36009.78</v>
      </c>
      <c r="AI5" s="90">
        <v>44208.42</v>
      </c>
      <c r="AJ5" s="96">
        <v>39069</v>
      </c>
      <c r="AK5" s="99">
        <v>43329</v>
      </c>
      <c r="AL5" s="85">
        <v>14981.07</v>
      </c>
      <c r="AM5" s="90">
        <v>30727.46</v>
      </c>
      <c r="AN5" s="96">
        <f>19757.17-4.2</f>
        <v>19752.969999999998</v>
      </c>
      <c r="AO5" s="99">
        <f>31323.76-26.55</f>
        <v>31297.21</v>
      </c>
      <c r="AP5" s="85">
        <v>592205</v>
      </c>
      <c r="AQ5" s="90">
        <v>620622</v>
      </c>
      <c r="AR5" s="96">
        <v>50727.39</v>
      </c>
      <c r="AS5" s="95"/>
      <c r="AT5" s="85">
        <v>1619.41</v>
      </c>
      <c r="AU5" s="90">
        <v>1833.08</v>
      </c>
    </row>
    <row r="6" spans="1:47" x14ac:dyDescent="0.25">
      <c r="A6" s="6" t="s">
        <v>50</v>
      </c>
      <c r="B6" s="85">
        <v>13171.35</v>
      </c>
      <c r="C6" s="85">
        <v>16745.919999999998</v>
      </c>
      <c r="D6" s="96">
        <v>46569.42</v>
      </c>
      <c r="E6" s="96">
        <v>75550.320000000007</v>
      </c>
      <c r="F6" s="85">
        <v>10763.96</v>
      </c>
      <c r="G6" s="85">
        <v>13757.5</v>
      </c>
      <c r="H6" s="96">
        <v>6777.54</v>
      </c>
      <c r="I6" s="96">
        <v>18155.900000000001</v>
      </c>
      <c r="J6" s="85">
        <v>8342</v>
      </c>
      <c r="K6" s="85">
        <v>13602</v>
      </c>
      <c r="L6" s="96">
        <v>108201.77</v>
      </c>
      <c r="M6" s="96">
        <v>93823.06</v>
      </c>
      <c r="N6" s="85">
        <v>15503.71</v>
      </c>
      <c r="O6" s="85">
        <v>18470.47</v>
      </c>
      <c r="P6" s="96">
        <v>35496.519999999997</v>
      </c>
      <c r="Q6" s="96">
        <v>45746.66</v>
      </c>
      <c r="R6" s="85">
        <v>80080.850000000006</v>
      </c>
      <c r="S6" s="85">
        <v>41386.629999999997</v>
      </c>
      <c r="T6" s="96">
        <v>6262</v>
      </c>
      <c r="U6" s="96">
        <v>11595</v>
      </c>
      <c r="V6" s="85">
        <v>8402.5400000000009</v>
      </c>
      <c r="W6" s="85">
        <v>11870.77</v>
      </c>
      <c r="X6" s="96">
        <v>10752.21</v>
      </c>
      <c r="Y6" s="99">
        <v>16199.49</v>
      </c>
      <c r="Z6" s="85">
        <v>99550.11</v>
      </c>
      <c r="AA6" s="85">
        <v>117051.64</v>
      </c>
      <c r="AB6" s="96">
        <v>542044.23</v>
      </c>
      <c r="AC6" s="96">
        <v>599044.93999999994</v>
      </c>
      <c r="AD6" s="85">
        <v>232665.41</v>
      </c>
      <c r="AE6" s="116">
        <v>155339.26</v>
      </c>
      <c r="AF6" s="96">
        <v>17192.400000000001</v>
      </c>
      <c r="AG6" s="96">
        <v>28634.13</v>
      </c>
      <c r="AH6" s="85">
        <v>32771.410000000003</v>
      </c>
      <c r="AI6" s="85">
        <v>40930.01</v>
      </c>
      <c r="AJ6" s="96">
        <v>34692</v>
      </c>
      <c r="AK6" s="96">
        <v>39044</v>
      </c>
      <c r="AL6" s="85">
        <v>13214</v>
      </c>
      <c r="AM6" s="85">
        <v>26137.360000000001</v>
      </c>
      <c r="AN6" s="96">
        <v>18884.87</v>
      </c>
      <c r="AO6" s="96">
        <v>28663.85</v>
      </c>
      <c r="AP6" s="85">
        <v>522593</v>
      </c>
      <c r="AQ6" s="85">
        <v>557178</v>
      </c>
      <c r="AR6" s="96">
        <v>27756.75</v>
      </c>
      <c r="AS6" s="95"/>
      <c r="AT6" s="85">
        <v>1589.98</v>
      </c>
      <c r="AU6" s="85">
        <v>1577</v>
      </c>
    </row>
    <row r="7" spans="1:47" x14ac:dyDescent="0.25">
      <c r="A7" s="6" t="s">
        <v>52</v>
      </c>
      <c r="B7" s="85">
        <f>B5-B6</f>
        <v>1141.4899999999998</v>
      </c>
      <c r="C7" s="85">
        <f>C5-C6</f>
        <v>3556.3000000000029</v>
      </c>
      <c r="D7" s="96">
        <f>D5-D6</f>
        <v>18559.14</v>
      </c>
      <c r="E7" s="96">
        <f>E5-E6</f>
        <v>11161.079999999987</v>
      </c>
      <c r="F7" s="85">
        <f t="shared" ref="F7:AG7" si="0">F5-F6</f>
        <v>232.68000000000029</v>
      </c>
      <c r="G7" s="85">
        <f t="shared" si="0"/>
        <v>372.10000000000036</v>
      </c>
      <c r="H7" s="96">
        <f t="shared" si="0"/>
        <v>3410.9700000000003</v>
      </c>
      <c r="I7" s="96">
        <f t="shared" si="0"/>
        <v>2016.8400000000001</v>
      </c>
      <c r="J7" s="85">
        <f t="shared" si="0"/>
        <v>1544</v>
      </c>
      <c r="K7" s="85">
        <f t="shared" si="0"/>
        <v>2545</v>
      </c>
      <c r="L7" s="96">
        <f t="shared" si="0"/>
        <v>10578.39</v>
      </c>
      <c r="M7" s="96">
        <f t="shared" si="0"/>
        <v>10395.339999999997</v>
      </c>
      <c r="N7" s="85">
        <f t="shared" si="0"/>
        <v>1142.5900000000001</v>
      </c>
      <c r="O7" s="85">
        <f t="shared" si="0"/>
        <v>1448.8999999999978</v>
      </c>
      <c r="P7" s="96">
        <f t="shared" si="0"/>
        <v>3041.3000000000029</v>
      </c>
      <c r="Q7" s="96">
        <f t="shared" si="0"/>
        <v>3045</v>
      </c>
      <c r="R7" s="85">
        <f t="shared" si="0"/>
        <v>21437.22</v>
      </c>
      <c r="S7" s="85">
        <f t="shared" si="0"/>
        <v>39842.750000000007</v>
      </c>
      <c r="T7" s="96">
        <f t="shared" si="0"/>
        <v>5749</v>
      </c>
      <c r="U7" s="96">
        <f t="shared" si="0"/>
        <v>4614</v>
      </c>
      <c r="V7" s="85">
        <f t="shared" si="0"/>
        <v>268.58999999999833</v>
      </c>
      <c r="W7" s="85">
        <f t="shared" si="0"/>
        <v>523.95999999999913</v>
      </c>
      <c r="X7" s="96">
        <f t="shared" si="0"/>
        <v>1543.92</v>
      </c>
      <c r="Y7" s="96">
        <f t="shared" si="0"/>
        <v>2129.58</v>
      </c>
      <c r="Z7" s="85">
        <f t="shared" si="0"/>
        <v>5424.1100000000006</v>
      </c>
      <c r="AA7" s="85">
        <f t="shared" si="0"/>
        <v>8354.7200000000012</v>
      </c>
      <c r="AB7" s="96">
        <f t="shared" si="0"/>
        <v>31025.420000000042</v>
      </c>
      <c r="AC7" s="96">
        <f t="shared" si="0"/>
        <v>53630.660000000033</v>
      </c>
      <c r="AD7" s="85">
        <f t="shared" si="0"/>
        <v>23119.489999999991</v>
      </c>
      <c r="AE7" s="116">
        <f t="shared" si="0"/>
        <v>25609.260000000009</v>
      </c>
      <c r="AF7" s="96">
        <f t="shared" si="0"/>
        <v>4745.7899999999972</v>
      </c>
      <c r="AG7" s="96">
        <f t="shared" si="0"/>
        <v>5853.0600000000013</v>
      </c>
      <c r="AH7" s="85">
        <f t="shared" ref="AH7:AM7" si="1">AH5-AH6</f>
        <v>3238.3699999999953</v>
      </c>
      <c r="AI7" s="85">
        <f t="shared" si="1"/>
        <v>3278.4099999999962</v>
      </c>
      <c r="AJ7" s="96">
        <f t="shared" si="1"/>
        <v>4377</v>
      </c>
      <c r="AK7" s="96">
        <f t="shared" si="1"/>
        <v>4285</v>
      </c>
      <c r="AL7" s="85">
        <f t="shared" si="1"/>
        <v>1767.0699999999997</v>
      </c>
      <c r="AM7" s="85">
        <f t="shared" si="1"/>
        <v>4590.0999999999985</v>
      </c>
      <c r="AN7" s="96">
        <f>AN5-AN6</f>
        <v>868.09999999999854</v>
      </c>
      <c r="AO7" s="96">
        <f>AO5-AO6</f>
        <v>2633.3600000000006</v>
      </c>
      <c r="AP7" s="85">
        <f>AP5-AP6</f>
        <v>69612</v>
      </c>
      <c r="AQ7" s="85">
        <f>AQ5-AQ6</f>
        <v>63444</v>
      </c>
      <c r="AR7" s="96">
        <f>AR5-AR6</f>
        <v>22970.639999999999</v>
      </c>
      <c r="AS7" s="95"/>
      <c r="AT7" s="85">
        <f>AT5-AT6</f>
        <v>29.430000000000064</v>
      </c>
      <c r="AU7" s="85">
        <f>AU5-AU6</f>
        <v>256.07999999999993</v>
      </c>
    </row>
    <row r="8" spans="1:47" x14ac:dyDescent="0.25">
      <c r="A8" s="6" t="s">
        <v>24</v>
      </c>
      <c r="B8" s="85">
        <v>4015.55</v>
      </c>
      <c r="C8" s="85">
        <v>6626.25</v>
      </c>
      <c r="D8" s="96">
        <v>32296.76</v>
      </c>
      <c r="E8" s="96">
        <v>41026.93</v>
      </c>
      <c r="F8" s="85">
        <v>2957.42</v>
      </c>
      <c r="G8" s="85">
        <v>3505.66</v>
      </c>
      <c r="H8" s="96">
        <v>3768.91</v>
      </c>
      <c r="I8" s="96">
        <v>9173.74</v>
      </c>
      <c r="J8" s="85">
        <v>1948</v>
      </c>
      <c r="K8" s="85">
        <v>5686</v>
      </c>
      <c r="L8" s="96">
        <v>69224.61</v>
      </c>
      <c r="M8" s="96">
        <v>51430.77</v>
      </c>
      <c r="N8" s="85">
        <v>194.6</v>
      </c>
      <c r="O8" s="85">
        <v>363.35</v>
      </c>
      <c r="P8" s="96">
        <v>15271.4</v>
      </c>
      <c r="Q8" s="96">
        <v>21951.919999999998</v>
      </c>
      <c r="R8" s="85">
        <v>43590.94</v>
      </c>
      <c r="S8" s="85">
        <v>22606.32</v>
      </c>
      <c r="T8" s="96">
        <v>2115</v>
      </c>
      <c r="U8" s="96">
        <v>4275</v>
      </c>
      <c r="V8" s="85">
        <v>2668.22</v>
      </c>
      <c r="W8" s="85">
        <v>4139.49</v>
      </c>
      <c r="X8" s="96">
        <v>4756.58</v>
      </c>
      <c r="Y8" s="96">
        <v>5883.18</v>
      </c>
      <c r="Z8" s="85">
        <v>32519.119999999999</v>
      </c>
      <c r="AA8" s="85">
        <v>30060</v>
      </c>
      <c r="AB8" s="96">
        <v>213388.43</v>
      </c>
      <c r="AC8" s="96">
        <v>253252.52</v>
      </c>
      <c r="AD8" s="85">
        <v>64077.81</v>
      </c>
      <c r="AE8" s="116">
        <v>45128.04</v>
      </c>
      <c r="AF8" s="96">
        <v>9435.2199999999993</v>
      </c>
      <c r="AG8" s="96">
        <v>19905.55</v>
      </c>
      <c r="AH8" s="85">
        <v>12164.59</v>
      </c>
      <c r="AI8" s="85">
        <v>12893.81</v>
      </c>
      <c r="AJ8" s="96">
        <v>14237</v>
      </c>
      <c r="AK8" s="96">
        <v>15650</v>
      </c>
      <c r="AL8" s="85">
        <v>4456.24</v>
      </c>
      <c r="AM8" s="85">
        <v>13738.92</v>
      </c>
      <c r="AN8" s="96">
        <v>9021.93</v>
      </c>
      <c r="AO8" s="96">
        <v>14296.86</v>
      </c>
      <c r="AP8" s="85">
        <v>289885</v>
      </c>
      <c r="AQ8" s="85">
        <v>283300</v>
      </c>
      <c r="AR8" s="96">
        <v>23845.54</v>
      </c>
      <c r="AS8" s="95"/>
      <c r="AT8" s="85">
        <v>997.29</v>
      </c>
      <c r="AU8" s="85">
        <v>941.48</v>
      </c>
    </row>
    <row r="9" spans="1:47" x14ac:dyDescent="0.25">
      <c r="A9" s="6" t="s">
        <v>53</v>
      </c>
      <c r="B9" s="89">
        <f>B6-B8</f>
        <v>9155.7999999999993</v>
      </c>
      <c r="C9" s="89">
        <f>C6-C8</f>
        <v>10119.669999999998</v>
      </c>
      <c r="D9" s="97">
        <f>D6-D8</f>
        <v>14272.66</v>
      </c>
      <c r="E9" s="97">
        <f>E6-E8</f>
        <v>34523.390000000007</v>
      </c>
      <c r="F9" s="89">
        <f t="shared" ref="F9:AG9" si="2">F6-F8</f>
        <v>7806.5399999999991</v>
      </c>
      <c r="G9" s="89">
        <f t="shared" si="2"/>
        <v>10251.84</v>
      </c>
      <c r="H9" s="97">
        <f t="shared" si="2"/>
        <v>3008.63</v>
      </c>
      <c r="I9" s="97">
        <f t="shared" si="2"/>
        <v>8982.1600000000017</v>
      </c>
      <c r="J9" s="89">
        <f t="shared" si="2"/>
        <v>6394</v>
      </c>
      <c r="K9" s="89">
        <f t="shared" si="2"/>
        <v>7916</v>
      </c>
      <c r="L9" s="97">
        <f t="shared" si="2"/>
        <v>38977.160000000003</v>
      </c>
      <c r="M9" s="97">
        <f t="shared" si="2"/>
        <v>42392.29</v>
      </c>
      <c r="N9" s="89">
        <f t="shared" si="2"/>
        <v>15309.109999999999</v>
      </c>
      <c r="O9" s="89">
        <f t="shared" si="2"/>
        <v>18107.120000000003</v>
      </c>
      <c r="P9" s="97">
        <f t="shared" si="2"/>
        <v>20225.119999999995</v>
      </c>
      <c r="Q9" s="97">
        <f t="shared" si="2"/>
        <v>23794.740000000005</v>
      </c>
      <c r="R9" s="89">
        <f t="shared" si="2"/>
        <v>36489.910000000003</v>
      </c>
      <c r="S9" s="89">
        <f t="shared" si="2"/>
        <v>18780.309999999998</v>
      </c>
      <c r="T9" s="97">
        <f t="shared" si="2"/>
        <v>4147</v>
      </c>
      <c r="U9" s="97">
        <f t="shared" si="2"/>
        <v>7320</v>
      </c>
      <c r="V9" s="89">
        <f t="shared" si="2"/>
        <v>5734.3200000000015</v>
      </c>
      <c r="W9" s="89">
        <f t="shared" si="2"/>
        <v>7731.2800000000007</v>
      </c>
      <c r="X9" s="97">
        <f t="shared" si="2"/>
        <v>5995.6299999999992</v>
      </c>
      <c r="Y9" s="97">
        <f t="shared" si="2"/>
        <v>10316.31</v>
      </c>
      <c r="Z9" s="89">
        <f t="shared" si="2"/>
        <v>67030.990000000005</v>
      </c>
      <c r="AA9" s="89">
        <f t="shared" si="2"/>
        <v>86991.64</v>
      </c>
      <c r="AB9" s="97">
        <f t="shared" si="2"/>
        <v>328655.8</v>
      </c>
      <c r="AC9" s="97">
        <f t="shared" si="2"/>
        <v>345792.41999999993</v>
      </c>
      <c r="AD9" s="89">
        <f t="shared" si="2"/>
        <v>168587.6</v>
      </c>
      <c r="AE9" s="117">
        <f t="shared" si="2"/>
        <v>110211.22</v>
      </c>
      <c r="AF9" s="97">
        <f t="shared" si="2"/>
        <v>7757.1800000000021</v>
      </c>
      <c r="AG9" s="97">
        <f t="shared" si="2"/>
        <v>8728.5800000000017</v>
      </c>
      <c r="AH9" s="89">
        <f t="shared" ref="AH9:AM9" si="3">AH6-AH8</f>
        <v>20606.820000000003</v>
      </c>
      <c r="AI9" s="89">
        <f t="shared" si="3"/>
        <v>28036.200000000004</v>
      </c>
      <c r="AJ9" s="97">
        <f t="shared" si="3"/>
        <v>20455</v>
      </c>
      <c r="AK9" s="97">
        <f t="shared" si="3"/>
        <v>23394</v>
      </c>
      <c r="AL9" s="89">
        <f t="shared" si="3"/>
        <v>8757.76</v>
      </c>
      <c r="AM9" s="89">
        <f t="shared" si="3"/>
        <v>12398.44</v>
      </c>
      <c r="AN9" s="97">
        <f>AN6-AN8</f>
        <v>9862.9399999999987</v>
      </c>
      <c r="AO9" s="97">
        <f>AO6-AO8</f>
        <v>14366.989999999998</v>
      </c>
      <c r="AP9" s="89">
        <f>AP6-AP8</f>
        <v>232708</v>
      </c>
      <c r="AQ9" s="89">
        <f>AQ6-AQ8</f>
        <v>273878</v>
      </c>
      <c r="AR9" s="97">
        <f>AR6-AR8</f>
        <v>3911.2099999999991</v>
      </c>
      <c r="AS9" s="95"/>
      <c r="AT9" s="89">
        <f>AT6-AT8</f>
        <v>592.69000000000005</v>
      </c>
      <c r="AU9" s="89">
        <f>AU6-AU8</f>
        <v>635.52</v>
      </c>
    </row>
    <row r="10" spans="1:47" x14ac:dyDescent="0.25">
      <c r="A10" s="6" t="s">
        <v>1</v>
      </c>
      <c r="B10" s="89">
        <f>SUM(B6:B7)</f>
        <v>14312.84</v>
      </c>
      <c r="C10" s="89">
        <f>SUM(C6:C7)</f>
        <v>20302.22</v>
      </c>
      <c r="D10" s="97">
        <f>SUM(D6:D7)</f>
        <v>65128.56</v>
      </c>
      <c r="E10" s="97">
        <f>SUM(E6:E7)</f>
        <v>86711.4</v>
      </c>
      <c r="F10" s="89">
        <f t="shared" ref="F10:AG10" si="4">SUM(F6:F7)</f>
        <v>10996.64</v>
      </c>
      <c r="G10" s="89">
        <f t="shared" si="4"/>
        <v>14129.6</v>
      </c>
      <c r="H10" s="97">
        <f t="shared" si="4"/>
        <v>10188.51</v>
      </c>
      <c r="I10" s="97">
        <f t="shared" si="4"/>
        <v>20172.740000000002</v>
      </c>
      <c r="J10" s="89">
        <f t="shared" si="4"/>
        <v>9886</v>
      </c>
      <c r="K10" s="89">
        <f t="shared" si="4"/>
        <v>16147</v>
      </c>
      <c r="L10" s="97">
        <f t="shared" si="4"/>
        <v>118780.16</v>
      </c>
      <c r="M10" s="97">
        <f t="shared" si="4"/>
        <v>104218.4</v>
      </c>
      <c r="N10" s="89">
        <f t="shared" si="4"/>
        <v>16646.3</v>
      </c>
      <c r="O10" s="89">
        <f t="shared" si="4"/>
        <v>19919.37</v>
      </c>
      <c r="P10" s="97">
        <f t="shared" si="4"/>
        <v>38537.82</v>
      </c>
      <c r="Q10" s="97">
        <f t="shared" si="4"/>
        <v>48791.66</v>
      </c>
      <c r="R10" s="89">
        <f t="shared" si="4"/>
        <v>101518.07</v>
      </c>
      <c r="S10" s="89">
        <f t="shared" si="4"/>
        <v>81229.38</v>
      </c>
      <c r="T10" s="97">
        <f t="shared" si="4"/>
        <v>12011</v>
      </c>
      <c r="U10" s="97">
        <f t="shared" si="4"/>
        <v>16209</v>
      </c>
      <c r="V10" s="89">
        <f t="shared" si="4"/>
        <v>8671.1299999999992</v>
      </c>
      <c r="W10" s="89">
        <f t="shared" si="4"/>
        <v>12394.73</v>
      </c>
      <c r="X10" s="97">
        <f t="shared" si="4"/>
        <v>12296.13</v>
      </c>
      <c r="Y10" s="97">
        <f t="shared" si="4"/>
        <v>18329.07</v>
      </c>
      <c r="Z10" s="89">
        <f t="shared" si="4"/>
        <v>104974.22</v>
      </c>
      <c r="AA10" s="89">
        <f t="shared" si="4"/>
        <v>125406.36</v>
      </c>
      <c r="AB10" s="97">
        <f t="shared" si="4"/>
        <v>573069.65</v>
      </c>
      <c r="AC10" s="97">
        <f t="shared" si="4"/>
        <v>652675.6</v>
      </c>
      <c r="AD10" s="89">
        <f t="shared" si="4"/>
        <v>255784.9</v>
      </c>
      <c r="AE10" s="117">
        <f t="shared" si="4"/>
        <v>180948.52000000002</v>
      </c>
      <c r="AF10" s="97">
        <f t="shared" si="4"/>
        <v>21938.19</v>
      </c>
      <c r="AG10" s="97">
        <f t="shared" si="4"/>
        <v>34487.19</v>
      </c>
      <c r="AH10" s="89">
        <f t="shared" ref="AH10:AM10" si="5">SUM(AH6:AH7)</f>
        <v>36009.78</v>
      </c>
      <c r="AI10" s="89">
        <f t="shared" si="5"/>
        <v>44208.42</v>
      </c>
      <c r="AJ10" s="97">
        <f t="shared" si="5"/>
        <v>39069</v>
      </c>
      <c r="AK10" s="97">
        <f t="shared" si="5"/>
        <v>43329</v>
      </c>
      <c r="AL10" s="89">
        <f t="shared" si="5"/>
        <v>14981.07</v>
      </c>
      <c r="AM10" s="89">
        <f t="shared" si="5"/>
        <v>30727.46</v>
      </c>
      <c r="AN10" s="97">
        <f>SUM(AN6:AN7)</f>
        <v>19752.969999999998</v>
      </c>
      <c r="AO10" s="97">
        <f>SUM(AO6:AO7)</f>
        <v>31297.21</v>
      </c>
      <c r="AP10" s="89">
        <f>SUM(AP6:AP7)</f>
        <v>592205</v>
      </c>
      <c r="AQ10" s="89">
        <f>SUM(AQ6:AQ7)</f>
        <v>620622</v>
      </c>
      <c r="AR10" s="97">
        <f>SUM(AR6:AR7)</f>
        <v>50727.39</v>
      </c>
      <c r="AS10" s="95"/>
      <c r="AT10" s="89">
        <f>SUM(AT6:AT7)</f>
        <v>1619.41</v>
      </c>
      <c r="AU10" s="89">
        <f>SUM(AU6:AU7)</f>
        <v>1833.08</v>
      </c>
    </row>
    <row r="11" spans="1:47" x14ac:dyDescent="0.25">
      <c r="A11" s="6" t="s">
        <v>91</v>
      </c>
      <c r="B11" s="89">
        <v>199.06</v>
      </c>
      <c r="C11" s="89">
        <v>136.88</v>
      </c>
      <c r="D11" s="97">
        <v>291.63</v>
      </c>
      <c r="E11" s="97">
        <v>700.53</v>
      </c>
      <c r="F11" s="89">
        <v>220.55</v>
      </c>
      <c r="G11" s="89">
        <v>224.13</v>
      </c>
      <c r="H11" s="97">
        <v>104.03</v>
      </c>
      <c r="I11" s="97">
        <v>136.66</v>
      </c>
      <c r="J11" s="89">
        <v>7</v>
      </c>
      <c r="K11" s="89">
        <v>20</v>
      </c>
      <c r="L11" s="97">
        <v>546.55999999999995</v>
      </c>
      <c r="M11" s="97">
        <v>1135.8699999999999</v>
      </c>
      <c r="N11" s="89">
        <v>194.6</v>
      </c>
      <c r="O11" s="89">
        <v>363.35</v>
      </c>
      <c r="P11" s="97">
        <v>647.09</v>
      </c>
      <c r="Q11" s="97">
        <v>3330.04</v>
      </c>
      <c r="R11" s="89">
        <v>4768.6899999999996</v>
      </c>
      <c r="S11" s="89">
        <v>3181.5</v>
      </c>
      <c r="T11" s="97">
        <v>69</v>
      </c>
      <c r="U11" s="97">
        <v>238</v>
      </c>
      <c r="V11" s="89">
        <v>1.57</v>
      </c>
      <c r="W11" s="89">
        <v>562.04999999999995</v>
      </c>
      <c r="X11" s="97">
        <v>5.44</v>
      </c>
      <c r="Y11" s="97">
        <v>1.45</v>
      </c>
      <c r="Z11" s="89">
        <v>151.25</v>
      </c>
      <c r="AA11" s="89">
        <v>210.56</v>
      </c>
      <c r="AB11" s="97">
        <v>773.82</v>
      </c>
      <c r="AC11" s="97">
        <v>363.63</v>
      </c>
      <c r="AD11" s="89">
        <v>426.73</v>
      </c>
      <c r="AE11" s="117">
        <v>699.58</v>
      </c>
      <c r="AF11" s="97">
        <v>574.04999999999995</v>
      </c>
      <c r="AG11" s="97">
        <v>679.72</v>
      </c>
      <c r="AH11" s="89">
        <v>157.51</v>
      </c>
      <c r="AI11" s="89">
        <v>156.13999999999999</v>
      </c>
      <c r="AJ11" s="97">
        <v>7</v>
      </c>
      <c r="AK11" s="97">
        <v>30</v>
      </c>
      <c r="AL11" s="89">
        <v>352.77</v>
      </c>
      <c r="AM11" s="89">
        <v>614.13</v>
      </c>
      <c r="AN11" s="97">
        <v>4.2</v>
      </c>
      <c r="AO11" s="97">
        <v>26.55</v>
      </c>
      <c r="AP11" s="89">
        <v>7252</v>
      </c>
      <c r="AQ11" s="89">
        <v>8098</v>
      </c>
      <c r="AR11" s="97">
        <v>390.73</v>
      </c>
      <c r="AS11" s="95"/>
      <c r="AT11" s="89">
        <v>13.53</v>
      </c>
      <c r="AU11" s="89">
        <v>8.8000000000000007</v>
      </c>
    </row>
    <row r="12" spans="1:47" x14ac:dyDescent="0.25">
      <c r="A12" s="6" t="s">
        <v>25</v>
      </c>
      <c r="B12" s="88">
        <f t="shared" ref="B12:AR12" si="6">B10+B11</f>
        <v>14511.9</v>
      </c>
      <c r="C12" s="88">
        <f t="shared" si="6"/>
        <v>20439.100000000002</v>
      </c>
      <c r="D12" s="98">
        <f t="shared" si="6"/>
        <v>65420.189999999995</v>
      </c>
      <c r="E12" s="98">
        <f t="shared" si="6"/>
        <v>87411.93</v>
      </c>
      <c r="F12" s="88">
        <f t="shared" si="6"/>
        <v>11217.189999999999</v>
      </c>
      <c r="G12" s="88">
        <f t="shared" si="6"/>
        <v>14353.73</v>
      </c>
      <c r="H12" s="98">
        <f t="shared" si="6"/>
        <v>10292.540000000001</v>
      </c>
      <c r="I12" s="98">
        <f t="shared" si="6"/>
        <v>20309.400000000001</v>
      </c>
      <c r="J12" s="88">
        <f t="shared" si="6"/>
        <v>9893</v>
      </c>
      <c r="K12" s="88">
        <f t="shared" si="6"/>
        <v>16167</v>
      </c>
      <c r="L12" s="98">
        <f t="shared" si="6"/>
        <v>119326.72</v>
      </c>
      <c r="M12" s="98">
        <f t="shared" si="6"/>
        <v>105354.26999999999</v>
      </c>
      <c r="N12" s="88">
        <f t="shared" si="6"/>
        <v>16840.899999999998</v>
      </c>
      <c r="O12" s="88">
        <f t="shared" si="6"/>
        <v>20282.719999999998</v>
      </c>
      <c r="P12" s="98">
        <f t="shared" si="6"/>
        <v>39184.909999999996</v>
      </c>
      <c r="Q12" s="98">
        <f t="shared" si="6"/>
        <v>52121.700000000004</v>
      </c>
      <c r="R12" s="88">
        <f t="shared" si="6"/>
        <v>106286.76000000001</v>
      </c>
      <c r="S12" s="88">
        <f t="shared" si="6"/>
        <v>84410.880000000005</v>
      </c>
      <c r="T12" s="98">
        <f t="shared" si="6"/>
        <v>12080</v>
      </c>
      <c r="U12" s="98">
        <f t="shared" si="6"/>
        <v>16447</v>
      </c>
      <c r="V12" s="88">
        <f t="shared" si="6"/>
        <v>8672.6999999999989</v>
      </c>
      <c r="W12" s="88">
        <f t="shared" si="6"/>
        <v>12956.779999999999</v>
      </c>
      <c r="X12" s="98">
        <f t="shared" si="6"/>
        <v>12301.57</v>
      </c>
      <c r="Y12" s="98">
        <f t="shared" si="6"/>
        <v>18330.52</v>
      </c>
      <c r="Z12" s="88">
        <f t="shared" si="6"/>
        <v>105125.47</v>
      </c>
      <c r="AA12" s="88">
        <f t="shared" si="6"/>
        <v>125616.92</v>
      </c>
      <c r="AB12" s="98">
        <f t="shared" si="6"/>
        <v>573843.47</v>
      </c>
      <c r="AC12" s="98">
        <f t="shared" si="6"/>
        <v>653039.23</v>
      </c>
      <c r="AD12" s="88">
        <f t="shared" si="6"/>
        <v>256211.63</v>
      </c>
      <c r="AE12" s="118">
        <f t="shared" si="6"/>
        <v>181648.1</v>
      </c>
      <c r="AF12" s="98">
        <f t="shared" si="6"/>
        <v>22512.239999999998</v>
      </c>
      <c r="AG12" s="98">
        <f t="shared" si="6"/>
        <v>35166.910000000003</v>
      </c>
      <c r="AH12" s="88">
        <f t="shared" si="6"/>
        <v>36167.29</v>
      </c>
      <c r="AI12" s="88">
        <f t="shared" si="6"/>
        <v>44364.56</v>
      </c>
      <c r="AJ12" s="98">
        <f t="shared" si="6"/>
        <v>39076</v>
      </c>
      <c r="AK12" s="98">
        <f t="shared" si="6"/>
        <v>43359</v>
      </c>
      <c r="AL12" s="88">
        <f t="shared" si="6"/>
        <v>15333.84</v>
      </c>
      <c r="AM12" s="88">
        <f t="shared" si="6"/>
        <v>31341.59</v>
      </c>
      <c r="AN12" s="98">
        <f t="shared" si="6"/>
        <v>19757.169999999998</v>
      </c>
      <c r="AO12" s="98">
        <f t="shared" si="6"/>
        <v>31323.759999999998</v>
      </c>
      <c r="AP12" s="88">
        <f t="shared" si="6"/>
        <v>599457</v>
      </c>
      <c r="AQ12" s="88">
        <f t="shared" si="6"/>
        <v>628720</v>
      </c>
      <c r="AR12" s="98">
        <f t="shared" si="6"/>
        <v>51118.12</v>
      </c>
      <c r="AS12" s="95"/>
      <c r="AT12" s="88">
        <f>AT10+AT11</f>
        <v>1632.94</v>
      </c>
      <c r="AU12" s="88">
        <f>AU10+AU11</f>
        <v>1841.8799999999999</v>
      </c>
    </row>
    <row r="13" spans="1:47" x14ac:dyDescent="0.25">
      <c r="A13" s="6" t="s">
        <v>26</v>
      </c>
      <c r="B13" s="85">
        <f>3758.43+476.36+1484.47</f>
        <v>5719.26</v>
      </c>
      <c r="C13" s="85">
        <f>6558.85+726.06+2337.84</f>
        <v>9622.75</v>
      </c>
      <c r="D13" s="96">
        <f>2852.19+5679.95+673.83+2681.56</f>
        <v>11887.529999999999</v>
      </c>
      <c r="E13" s="96">
        <f>5273.22+8771.65+911.82+5034.73</f>
        <v>19991.419999999998</v>
      </c>
      <c r="F13" s="85">
        <f>1.3+41.61+1465.69</f>
        <v>1508.6000000000001</v>
      </c>
      <c r="G13" s="85">
        <f>69.21+513.67+1848.52</f>
        <v>2431.4</v>
      </c>
      <c r="H13" s="96">
        <f>3050.32+315.27+609.23</f>
        <v>3974.82</v>
      </c>
      <c r="I13" s="96">
        <f>4676.27+365.34+1127.82</f>
        <v>6169.43</v>
      </c>
      <c r="J13" s="85">
        <f>4355+348+1968</f>
        <v>6671</v>
      </c>
      <c r="K13" s="85">
        <v>8718</v>
      </c>
      <c r="L13" s="96">
        <f>15563.01+3149.38+11859.72</f>
        <v>30572.11</v>
      </c>
      <c r="M13" s="96">
        <f>17627.03+3381.93+11923.3</f>
        <v>32932.259999999995</v>
      </c>
      <c r="N13" s="85">
        <f>1714.43+15.57+1420.08</f>
        <v>3150.08</v>
      </c>
      <c r="O13" s="85">
        <f>2699.11+13.98+1547.89</f>
        <v>4260.9800000000005</v>
      </c>
      <c r="P13" s="96">
        <f>9159.37+841.79+3805.92</f>
        <v>13807.08</v>
      </c>
      <c r="Q13" s="96">
        <f>13687.26+1070.98+5196.83</f>
        <v>19955.07</v>
      </c>
      <c r="R13" s="85">
        <f>30348.36+5707.22+18226.83</f>
        <v>54282.41</v>
      </c>
      <c r="S13" s="85">
        <f>486.01+28082.14+6004.97+25576.61</f>
        <v>60149.729999999996</v>
      </c>
      <c r="T13" s="96">
        <f>948+781+2028+931</f>
        <v>4688</v>
      </c>
      <c r="U13" s="96">
        <f>1447+1784+996</f>
        <v>4227</v>
      </c>
      <c r="V13" s="85">
        <f>1708.48+89.08+1390.76</f>
        <v>3188.3199999999997</v>
      </c>
      <c r="W13" s="85">
        <f>2572.65+91.68+2462.31</f>
        <v>5126.6399999999994</v>
      </c>
      <c r="X13" s="96">
        <f>3803.52+172.94+578.9</f>
        <v>4555.3599999999997</v>
      </c>
      <c r="Y13" s="96">
        <f>5824.99+222.86+969.85</f>
        <v>7017.7</v>
      </c>
      <c r="Z13" s="85">
        <f>266.83+16371.78+1138.39+3667.7</f>
        <v>21444.7</v>
      </c>
      <c r="AA13" s="85">
        <f>23611.52+1224.47+5748.21</f>
        <v>30584.2</v>
      </c>
      <c r="AB13" s="96">
        <f>10384.64+84799.87+76366.07+7984.14+6254.89+13010.25+22263.67</f>
        <v>221063.53000000003</v>
      </c>
      <c r="AC13" s="96">
        <f>10373.41+85253.45+97236.64+7835.49+7076.06+12664.85+29710.31</f>
        <v>250150.21</v>
      </c>
      <c r="AD13" s="85">
        <f>56166.72+12150.26+34229.95</f>
        <v>102546.93</v>
      </c>
      <c r="AE13" s="116">
        <f>37076.68+13603.76+38958.84</f>
        <v>89639.28</v>
      </c>
      <c r="AF13" s="96">
        <f>3668.93+680.38+1671.45</f>
        <v>6020.7599999999993</v>
      </c>
      <c r="AG13" s="96">
        <f>2309.07+487.07+1938.79</f>
        <v>4734.93</v>
      </c>
      <c r="AH13" s="85">
        <f>8421.28+1332.59+2000.1</f>
        <v>11753.970000000001</v>
      </c>
      <c r="AI13" s="85">
        <f>10984.31+1425.4+2989.14</f>
        <v>15398.849999999999</v>
      </c>
      <c r="AJ13" s="96">
        <f>297+8813+637+1464</f>
        <v>11211</v>
      </c>
      <c r="AK13" s="96">
        <f>507+10848+566+2143</f>
        <v>14064</v>
      </c>
      <c r="AL13" s="85">
        <f>4532.67+1173.91+1996.4</f>
        <v>7702.98</v>
      </c>
      <c r="AM13" s="85">
        <f>7289.06+1233.26+4121.03</f>
        <v>12643.349999999999</v>
      </c>
      <c r="AN13" s="96">
        <f>2995.48+26.44+755.17</f>
        <v>3777.09</v>
      </c>
      <c r="AO13" s="96">
        <f>4577.66+31+1539.8</f>
        <v>6148.46</v>
      </c>
      <c r="AP13" s="85">
        <f>43811+31974+49989</f>
        <v>125774</v>
      </c>
      <c r="AQ13" s="85">
        <f>55064+25982+67403</f>
        <v>148449</v>
      </c>
      <c r="AR13" s="96">
        <f>8418.27+930.06+3693.23</f>
        <v>13041.56</v>
      </c>
      <c r="AS13" s="95"/>
      <c r="AT13" s="85">
        <f>20.6+4.54+15.72</f>
        <v>40.86</v>
      </c>
      <c r="AU13" s="85">
        <f>24.15+1.64+13.15</f>
        <v>38.94</v>
      </c>
    </row>
    <row r="14" spans="1:47" x14ac:dyDescent="0.25">
      <c r="A14" s="6" t="s">
        <v>54</v>
      </c>
      <c r="B14" s="89">
        <f>B10-B13</f>
        <v>8593.58</v>
      </c>
      <c r="C14" s="89">
        <f>C10-C13</f>
        <v>10679.470000000001</v>
      </c>
      <c r="D14" s="97">
        <f>D10-D13</f>
        <v>53241.03</v>
      </c>
      <c r="E14" s="97">
        <f>E10-E13</f>
        <v>66719.98</v>
      </c>
      <c r="F14" s="89">
        <f t="shared" ref="F14:AG14" si="7">F10-F13</f>
        <v>9488.0399999999991</v>
      </c>
      <c r="G14" s="89">
        <f t="shared" si="7"/>
        <v>11698.2</v>
      </c>
      <c r="H14" s="97">
        <f t="shared" si="7"/>
        <v>6213.6900000000005</v>
      </c>
      <c r="I14" s="97">
        <f t="shared" si="7"/>
        <v>14003.310000000001</v>
      </c>
      <c r="J14" s="89">
        <f t="shared" si="7"/>
        <v>3215</v>
      </c>
      <c r="K14" s="89">
        <f t="shared" si="7"/>
        <v>7429</v>
      </c>
      <c r="L14" s="97">
        <f t="shared" si="7"/>
        <v>88208.05</v>
      </c>
      <c r="M14" s="97">
        <f t="shared" si="7"/>
        <v>71286.14</v>
      </c>
      <c r="N14" s="89">
        <f t="shared" si="7"/>
        <v>13496.22</v>
      </c>
      <c r="O14" s="89">
        <f t="shared" si="7"/>
        <v>15658.39</v>
      </c>
      <c r="P14" s="97">
        <f t="shared" si="7"/>
        <v>24730.739999999998</v>
      </c>
      <c r="Q14" s="97">
        <f t="shared" si="7"/>
        <v>28836.590000000004</v>
      </c>
      <c r="R14" s="89">
        <f t="shared" si="7"/>
        <v>47235.66</v>
      </c>
      <c r="S14" s="89">
        <f t="shared" si="7"/>
        <v>21079.650000000009</v>
      </c>
      <c r="T14" s="97">
        <f t="shared" si="7"/>
        <v>7323</v>
      </c>
      <c r="U14" s="97">
        <f t="shared" si="7"/>
        <v>11982</v>
      </c>
      <c r="V14" s="89">
        <f t="shared" si="7"/>
        <v>5482.8099999999995</v>
      </c>
      <c r="W14" s="89">
        <f t="shared" si="7"/>
        <v>7268.09</v>
      </c>
      <c r="X14" s="97">
        <f t="shared" si="7"/>
        <v>7740.7699999999995</v>
      </c>
      <c r="Y14" s="97">
        <f t="shared" si="7"/>
        <v>11311.369999999999</v>
      </c>
      <c r="Z14" s="89">
        <f t="shared" si="7"/>
        <v>83529.52</v>
      </c>
      <c r="AA14" s="89">
        <f t="shared" si="7"/>
        <v>94822.16</v>
      </c>
      <c r="AB14" s="97">
        <f t="shared" si="7"/>
        <v>352006.12</v>
      </c>
      <c r="AC14" s="97">
        <f t="shared" si="7"/>
        <v>402525.39</v>
      </c>
      <c r="AD14" s="89">
        <f t="shared" si="7"/>
        <v>153237.97</v>
      </c>
      <c r="AE14" s="117">
        <f t="shared" si="7"/>
        <v>91309.24000000002</v>
      </c>
      <c r="AF14" s="97">
        <f t="shared" si="7"/>
        <v>15917.43</v>
      </c>
      <c r="AG14" s="97">
        <f t="shared" si="7"/>
        <v>29752.260000000002</v>
      </c>
      <c r="AH14" s="89">
        <f t="shared" ref="AH14:AM14" si="8">AH10-AH13</f>
        <v>24255.809999999998</v>
      </c>
      <c r="AI14" s="89">
        <f t="shared" si="8"/>
        <v>28809.57</v>
      </c>
      <c r="AJ14" s="97">
        <f t="shared" si="8"/>
        <v>27858</v>
      </c>
      <c r="AK14" s="97">
        <f t="shared" si="8"/>
        <v>29265</v>
      </c>
      <c r="AL14" s="89">
        <f t="shared" si="8"/>
        <v>7278.09</v>
      </c>
      <c r="AM14" s="89">
        <f t="shared" si="8"/>
        <v>18084.11</v>
      </c>
      <c r="AN14" s="97">
        <f>AN10-AN13</f>
        <v>15975.879999999997</v>
      </c>
      <c r="AO14" s="97">
        <f>AO10-AO13</f>
        <v>25148.75</v>
      </c>
      <c r="AP14" s="89">
        <f>AP10-AP13</f>
        <v>466431</v>
      </c>
      <c r="AQ14" s="89">
        <f>AQ10-AQ13</f>
        <v>472173</v>
      </c>
      <c r="AR14" s="97">
        <f>AR10-AR13</f>
        <v>37685.83</v>
      </c>
      <c r="AS14" s="95"/>
      <c r="AT14" s="89">
        <f>AT10-AT13</f>
        <v>1578.5500000000002</v>
      </c>
      <c r="AU14" s="89">
        <f>AU10-AU13</f>
        <v>1794.1399999999999</v>
      </c>
    </row>
    <row r="15" spans="1:47" x14ac:dyDescent="0.25">
      <c r="A15" s="6" t="s">
        <v>94</v>
      </c>
      <c r="B15" s="89">
        <f t="shared" ref="B15:AR15" si="9">B12-B13-B8</f>
        <v>4777.0899999999992</v>
      </c>
      <c r="C15" s="89">
        <f t="shared" si="9"/>
        <v>4190.1000000000022</v>
      </c>
      <c r="D15" s="97">
        <f t="shared" si="9"/>
        <v>21235.899999999998</v>
      </c>
      <c r="E15" s="97">
        <f t="shared" si="9"/>
        <v>26393.579999999994</v>
      </c>
      <c r="F15" s="89">
        <f t="shared" si="9"/>
        <v>6751.1699999999983</v>
      </c>
      <c r="G15" s="89">
        <f t="shared" si="9"/>
        <v>8416.67</v>
      </c>
      <c r="H15" s="97">
        <f t="shared" si="9"/>
        <v>2548.8100000000013</v>
      </c>
      <c r="I15" s="97">
        <f t="shared" si="9"/>
        <v>4966.2300000000014</v>
      </c>
      <c r="J15" s="89">
        <f t="shared" si="9"/>
        <v>1274</v>
      </c>
      <c r="K15" s="89">
        <f t="shared" si="9"/>
        <v>1763</v>
      </c>
      <c r="L15" s="97">
        <f t="shared" si="9"/>
        <v>19530</v>
      </c>
      <c r="M15" s="97">
        <f t="shared" si="9"/>
        <v>20991.239999999998</v>
      </c>
      <c r="N15" s="89">
        <f t="shared" si="9"/>
        <v>13496.219999999998</v>
      </c>
      <c r="O15" s="89">
        <f t="shared" si="9"/>
        <v>15658.389999999998</v>
      </c>
      <c r="P15" s="97">
        <f t="shared" si="9"/>
        <v>10106.429999999995</v>
      </c>
      <c r="Q15" s="97">
        <f t="shared" si="9"/>
        <v>10214.710000000006</v>
      </c>
      <c r="R15" s="89">
        <f t="shared" si="9"/>
        <v>8413.4100000000035</v>
      </c>
      <c r="S15" s="89">
        <f t="shared" si="9"/>
        <v>1654.830000000009</v>
      </c>
      <c r="T15" s="97">
        <f t="shared" si="9"/>
        <v>5277</v>
      </c>
      <c r="U15" s="97">
        <f t="shared" si="9"/>
        <v>7945</v>
      </c>
      <c r="V15" s="89">
        <f t="shared" si="9"/>
        <v>2816.1599999999994</v>
      </c>
      <c r="W15" s="89">
        <f t="shared" si="9"/>
        <v>3690.6499999999996</v>
      </c>
      <c r="X15" s="97">
        <f t="shared" si="9"/>
        <v>2989.63</v>
      </c>
      <c r="Y15" s="97">
        <f t="shared" si="9"/>
        <v>5429.6399999999994</v>
      </c>
      <c r="Z15" s="89">
        <f t="shared" si="9"/>
        <v>51161.650000000009</v>
      </c>
      <c r="AA15" s="89">
        <f t="shared" si="9"/>
        <v>64972.72</v>
      </c>
      <c r="AB15" s="97">
        <f t="shared" si="9"/>
        <v>139391.50999999995</v>
      </c>
      <c r="AC15" s="97">
        <f t="shared" si="9"/>
        <v>149636.50000000003</v>
      </c>
      <c r="AD15" s="89">
        <f t="shared" si="9"/>
        <v>89586.890000000014</v>
      </c>
      <c r="AE15" s="117">
        <f t="shared" si="9"/>
        <v>46880.780000000006</v>
      </c>
      <c r="AF15" s="97">
        <f t="shared" si="9"/>
        <v>7056.26</v>
      </c>
      <c r="AG15" s="97">
        <f t="shared" si="9"/>
        <v>10526.430000000004</v>
      </c>
      <c r="AH15" s="89">
        <f t="shared" si="9"/>
        <v>12248.73</v>
      </c>
      <c r="AI15" s="89">
        <f t="shared" si="9"/>
        <v>16071.9</v>
      </c>
      <c r="AJ15" s="97">
        <f t="shared" si="9"/>
        <v>13628</v>
      </c>
      <c r="AK15" s="97">
        <f t="shared" si="9"/>
        <v>13645</v>
      </c>
      <c r="AL15" s="89">
        <f t="shared" si="9"/>
        <v>3174.6200000000008</v>
      </c>
      <c r="AM15" s="89">
        <f t="shared" si="9"/>
        <v>4959.3200000000015</v>
      </c>
      <c r="AN15" s="97">
        <f t="shared" si="9"/>
        <v>6958.1499999999978</v>
      </c>
      <c r="AO15" s="97">
        <f t="shared" si="9"/>
        <v>10878.439999999999</v>
      </c>
      <c r="AP15" s="89">
        <f t="shared" si="9"/>
        <v>183798</v>
      </c>
      <c r="AQ15" s="89">
        <f t="shared" si="9"/>
        <v>196971</v>
      </c>
      <c r="AR15" s="97">
        <f t="shared" si="9"/>
        <v>14231.020000000004</v>
      </c>
      <c r="AS15" s="95"/>
      <c r="AT15" s="89">
        <f>AT12-AT13-AT8</f>
        <v>594.79000000000019</v>
      </c>
      <c r="AU15" s="89">
        <f>AU12-AU13-AU8</f>
        <v>861.45999999999981</v>
      </c>
    </row>
    <row r="16" spans="1:47" x14ac:dyDescent="0.25">
      <c r="A16" s="6" t="s">
        <v>27</v>
      </c>
      <c r="B16" s="85">
        <v>2294.44</v>
      </c>
      <c r="C16" s="85">
        <v>750.99</v>
      </c>
      <c r="D16" s="96">
        <v>13602.68</v>
      </c>
      <c r="E16" s="96">
        <v>3684.74</v>
      </c>
      <c r="F16" s="85">
        <v>88.18</v>
      </c>
      <c r="G16" s="85">
        <v>513.66999999999996</v>
      </c>
      <c r="H16" s="96">
        <v>3050.32</v>
      </c>
      <c r="I16" s="96">
        <v>4676.2700000000004</v>
      </c>
      <c r="J16" s="85">
        <v>415</v>
      </c>
      <c r="K16" s="85">
        <v>614</v>
      </c>
      <c r="L16" s="96">
        <v>45240.800000000003</v>
      </c>
      <c r="M16" s="96">
        <v>115076.93</v>
      </c>
      <c r="N16" s="85">
        <v>4482.21</v>
      </c>
      <c r="O16" s="85">
        <v>4338.3500000000004</v>
      </c>
      <c r="P16" s="96">
        <v>8865.3700000000008</v>
      </c>
      <c r="Q16" s="96">
        <v>4351.6400000000003</v>
      </c>
      <c r="R16" s="85">
        <v>15393.44</v>
      </c>
      <c r="S16" s="85">
        <v>26512.62</v>
      </c>
      <c r="T16" s="96">
        <v>175</v>
      </c>
      <c r="U16" s="96">
        <v>659</v>
      </c>
      <c r="V16" s="85">
        <v>1518.48</v>
      </c>
      <c r="W16" s="85">
        <v>977.38</v>
      </c>
      <c r="X16" s="96">
        <v>782.37</v>
      </c>
      <c r="Y16" s="96">
        <v>1567.18</v>
      </c>
      <c r="Z16" s="85">
        <v>3517.57</v>
      </c>
      <c r="AA16" s="85">
        <v>4551.8100000000004</v>
      </c>
      <c r="AB16" s="96">
        <v>285.73</v>
      </c>
      <c r="AC16" s="96">
        <v>3512.13</v>
      </c>
      <c r="AD16" s="85">
        <v>252335.27</v>
      </c>
      <c r="AE16" s="116">
        <v>53964.47</v>
      </c>
      <c r="AF16" s="96">
        <v>2989.74</v>
      </c>
      <c r="AG16" s="96">
        <v>1462.38</v>
      </c>
      <c r="AH16" s="85">
        <v>4044.59</v>
      </c>
      <c r="AI16" s="85">
        <v>5935.56</v>
      </c>
      <c r="AJ16" s="96">
        <v>5027</v>
      </c>
      <c r="AK16" s="96">
        <v>3603</v>
      </c>
      <c r="AL16" s="85">
        <v>1961.71</v>
      </c>
      <c r="AM16" s="85">
        <v>2941.54</v>
      </c>
      <c r="AN16" s="96">
        <v>1576.47</v>
      </c>
      <c r="AO16" s="96">
        <v>1367.45</v>
      </c>
      <c r="AP16" s="85">
        <v>101294</v>
      </c>
      <c r="AQ16" s="85">
        <v>88950</v>
      </c>
      <c r="AR16" s="96">
        <v>2817.91</v>
      </c>
      <c r="AS16" s="95"/>
      <c r="AT16" s="85">
        <v>426.88</v>
      </c>
      <c r="AU16" s="85">
        <v>248.92</v>
      </c>
    </row>
    <row r="17" spans="1:47" x14ac:dyDescent="0.25">
      <c r="A17" s="6" t="s">
        <v>55</v>
      </c>
      <c r="B17" s="89">
        <v>2123.5700000000002</v>
      </c>
      <c r="C17" s="89">
        <v>2578.2199999999998</v>
      </c>
      <c r="D17" s="97">
        <v>5604.99</v>
      </c>
      <c r="E17" s="97">
        <v>16372.93</v>
      </c>
      <c r="F17" s="89">
        <v>4947.26</v>
      </c>
      <c r="G17" s="89">
        <v>6244.67</v>
      </c>
      <c r="H17" s="97">
        <v>1688.34</v>
      </c>
      <c r="I17" s="97">
        <v>3251.67</v>
      </c>
      <c r="J17" s="89">
        <v>680</v>
      </c>
      <c r="K17" s="89">
        <v>783</v>
      </c>
      <c r="L17" s="97">
        <v>-24146.799999999999</v>
      </c>
      <c r="M17" s="97">
        <v>-76919.789999999994</v>
      </c>
      <c r="N17" s="89">
        <v>2015.91</v>
      </c>
      <c r="O17" s="89">
        <v>2505.17</v>
      </c>
      <c r="P17" s="97">
        <v>1023.44</v>
      </c>
      <c r="Q17" s="97">
        <v>3611.77</v>
      </c>
      <c r="R17" s="89">
        <v>-5409.77</v>
      </c>
      <c r="S17" s="89">
        <v>-18427.650000000001</v>
      </c>
      <c r="T17" s="97">
        <v>3660</v>
      </c>
      <c r="U17" s="97">
        <v>5414</v>
      </c>
      <c r="V17" s="89">
        <v>942.72</v>
      </c>
      <c r="W17" s="89">
        <v>2007.03</v>
      </c>
      <c r="X17" s="97">
        <v>1650.15</v>
      </c>
      <c r="Y17" s="97">
        <v>2900.59</v>
      </c>
      <c r="Z17" s="89">
        <v>35899.440000000002</v>
      </c>
      <c r="AA17" s="89">
        <v>45354.45</v>
      </c>
      <c r="AB17" s="97">
        <v>101094.42</v>
      </c>
      <c r="AC17" s="97">
        <v>108619.5</v>
      </c>
      <c r="AD17" s="89">
        <v>-122130.81</v>
      </c>
      <c r="AE17" s="117">
        <v>-5535.28</v>
      </c>
      <c r="AF17" s="97">
        <v>3000.51</v>
      </c>
      <c r="AG17" s="97">
        <v>6736.98</v>
      </c>
      <c r="AH17" s="89">
        <v>6202.02</v>
      </c>
      <c r="AI17" s="89">
        <v>7540.39</v>
      </c>
      <c r="AJ17" s="97">
        <v>6476</v>
      </c>
      <c r="AK17" s="97">
        <v>7419</v>
      </c>
      <c r="AL17" s="89">
        <v>2872.75</v>
      </c>
      <c r="AM17" s="89">
        <v>1455.06</v>
      </c>
      <c r="AN17" s="97">
        <v>3993.69</v>
      </c>
      <c r="AO17" s="97">
        <v>6933.7</v>
      </c>
      <c r="AP17" s="89">
        <v>67699</v>
      </c>
      <c r="AQ17" s="89">
        <v>81719</v>
      </c>
      <c r="AR17" s="97">
        <v>8514.8799999999992</v>
      </c>
      <c r="AS17" s="95"/>
      <c r="AT17" s="89">
        <v>139.04</v>
      </c>
      <c r="AU17" s="89">
        <v>508.22</v>
      </c>
    </row>
    <row r="18" spans="1:47" x14ac:dyDescent="0.25">
      <c r="A18" s="6" t="s">
        <v>28</v>
      </c>
      <c r="B18" s="85">
        <v>64132.3</v>
      </c>
      <c r="C18" s="85">
        <v>66802</v>
      </c>
      <c r="D18" s="96">
        <v>155886.01999999999</v>
      </c>
      <c r="E18" s="96">
        <v>170991.44</v>
      </c>
      <c r="F18" s="85">
        <v>23948.68</v>
      </c>
      <c r="G18" s="85">
        <v>30193.35</v>
      </c>
      <c r="H18" s="96">
        <v>67335.16</v>
      </c>
      <c r="I18" s="96">
        <v>83682.5</v>
      </c>
      <c r="J18" s="85">
        <v>65812</v>
      </c>
      <c r="K18" s="85">
        <v>76691</v>
      </c>
      <c r="L18" s="96">
        <v>367896.44</v>
      </c>
      <c r="M18" s="96">
        <v>287801.65999999997</v>
      </c>
      <c r="N18" s="85">
        <v>69511.55</v>
      </c>
      <c r="O18" s="85">
        <v>72013.59</v>
      </c>
      <c r="P18" s="96">
        <f>38624.42+65950.36</f>
        <v>104574.78</v>
      </c>
      <c r="Q18" s="96">
        <v>111231.44</v>
      </c>
      <c r="R18" s="85">
        <v>417567.87</v>
      </c>
      <c r="S18" s="85">
        <v>401265.95</v>
      </c>
      <c r="T18" s="96">
        <v>26192</v>
      </c>
      <c r="U18" s="96">
        <v>36564</v>
      </c>
      <c r="V18" s="85">
        <v>25016.41</v>
      </c>
      <c r="W18" s="85">
        <v>27132.99</v>
      </c>
      <c r="X18" s="96">
        <v>44190.01</v>
      </c>
      <c r="Y18" s="96">
        <v>91846.54</v>
      </c>
      <c r="Z18" s="85">
        <v>231817.22</v>
      </c>
      <c r="AA18" s="85">
        <v>371035.1</v>
      </c>
      <c r="AB18" s="96">
        <v>811852.59</v>
      </c>
      <c r="AC18" s="96">
        <v>897247.64</v>
      </c>
      <c r="AD18" s="85">
        <v>189671.39</v>
      </c>
      <c r="AE18" s="116">
        <v>184216.46</v>
      </c>
      <c r="AF18" s="96">
        <v>79714.17</v>
      </c>
      <c r="AG18" s="96">
        <v>119614.66</v>
      </c>
      <c r="AH18" s="85">
        <v>88801.8</v>
      </c>
      <c r="AI18" s="85">
        <v>140804.82</v>
      </c>
      <c r="AJ18" s="96">
        <v>70346</v>
      </c>
      <c r="AK18" s="96">
        <v>78488</v>
      </c>
      <c r="AL18" s="85">
        <v>95243.82</v>
      </c>
      <c r="AM18" s="85">
        <v>96656.320000000007</v>
      </c>
      <c r="AN18" s="96">
        <v>44961.65</v>
      </c>
      <c r="AO18" s="96">
        <v>139228.74</v>
      </c>
      <c r="AP18" s="85">
        <v>673534</v>
      </c>
      <c r="AQ18" s="85">
        <v>776274</v>
      </c>
      <c r="AR18" s="96">
        <v>120540.64</v>
      </c>
      <c r="AS18" s="95"/>
      <c r="AT18" s="85">
        <f>4305.4+247.8</f>
        <v>4553.2</v>
      </c>
      <c r="AU18" s="85">
        <f>4817.04+247.8</f>
        <v>5064.84</v>
      </c>
    </row>
    <row r="19" spans="1:47" x14ac:dyDescent="0.25">
      <c r="A19" s="6" t="s">
        <v>57</v>
      </c>
      <c r="B19" s="85">
        <f>12587.98+38022.4+1231.24</f>
        <v>51841.62</v>
      </c>
      <c r="C19" s="85">
        <f>17024.54+89100.8+1704.43</f>
        <v>107829.76999999999</v>
      </c>
      <c r="D19" s="96">
        <f>163956.78+229247.09</f>
        <v>393203.87</v>
      </c>
      <c r="E19" s="96">
        <f>134359.68+459942.62+3993.47</f>
        <v>598295.77</v>
      </c>
      <c r="F19" s="85">
        <f>4874.26+30985.29</f>
        <v>35859.550000000003</v>
      </c>
      <c r="G19" s="85">
        <f>2813.37+35857.33</f>
        <v>38670.700000000004</v>
      </c>
      <c r="H19" s="96">
        <f>22203.94+44364.85</f>
        <v>66568.789999999994</v>
      </c>
      <c r="I19" s="96">
        <f>56577.25+116773.31</f>
        <v>173350.56</v>
      </c>
      <c r="J19" s="85">
        <v>44316</v>
      </c>
      <c r="K19" s="85">
        <v>84889</v>
      </c>
      <c r="L19" s="96">
        <f>201276.18+374790.64</f>
        <v>576066.82000000007</v>
      </c>
      <c r="M19" s="96">
        <f>197793.62+350504.82</f>
        <v>548298.43999999994</v>
      </c>
      <c r="N19" s="85">
        <f>52391.41+23060.15</f>
        <v>75451.56</v>
      </c>
      <c r="O19" s="85">
        <f>68932.27+28566.37</f>
        <v>97498.64</v>
      </c>
      <c r="P19" s="96">
        <f>73827.02+93422.08</f>
        <v>167249.1</v>
      </c>
      <c r="Q19" s="96">
        <f>106523.77+175065.49</f>
        <v>281589.26</v>
      </c>
      <c r="R19" s="85">
        <f>77060.33+238793.37</f>
        <v>315853.7</v>
      </c>
      <c r="S19" s="85">
        <f>54506.33+111746.19</f>
        <v>166252.52000000002</v>
      </c>
      <c r="T19" s="96">
        <f>8504+8378+12310</f>
        <v>29192</v>
      </c>
      <c r="U19" s="96">
        <f>12965+45091+11399</f>
        <v>69455</v>
      </c>
      <c r="V19" s="85">
        <v>35321.699999999997</v>
      </c>
      <c r="W19" s="85">
        <v>59078.91</v>
      </c>
      <c r="X19" s="96">
        <f>8451.29+43908.02+305.39</f>
        <v>52664.7</v>
      </c>
      <c r="Y19" s="96">
        <f>6465.33+57962.43+285.2</f>
        <v>64712.959999999999</v>
      </c>
      <c r="Z19" s="85">
        <f>130378.55+212141.12</f>
        <v>342519.67</v>
      </c>
      <c r="AA19" s="85">
        <f>100853.38+155029.75</f>
        <v>255883.13</v>
      </c>
      <c r="AB19" s="96">
        <f>426363+1577279.14+552888.78</f>
        <v>2556530.92</v>
      </c>
      <c r="AC19" s="96">
        <f>651514.1+1728828.82+682838.64</f>
        <v>3063181.56</v>
      </c>
      <c r="AD19" s="85">
        <f>5000+378891.34</f>
        <v>383891.34</v>
      </c>
      <c r="AE19" s="116">
        <f>6000+271025.49</f>
        <v>277025.49</v>
      </c>
      <c r="AF19" s="96">
        <f>39953.41+96864.64</f>
        <v>136818.04999999999</v>
      </c>
      <c r="AG19" s="96">
        <f>107051.35+247962.03</f>
        <v>355013.38</v>
      </c>
      <c r="AH19" s="85">
        <f>53074.52+72340.01</f>
        <v>125414.53</v>
      </c>
      <c r="AI19" s="85">
        <f>95357.96+24207.26</f>
        <v>119565.22</v>
      </c>
      <c r="AJ19" s="96">
        <f>17733+129709</f>
        <v>147442</v>
      </c>
      <c r="AK19" s="96">
        <f>17150+174197</f>
        <v>191347</v>
      </c>
      <c r="AL19" s="85">
        <f>31557.55+45011.94</f>
        <v>76569.490000000005</v>
      </c>
      <c r="AM19" s="85">
        <f>70376.77+109807.09</f>
        <v>180183.86</v>
      </c>
      <c r="AN19" s="96">
        <f>32468.1+84369.47</f>
        <v>116837.57</v>
      </c>
      <c r="AO19" s="96">
        <f>39131.54+162347.19</f>
        <v>201478.73</v>
      </c>
      <c r="AP19" s="85">
        <f>2005053+1463342+355532</f>
        <v>3823927</v>
      </c>
      <c r="AQ19" s="85">
        <f>2290671+2185506+432060</f>
        <v>4908237</v>
      </c>
      <c r="AR19" s="96">
        <f>15000+262775.8</f>
        <v>277775.8</v>
      </c>
      <c r="AS19" s="95"/>
      <c r="AT19" s="85">
        <f>2192.77+5280.88+349.4</f>
        <v>7823.0499999999993</v>
      </c>
      <c r="AU19" s="85">
        <f>2159.42+5053.79+350</f>
        <v>7563.21</v>
      </c>
    </row>
    <row r="20" spans="1:47" x14ac:dyDescent="0.25">
      <c r="A20" s="6" t="s">
        <v>29</v>
      </c>
      <c r="B20" s="85">
        <v>119424.43</v>
      </c>
      <c r="C20" s="85">
        <v>181353.2</v>
      </c>
      <c r="D20" s="96">
        <v>557419.24</v>
      </c>
      <c r="E20" s="96">
        <v>783520.78</v>
      </c>
      <c r="F20" s="85">
        <v>60082.89</v>
      </c>
      <c r="G20" s="85">
        <v>69170.880000000005</v>
      </c>
      <c r="H20" s="96">
        <v>136614.38</v>
      </c>
      <c r="I20" s="96">
        <v>262699.71999999997</v>
      </c>
      <c r="J20" s="85">
        <v>114818</v>
      </c>
      <c r="K20" s="85">
        <v>170220</v>
      </c>
      <c r="L20" s="96">
        <v>978730.05</v>
      </c>
      <c r="M20" s="96">
        <v>882426.89</v>
      </c>
      <c r="N20" s="85">
        <v>146336.29</v>
      </c>
      <c r="O20" s="85">
        <v>171444.38</v>
      </c>
      <c r="P20" s="96">
        <v>279140.5</v>
      </c>
      <c r="Q20" s="96">
        <v>402389.25</v>
      </c>
      <c r="R20" s="85">
        <v>795604.64</v>
      </c>
      <c r="S20" s="85">
        <v>619053.86</v>
      </c>
      <c r="T20" s="96">
        <v>70511</v>
      </c>
      <c r="U20" s="96">
        <v>130808</v>
      </c>
      <c r="V20" s="85">
        <v>61571.33</v>
      </c>
      <c r="W20" s="85">
        <v>88055.24</v>
      </c>
      <c r="X20" s="96">
        <v>98432.1</v>
      </c>
      <c r="Y20" s="96">
        <v>159194.56</v>
      </c>
      <c r="Z20" s="85">
        <v>579361.14</v>
      </c>
      <c r="AA20" s="85">
        <v>634306.56000000006</v>
      </c>
      <c r="AB20" s="96">
        <v>3421003.51</v>
      </c>
      <c r="AC20" s="96">
        <v>4006764.43</v>
      </c>
      <c r="AD20" s="85">
        <v>615802.01</v>
      </c>
      <c r="AE20" s="116">
        <v>492519.63</v>
      </c>
      <c r="AF20" s="96">
        <v>219515.59</v>
      </c>
      <c r="AG20" s="96">
        <v>478284.35</v>
      </c>
      <c r="AH20" s="85">
        <v>217486.17</v>
      </c>
      <c r="AI20" s="85">
        <v>264247.23</v>
      </c>
      <c r="AJ20" s="96">
        <v>228189</v>
      </c>
      <c r="AK20" s="96">
        <v>278789</v>
      </c>
      <c r="AL20" s="85">
        <v>175478.58</v>
      </c>
      <c r="AM20" s="85">
        <v>285422.56</v>
      </c>
      <c r="AN20" s="96">
        <v>164512.93</v>
      </c>
      <c r="AO20" s="96">
        <v>343919.74</v>
      </c>
      <c r="AP20" s="85">
        <v>4741557</v>
      </c>
      <c r="AQ20" s="85">
        <v>5946384</v>
      </c>
      <c r="AR20" s="96">
        <v>426588.07</v>
      </c>
      <c r="AS20" s="95"/>
      <c r="AT20" s="85">
        <v>15873.26</v>
      </c>
      <c r="AU20" s="85">
        <v>13143.65</v>
      </c>
    </row>
    <row r="21" spans="1:47" x14ac:dyDescent="0.25">
      <c r="A21" s="6" t="s">
        <v>58</v>
      </c>
      <c r="B21" s="85">
        <v>99375.039999999994</v>
      </c>
      <c r="C21" s="85">
        <v>133266.39000000001</v>
      </c>
      <c r="D21" s="96">
        <v>383639.88</v>
      </c>
      <c r="E21" s="96">
        <v>522265.41</v>
      </c>
      <c r="F21" s="85">
        <v>57768.29</v>
      </c>
      <c r="G21" s="85">
        <v>67917.460000000006</v>
      </c>
      <c r="H21" s="96">
        <v>90939.79</v>
      </c>
      <c r="I21" s="96">
        <v>230606.09</v>
      </c>
      <c r="J21" s="85">
        <v>88819</v>
      </c>
      <c r="K21" s="85">
        <v>152155</v>
      </c>
      <c r="L21" s="96">
        <v>737756.39</v>
      </c>
      <c r="M21" s="96">
        <v>760755.41</v>
      </c>
      <c r="N21" s="85">
        <v>123885.95</v>
      </c>
      <c r="O21" s="85">
        <v>133856.76999999999</v>
      </c>
      <c r="P21" s="96">
        <v>264464.73</v>
      </c>
      <c r="Q21" s="96">
        <v>382323.85</v>
      </c>
      <c r="R21" s="85">
        <v>372117.35</v>
      </c>
      <c r="S21" s="85">
        <v>334454.23</v>
      </c>
      <c r="T21" s="96">
        <v>51576</v>
      </c>
      <c r="U21" s="96">
        <v>105750</v>
      </c>
      <c r="V21" s="85">
        <v>62090.01</v>
      </c>
      <c r="W21" s="85">
        <v>88445.68</v>
      </c>
      <c r="X21" s="96">
        <v>58592.07</v>
      </c>
      <c r="Y21" s="96">
        <v>94829.41</v>
      </c>
      <c r="Z21" s="85">
        <v>444538.09</v>
      </c>
      <c r="AA21" s="85">
        <v>520529.65</v>
      </c>
      <c r="AB21" s="96">
        <v>2946518.91</v>
      </c>
      <c r="AC21" s="96">
        <v>3310360.67</v>
      </c>
      <c r="AD21" s="85">
        <v>440258.62</v>
      </c>
      <c r="AE21" s="116">
        <v>361388.53</v>
      </c>
      <c r="AF21" s="96">
        <v>163692.1</v>
      </c>
      <c r="AG21" s="96">
        <v>298931.64</v>
      </c>
      <c r="AH21" s="85">
        <v>156275</v>
      </c>
      <c r="AI21" s="85">
        <v>218735.37</v>
      </c>
      <c r="AJ21" s="96">
        <v>199470</v>
      </c>
      <c r="AK21" s="96">
        <v>232081</v>
      </c>
      <c r="AL21" s="85">
        <v>130831.61</v>
      </c>
      <c r="AM21" s="85">
        <v>249112.74</v>
      </c>
      <c r="AN21" s="96">
        <v>138408.49</v>
      </c>
      <c r="AO21" s="96">
        <v>257853</v>
      </c>
      <c r="AP21" s="85">
        <v>4472364</v>
      </c>
      <c r="AQ21" s="85">
        <v>5604150</v>
      </c>
      <c r="AR21" s="96">
        <v>217232.83</v>
      </c>
      <c r="AS21" s="95"/>
      <c r="AT21" s="85">
        <v>12640.72</v>
      </c>
      <c r="AU21" s="85">
        <v>10950.3</v>
      </c>
    </row>
    <row r="22" spans="1:47" x14ac:dyDescent="0.25">
      <c r="A22" s="6" t="s">
        <v>59</v>
      </c>
      <c r="B22" s="89">
        <v>2650.9</v>
      </c>
      <c r="C22" s="89">
        <v>3784.71</v>
      </c>
      <c r="D22" s="97">
        <v>11727.78</v>
      </c>
      <c r="E22" s="97"/>
      <c r="F22" s="89">
        <v>293.89999999999998</v>
      </c>
      <c r="G22" s="89">
        <v>1118.1300000000001</v>
      </c>
      <c r="H22" s="97"/>
      <c r="I22" s="97"/>
      <c r="J22" s="89">
        <v>193</v>
      </c>
      <c r="K22" s="89">
        <v>1182</v>
      </c>
      <c r="L22" s="97">
        <v>32486.91</v>
      </c>
      <c r="M22" s="97">
        <v>118091.93</v>
      </c>
      <c r="N22" s="89"/>
      <c r="O22" s="89">
        <v>5505.26</v>
      </c>
      <c r="P22" s="97">
        <v>9036.67</v>
      </c>
      <c r="Q22" s="97">
        <v>10811.36</v>
      </c>
      <c r="R22" s="89"/>
      <c r="S22" s="89"/>
      <c r="T22" s="97"/>
      <c r="U22" s="97">
        <v>138.47</v>
      </c>
      <c r="V22" s="89">
        <v>2315.9899999999998</v>
      </c>
      <c r="W22" s="89">
        <v>3188.43</v>
      </c>
      <c r="X22" s="97">
        <v>396.75</v>
      </c>
      <c r="Y22" s="97">
        <v>1716.86</v>
      </c>
      <c r="Z22" s="89">
        <v>4519.37</v>
      </c>
      <c r="AA22" s="89">
        <v>5304.99</v>
      </c>
      <c r="AB22" s="97">
        <v>187598.74</v>
      </c>
      <c r="AC22" s="97">
        <v>208869.2</v>
      </c>
      <c r="AD22" s="89"/>
      <c r="AE22" s="117"/>
      <c r="AF22" s="97">
        <v>592.52</v>
      </c>
      <c r="AG22" s="97">
        <v>1091.69</v>
      </c>
      <c r="AH22" s="89">
        <v>4216.93</v>
      </c>
      <c r="AI22" s="89">
        <v>8614.19</v>
      </c>
      <c r="AJ22" s="97">
        <v>6324</v>
      </c>
      <c r="AK22" s="97">
        <v>6085</v>
      </c>
      <c r="AL22" s="89">
        <v>3647.41</v>
      </c>
      <c r="AM22" s="89">
        <v>5641.15</v>
      </c>
      <c r="AN22" s="97">
        <v>1672.3</v>
      </c>
      <c r="AO22" s="97">
        <v>2609.84</v>
      </c>
      <c r="AP22" s="89">
        <v>132917</v>
      </c>
      <c r="AQ22" s="89">
        <v>124904</v>
      </c>
      <c r="AR22" s="97">
        <v>6665.46</v>
      </c>
      <c r="AS22" s="95"/>
      <c r="AT22" s="89">
        <v>620.20000000000005</v>
      </c>
      <c r="AU22" s="89">
        <v>260.73</v>
      </c>
    </row>
    <row r="23" spans="1:47" x14ac:dyDescent="0.25">
      <c r="A23" s="6" t="s">
        <v>60</v>
      </c>
      <c r="B23" s="89">
        <v>1666.23</v>
      </c>
      <c r="C23" s="89">
        <v>2331.96</v>
      </c>
      <c r="D23" s="97">
        <v>4482.58</v>
      </c>
      <c r="E23" s="97"/>
      <c r="F23" s="89">
        <v>227.99</v>
      </c>
      <c r="G23" s="89">
        <v>837.1</v>
      </c>
      <c r="H23" s="97"/>
      <c r="I23" s="97"/>
      <c r="J23" s="89">
        <v>170</v>
      </c>
      <c r="K23" s="89">
        <v>978</v>
      </c>
      <c r="L23" s="97">
        <v>14211.9</v>
      </c>
      <c r="M23" s="97">
        <v>50534.98</v>
      </c>
      <c r="N23" s="89"/>
      <c r="O23" s="89">
        <v>304.91000000000003</v>
      </c>
      <c r="P23" s="97">
        <v>4424.54</v>
      </c>
      <c r="Q23" s="97">
        <v>5404.46</v>
      </c>
      <c r="R23" s="89"/>
      <c r="S23" s="89"/>
      <c r="T23" s="97"/>
      <c r="U23" s="97">
        <v>124.62</v>
      </c>
      <c r="V23" s="89">
        <v>802.96</v>
      </c>
      <c r="W23" s="89">
        <v>1459.53</v>
      </c>
      <c r="X23" s="97">
        <v>236.74</v>
      </c>
      <c r="Y23" s="97">
        <v>1009.72</v>
      </c>
      <c r="Z23" s="89">
        <v>3707.53</v>
      </c>
      <c r="AA23" s="89">
        <v>3454.04</v>
      </c>
      <c r="AB23" s="97">
        <v>87728.16</v>
      </c>
      <c r="AC23" s="97">
        <v>105934.01</v>
      </c>
      <c r="AD23" s="89"/>
      <c r="AE23" s="117"/>
      <c r="AF23" s="97"/>
      <c r="AG23" s="97">
        <v>249.59</v>
      </c>
      <c r="AH23" s="89">
        <v>2107.36</v>
      </c>
      <c r="AI23" s="89">
        <v>5041.99</v>
      </c>
      <c r="AJ23" s="97">
        <v>4241</v>
      </c>
      <c r="AK23" s="97">
        <v>4284</v>
      </c>
      <c r="AL23" s="89">
        <v>2297.4499999999998</v>
      </c>
      <c r="AM23" s="89">
        <v>4152.32</v>
      </c>
      <c r="AN23" s="97">
        <v>684.27</v>
      </c>
      <c r="AO23" s="97">
        <v>1100.96</v>
      </c>
      <c r="AP23" s="89">
        <v>38840</v>
      </c>
      <c r="AQ23" s="89">
        <v>26511</v>
      </c>
      <c r="AR23" s="97">
        <v>4115.87</v>
      </c>
      <c r="AS23" s="95"/>
      <c r="AT23" s="89">
        <v>404.8</v>
      </c>
      <c r="AU23" s="89">
        <v>195.54</v>
      </c>
    </row>
    <row r="24" spans="1:47" x14ac:dyDescent="0.25">
      <c r="D24" s="82"/>
      <c r="E24" s="81"/>
      <c r="L24" s="81"/>
      <c r="M24" s="81"/>
      <c r="V24" s="119"/>
      <c r="W24" s="119"/>
      <c r="AG24" s="81"/>
      <c r="AO24" s="81"/>
    </row>
    <row r="25" spans="1:47" x14ac:dyDescent="0.25">
      <c r="A25" s="103" t="s">
        <v>6</v>
      </c>
      <c r="B25" s="112" t="s">
        <v>10</v>
      </c>
      <c r="C25" s="112" t="s">
        <v>90</v>
      </c>
      <c r="D25" s="112" t="s">
        <v>10</v>
      </c>
      <c r="E25" s="112" t="s">
        <v>90</v>
      </c>
      <c r="F25" s="112" t="s">
        <v>10</v>
      </c>
      <c r="G25" s="112" t="s">
        <v>90</v>
      </c>
      <c r="H25" s="112" t="s">
        <v>10</v>
      </c>
      <c r="I25" s="112" t="s">
        <v>90</v>
      </c>
      <c r="J25" s="112" t="s">
        <v>10</v>
      </c>
      <c r="K25" s="112" t="s">
        <v>90</v>
      </c>
      <c r="L25" s="112" t="s">
        <v>10</v>
      </c>
      <c r="M25" s="112" t="s">
        <v>90</v>
      </c>
      <c r="N25" s="112" t="s">
        <v>10</v>
      </c>
      <c r="O25" s="112" t="s">
        <v>90</v>
      </c>
      <c r="P25" s="112" t="s">
        <v>10</v>
      </c>
      <c r="Q25" s="112" t="s">
        <v>90</v>
      </c>
      <c r="R25" s="112" t="s">
        <v>10</v>
      </c>
      <c r="S25" s="112" t="s">
        <v>90</v>
      </c>
      <c r="T25" s="112" t="s">
        <v>10</v>
      </c>
      <c r="U25" s="112" t="s">
        <v>90</v>
      </c>
      <c r="V25" s="112" t="s">
        <v>10</v>
      </c>
      <c r="W25" s="123" t="s">
        <v>90</v>
      </c>
      <c r="X25" s="112" t="s">
        <v>10</v>
      </c>
      <c r="Y25" s="112" t="s">
        <v>90</v>
      </c>
      <c r="Z25" s="112" t="s">
        <v>10</v>
      </c>
      <c r="AA25" s="112" t="s">
        <v>90</v>
      </c>
      <c r="AB25" s="112" t="s">
        <v>10</v>
      </c>
      <c r="AC25" s="112" t="s">
        <v>90</v>
      </c>
      <c r="AD25" s="112" t="s">
        <v>10</v>
      </c>
      <c r="AE25" s="112" t="s">
        <v>90</v>
      </c>
      <c r="AF25" s="112" t="s">
        <v>10</v>
      </c>
      <c r="AG25" s="112" t="s">
        <v>90</v>
      </c>
      <c r="AH25" s="112" t="s">
        <v>10</v>
      </c>
      <c r="AI25" s="112" t="s">
        <v>90</v>
      </c>
      <c r="AJ25" s="112" t="s">
        <v>10</v>
      </c>
      <c r="AK25" s="112" t="s">
        <v>90</v>
      </c>
      <c r="AL25" s="112" t="s">
        <v>10</v>
      </c>
      <c r="AM25" s="112" t="s">
        <v>90</v>
      </c>
      <c r="AN25" s="112" t="s">
        <v>10</v>
      </c>
      <c r="AO25" s="112" t="s">
        <v>90</v>
      </c>
      <c r="AP25" s="112" t="s">
        <v>10</v>
      </c>
      <c r="AQ25" s="112" t="s">
        <v>90</v>
      </c>
      <c r="AR25" s="112" t="s">
        <v>10</v>
      </c>
      <c r="AS25" s="112"/>
      <c r="AT25" s="112" t="s">
        <v>10</v>
      </c>
      <c r="AU25" s="112" t="s">
        <v>90</v>
      </c>
    </row>
    <row r="26" spans="1:47" x14ac:dyDescent="0.25">
      <c r="A26" s="42" t="s">
        <v>11</v>
      </c>
      <c r="B26" s="82">
        <v>0.10126173484185942</v>
      </c>
      <c r="C26" s="82">
        <v>8.6998003751954225E-2</v>
      </c>
      <c r="D26" s="134">
        <v>4.1787438255708097E-2</v>
      </c>
      <c r="E26" s="134">
        <v>7.6218541565200498E-2</v>
      </c>
      <c r="F26" s="82">
        <v>0.15528462303217305</v>
      </c>
      <c r="G26" s="82">
        <v>0.16313448421957144</v>
      </c>
      <c r="H26" s="100">
        <v>5.5206068827075405E-2</v>
      </c>
      <c r="I26" s="100">
        <v>5.5868605749201335E-2</v>
      </c>
      <c r="J26" s="82">
        <v>7.1989101431000124E-2</v>
      </c>
      <c r="K26" s="82">
        <v>6.5700034028567403E-2</v>
      </c>
      <c r="L26" s="100">
        <v>5.0179203855876917E-2</v>
      </c>
      <c r="M26" s="100">
        <v>5.6579187431156697E-2</v>
      </c>
      <c r="N26" s="82">
        <v>0.12357422290421148</v>
      </c>
      <c r="O26" s="82">
        <v>0.14050538459437384</v>
      </c>
      <c r="P26" s="100">
        <v>8.5220657727237734E-2</v>
      </c>
      <c r="Q26" s="100">
        <v>7.3578108011740112E-2</v>
      </c>
      <c r="R26" s="82">
        <v>9.8060222131539976E-2</v>
      </c>
      <c r="S26" s="82">
        <v>5.3158973645670828E-2</v>
      </c>
      <c r="T26" s="100">
        <v>0.12012318202166995</v>
      </c>
      <c r="U26" s="100">
        <v>9.3055184775561572E-2</v>
      </c>
      <c r="V26" s="82">
        <v>0.12397647821376602</v>
      </c>
      <c r="W26" s="121">
        <v>0.10271690387840918</v>
      </c>
      <c r="X26" s="100">
        <v>0.10232835262519312</v>
      </c>
      <c r="Y26" s="100">
        <v>0.13448325488712531</v>
      </c>
      <c r="Z26" s="82">
        <v>0.16079186918974642</v>
      </c>
      <c r="AA26" s="82">
        <v>0.1802808992454768</v>
      </c>
      <c r="AB26" s="100">
        <v>0.11309225898163713</v>
      </c>
      <c r="AC26" s="100">
        <v>0.11053190830308418</v>
      </c>
      <c r="AD26" s="82">
        <v>0.38292856139875242</v>
      </c>
      <c r="AE26" s="82">
        <v>0.27496192059062391</v>
      </c>
      <c r="AF26" s="100">
        <v>6.2841686653766757E-2</v>
      </c>
      <c r="AG26" s="134">
        <v>3.7735114933790483E-2</v>
      </c>
      <c r="AH26" s="82">
        <v>0.14393132138307146</v>
      </c>
      <c r="AI26" s="82">
        <v>0.1495222652109594</v>
      </c>
      <c r="AJ26" s="100">
        <v>0.1067301847363574</v>
      </c>
      <c r="AK26" s="100">
        <v>0.10841824025433842</v>
      </c>
      <c r="AL26" s="82">
        <v>8.1422998397155791E-2</v>
      </c>
      <c r="AM26" s="82">
        <v>6.5264505183456473E-2</v>
      </c>
      <c r="AN26" s="100">
        <v>8.5910627927064442E-2</v>
      </c>
      <c r="AO26" s="100">
        <v>7.2512673386454979E-2</v>
      </c>
      <c r="AP26" s="82">
        <v>5.2285566893566691E-2</v>
      </c>
      <c r="AQ26" s="82">
        <v>5.4359672402578905E-2</v>
      </c>
      <c r="AR26" s="100">
        <v>2.0813568334337677E-2</v>
      </c>
      <c r="AS26" s="95"/>
      <c r="AT26" s="82">
        <v>4.8156854078288916E-2</v>
      </c>
      <c r="AU26" s="82">
        <v>5.3878128203019626E-2</v>
      </c>
    </row>
    <row r="27" spans="1:47" x14ac:dyDescent="0.25">
      <c r="A27" s="40" t="s">
        <v>12</v>
      </c>
      <c r="B27" s="81" t="s">
        <v>5</v>
      </c>
      <c r="C27" s="81"/>
      <c r="D27" s="152" t="s">
        <v>5</v>
      </c>
      <c r="E27" s="135"/>
      <c r="F27" s="81" t="s">
        <v>5</v>
      </c>
      <c r="G27" s="81"/>
      <c r="H27" s="95" t="s">
        <v>5</v>
      </c>
      <c r="I27" s="95"/>
      <c r="J27" s="81" t="s">
        <v>5</v>
      </c>
      <c r="K27" s="81"/>
      <c r="L27" s="95" t="s">
        <v>5</v>
      </c>
      <c r="M27" s="95"/>
      <c r="N27" s="81" t="s">
        <v>5</v>
      </c>
      <c r="O27" s="81"/>
      <c r="P27" s="95" t="s">
        <v>5</v>
      </c>
      <c r="Q27" s="95"/>
      <c r="R27" s="81" t="s">
        <v>5</v>
      </c>
      <c r="S27" s="81"/>
      <c r="T27" s="95" t="s">
        <v>5</v>
      </c>
      <c r="U27" s="95"/>
      <c r="V27" s="81" t="s">
        <v>5</v>
      </c>
      <c r="W27" s="120"/>
      <c r="X27" s="95" t="s">
        <v>5</v>
      </c>
      <c r="Y27" s="95"/>
      <c r="Z27" s="81" t="s">
        <v>5</v>
      </c>
      <c r="AA27" s="81"/>
      <c r="AB27" s="95" t="s">
        <v>5</v>
      </c>
      <c r="AC27" s="95"/>
      <c r="AD27" s="81" t="s">
        <v>5</v>
      </c>
      <c r="AE27" s="81"/>
      <c r="AF27" s="95" t="s">
        <v>5</v>
      </c>
      <c r="AG27" s="135"/>
      <c r="AH27" s="81" t="s">
        <v>5</v>
      </c>
      <c r="AI27" s="81"/>
      <c r="AJ27" s="95" t="s">
        <v>5</v>
      </c>
      <c r="AK27" s="95"/>
      <c r="AL27" s="81" t="s">
        <v>5</v>
      </c>
      <c r="AM27" s="81"/>
      <c r="AN27" s="95" t="s">
        <v>5</v>
      </c>
      <c r="AO27" s="95"/>
      <c r="AP27" s="81" t="s">
        <v>5</v>
      </c>
      <c r="AQ27" s="81"/>
      <c r="AR27" s="95" t="s">
        <v>5</v>
      </c>
      <c r="AS27" s="95"/>
      <c r="AT27" s="81" t="s">
        <v>5</v>
      </c>
      <c r="AU27" s="81"/>
    </row>
    <row r="28" spans="1:47" x14ac:dyDescent="0.25">
      <c r="A28" s="42" t="s">
        <v>127</v>
      </c>
      <c r="B28" s="84">
        <v>0.80835429261074376</v>
      </c>
      <c r="C28" s="84">
        <v>1.6141697853357682</v>
      </c>
      <c r="D28" s="136">
        <v>2.5223805829413055</v>
      </c>
      <c r="E28" s="136">
        <v>3.4989808261746904</v>
      </c>
      <c r="F28" s="84">
        <v>1.4973497495477832</v>
      </c>
      <c r="G28" s="84">
        <v>1.2807687785555431</v>
      </c>
      <c r="H28" s="101">
        <v>0.98861857609011383</v>
      </c>
      <c r="I28" s="101">
        <v>2.0715270217787469</v>
      </c>
      <c r="J28" s="84">
        <v>0.67337263720901963</v>
      </c>
      <c r="K28" s="84">
        <v>1.1068965067608976</v>
      </c>
      <c r="L28" s="101">
        <v>1.5658396150829839</v>
      </c>
      <c r="M28" s="101">
        <v>1.9051260510450148</v>
      </c>
      <c r="N28" s="84">
        <v>1.0854535685076796</v>
      </c>
      <c r="O28" s="84">
        <v>1.3538922306192485</v>
      </c>
      <c r="P28" s="101">
        <v>1.5993253822766829</v>
      </c>
      <c r="Q28" s="101">
        <v>2.5315617598765243</v>
      </c>
      <c r="R28" s="84">
        <v>0.75641284373723494</v>
      </c>
      <c r="S28" s="84">
        <v>0.41432002889853975</v>
      </c>
      <c r="T28" s="101">
        <v>1.1145387904703727</v>
      </c>
      <c r="U28" s="101">
        <v>1.8995460015315611</v>
      </c>
      <c r="V28" s="84">
        <v>1.4119412017951416</v>
      </c>
      <c r="W28" s="122">
        <v>2.1773829570570733</v>
      </c>
      <c r="X28" s="101">
        <v>1.1917784132658036</v>
      </c>
      <c r="Y28" s="101">
        <v>0.70457700420723524</v>
      </c>
      <c r="Z28" s="84">
        <v>1.4775419617231196</v>
      </c>
      <c r="AA28" s="84">
        <v>0.68964669380336263</v>
      </c>
      <c r="AB28" s="101">
        <v>3.149008762785372</v>
      </c>
      <c r="AC28" s="101">
        <v>3.4139756110141453</v>
      </c>
      <c r="AD28" s="84">
        <v>2.0239812657038048</v>
      </c>
      <c r="AE28" s="84">
        <v>1.5038042203177719</v>
      </c>
      <c r="AF28" s="101">
        <v>1.7163579574371783</v>
      </c>
      <c r="AG28" s="136">
        <v>2.9679754973178039</v>
      </c>
      <c r="AH28" s="84">
        <v>1.41229716064314</v>
      </c>
      <c r="AI28" s="84">
        <v>0.84915573202678707</v>
      </c>
      <c r="AJ28" s="101">
        <v>2.0959542831148892</v>
      </c>
      <c r="AK28" s="101">
        <v>2.4379140760371012</v>
      </c>
      <c r="AL28" s="84">
        <v>0.80393132068831341</v>
      </c>
      <c r="AM28" s="84">
        <v>1.8641704960420589</v>
      </c>
      <c r="AN28" s="101">
        <v>2.5986050334006872</v>
      </c>
      <c r="AO28" s="101">
        <v>1.4471058920737201</v>
      </c>
      <c r="AP28" s="84">
        <v>5.6774075250841083</v>
      </c>
      <c r="AQ28" s="84">
        <v>6.3228151400149946</v>
      </c>
      <c r="AR28" s="101">
        <v>2.3044161703471957</v>
      </c>
      <c r="AS28" s="95"/>
      <c r="AT28" s="84">
        <v>1.7181432838443291</v>
      </c>
      <c r="AU28" s="84">
        <v>1.493277181510176</v>
      </c>
    </row>
    <row r="29" spans="1:47" x14ac:dyDescent="0.25">
      <c r="A29" s="42" t="s">
        <v>14</v>
      </c>
      <c r="B29" s="82">
        <v>0.56920000000000004</v>
      </c>
      <c r="C29" s="82">
        <v>0.38450000000000001</v>
      </c>
      <c r="D29" s="153">
        <v>0.28699999999999998</v>
      </c>
      <c r="E29" s="137">
        <v>0.22789999999999999</v>
      </c>
      <c r="F29" s="82">
        <v>0.44440000000000002</v>
      </c>
      <c r="G29" s="82">
        <v>0.47920000000000001</v>
      </c>
      <c r="H29" s="100"/>
      <c r="I29" s="100">
        <v>0.57850000000000001</v>
      </c>
      <c r="J29" s="82">
        <v>0.63170000000000004</v>
      </c>
      <c r="K29" s="82">
        <v>0.48230000000000001</v>
      </c>
      <c r="L29" s="100">
        <v>0.34599999999999997</v>
      </c>
      <c r="M29" s="100">
        <v>0.25800000000000001</v>
      </c>
      <c r="N29" s="82">
        <v>0.51619999999999999</v>
      </c>
      <c r="O29" s="82">
        <v>0.41889999999999999</v>
      </c>
      <c r="P29" s="100">
        <v>0.372</v>
      </c>
      <c r="Q29" s="100">
        <v>0.28050000000000003</v>
      </c>
      <c r="R29" s="82"/>
      <c r="S29" s="82">
        <v>0.6391</v>
      </c>
      <c r="T29" s="100">
        <v>0.37640000000000001</v>
      </c>
      <c r="U29" s="100">
        <v>0.28420000000000001</v>
      </c>
      <c r="V29" s="82">
        <v>0.4037</v>
      </c>
      <c r="W29" s="121">
        <v>0.30890000000000001</v>
      </c>
      <c r="X29" s="100"/>
      <c r="Y29" s="100">
        <v>0.78449999999999998</v>
      </c>
      <c r="Z29" s="82">
        <v>0.58860000000000001</v>
      </c>
      <c r="AA29" s="82">
        <v>0.752</v>
      </c>
      <c r="AB29" s="100">
        <v>0.28639999999999999</v>
      </c>
      <c r="AC29" s="100">
        <v>0.26779999999999998</v>
      </c>
      <c r="AD29" s="82">
        <v>0.21099999999999999</v>
      </c>
      <c r="AE29" s="82">
        <v>0.22389999999999999</v>
      </c>
      <c r="AF29" s="100">
        <v>0.40310000000000001</v>
      </c>
      <c r="AG29" s="137">
        <v>0.29570000000000002</v>
      </c>
      <c r="AH29" s="82">
        <v>0.50649999999999995</v>
      </c>
      <c r="AI29" s="82">
        <v>0.64429999999999998</v>
      </c>
      <c r="AJ29" s="100">
        <v>0.36499999999999999</v>
      </c>
      <c r="AK29" s="100">
        <v>0.3</v>
      </c>
      <c r="AL29" s="82">
        <v>0.65549999999999997</v>
      </c>
      <c r="AM29" s="82">
        <v>0.34370000000000001</v>
      </c>
      <c r="AN29" s="100">
        <v>0.32319999999999999</v>
      </c>
      <c r="AO29" s="100">
        <v>0.48380000000000001</v>
      </c>
      <c r="AP29" s="82">
        <v>0.2029</v>
      </c>
      <c r="AQ29" s="82">
        <v>0.17249999999999999</v>
      </c>
      <c r="AR29" s="100">
        <v>0.26250000000000001</v>
      </c>
      <c r="AS29" s="95"/>
      <c r="AT29" s="82">
        <v>0.3448</v>
      </c>
      <c r="AU29" s="82">
        <v>0.4773</v>
      </c>
    </row>
    <row r="30" spans="1:47" x14ac:dyDescent="0.25">
      <c r="A30" s="42" t="s">
        <v>128</v>
      </c>
      <c r="B30" s="82">
        <v>0.64535621822139655</v>
      </c>
      <c r="C30" s="82">
        <v>0.50126667346507991</v>
      </c>
      <c r="D30" s="134">
        <v>0.40633424241504817</v>
      </c>
      <c r="E30" s="134">
        <v>0.32740334076499533</v>
      </c>
      <c r="F30" s="82">
        <v>0.41456446088329774</v>
      </c>
      <c r="G30" s="82">
        <v>0.44455946968570376</v>
      </c>
      <c r="H30" s="100">
        <v>0.74043672192337384</v>
      </c>
      <c r="I30" s="100">
        <v>0.36288070276027834</v>
      </c>
      <c r="J30" s="82">
        <v>0.74096758576430721</v>
      </c>
      <c r="K30" s="82">
        <v>0.50403207255758931</v>
      </c>
      <c r="L30" s="100">
        <v>0.49866926940476924</v>
      </c>
      <c r="M30" s="100">
        <v>0.37831036916319788</v>
      </c>
      <c r="N30" s="82">
        <v>0.56109308601984331</v>
      </c>
      <c r="O30" s="82">
        <v>0.53798989770932026</v>
      </c>
      <c r="P30" s="100">
        <v>0.39542051599848499</v>
      </c>
      <c r="Q30" s="100">
        <v>0.2909351326107435</v>
      </c>
      <c r="R30" s="82">
        <v>1.1221402871970361</v>
      </c>
      <c r="S30" s="82">
        <v>1.1997634175534273</v>
      </c>
      <c r="T30" s="100">
        <v>0.50783310066697684</v>
      </c>
      <c r="U30" s="100">
        <v>0.34575886524822697</v>
      </c>
      <c r="V30" s="82">
        <v>0.40290555598235528</v>
      </c>
      <c r="W30" s="121">
        <v>0.30677575207743335</v>
      </c>
      <c r="X30" s="100">
        <v>0.75419779502584572</v>
      </c>
      <c r="Y30" s="100">
        <v>0.96854488496764868</v>
      </c>
      <c r="Z30" s="82">
        <v>0.5214788680987944</v>
      </c>
      <c r="AA30" s="82">
        <v>0.71280300747517444</v>
      </c>
      <c r="AB30" s="100">
        <v>0.27552940089564876</v>
      </c>
      <c r="AC30" s="100">
        <v>0.27104226078181387</v>
      </c>
      <c r="AD30" s="82">
        <v>0.43081811776905132</v>
      </c>
      <c r="AE30" s="82">
        <v>0.50974628331452576</v>
      </c>
      <c r="AF30" s="100">
        <v>0.48697628046802499</v>
      </c>
      <c r="AG30" s="134">
        <v>0.40014051373083154</v>
      </c>
      <c r="AH30" s="82">
        <v>0.56824060150375943</v>
      </c>
      <c r="AI30" s="82">
        <v>0.64372222928555178</v>
      </c>
      <c r="AJ30" s="100">
        <v>0.35266456108688021</v>
      </c>
      <c r="AK30" s="100">
        <v>0.33819226907846828</v>
      </c>
      <c r="AL30" s="82">
        <v>0.72798783107538012</v>
      </c>
      <c r="AM30" s="82">
        <v>0.38800231573864913</v>
      </c>
      <c r="AN30" s="100">
        <v>0.32484748587315709</v>
      </c>
      <c r="AO30" s="100">
        <v>0.53995392723761204</v>
      </c>
      <c r="AP30" s="82">
        <v>0.1505991015042604</v>
      </c>
      <c r="AQ30" s="82">
        <v>0.13851770562886431</v>
      </c>
      <c r="AR30" s="100">
        <v>0.5548914498789157</v>
      </c>
      <c r="AS30" s="95"/>
      <c r="AT30" s="82">
        <v>0.36020100120879189</v>
      </c>
      <c r="AU30" s="82">
        <v>0.4625297937042821</v>
      </c>
    </row>
    <row r="31" spans="1:47" x14ac:dyDescent="0.25">
      <c r="A31" s="40" t="s">
        <v>16</v>
      </c>
      <c r="B31" s="81" t="s">
        <v>5</v>
      </c>
      <c r="C31" s="81"/>
      <c r="D31" s="152" t="s">
        <v>5</v>
      </c>
      <c r="E31" s="135"/>
      <c r="F31" s="81" t="s">
        <v>5</v>
      </c>
      <c r="G31" s="81"/>
      <c r="H31" s="95" t="s">
        <v>5</v>
      </c>
      <c r="I31" s="95"/>
      <c r="J31" s="81" t="s">
        <v>5</v>
      </c>
      <c r="K31" s="81"/>
      <c r="L31" s="95" t="s">
        <v>5</v>
      </c>
      <c r="M31" s="95"/>
      <c r="N31" s="81" t="s">
        <v>5</v>
      </c>
      <c r="O31" s="81"/>
      <c r="P31" s="95" t="s">
        <v>5</v>
      </c>
      <c r="Q31" s="95"/>
      <c r="R31" s="81" t="s">
        <v>5</v>
      </c>
      <c r="S31" s="81"/>
      <c r="T31" s="95" t="s">
        <v>5</v>
      </c>
      <c r="U31" s="95"/>
      <c r="V31" s="81" t="s">
        <v>5</v>
      </c>
      <c r="W31" s="120"/>
      <c r="X31" s="95" t="s">
        <v>5</v>
      </c>
      <c r="Y31" s="95"/>
      <c r="Z31" s="81" t="s">
        <v>5</v>
      </c>
      <c r="AA31" s="81"/>
      <c r="AB31" s="95" t="s">
        <v>5</v>
      </c>
      <c r="AC31" s="95"/>
      <c r="AD31" s="81" t="s">
        <v>5</v>
      </c>
      <c r="AE31" s="81"/>
      <c r="AF31" s="95" t="s">
        <v>5</v>
      </c>
      <c r="AG31" s="135"/>
      <c r="AH31" s="81" t="s">
        <v>5</v>
      </c>
      <c r="AI31" s="81"/>
      <c r="AJ31" s="95" t="s">
        <v>5</v>
      </c>
      <c r="AK31" s="95"/>
      <c r="AL31" s="81" t="s">
        <v>5</v>
      </c>
      <c r="AM31" s="81"/>
      <c r="AN31" s="95" t="s">
        <v>5</v>
      </c>
      <c r="AO31" s="95"/>
      <c r="AP31" s="81" t="s">
        <v>5</v>
      </c>
      <c r="AQ31" s="81"/>
      <c r="AR31" s="95" t="s">
        <v>5</v>
      </c>
      <c r="AS31" s="95"/>
      <c r="AT31" s="81" t="s">
        <v>5</v>
      </c>
      <c r="AU31" s="81"/>
    </row>
    <row r="32" spans="1:47" ht="33.75" x14ac:dyDescent="0.25">
      <c r="A32" s="49" t="s">
        <v>93</v>
      </c>
      <c r="B32" s="82">
        <v>0.55541409438794087</v>
      </c>
      <c r="C32" s="82">
        <v>0.70362467890760205</v>
      </c>
      <c r="D32" s="138">
        <v>0.36207366029276489</v>
      </c>
      <c r="E32" s="138">
        <v>0.43759772193920604</v>
      </c>
      <c r="F32" s="82">
        <v>0.18765502125828132</v>
      </c>
      <c r="G32" s="82">
        <v>0.22886047925722472</v>
      </c>
      <c r="H32" s="100">
        <v>0.6191694186553679</v>
      </c>
      <c r="I32" s="100">
        <v>0.5609082643876715</v>
      </c>
      <c r="J32" s="82">
        <v>0.84038800705467376</v>
      </c>
      <c r="K32" s="82">
        <v>0.83338112991109836</v>
      </c>
      <c r="L32" s="102">
        <v>0.61692605570919901</v>
      </c>
      <c r="M32" s="102">
        <v>0.62386320431510178</v>
      </c>
      <c r="N32" s="82">
        <v>0.19147443729219471</v>
      </c>
      <c r="O32" s="82">
        <v>0.2178858479383842</v>
      </c>
      <c r="P32" s="102">
        <v>0.59343379858181877</v>
      </c>
      <c r="Q32" s="102">
        <v>0.7434896910327744</v>
      </c>
      <c r="R32" s="82">
        <v>0.9370809498071111</v>
      </c>
      <c r="S32" s="82">
        <v>1.0260421410960123</v>
      </c>
      <c r="T32" s="100">
        <v>0.47372675828617622</v>
      </c>
      <c r="U32" s="100">
        <v>0.35419808949220716</v>
      </c>
      <c r="V32" s="82">
        <v>0.53112906906816859</v>
      </c>
      <c r="W32" s="121">
        <v>0.62101646953934708</v>
      </c>
      <c r="X32" s="100">
        <v>0.60419521058949144</v>
      </c>
      <c r="Y32" s="100">
        <v>0.56385682341720844</v>
      </c>
      <c r="Z32" s="82">
        <v>0.29597226420224387</v>
      </c>
      <c r="AA32" s="82">
        <v>0.32076945569815146</v>
      </c>
      <c r="AB32" s="100">
        <v>0.61460959791006053</v>
      </c>
      <c r="AC32" s="100">
        <v>0.62627880692322546</v>
      </c>
      <c r="AD32" s="82">
        <v>0.53491464504520936</v>
      </c>
      <c r="AE32" s="82">
        <v>0.65998353120236353</v>
      </c>
      <c r="AF32" s="102">
        <v>0.48154638457902399</v>
      </c>
      <c r="AG32" s="138">
        <v>0.32471861875618924</v>
      </c>
      <c r="AH32" s="82">
        <v>0.49292834320045265</v>
      </c>
      <c r="AI32" s="82">
        <v>0.49174650426749683</v>
      </c>
      <c r="AJ32" s="100">
        <v>0.45147390463917525</v>
      </c>
      <c r="AK32" s="100">
        <v>0.50811084215470215</v>
      </c>
      <c r="AL32" s="82">
        <v>0.73188640576617381</v>
      </c>
      <c r="AM32" s="82">
        <v>0.74422816792967483</v>
      </c>
      <c r="AN32" s="102">
        <v>0.35197800026838044</v>
      </c>
      <c r="AO32" s="102">
        <v>0.36166667156852655</v>
      </c>
      <c r="AP32" s="82">
        <v>0.41602937284996033</v>
      </c>
      <c r="AQ32" s="82">
        <v>0.44008099086332941</v>
      </c>
      <c r="AR32" s="102">
        <v>0.48514369360739684</v>
      </c>
      <c r="AS32" s="95"/>
      <c r="AT32" s="82">
        <v>6.567864720632674E-2</v>
      </c>
      <c r="AU32" s="82">
        <v>4.3674293405114403E-2</v>
      </c>
    </row>
    <row r="33" spans="1:47" ht="22.5" x14ac:dyDescent="0.25">
      <c r="A33" s="42" t="s">
        <v>92</v>
      </c>
      <c r="B33" s="82">
        <v>0.39958945953423641</v>
      </c>
      <c r="C33" s="82">
        <v>0.47397525984843036</v>
      </c>
      <c r="D33" s="134">
        <v>0.18252407238851895</v>
      </c>
      <c r="E33" s="134">
        <v>0.23055123086468446</v>
      </c>
      <c r="F33" s="82">
        <v>0.13718735904785465</v>
      </c>
      <c r="G33" s="82">
        <v>0.17207847355905334</v>
      </c>
      <c r="H33" s="100">
        <v>0.39012770267683894</v>
      </c>
      <c r="I33" s="100">
        <v>0.30583004589361684</v>
      </c>
      <c r="J33" s="82">
        <v>0.67479263605098116</v>
      </c>
      <c r="K33" s="82">
        <v>0.53991453520777855</v>
      </c>
      <c r="L33" s="100">
        <v>0.25738397725680789</v>
      </c>
      <c r="M33" s="100">
        <v>0.3159927613550006</v>
      </c>
      <c r="N33" s="82">
        <v>0.18923604644876038</v>
      </c>
      <c r="O33" s="82">
        <v>0.21391138374356219</v>
      </c>
      <c r="P33" s="100">
        <v>0.35827350898416155</v>
      </c>
      <c r="Q33" s="100">
        <v>0.40898526510473304</v>
      </c>
      <c r="R33" s="82">
        <v>0.534706875337563</v>
      </c>
      <c r="S33" s="82">
        <v>0.74049229478299594</v>
      </c>
      <c r="T33" s="100">
        <v>0.39030888352343684</v>
      </c>
      <c r="U33" s="100">
        <v>0.26078104756616693</v>
      </c>
      <c r="V33" s="82">
        <v>0.36769371466002698</v>
      </c>
      <c r="W33" s="121">
        <v>0.41361449583815052</v>
      </c>
      <c r="X33" s="100">
        <v>0.37047103438236256</v>
      </c>
      <c r="Y33" s="100">
        <v>0.38287267166310129</v>
      </c>
      <c r="Z33" s="82">
        <v>0.20428539502365439</v>
      </c>
      <c r="AA33" s="82">
        <v>0.24388077287308235</v>
      </c>
      <c r="AB33" s="100">
        <v>0.38575333731248901</v>
      </c>
      <c r="AC33" s="100">
        <v>0.38326882451251432</v>
      </c>
      <c r="AD33" s="82">
        <v>0.40091080435162513</v>
      </c>
      <c r="AE33" s="82">
        <v>0.49538553838406629</v>
      </c>
      <c r="AF33" s="100">
        <v>0.27444196626977885</v>
      </c>
      <c r="AG33" s="134">
        <v>0.1372953261776329</v>
      </c>
      <c r="AH33" s="82">
        <v>0.32641049181638992</v>
      </c>
      <c r="AI33" s="82">
        <v>0.34832391657516826</v>
      </c>
      <c r="AJ33" s="100">
        <v>0.28695385087921371</v>
      </c>
      <c r="AK33" s="100">
        <v>0.3245863047843246</v>
      </c>
      <c r="AL33" s="82">
        <v>0.5141808962911194</v>
      </c>
      <c r="AM33" s="82">
        <v>0.41146746265392581</v>
      </c>
      <c r="AN33" s="100">
        <v>0.19121630823111666</v>
      </c>
      <c r="AO33" s="100">
        <v>0.19645393311416579</v>
      </c>
      <c r="AP33" s="82">
        <v>0.21238253645274863</v>
      </c>
      <c r="AQ33" s="82">
        <v>0.23919390546902947</v>
      </c>
      <c r="AR33" s="100">
        <v>0.2570910902374437</v>
      </c>
      <c r="AS33" s="95"/>
      <c r="AT33" s="82">
        <v>2.5231411439968876E-2</v>
      </c>
      <c r="AU33" s="82">
        <v>2.1242935387435356E-2</v>
      </c>
    </row>
    <row r="34" spans="1:47" ht="22.5" x14ac:dyDescent="0.25">
      <c r="A34" s="42" t="s">
        <v>17</v>
      </c>
      <c r="B34" s="82">
        <v>5.0422519565499133E-2</v>
      </c>
      <c r="C34" s="82">
        <v>6.3985809051025508E-2</v>
      </c>
      <c r="D34" s="134">
        <v>2.3639365315217587E-2</v>
      </c>
      <c r="E34" s="134">
        <v>2.9817023434053371E-2</v>
      </c>
      <c r="F34" s="82">
        <v>2.9163632412962916E-2</v>
      </c>
      <c r="G34" s="82">
        <v>3.7622113459437202E-2</v>
      </c>
      <c r="H34" s="100">
        <v>4.0130059588517515E-2</v>
      </c>
      <c r="I34" s="100">
        <v>3.09001360082201E-2</v>
      </c>
      <c r="J34" s="82">
        <v>5.8100646240136562E-2</v>
      </c>
      <c r="K34" s="82">
        <v>6.1170791262919327E-2</v>
      </c>
      <c r="L34" s="100">
        <v>3.1583706754499334E-2</v>
      </c>
      <c r="M34" s="100">
        <v>3.5389019907155164E-2</v>
      </c>
      <c r="N34" s="82">
        <v>2.1526307657519537E-2</v>
      </c>
      <c r="O34" s="82">
        <v>2.6817112570125805E-2</v>
      </c>
      <c r="P34" s="100">
        <v>5.5275395843624175E-2</v>
      </c>
      <c r="Q34" s="100">
        <v>5.8559644681688512E-2</v>
      </c>
      <c r="R34" s="82">
        <v>6.822787006370401E-2</v>
      </c>
      <c r="S34" s="82">
        <v>8.5037809478400617E-2</v>
      </c>
      <c r="T34" s="100">
        <v>8.4491539987180286E-2</v>
      </c>
      <c r="U34" s="100">
        <v>4.1993055797018661E-2</v>
      </c>
      <c r="V34" s="82">
        <v>5.7312084931292605E-2</v>
      </c>
      <c r="W34" s="121">
        <v>6.8525797256463197E-2</v>
      </c>
      <c r="X34" s="100">
        <v>4.6279211761203913E-2</v>
      </c>
      <c r="Y34" s="100">
        <v>5.4479610145937531E-2</v>
      </c>
      <c r="Z34" s="82">
        <v>4.2269037207355135E-2</v>
      </c>
      <c r="AA34" s="82">
        <v>5.0399627509243254E-2</v>
      </c>
      <c r="AB34" s="100">
        <v>6.7827246908012812E-2</v>
      </c>
      <c r="AC34" s="100">
        <v>6.7355418753160451E-2</v>
      </c>
      <c r="AD34" s="82">
        <v>0.16652581241168732</v>
      </c>
      <c r="AE34" s="82">
        <v>0.16175679832435644</v>
      </c>
      <c r="AF34" s="100">
        <v>3.2866292398511243E-2</v>
      </c>
      <c r="AG34" s="134">
        <v>1.357102438271921E-2</v>
      </c>
      <c r="AH34" s="82">
        <v>5.828262040698718E-2</v>
      </c>
      <c r="AI34" s="82">
        <v>6.3931004161222771E-2</v>
      </c>
      <c r="AJ34" s="100">
        <v>5.2442989124079055E-2</v>
      </c>
      <c r="AK34" s="100">
        <v>5.5481697430657742E-2</v>
      </c>
      <c r="AL34" s="82">
        <v>5.1920023005826647E-2</v>
      </c>
      <c r="AM34" s="82">
        <v>5.486360914620432E-2</v>
      </c>
      <c r="AN34" s="100">
        <v>2.9002543593769511E-2</v>
      </c>
      <c r="AO34" s="100">
        <v>2.418593596670332E-2</v>
      </c>
      <c r="AP34" s="82">
        <v>2.6697204280077179E-2</v>
      </c>
      <c r="AQ34" s="82">
        <v>2.7778783584228244E-2</v>
      </c>
      <c r="AR34" s="100">
        <v>3.0780485943786334E-2</v>
      </c>
      <c r="AS34" s="95"/>
      <c r="AT34" s="82">
        <v>2.5331240375244574E-3</v>
      </c>
      <c r="AU34" s="82">
        <v>2.6839522195850627E-3</v>
      </c>
    </row>
    <row r="35" spans="1:47" x14ac:dyDescent="0.25">
      <c r="A35" s="40" t="s">
        <v>18</v>
      </c>
      <c r="B35" s="81" t="s">
        <v>5</v>
      </c>
      <c r="C35" s="81"/>
      <c r="D35" s="152" t="s">
        <v>5</v>
      </c>
      <c r="E35" s="135"/>
      <c r="F35" s="81" t="s">
        <v>5</v>
      </c>
      <c r="G35" s="81"/>
      <c r="H35" s="95" t="s">
        <v>5</v>
      </c>
      <c r="I35" s="95"/>
      <c r="J35" s="81" t="s">
        <v>5</v>
      </c>
      <c r="K35" s="81"/>
      <c r="L35" s="95" t="s">
        <v>5</v>
      </c>
      <c r="M35" s="95"/>
      <c r="N35" s="81" t="s">
        <v>5</v>
      </c>
      <c r="O35" s="81"/>
      <c r="P35" s="95" t="s">
        <v>5</v>
      </c>
      <c r="Q35" s="95"/>
      <c r="R35" s="81" t="s">
        <v>5</v>
      </c>
      <c r="S35" s="81"/>
      <c r="T35" s="95" t="s">
        <v>5</v>
      </c>
      <c r="U35" s="95"/>
      <c r="V35" s="81" t="s">
        <v>5</v>
      </c>
      <c r="W35" s="120"/>
      <c r="X35" s="95" t="s">
        <v>5</v>
      </c>
      <c r="Y35" s="95"/>
      <c r="Z35" s="81" t="s">
        <v>5</v>
      </c>
      <c r="AA35" s="81"/>
      <c r="AB35" s="95" t="s">
        <v>5</v>
      </c>
      <c r="AC35" s="95"/>
      <c r="AD35" s="81" t="s">
        <v>5</v>
      </c>
      <c r="AE35" s="81"/>
      <c r="AF35" s="95" t="s">
        <v>5</v>
      </c>
      <c r="AG35" s="135"/>
      <c r="AH35" s="81" t="s">
        <v>5</v>
      </c>
      <c r="AI35" s="81"/>
      <c r="AJ35" s="95" t="s">
        <v>5</v>
      </c>
      <c r="AK35" s="95"/>
      <c r="AL35" s="81" t="s">
        <v>5</v>
      </c>
      <c r="AM35" s="81"/>
      <c r="AN35" s="95" t="s">
        <v>5</v>
      </c>
      <c r="AO35" s="95"/>
      <c r="AP35" s="81" t="s">
        <v>5</v>
      </c>
      <c r="AQ35" s="81"/>
      <c r="AR35" s="95" t="s">
        <v>5</v>
      </c>
      <c r="AS35" s="95"/>
      <c r="AT35" s="81" t="s">
        <v>5</v>
      </c>
      <c r="AU35" s="81"/>
    </row>
    <row r="36" spans="1:47" x14ac:dyDescent="0.25">
      <c r="A36" s="42" t="s">
        <v>19</v>
      </c>
      <c r="B36" s="82">
        <v>2.6675712533046531E-2</v>
      </c>
      <c r="C36" s="82">
        <v>2.8399583720996716E-2</v>
      </c>
      <c r="D36" s="134">
        <v>3.0569762455352662E-2</v>
      </c>
      <c r="E36" s="134">
        <v>0</v>
      </c>
      <c r="F36" s="82">
        <v>5.0875662063045307E-3</v>
      </c>
      <c r="G36" s="82">
        <v>1.6463071498845804E-2</v>
      </c>
      <c r="H36" s="100">
        <v>0</v>
      </c>
      <c r="I36" s="100">
        <v>0</v>
      </c>
      <c r="J36" s="82">
        <v>2.1729584886116711E-3</v>
      </c>
      <c r="K36" s="82">
        <v>7.768394071834642E-3</v>
      </c>
      <c r="L36" s="100">
        <v>4.4034738892603828E-2</v>
      </c>
      <c r="M36" s="100">
        <v>0.15522982610140096</v>
      </c>
      <c r="N36" s="82">
        <v>0</v>
      </c>
      <c r="O36" s="82">
        <v>4.1127990762066052E-2</v>
      </c>
      <c r="P36" s="100">
        <v>3.4169660355087804E-2</v>
      </c>
      <c r="Q36" s="100">
        <v>2.8278016137366271E-2</v>
      </c>
      <c r="R36" s="82">
        <v>0</v>
      </c>
      <c r="S36" s="82">
        <v>0</v>
      </c>
      <c r="T36" s="100">
        <v>0</v>
      </c>
      <c r="U36" s="100">
        <v>0</v>
      </c>
      <c r="V36" s="82">
        <v>3.7300525479058544E-2</v>
      </c>
      <c r="W36" s="121">
        <v>3.6049584332439981E-2</v>
      </c>
      <c r="X36" s="100">
        <v>6.7713941494130523E-3</v>
      </c>
      <c r="Y36" s="100">
        <v>1.8104720887749906E-2</v>
      </c>
      <c r="Z36" s="82">
        <v>1.016644040559044E-2</v>
      </c>
      <c r="AA36" s="82">
        <v>1.0191523191810494E-2</v>
      </c>
      <c r="AB36" s="100">
        <v>6.3667923312258665E-2</v>
      </c>
      <c r="AC36" s="100">
        <v>6.30956022082029E-2</v>
      </c>
      <c r="AD36" s="82">
        <v>0</v>
      </c>
      <c r="AE36" s="82">
        <v>0</v>
      </c>
      <c r="AF36" s="100">
        <v>3.6197226378059783E-3</v>
      </c>
      <c r="AG36" s="134">
        <v>3.6519720696009295E-3</v>
      </c>
      <c r="AH36" s="82">
        <v>2.6984034554471285E-2</v>
      </c>
      <c r="AI36" s="82">
        <v>3.9381788139705075E-2</v>
      </c>
      <c r="AJ36" s="100">
        <v>3.170401564144984E-2</v>
      </c>
      <c r="AK36" s="100">
        <v>2.6219294125757818E-2</v>
      </c>
      <c r="AL36" s="82">
        <v>2.7878660210632584E-2</v>
      </c>
      <c r="AM36" s="82">
        <v>2.2644967896864689E-2</v>
      </c>
      <c r="AN36" s="100">
        <v>1.2082351306628662E-2</v>
      </c>
      <c r="AO36" s="100">
        <v>1.0121425773599688E-2</v>
      </c>
      <c r="AP36" s="82">
        <v>2.9719629260945665E-2</v>
      </c>
      <c r="AQ36" s="82">
        <v>2.2287768885558026E-2</v>
      </c>
      <c r="AR36" s="100">
        <v>3.0683483707319933E-2</v>
      </c>
      <c r="AS36" s="95"/>
      <c r="AT36" s="82">
        <v>4.9063660930706486E-2</v>
      </c>
      <c r="AU36" s="82">
        <v>2.3810306566943374E-2</v>
      </c>
    </row>
    <row r="37" spans="1:47" x14ac:dyDescent="0.25">
      <c r="A37" s="42" t="s">
        <v>20</v>
      </c>
      <c r="B37" s="82">
        <v>1.6767087590606255E-2</v>
      </c>
      <c r="C37" s="82">
        <v>1.7498485552133587E-2</v>
      </c>
      <c r="D37" s="134">
        <v>1.1684343139717383E-2</v>
      </c>
      <c r="E37" s="134">
        <v>0</v>
      </c>
      <c r="F37" s="82">
        <v>3.9466288512261657E-3</v>
      </c>
      <c r="G37" s="82">
        <v>1.2325254801931638E-2</v>
      </c>
      <c r="H37" s="100">
        <v>0</v>
      </c>
      <c r="I37" s="100">
        <v>0</v>
      </c>
      <c r="J37" s="82">
        <v>1.9140048863418864E-3</v>
      </c>
      <c r="K37" s="82">
        <v>6.4276560086753637E-3</v>
      </c>
      <c r="L37" s="100">
        <v>1.9263675913400086E-2</v>
      </c>
      <c r="M37" s="100">
        <v>6.6427368554631772E-2</v>
      </c>
      <c r="N37" s="82">
        <v>0</v>
      </c>
      <c r="O37" s="82">
        <v>2.2778825456493536E-3</v>
      </c>
      <c r="P37" s="100">
        <v>1.6730170408734656E-2</v>
      </c>
      <c r="Q37" s="100">
        <v>1.4135817056665443E-2</v>
      </c>
      <c r="R37" s="82">
        <v>0</v>
      </c>
      <c r="S37" s="82">
        <v>0</v>
      </c>
      <c r="T37" s="100">
        <v>0</v>
      </c>
      <c r="U37" s="100">
        <v>0</v>
      </c>
      <c r="V37" s="82">
        <v>1.2932193117701222E-2</v>
      </c>
      <c r="W37" s="121">
        <v>1.6501993087734756E-2</v>
      </c>
      <c r="X37" s="100">
        <v>4.0404785152666567E-3</v>
      </c>
      <c r="Y37" s="100">
        <v>1.064775157833419E-2</v>
      </c>
      <c r="Z37" s="82">
        <v>8.3401852021274484E-3</v>
      </c>
      <c r="AA37" s="82">
        <v>6.6356258476342311E-3</v>
      </c>
      <c r="AB37" s="100">
        <v>2.9773492952061182E-2</v>
      </c>
      <c r="AC37" s="100">
        <v>3.2000745707264577E-2</v>
      </c>
      <c r="AD37" s="82">
        <v>0</v>
      </c>
      <c r="AE37" s="82">
        <v>0</v>
      </c>
      <c r="AF37" s="100">
        <v>0</v>
      </c>
      <c r="AG37" s="134">
        <v>8.3494005519121363E-4</v>
      </c>
      <c r="AH37" s="82">
        <v>1.3484946408574628E-2</v>
      </c>
      <c r="AI37" s="82">
        <v>2.3050638769578052E-2</v>
      </c>
      <c r="AJ37" s="100">
        <v>2.1261342557778111E-2</v>
      </c>
      <c r="AK37" s="100">
        <v>1.8459072479005176E-2</v>
      </c>
      <c r="AL37" s="82">
        <v>1.7560358693132338E-2</v>
      </c>
      <c r="AM37" s="82">
        <v>1.6668436949471149E-2</v>
      </c>
      <c r="AN37" s="100">
        <v>4.943844124012913E-3</v>
      </c>
      <c r="AO37" s="100">
        <v>4.269719568901661E-3</v>
      </c>
      <c r="AP37" s="82">
        <v>8.6844451837998875E-3</v>
      </c>
      <c r="AQ37" s="82">
        <v>4.7306014292979306E-3</v>
      </c>
      <c r="AR37" s="100">
        <v>1.8946813886280448E-2</v>
      </c>
      <c r="AS37" s="95"/>
      <c r="AT37" s="82">
        <v>3.2023492332715231E-2</v>
      </c>
      <c r="AU37" s="82">
        <v>1.7857045012465413E-2</v>
      </c>
    </row>
    <row r="38" spans="1:47" x14ac:dyDescent="0.25">
      <c r="A38" s="42" t="s">
        <v>21</v>
      </c>
      <c r="B38" s="82">
        <v>0.37144743294730093</v>
      </c>
      <c r="C38" s="82">
        <v>0.38384711113929465</v>
      </c>
      <c r="D38" s="134">
        <v>0.61778102931671641</v>
      </c>
      <c r="E38" s="134" t="e">
        <v>#DIV/0!</v>
      </c>
      <c r="F38" s="82">
        <v>0.22425995236474983</v>
      </c>
      <c r="G38" s="82">
        <v>0.25133928970692138</v>
      </c>
      <c r="H38" s="100" t="e">
        <v>#DIV/0!</v>
      </c>
      <c r="I38" s="100" t="e">
        <v>#DIV/0!</v>
      </c>
      <c r="J38" s="82">
        <v>0.1191709844559586</v>
      </c>
      <c r="K38" s="82">
        <v>0.17258883248730963</v>
      </c>
      <c r="L38" s="100">
        <v>0.56253457161669118</v>
      </c>
      <c r="M38" s="100">
        <v>0.57207084345221548</v>
      </c>
      <c r="N38" s="82" t="e">
        <v>#DIV/0!</v>
      </c>
      <c r="O38" s="82">
        <v>0.94461478658591969</v>
      </c>
      <c r="P38" s="100">
        <v>0.51037937647385589</v>
      </c>
      <c r="Q38" s="100">
        <v>0.50011284426751124</v>
      </c>
      <c r="R38" s="82" t="e">
        <v>#DIV/0!</v>
      </c>
      <c r="S38" s="82" t="e">
        <v>#DIV/0!</v>
      </c>
      <c r="T38" s="100" t="e">
        <v>#DIV/0!</v>
      </c>
      <c r="U38" s="100" t="e">
        <v>#DIV/0!</v>
      </c>
      <c r="V38" s="82">
        <v>0.65329729402976688</v>
      </c>
      <c r="W38" s="121">
        <v>0.54224179298275321</v>
      </c>
      <c r="X38" s="100">
        <v>0.40330182734719594</v>
      </c>
      <c r="Y38" s="100">
        <v>0.41187982712626531</v>
      </c>
      <c r="Z38" s="82">
        <v>0.17963565718230634</v>
      </c>
      <c r="AA38" s="82">
        <v>0.34890734949547497</v>
      </c>
      <c r="AB38" s="100">
        <v>0.53236274401416561</v>
      </c>
      <c r="AC38" s="100">
        <v>0.49282129677329173</v>
      </c>
      <c r="AD38" s="82" t="e">
        <v>#DIV/0!</v>
      </c>
      <c r="AE38" s="82" t="e">
        <v>#DIV/0!</v>
      </c>
      <c r="AF38" s="100">
        <v>1</v>
      </c>
      <c r="AG38" s="134">
        <v>0.77137282561899434</v>
      </c>
      <c r="AH38" s="82">
        <v>0.50026203897147925</v>
      </c>
      <c r="AI38" s="82">
        <v>0.41468785805746106</v>
      </c>
      <c r="AJ38" s="100">
        <v>0.32938013915243514</v>
      </c>
      <c r="AK38" s="100">
        <v>0.29597370583401805</v>
      </c>
      <c r="AL38" s="82">
        <v>0.37011468411831966</v>
      </c>
      <c r="AM38" s="82">
        <v>0.26392313623995117</v>
      </c>
      <c r="AN38" s="100">
        <v>0.59082102493571731</v>
      </c>
      <c r="AO38" s="100">
        <v>0.57815038469791258</v>
      </c>
      <c r="AP38" s="82">
        <v>0.70778756667694875</v>
      </c>
      <c r="AQ38" s="82">
        <v>0.78774899122526099</v>
      </c>
      <c r="AR38" s="100">
        <v>0.38250773389983594</v>
      </c>
      <c r="AS38" s="95"/>
      <c r="AT38" s="82">
        <v>0.34730732021928407</v>
      </c>
      <c r="AU38" s="82">
        <v>0.25002876538948343</v>
      </c>
    </row>
    <row r="39" spans="1:47" x14ac:dyDescent="0.25">
      <c r="A39" s="42" t="s">
        <v>22</v>
      </c>
      <c r="B39" s="82">
        <v>2.5376152263107098E-2</v>
      </c>
      <c r="C39" s="82">
        <v>6.4562017178109677E-3</v>
      </c>
      <c r="D39" s="134">
        <v>3.9825873425987542E-2</v>
      </c>
      <c r="E39" s="134">
        <v>8.1349342821477495E-3</v>
      </c>
      <c r="F39" s="82">
        <v>1.7540418750146703E-3</v>
      </c>
      <c r="G39" s="82">
        <v>8.1738781047175184E-3</v>
      </c>
      <c r="H39" s="100">
        <v>5.5971048571809984E-2</v>
      </c>
      <c r="I39" s="100">
        <v>2.9086175820383708E-2</v>
      </c>
      <c r="J39" s="82">
        <v>4.6724236931287222E-3</v>
      </c>
      <c r="K39" s="82">
        <v>5.0959854590121754E-3</v>
      </c>
      <c r="L39" s="100">
        <v>5.8243015289029684E-2</v>
      </c>
      <c r="M39" s="100">
        <v>0.15358828672553662</v>
      </c>
      <c r="N39" s="82">
        <v>3.6180131806714158E-2</v>
      </c>
      <c r="O39" s="82">
        <v>3.3664190398859768E-2</v>
      </c>
      <c r="P39" s="100">
        <v>3.7355163400529724E-2</v>
      </c>
      <c r="Q39" s="100">
        <v>1.345614358249801E-2</v>
      </c>
      <c r="R39" s="82">
        <v>4.1367165492283552E-2</v>
      </c>
      <c r="S39" s="82">
        <v>7.5045814891111243E-2</v>
      </c>
      <c r="T39" s="100">
        <v>5.0690997959470076E-3</v>
      </c>
      <c r="U39" s="100">
        <v>8.3775091211878514E-3</v>
      </c>
      <c r="V39" s="82">
        <v>3.2829664657368154E-2</v>
      </c>
      <c r="W39" s="121">
        <v>1.2985359153035402E-2</v>
      </c>
      <c r="X39" s="100">
        <v>1.33528308523662E-2</v>
      </c>
      <c r="Y39" s="100">
        <v>2.0429733828665971E-2</v>
      </c>
      <c r="Z39" s="82">
        <v>8.4378383089042299E-3</v>
      </c>
      <c r="AA39" s="82">
        <v>9.4331409316407173E-3</v>
      </c>
      <c r="AB39" s="100">
        <v>9.8321256338160411E-5</v>
      </c>
      <c r="AC39" s="100">
        <v>1.12264586687155E-3</v>
      </c>
      <c r="AD39" s="82">
        <v>0.57315236667029934</v>
      </c>
      <c r="AE39" s="82">
        <v>0.13463397206613908</v>
      </c>
      <c r="AF39" s="100">
        <v>2.4220181078205297E-2</v>
      </c>
      <c r="AG39" s="134">
        <v>6.3221139494484225E-3</v>
      </c>
      <c r="AH39" s="82">
        <v>2.8250025144721844E-2</v>
      </c>
      <c r="AI39" s="82">
        <v>3.1655444621438072E-2</v>
      </c>
      <c r="AJ39" s="100">
        <v>2.6229901670480012E-2</v>
      </c>
      <c r="AK39" s="100">
        <v>1.6697910559817959E-2</v>
      </c>
      <c r="AL39" s="82">
        <v>1.8238489086899446E-2</v>
      </c>
      <c r="AM39" s="82">
        <v>1.5484057073095048E-2</v>
      </c>
      <c r="AN39" s="100">
        <v>1.3731760267037953E-2</v>
      </c>
      <c r="AO39" s="100">
        <v>6.9017557068187475E-3</v>
      </c>
      <c r="AP39" s="82">
        <v>2.2759055180384621E-2</v>
      </c>
      <c r="AQ39" s="82">
        <v>1.7654915181976625E-2</v>
      </c>
      <c r="AR39" s="100">
        <v>1.4995554405161957E-2</v>
      </c>
      <c r="AS39" s="95"/>
      <c r="AT39" s="82">
        <v>3.4684570127621474E-2</v>
      </c>
      <c r="AU39" s="82">
        <v>2.1102945103687761E-2</v>
      </c>
    </row>
    <row r="40" spans="1:47" x14ac:dyDescent="0.25">
      <c r="A40" s="18"/>
      <c r="B40" s="81"/>
      <c r="C40" s="81"/>
      <c r="D40" s="135"/>
      <c r="E40" s="135"/>
      <c r="F40" s="81"/>
      <c r="G40" s="81"/>
      <c r="H40" s="95"/>
      <c r="I40" s="95"/>
      <c r="J40" s="81"/>
      <c r="K40" s="81"/>
      <c r="L40" s="95"/>
      <c r="M40" s="95"/>
      <c r="N40" s="81"/>
      <c r="O40" s="81"/>
      <c r="P40" s="95"/>
      <c r="Q40" s="95"/>
      <c r="R40" s="81"/>
      <c r="S40" s="81"/>
      <c r="T40" s="95"/>
      <c r="U40" s="95"/>
      <c r="V40" s="81"/>
      <c r="W40" s="120"/>
      <c r="X40" s="95"/>
      <c r="Y40" s="95"/>
      <c r="Z40" s="81"/>
      <c r="AA40" s="81"/>
      <c r="AB40" s="95"/>
      <c r="AC40" s="95"/>
      <c r="AD40" s="81"/>
      <c r="AE40" s="81"/>
      <c r="AF40" s="95"/>
      <c r="AG40" s="135"/>
      <c r="AH40" s="81"/>
      <c r="AI40" s="81"/>
      <c r="AJ40" s="95"/>
      <c r="AK40" s="95"/>
      <c r="AL40" s="81"/>
      <c r="AM40" s="81"/>
      <c r="AN40" s="95"/>
      <c r="AO40" s="95"/>
      <c r="AP40" s="81"/>
      <c r="AQ40" s="81"/>
      <c r="AR40" s="95"/>
      <c r="AS40" s="95"/>
      <c r="AT40" s="81"/>
      <c r="AU40" s="81"/>
    </row>
    <row r="41" spans="1:47" x14ac:dyDescent="0.25">
      <c r="A41" s="40" t="s">
        <v>30</v>
      </c>
      <c r="B41" s="81" t="s">
        <v>5</v>
      </c>
      <c r="C41" s="81"/>
      <c r="D41" s="152" t="s">
        <v>5</v>
      </c>
      <c r="E41" s="135"/>
      <c r="F41" s="81" t="s">
        <v>5</v>
      </c>
      <c r="G41" s="81"/>
      <c r="H41" s="95" t="s">
        <v>5</v>
      </c>
      <c r="I41" s="95"/>
      <c r="J41" s="81" t="s">
        <v>5</v>
      </c>
      <c r="K41" s="81"/>
      <c r="L41" s="95" t="s">
        <v>5</v>
      </c>
      <c r="M41" s="95"/>
      <c r="N41" s="81" t="s">
        <v>5</v>
      </c>
      <c r="O41" s="81"/>
      <c r="P41" s="95" t="s">
        <v>5</v>
      </c>
      <c r="Q41" s="95"/>
      <c r="R41" s="81" t="s">
        <v>5</v>
      </c>
      <c r="S41" s="81"/>
      <c r="T41" s="95" t="s">
        <v>5</v>
      </c>
      <c r="U41" s="95"/>
      <c r="V41" s="81" t="s">
        <v>5</v>
      </c>
      <c r="W41" s="120"/>
      <c r="X41" s="95" t="s">
        <v>5</v>
      </c>
      <c r="Y41" s="95"/>
      <c r="Z41" s="81" t="s">
        <v>5</v>
      </c>
      <c r="AA41" s="81"/>
      <c r="AB41" s="95" t="s">
        <v>5</v>
      </c>
      <c r="AC41" s="95"/>
      <c r="AD41" s="81" t="s">
        <v>5</v>
      </c>
      <c r="AE41" s="81"/>
      <c r="AF41" s="95" t="s">
        <v>5</v>
      </c>
      <c r="AG41" s="135"/>
      <c r="AH41" s="81" t="s">
        <v>5</v>
      </c>
      <c r="AI41" s="81"/>
      <c r="AJ41" s="95" t="s">
        <v>5</v>
      </c>
      <c r="AK41" s="95"/>
      <c r="AL41" s="81" t="s">
        <v>5</v>
      </c>
      <c r="AM41" s="81"/>
      <c r="AN41" s="95" t="s">
        <v>5</v>
      </c>
      <c r="AO41" s="95"/>
      <c r="AP41" s="81" t="s">
        <v>5</v>
      </c>
      <c r="AQ41" s="81"/>
      <c r="AR41" s="95" t="s">
        <v>5</v>
      </c>
      <c r="AS41" s="95"/>
      <c r="AT41" s="81" t="s">
        <v>5</v>
      </c>
      <c r="AU41" s="81"/>
    </row>
    <row r="42" spans="1:47" ht="22.5" x14ac:dyDescent="0.25">
      <c r="A42" s="46" t="s">
        <v>95</v>
      </c>
      <c r="B42" s="82">
        <v>4.2116097885242183E-2</v>
      </c>
      <c r="C42" s="82">
        <v>2.7861779481406262E-2</v>
      </c>
      <c r="D42" s="139">
        <v>4.2229394827809408E-2</v>
      </c>
      <c r="E42" s="139">
        <v>3.9365787591304782E-2</v>
      </c>
      <c r="F42" s="82">
        <v>0.13051083139163647</v>
      </c>
      <c r="G42" s="82">
        <v>0.13023480862492443</v>
      </c>
      <c r="H42" s="100">
        <v>2.573296329891904E-2</v>
      </c>
      <c r="I42" s="100">
        <v>2.4873802352584101E-2</v>
      </c>
      <c r="J42" s="82">
        <v>1.1095821212701841E-2</v>
      </c>
      <c r="K42" s="82">
        <v>1.2370280453834226E-2</v>
      </c>
      <c r="L42" s="100">
        <v>2.0176225746779398E-2</v>
      </c>
      <c r="M42" s="100">
        <v>2.2557194988618207E-2</v>
      </c>
      <c r="N42" s="82">
        <v>9.2227430393376775E-2</v>
      </c>
      <c r="O42" s="82">
        <v>9.8548410763939762E-2</v>
      </c>
      <c r="P42" s="100">
        <v>4.0460178315464126E-2</v>
      </c>
      <c r="Q42" s="100">
        <v>2.9975830108663653E-2</v>
      </c>
      <c r="R42" s="82">
        <v>1.0574862911810071E-2</v>
      </c>
      <c r="S42" s="82">
        <v>2.3395469648682123E-3</v>
      </c>
      <c r="T42" s="100">
        <v>9.5107051303829002E-2</v>
      </c>
      <c r="U42" s="100">
        <v>7.8929460209915606E-2</v>
      </c>
      <c r="V42" s="82">
        <v>5.0622271635252729E-2</v>
      </c>
      <c r="W42" s="121">
        <v>4.9331479028089723E-2</v>
      </c>
      <c r="X42" s="100">
        <v>3.0372510593597007E-2</v>
      </c>
      <c r="Y42" s="100">
        <v>4.2151227671856625E-2</v>
      </c>
      <c r="Z42" s="82">
        <v>0.10084327071209583</v>
      </c>
      <c r="AA42" s="82">
        <v>0.10706838453392142</v>
      </c>
      <c r="AB42" s="100">
        <v>4.2768440211059383E-2</v>
      </c>
      <c r="AC42" s="100">
        <v>4.029110796372027E-2</v>
      </c>
      <c r="AD42" s="82">
        <v>0.14548002206098679</v>
      </c>
      <c r="AE42" s="82">
        <v>8.459778877907681E-2</v>
      </c>
      <c r="AF42" s="100">
        <v>3.8518908642749247E-2</v>
      </c>
      <c r="AG42" s="139">
        <v>3.0170337933820988E-2</v>
      </c>
      <c r="AH42" s="82">
        <v>6.073591144589241E-2</v>
      </c>
      <c r="AI42" s="82">
        <v>6.6725288302617175E-2</v>
      </c>
      <c r="AJ42" s="100">
        <v>6.374926909133434E-2</v>
      </c>
      <c r="AK42" s="100">
        <v>5.3828765745259161E-2</v>
      </c>
      <c r="AL42" s="82">
        <v>2.1397737425614172E-2</v>
      </c>
      <c r="AM42" s="82">
        <v>2.1520102987812099E-2</v>
      </c>
      <c r="AN42" s="100">
        <v>5.3428445895381697E-2</v>
      </c>
      <c r="AO42" s="100">
        <v>4.2792057402605534E-2</v>
      </c>
      <c r="AP42" s="82">
        <v>3.9013569992761822E-2</v>
      </c>
      <c r="AQ42" s="82">
        <v>3.6858549275300079E-2</v>
      </c>
      <c r="AR42" s="100">
        <v>3.3587830832794721E-2</v>
      </c>
      <c r="AS42" s="95"/>
      <c r="AT42" s="82">
        <v>3.6874127417502997E-2</v>
      </c>
      <c r="AU42" s="82">
        <v>5.9376411892237996E-2</v>
      </c>
    </row>
    <row r="43" spans="1:47" x14ac:dyDescent="0.25">
      <c r="A43" s="42" t="s">
        <v>31</v>
      </c>
      <c r="B43" s="82">
        <v>1.8721958762795709E-2</v>
      </c>
      <c r="C43" s="82">
        <v>1.714369516110623E-2</v>
      </c>
      <c r="D43" s="134">
        <v>1.1145999732336442E-2</v>
      </c>
      <c r="E43" s="134">
        <v>2.4420078088205614E-2</v>
      </c>
      <c r="F43" s="82">
        <v>9.5638387969875976E-2</v>
      </c>
      <c r="G43" s="82">
        <v>9.66265045886089E-2</v>
      </c>
      <c r="H43" s="100">
        <v>1.7045598242355041E-2</v>
      </c>
      <c r="I43" s="100">
        <v>1.6286276893302792E-2</v>
      </c>
      <c r="J43" s="82">
        <v>5.9224163458691144E-3</v>
      </c>
      <c r="K43" s="82">
        <v>5.4940043081975034E-3</v>
      </c>
      <c r="L43" s="100">
        <v>-2.4945790469141464E-2</v>
      </c>
      <c r="M43" s="100">
        <v>-8.265803742482887E-2</v>
      </c>
      <c r="N43" s="82">
        <v>1.3775872000034987E-2</v>
      </c>
      <c r="O43" s="82">
        <v>1.5766660697140576E-2</v>
      </c>
      <c r="P43" s="100">
        <v>4.0972494634780657E-3</v>
      </c>
      <c r="Q43" s="100">
        <v>1.0599009067469176E-2</v>
      </c>
      <c r="R43" s="82">
        <v>-6.7995707013473426E-3</v>
      </c>
      <c r="S43" s="82">
        <v>-2.6052435976597888E-2</v>
      </c>
      <c r="T43" s="100">
        <v>6.5963958266441941E-2</v>
      </c>
      <c r="U43" s="100">
        <v>5.3785286038575596E-2</v>
      </c>
      <c r="V43" s="82">
        <v>1.6945993095557589E-2</v>
      </c>
      <c r="W43" s="121">
        <v>2.6827187176716005E-2</v>
      </c>
      <c r="X43" s="100">
        <v>1.6764348215673547E-2</v>
      </c>
      <c r="Y43" s="100">
        <v>2.2517778245465747E-2</v>
      </c>
      <c r="Z43" s="82">
        <v>7.0760363403694779E-2</v>
      </c>
      <c r="AA43" s="82">
        <v>7.4739485940014699E-2</v>
      </c>
      <c r="AB43" s="100">
        <v>3.1018034437260401E-2</v>
      </c>
      <c r="AC43" s="100">
        <v>2.9246874936698683E-2</v>
      </c>
      <c r="AD43" s="82">
        <v>-0.19832804702927162</v>
      </c>
      <c r="AE43" s="82">
        <v>-9.9885805712500546E-3</v>
      </c>
      <c r="AF43" s="100">
        <v>1.63792675683231E-2</v>
      </c>
      <c r="AG43" s="134">
        <v>1.930920200423061E-2</v>
      </c>
      <c r="AH43" s="82">
        <v>3.0753011741270618E-2</v>
      </c>
      <c r="AI43" s="82">
        <v>3.1305240616490364E-2</v>
      </c>
      <c r="AJ43" s="100">
        <v>3.02935329201263E-2</v>
      </c>
      <c r="AK43" s="100">
        <v>2.9267542181317531E-2</v>
      </c>
      <c r="AL43" s="82">
        <v>1.9363057685465691E-2</v>
      </c>
      <c r="AM43" s="82">
        <v>6.3139787417319029E-3</v>
      </c>
      <c r="AN43" s="100">
        <v>3.0665715756045354E-2</v>
      </c>
      <c r="AO43" s="100">
        <v>2.7274801204257782E-2</v>
      </c>
      <c r="AP43" s="82">
        <v>1.4370013139098263E-2</v>
      </c>
      <c r="AQ43" s="82">
        <v>1.5291813455931315E-2</v>
      </c>
      <c r="AR43" s="100">
        <v>2.0096686604442058E-2</v>
      </c>
      <c r="AS43" s="95"/>
      <c r="AT43" s="82">
        <v>8.6198131712530712E-3</v>
      </c>
      <c r="AU43" s="82">
        <v>3.5029229507897296E-2</v>
      </c>
    </row>
    <row r="44" spans="1:47" x14ac:dyDescent="0.25">
      <c r="A44" s="42" t="s">
        <v>32</v>
      </c>
      <c r="B44" s="82">
        <v>3.1668586453957016E-2</v>
      </c>
      <c r="C44" s="82">
        <v>3.938188847383764E-2</v>
      </c>
      <c r="D44" s="134">
        <v>3.6733811124957765E-2</v>
      </c>
      <c r="E44" s="134">
        <v>0.1001777852777001</v>
      </c>
      <c r="F44" s="82">
        <v>0.23037245547740287</v>
      </c>
      <c r="G44" s="82">
        <v>0.23067734992574163</v>
      </c>
      <c r="H44" s="100">
        <v>2.8039213113730418E-2</v>
      </c>
      <c r="I44" s="100">
        <v>4.3063440394984269E-2</v>
      </c>
      <c r="J44" s="82">
        <v>1.0332462164954719E-2</v>
      </c>
      <c r="K44" s="82">
        <v>1.0989242331740385E-2</v>
      </c>
      <c r="L44" s="100">
        <v>-7.5842478575468761E-2</v>
      </c>
      <c r="M44" s="100">
        <v>-0.23461952993305912</v>
      </c>
      <c r="N44" s="82">
        <v>2.9001079676686824E-2</v>
      </c>
      <c r="O44" s="82">
        <v>3.5402473369749006E-2</v>
      </c>
      <c r="P44" s="100">
        <v>9.8881964437506908E-3</v>
      </c>
      <c r="Q44" s="100">
        <v>3.3472343846252438E-2</v>
      </c>
      <c r="R44" s="82">
        <v>-1.2955426862703781E-2</v>
      </c>
      <c r="S44" s="82">
        <v>-4.5009498997000394E-2</v>
      </c>
      <c r="T44" s="100">
        <v>0.1583623087320804</v>
      </c>
      <c r="U44" s="100">
        <v>0.17254127095417171</v>
      </c>
      <c r="V44" s="82">
        <v>3.8261960819966419E-2</v>
      </c>
      <c r="W44" s="121">
        <v>7.697231415893567E-2</v>
      </c>
      <c r="X44" s="100">
        <v>3.73421504091083E-2</v>
      </c>
      <c r="Y44" s="100">
        <v>4.2644274645306728E-2</v>
      </c>
      <c r="Z44" s="82">
        <v>0.16843313476758809</v>
      </c>
      <c r="AA44" s="82">
        <v>0.15046620372962985</v>
      </c>
      <c r="AB44" s="100">
        <v>0.13192123624772434</v>
      </c>
      <c r="AC44" s="100">
        <v>0.12710723232422713</v>
      </c>
      <c r="AD44" s="82">
        <v>-0.64390739162084476</v>
      </c>
      <c r="AE44" s="82">
        <v>-2.9609306641015482E-2</v>
      </c>
      <c r="AF44" s="100">
        <v>4.108593579907463E-2</v>
      </c>
      <c r="AG44" s="134">
        <v>6.7596644198433309E-2</v>
      </c>
      <c r="AH44" s="82">
        <v>7.2546450575170313E-2</v>
      </c>
      <c r="AI44" s="82">
        <v>6.5680945958788123E-2</v>
      </c>
      <c r="AJ44" s="100">
        <v>9.6397019968592082E-2</v>
      </c>
      <c r="AK44" s="100">
        <v>9.9694962172621845E-2</v>
      </c>
      <c r="AL44" s="82">
        <v>3.0659643115457318E-2</v>
      </c>
      <c r="AM44" s="82">
        <v>1.5164762256035871E-2</v>
      </c>
      <c r="AN44" s="100">
        <v>0.10396660522945239</v>
      </c>
      <c r="AO44" s="100">
        <v>7.5288401311273623E-2</v>
      </c>
      <c r="AP44" s="82">
        <v>0.10456493702070478</v>
      </c>
      <c r="AQ44" s="82">
        <v>0.11273078918036043</v>
      </c>
      <c r="AR44" s="100">
        <v>7.6783661577216333E-2</v>
      </c>
      <c r="AS44" s="95"/>
      <c r="AT44" s="82">
        <v>3.1035194723302621E-2</v>
      </c>
      <c r="AU44" s="82">
        <v>0.10568057525233832</v>
      </c>
    </row>
    <row r="45" spans="1:47" x14ac:dyDescent="0.25">
      <c r="A45" s="40" t="s">
        <v>33</v>
      </c>
      <c r="B45" s="81" t="s">
        <v>5</v>
      </c>
      <c r="C45" s="81"/>
      <c r="D45" s="152" t="s">
        <v>5</v>
      </c>
      <c r="E45" s="135"/>
      <c r="F45" s="81" t="s">
        <v>5</v>
      </c>
      <c r="G45" s="81"/>
      <c r="H45" s="95" t="s">
        <v>5</v>
      </c>
      <c r="I45" s="95"/>
      <c r="J45" s="81" t="s">
        <v>5</v>
      </c>
      <c r="K45" s="81"/>
      <c r="L45" s="95" t="s">
        <v>5</v>
      </c>
      <c r="M45" s="95"/>
      <c r="N45" s="81" t="s">
        <v>5</v>
      </c>
      <c r="O45" s="81"/>
      <c r="P45" s="95" t="s">
        <v>5</v>
      </c>
      <c r="Q45" s="95"/>
      <c r="R45" s="81" t="s">
        <v>5</v>
      </c>
      <c r="S45" s="81"/>
      <c r="T45" s="95" t="s">
        <v>5</v>
      </c>
      <c r="U45" s="95"/>
      <c r="V45" s="81" t="s">
        <v>5</v>
      </c>
      <c r="W45" s="120"/>
      <c r="X45" s="95" t="s">
        <v>5</v>
      </c>
      <c r="Y45" s="95"/>
      <c r="Z45" s="81" t="s">
        <v>5</v>
      </c>
      <c r="AA45" s="81"/>
      <c r="AB45" s="95" t="s">
        <v>5</v>
      </c>
      <c r="AC45" s="95"/>
      <c r="AD45" s="81" t="s">
        <v>5</v>
      </c>
      <c r="AE45" s="81"/>
      <c r="AF45" s="95" t="s">
        <v>5</v>
      </c>
      <c r="AG45" s="135"/>
      <c r="AH45" s="81" t="s">
        <v>5</v>
      </c>
      <c r="AI45" s="81"/>
      <c r="AJ45" s="95" t="s">
        <v>5</v>
      </c>
      <c r="AK45" s="95"/>
      <c r="AL45" s="81" t="s">
        <v>5</v>
      </c>
      <c r="AM45" s="81"/>
      <c r="AN45" s="95" t="s">
        <v>5</v>
      </c>
      <c r="AO45" s="95"/>
      <c r="AP45" s="81" t="s">
        <v>5</v>
      </c>
      <c r="AQ45" s="81"/>
      <c r="AR45" s="95" t="s">
        <v>5</v>
      </c>
      <c r="AS45" s="95"/>
      <c r="AT45" s="81" t="s">
        <v>5</v>
      </c>
      <c r="AU45" s="81"/>
    </row>
    <row r="46" spans="1:47" x14ac:dyDescent="0.25">
      <c r="A46" s="42" t="s">
        <v>34</v>
      </c>
      <c r="B46" s="82">
        <v>0.14567309805908005</v>
      </c>
      <c r="C46" s="82">
        <v>0.14396335166956289</v>
      </c>
      <c r="D46" s="134">
        <v>0.13634576616090746</v>
      </c>
      <c r="E46" s="134">
        <v>0.16679518451647413</v>
      </c>
      <c r="F46" s="82">
        <v>0.21411245839173176</v>
      </c>
      <c r="G46" s="82">
        <v>0.21891901030944239</v>
      </c>
      <c r="H46" s="100">
        <v>0.12436269654901289</v>
      </c>
      <c r="I46" s="100">
        <v>0.11292882993867004</v>
      </c>
      <c r="J46" s="82">
        <v>9.3921345658023625E-2</v>
      </c>
      <c r="K46" s="82">
        <v>0.11289184725323063</v>
      </c>
      <c r="L46" s="100">
        <v>0.13929898110577341</v>
      </c>
      <c r="M46" s="100">
        <v>0.12522164990626033</v>
      </c>
      <c r="N46" s="82">
        <v>0.12514502249851578</v>
      </c>
      <c r="O46" s="82">
        <v>0.14332486287100565</v>
      </c>
      <c r="P46" s="100">
        <v>0.14956829830567378</v>
      </c>
      <c r="Q46" s="100">
        <v>0.14145784701393463</v>
      </c>
      <c r="R46" s="82">
        <v>0.21520321479232293</v>
      </c>
      <c r="S46" s="82">
        <v>0.11714773469943413</v>
      </c>
      <c r="T46" s="100">
        <v>0.18138687384125807</v>
      </c>
      <c r="U46" s="100">
        <v>0.14740093817932193</v>
      </c>
      <c r="V46" s="82">
        <v>0.18166361787453392</v>
      </c>
      <c r="W46" s="121">
        <v>0.15771369566911342</v>
      </c>
      <c r="X46" s="100">
        <v>0.18350964558855831</v>
      </c>
      <c r="Y46" s="100">
        <v>0.21117629682623318</v>
      </c>
      <c r="Z46" s="82">
        <v>0.23879773019829884</v>
      </c>
      <c r="AA46" s="82">
        <v>0.24257704438446984</v>
      </c>
      <c r="AB46" s="100">
        <v>0.18652038527438761</v>
      </c>
      <c r="AC46" s="100">
        <v>0.19148360851144908</v>
      </c>
      <c r="AD46" s="82">
        <v>0.52847439988795675</v>
      </c>
      <c r="AE46" s="82">
        <v>0.38755020834290999</v>
      </c>
      <c r="AF46" s="100">
        <v>0.13927734223341723</v>
      </c>
      <c r="AG46" s="134">
        <v>0.12379014531333823</v>
      </c>
      <c r="AH46" s="82">
        <v>0.22889666357479718</v>
      </c>
      <c r="AI46" s="82">
        <v>0.21828735029380655</v>
      </c>
      <c r="AJ46" s="100">
        <v>0.18101606301020343</v>
      </c>
      <c r="AK46" s="100">
        <v>0.18094732719887105</v>
      </c>
      <c r="AL46" s="82">
        <v>0.12285373209816398</v>
      </c>
      <c r="AM46" s="82">
        <v>0.13758520162229021</v>
      </c>
      <c r="AN46" s="100">
        <v>0.1644956818170831</v>
      </c>
      <c r="AO46" s="100">
        <v>0.14467138858232223</v>
      </c>
      <c r="AP46" s="82">
        <v>0.11741784235870575</v>
      </c>
      <c r="AQ46" s="82">
        <v>0.11058943598947017</v>
      </c>
      <c r="AR46" s="100">
        <v>0.14770800158112898</v>
      </c>
      <c r="AS46" s="95"/>
      <c r="AT46" s="82">
        <v>0.12918799852772581</v>
      </c>
      <c r="AU46" s="82">
        <v>0.1336949398542327</v>
      </c>
    </row>
    <row r="47" spans="1:47" x14ac:dyDescent="0.25">
      <c r="A47" s="42" t="s">
        <v>35</v>
      </c>
      <c r="B47" s="82">
        <v>8.400802517175876E-2</v>
      </c>
      <c r="C47" s="82">
        <v>8.2998588538622992E-2</v>
      </c>
      <c r="D47" s="134">
        <v>9.4254183244457265E-2</v>
      </c>
      <c r="E47" s="134">
        <v>8.2757327072756168E-2</v>
      </c>
      <c r="F47" s="82">
        <v>9.8349348997823785E-2</v>
      </c>
      <c r="G47" s="82">
        <v>9.4073480231181297E-2</v>
      </c>
      <c r="H47" s="100">
        <v>0.10495609853633012</v>
      </c>
      <c r="I47" s="100">
        <v>7.647353162635695E-2</v>
      </c>
      <c r="J47" s="82">
        <v>4.3957035833558984E-2</v>
      </c>
      <c r="K47" s="82">
        <v>8.8015169691575398E-2</v>
      </c>
      <c r="L47" s="100">
        <v>0.11177851617410331</v>
      </c>
      <c r="M47" s="100">
        <v>9.1484096547059801E-2</v>
      </c>
      <c r="N47" s="82">
        <v>2.579138191443623E-3</v>
      </c>
      <c r="O47" s="82">
        <v>4.2017875665943142E-3</v>
      </c>
      <c r="P47" s="100">
        <v>0.10920779759435918</v>
      </c>
      <c r="Q47" s="100">
        <v>9.7816594820460526E-2</v>
      </c>
      <c r="R47" s="82">
        <v>0.13800990775159513</v>
      </c>
      <c r="S47" s="82">
        <v>9.3781490726255301E-2</v>
      </c>
      <c r="T47" s="100">
        <v>7.2451356536037265E-2</v>
      </c>
      <c r="U47" s="100">
        <v>8.6672681379058661E-2</v>
      </c>
      <c r="V47" s="80">
        <v>9.6938250012851973E-2</v>
      </c>
      <c r="W47" s="80">
        <v>8.7700492613342215E-2</v>
      </c>
      <c r="X47" s="100">
        <v>9.0318182767584368E-2</v>
      </c>
      <c r="Y47" s="100">
        <v>0.10024360683285048</v>
      </c>
      <c r="Z47" s="82">
        <v>0.11235010899671989</v>
      </c>
      <c r="AA47" s="82">
        <v>0.10046744433682461</v>
      </c>
      <c r="AB47" s="100">
        <v>8.7577837586934437E-2</v>
      </c>
      <c r="AC47" s="100">
        <v>9.0130063024149581E-2</v>
      </c>
      <c r="AD47" s="82">
        <v>0.16691652903657581</v>
      </c>
      <c r="AE47" s="82">
        <v>0.13656193321631707</v>
      </c>
      <c r="AF47" s="100">
        <v>8.7981150559606744E-2</v>
      </c>
      <c r="AG47" s="134">
        <v>8.0944603316628214E-2</v>
      </c>
      <c r="AH47" s="82">
        <v>0.11139906325477641</v>
      </c>
      <c r="AI47" s="82">
        <v>0.105264292252727</v>
      </c>
      <c r="AJ47" s="100">
        <v>0.10242888182223693</v>
      </c>
      <c r="AK47" s="100">
        <v>9.2387887446168562E-2</v>
      </c>
      <c r="AL47" s="82">
        <v>8.7357248379194716E-2</v>
      </c>
      <c r="AM47" s="82">
        <v>0.10702037578088076</v>
      </c>
      <c r="AN47" s="100">
        <v>0.10075464384291602</v>
      </c>
      <c r="AO47" s="140">
        <v>8.98280106925093E-2</v>
      </c>
      <c r="AP47" s="82">
        <v>7.58593564365245E-2</v>
      </c>
      <c r="AQ47" s="82">
        <v>6.488655045874081E-2</v>
      </c>
      <c r="AR47" s="100">
        <v>8.1684044672093448E-2</v>
      </c>
      <c r="AS47" s="95"/>
      <c r="AT47" s="82">
        <v>0.11942799011562703</v>
      </c>
      <c r="AU47" s="82">
        <v>0.12237931765094313</v>
      </c>
    </row>
    <row r="48" spans="1:47" x14ac:dyDescent="0.25">
      <c r="A48" s="42" t="s">
        <v>36</v>
      </c>
      <c r="B48" s="82">
        <v>6.1665072887321287E-2</v>
      </c>
      <c r="C48" s="82">
        <v>6.0964763130939903E-2</v>
      </c>
      <c r="D48" s="137">
        <v>4.2091582916450196E-2</v>
      </c>
      <c r="E48" s="137">
        <v>8.4037857443717959E-2</v>
      </c>
      <c r="F48" s="82">
        <v>0.11576310939390798</v>
      </c>
      <c r="G48" s="82">
        <v>0.12484553007826109</v>
      </c>
      <c r="H48" s="100">
        <v>1.9406598012682769E-2</v>
      </c>
      <c r="I48" s="100">
        <v>3.6455298312313089E-2</v>
      </c>
      <c r="J48" s="82">
        <v>4.9964309824464641E-2</v>
      </c>
      <c r="K48" s="82">
        <v>2.4876677561655236E-2</v>
      </c>
      <c r="L48" s="100">
        <v>2.7520464931670097E-2</v>
      </c>
      <c r="M48" s="100">
        <v>3.3737553359200534E-2</v>
      </c>
      <c r="N48" s="82">
        <v>0.12256588430707216</v>
      </c>
      <c r="O48" s="82">
        <v>0.13912307530441134</v>
      </c>
      <c r="P48" s="100">
        <v>4.0360500711314598E-2</v>
      </c>
      <c r="Q48" s="100">
        <v>4.3641252193474103E-2</v>
      </c>
      <c r="R48" s="82">
        <v>7.7193307040727799E-2</v>
      </c>
      <c r="S48" s="82">
        <v>2.3366243973178824E-2</v>
      </c>
      <c r="T48" s="100">
        <v>0.1089355173052208</v>
      </c>
      <c r="U48" s="100">
        <v>6.0728256800263267E-2</v>
      </c>
      <c r="V48" s="80">
        <v>8.4725367861681944E-2</v>
      </c>
      <c r="W48" s="80">
        <v>7.0013203055771203E-2</v>
      </c>
      <c r="X48" s="100">
        <v>9.3191462820973944E-2</v>
      </c>
      <c r="Y48" s="100">
        <v>0.1109326899933827</v>
      </c>
      <c r="Z48" s="82">
        <v>0.12644762120157893</v>
      </c>
      <c r="AA48" s="82">
        <v>0.14210960004764522</v>
      </c>
      <c r="AB48" s="100">
        <v>9.894254768745317E-2</v>
      </c>
      <c r="AC48" s="100">
        <v>0.1013535454872995</v>
      </c>
      <c r="AD48" s="82">
        <v>0.36155787085138091</v>
      </c>
      <c r="AE48" s="82">
        <v>0.25098827512659294</v>
      </c>
      <c r="AF48" s="100">
        <v>5.1296191673810485E-2</v>
      </c>
      <c r="AG48" s="137">
        <v>4.2845541996710021E-2</v>
      </c>
      <c r="AH48" s="82">
        <v>0.11749760032002077</v>
      </c>
      <c r="AI48" s="82">
        <v>0.11302305804107955</v>
      </c>
      <c r="AJ48" s="100">
        <v>7.8587181187966496E-2</v>
      </c>
      <c r="AK48" s="100">
        <v>8.8559439752702487E-2</v>
      </c>
      <c r="AL48" s="82">
        <v>3.5496483718969268E-2</v>
      </c>
      <c r="AM48" s="82">
        <v>3.0564825841409446E-2</v>
      </c>
      <c r="AN48" s="100">
        <v>6.3741037974167081E-2</v>
      </c>
      <c r="AO48" s="140">
        <v>5.484337788981293E-2</v>
      </c>
      <c r="AP48" s="82">
        <v>4.1558485922181254E-2</v>
      </c>
      <c r="AQ48" s="82">
        <v>4.5702885530729362E-2</v>
      </c>
      <c r="AR48" s="100">
        <v>6.6023956909035536E-2</v>
      </c>
      <c r="AS48" s="95"/>
      <c r="AT48" s="82">
        <v>9.7600084120987723E-3</v>
      </c>
      <c r="AU48" s="82">
        <v>1.1315622203289563E-2</v>
      </c>
    </row>
  </sheetData>
  <mergeCells count="46">
    <mergeCell ref="AF4:AG4"/>
    <mergeCell ref="AH4:AI4"/>
    <mergeCell ref="AJ4:AK4"/>
    <mergeCell ref="B1:C1"/>
    <mergeCell ref="B4:C4"/>
    <mergeCell ref="D1:E1"/>
    <mergeCell ref="D4:E4"/>
    <mergeCell ref="Z1:AA1"/>
    <mergeCell ref="X4:Y4"/>
    <mergeCell ref="Z4:AA4"/>
    <mergeCell ref="H4:I4"/>
    <mergeCell ref="F4:G4"/>
    <mergeCell ref="F1:G1"/>
    <mergeCell ref="H1:I1"/>
    <mergeCell ref="AT1:AU1"/>
    <mergeCell ref="V4:W4"/>
    <mergeCell ref="P4:Q4"/>
    <mergeCell ref="AT4:AU4"/>
    <mergeCell ref="L1:M1"/>
    <mergeCell ref="AL4:AM4"/>
    <mergeCell ref="AR4:AS4"/>
    <mergeCell ref="AN1:AO1"/>
    <mergeCell ref="AN4:AO4"/>
    <mergeCell ref="L4:M4"/>
    <mergeCell ref="V1:W1"/>
    <mergeCell ref="N1:O1"/>
    <mergeCell ref="N4:O4"/>
    <mergeCell ref="T1:U1"/>
    <mergeCell ref="AP1:AQ1"/>
    <mergeCell ref="AP4:AQ4"/>
    <mergeCell ref="AR1:AS1"/>
    <mergeCell ref="J1:K1"/>
    <mergeCell ref="J4:K4"/>
    <mergeCell ref="AB1:AC1"/>
    <mergeCell ref="AB4:AC4"/>
    <mergeCell ref="AL1:AM1"/>
    <mergeCell ref="P1:Q1"/>
    <mergeCell ref="R4:S4"/>
    <mergeCell ref="T4:U4"/>
    <mergeCell ref="X1:Y1"/>
    <mergeCell ref="R1:S1"/>
    <mergeCell ref="AF1:AG1"/>
    <mergeCell ref="AD1:AE1"/>
    <mergeCell ref="AD4:AE4"/>
    <mergeCell ref="AH1:AI1"/>
    <mergeCell ref="AJ1:AK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
  <sheetViews>
    <sheetView zoomScale="90" workbookViewId="0">
      <selection activeCell="H2" sqref="H2:I2"/>
    </sheetView>
  </sheetViews>
  <sheetFormatPr defaultRowHeight="15" x14ac:dyDescent="0.25"/>
  <cols>
    <col min="1" max="1" width="34.42578125" customWidth="1"/>
    <col min="2" max="2" width="14.42578125" customWidth="1"/>
    <col min="3" max="3" width="12" customWidth="1"/>
    <col min="4" max="4" width="13.7109375" customWidth="1"/>
    <col min="5" max="5" width="11.42578125" customWidth="1"/>
    <col min="6" max="6" width="14.42578125" customWidth="1"/>
    <col min="7" max="7" width="12.42578125" customWidth="1"/>
    <col min="8" max="8" width="13" customWidth="1"/>
    <col min="9" max="9" width="14.42578125" customWidth="1"/>
  </cols>
  <sheetData>
    <row r="1" spans="1:9" ht="21" x14ac:dyDescent="0.35">
      <c r="A1" s="110"/>
      <c r="B1" s="734" t="s">
        <v>186</v>
      </c>
      <c r="C1" s="735"/>
      <c r="D1" s="735"/>
      <c r="E1" s="735"/>
      <c r="F1" s="735"/>
      <c r="G1" s="735"/>
      <c r="H1" s="735"/>
      <c r="I1" s="735"/>
    </row>
    <row r="2" spans="1:9" x14ac:dyDescent="0.25">
      <c r="A2" s="110"/>
      <c r="B2" s="711" t="s">
        <v>170</v>
      </c>
      <c r="C2" s="711"/>
      <c r="D2" s="736" t="s">
        <v>178</v>
      </c>
      <c r="E2" s="737"/>
      <c r="F2" s="711" t="s">
        <v>174</v>
      </c>
      <c r="G2" s="711"/>
      <c r="H2" s="709" t="s">
        <v>183</v>
      </c>
      <c r="I2" s="709"/>
    </row>
    <row r="3" spans="1:9" x14ac:dyDescent="0.25">
      <c r="A3" s="3" t="s">
        <v>4</v>
      </c>
      <c r="B3" s="3" t="s">
        <v>45</v>
      </c>
      <c r="C3" s="3" t="s">
        <v>42</v>
      </c>
      <c r="D3" s="3" t="s">
        <v>45</v>
      </c>
      <c r="E3" s="81"/>
      <c r="F3" s="3" t="s">
        <v>45</v>
      </c>
      <c r="G3" s="81"/>
      <c r="H3" s="3" t="s">
        <v>45</v>
      </c>
      <c r="I3" s="3" t="s">
        <v>42</v>
      </c>
    </row>
    <row r="4" spans="1:9" x14ac:dyDescent="0.25">
      <c r="A4" s="3"/>
      <c r="B4" s="1" t="s">
        <v>46</v>
      </c>
      <c r="C4" s="1" t="s">
        <v>46</v>
      </c>
      <c r="D4" s="1" t="s">
        <v>46</v>
      </c>
      <c r="E4" s="81"/>
      <c r="F4" s="1" t="s">
        <v>46</v>
      </c>
      <c r="G4" s="81"/>
      <c r="H4" s="1" t="s">
        <v>46</v>
      </c>
      <c r="I4" s="1" t="s">
        <v>46</v>
      </c>
    </row>
    <row r="5" spans="1:9" x14ac:dyDescent="0.25">
      <c r="A5" s="3"/>
      <c r="B5" s="710" t="s">
        <v>119</v>
      </c>
      <c r="C5" s="710"/>
      <c r="D5" s="710" t="s">
        <v>119</v>
      </c>
      <c r="E5" s="710"/>
      <c r="F5" s="710" t="s">
        <v>119</v>
      </c>
      <c r="G5" s="710"/>
      <c r="H5" s="710" t="s">
        <v>114</v>
      </c>
      <c r="I5" s="710"/>
    </row>
    <row r="6" spans="1:9" x14ac:dyDescent="0.25">
      <c r="A6" s="6" t="s">
        <v>23</v>
      </c>
      <c r="B6" s="96">
        <v>66823</v>
      </c>
      <c r="C6" s="99">
        <v>70408</v>
      </c>
      <c r="D6" s="85">
        <v>200792</v>
      </c>
      <c r="E6" s="109"/>
      <c r="F6" s="96">
        <v>15036.38</v>
      </c>
      <c r="G6" s="90">
        <v>14265.74</v>
      </c>
      <c r="H6" s="85">
        <v>1167.49</v>
      </c>
      <c r="I6" s="90">
        <v>1122.4000000000001</v>
      </c>
    </row>
    <row r="7" spans="1:9" x14ac:dyDescent="0.25">
      <c r="A7" s="6" t="s">
        <v>50</v>
      </c>
      <c r="B7" s="96">
        <v>57614</v>
      </c>
      <c r="C7" s="96">
        <v>63596</v>
      </c>
      <c r="D7" s="85">
        <v>135056</v>
      </c>
      <c r="E7" s="109"/>
      <c r="F7" s="96">
        <v>14805.58</v>
      </c>
      <c r="G7" s="85">
        <v>13504.43</v>
      </c>
      <c r="H7" s="85">
        <v>1131.18</v>
      </c>
      <c r="I7" s="85">
        <v>1026.78</v>
      </c>
    </row>
    <row r="8" spans="1:9" x14ac:dyDescent="0.25">
      <c r="A8" s="6" t="s">
        <v>52</v>
      </c>
      <c r="B8" s="96">
        <f>B6-B7</f>
        <v>9209</v>
      </c>
      <c r="C8" s="96">
        <f>C6-C7</f>
        <v>6812</v>
      </c>
      <c r="D8" s="85">
        <f>D6-D7</f>
        <v>65736</v>
      </c>
      <c r="E8" s="109"/>
      <c r="F8" s="96">
        <f>F6-F7</f>
        <v>230.79999999999927</v>
      </c>
      <c r="G8" s="85">
        <f>G6-G7</f>
        <v>761.30999999999949</v>
      </c>
      <c r="H8" s="85">
        <f>H6-H7</f>
        <v>36.309999999999945</v>
      </c>
      <c r="I8" s="85">
        <f>I6-I7</f>
        <v>95.620000000000118</v>
      </c>
    </row>
    <row r="9" spans="1:9" x14ac:dyDescent="0.25">
      <c r="A9" s="6" t="s">
        <v>24</v>
      </c>
      <c r="B9" s="96">
        <v>37822</v>
      </c>
      <c r="C9" s="96">
        <v>35243</v>
      </c>
      <c r="D9" s="85">
        <v>106228</v>
      </c>
      <c r="E9" s="109"/>
      <c r="F9" s="96">
        <v>6561.97</v>
      </c>
      <c r="G9" s="85">
        <v>3657.99</v>
      </c>
      <c r="H9" s="85">
        <v>449.13</v>
      </c>
      <c r="I9" s="85">
        <v>455.43</v>
      </c>
    </row>
    <row r="10" spans="1:9" x14ac:dyDescent="0.25">
      <c r="A10" s="6" t="s">
        <v>53</v>
      </c>
      <c r="B10" s="97">
        <f>B7-B9</f>
        <v>19792</v>
      </c>
      <c r="C10" s="97">
        <f>C7-C9</f>
        <v>28353</v>
      </c>
      <c r="D10" s="89">
        <f>D7-D9</f>
        <v>28828</v>
      </c>
      <c r="E10" s="109"/>
      <c r="F10" s="97">
        <f>F7-F9</f>
        <v>8243.61</v>
      </c>
      <c r="G10" s="89">
        <f>G7-G9</f>
        <v>9846.44</v>
      </c>
      <c r="H10" s="89">
        <f>H7-H9</f>
        <v>682.05000000000007</v>
      </c>
      <c r="I10" s="89">
        <f>I7-I9</f>
        <v>571.34999999999991</v>
      </c>
    </row>
    <row r="11" spans="1:9" x14ac:dyDescent="0.25">
      <c r="A11" s="6" t="s">
        <v>1</v>
      </c>
      <c r="B11" s="97">
        <f>SUM(B7:B8)</f>
        <v>66823</v>
      </c>
      <c r="C11" s="97">
        <f>SUM(C7:C8)</f>
        <v>70408</v>
      </c>
      <c r="D11" s="89">
        <f>SUM(D7:D8)</f>
        <v>200792</v>
      </c>
      <c r="E11" s="109"/>
      <c r="F11" s="97">
        <f>SUM(F7:F8)</f>
        <v>15036.38</v>
      </c>
      <c r="G11" s="89">
        <f>SUM(G7:G8)</f>
        <v>14265.74</v>
      </c>
      <c r="H11" s="89">
        <f>SUM(H7:H8)</f>
        <v>1167.49</v>
      </c>
      <c r="I11" s="89">
        <f>SUM(I7:I8)</f>
        <v>1122.4000000000001</v>
      </c>
    </row>
    <row r="12" spans="1:9" x14ac:dyDescent="0.25">
      <c r="A12" s="6" t="s">
        <v>91</v>
      </c>
      <c r="B12" s="97">
        <v>45</v>
      </c>
      <c r="C12" s="97">
        <v>10</v>
      </c>
      <c r="D12" s="89">
        <v>0</v>
      </c>
      <c r="E12" s="109"/>
      <c r="F12" s="97">
        <v>0</v>
      </c>
      <c r="G12" s="89">
        <v>10.119999999999999</v>
      </c>
      <c r="H12" s="89"/>
      <c r="I12" s="89">
        <v>13.7</v>
      </c>
    </row>
    <row r="13" spans="1:9" x14ac:dyDescent="0.25">
      <c r="A13" s="6" t="s">
        <v>25</v>
      </c>
      <c r="B13" s="98">
        <f>B11+B12</f>
        <v>66868</v>
      </c>
      <c r="C13" s="98">
        <f>C11+C12</f>
        <v>70418</v>
      </c>
      <c r="D13" s="88">
        <f>D11+D12</f>
        <v>200792</v>
      </c>
      <c r="E13" s="109"/>
      <c r="F13" s="98">
        <f>F11+F12</f>
        <v>15036.38</v>
      </c>
      <c r="G13" s="88">
        <f>G11+G12</f>
        <v>14275.86</v>
      </c>
      <c r="H13" s="88">
        <f>H11+H12</f>
        <v>1167.49</v>
      </c>
      <c r="I13" s="88">
        <f>I11+I12</f>
        <v>1136.1000000000001</v>
      </c>
    </row>
    <row r="14" spans="1:9" x14ac:dyDescent="0.25">
      <c r="A14" s="6" t="s">
        <v>26</v>
      </c>
      <c r="B14" s="96">
        <f>2210+102+1868</f>
        <v>4180</v>
      </c>
      <c r="C14" s="96">
        <f>3065+108+2357</f>
        <v>5530</v>
      </c>
      <c r="D14" s="85">
        <f>6816+2912+241+6897</f>
        <v>16866</v>
      </c>
      <c r="E14" s="109"/>
      <c r="F14" s="96">
        <f>1570.03+239.36+630.24</f>
        <v>2439.63</v>
      </c>
      <c r="G14" s="85">
        <f>2201.81+241.75+937</f>
        <v>3380.56</v>
      </c>
      <c r="H14" s="85">
        <f>27.79+2.19+24.63</f>
        <v>54.61</v>
      </c>
      <c r="I14" s="85">
        <f>35.64+3.13+24.63</f>
        <v>63.400000000000006</v>
      </c>
    </row>
    <row r="15" spans="1:9" x14ac:dyDescent="0.25">
      <c r="A15" s="6" t="s">
        <v>54</v>
      </c>
      <c r="B15" s="97">
        <f>B11-B14</f>
        <v>62643</v>
      </c>
      <c r="C15" s="97">
        <f>C11-C14</f>
        <v>64878</v>
      </c>
      <c r="D15" s="89">
        <f>D11-D14</f>
        <v>183926</v>
      </c>
      <c r="E15" s="109"/>
      <c r="F15" s="97">
        <f>F11-F14</f>
        <v>12596.75</v>
      </c>
      <c r="G15" s="89">
        <f>G11-G14</f>
        <v>10885.18</v>
      </c>
      <c r="H15" s="89">
        <f>H11-H14</f>
        <v>1112.8800000000001</v>
      </c>
      <c r="I15" s="89">
        <f>I11-I14</f>
        <v>1059</v>
      </c>
    </row>
    <row r="16" spans="1:9" x14ac:dyDescent="0.25">
      <c r="A16" s="6" t="s">
        <v>94</v>
      </c>
      <c r="B16" s="97">
        <f>B13-B14-B9</f>
        <v>24866</v>
      </c>
      <c r="C16" s="97">
        <f>C13-C14-C9</f>
        <v>29645</v>
      </c>
      <c r="D16" s="89">
        <f>D13-D14-D9</f>
        <v>77698</v>
      </c>
      <c r="E16" s="109"/>
      <c r="F16" s="97">
        <f>F13-F14-F9</f>
        <v>6034.78</v>
      </c>
      <c r="G16" s="89">
        <f>G13-G14-G9</f>
        <v>7237.3100000000013</v>
      </c>
      <c r="H16" s="89">
        <f>H13-H14-H9</f>
        <v>663.75000000000011</v>
      </c>
      <c r="I16" s="89">
        <f>I13-I14-I9</f>
        <v>617.27</v>
      </c>
    </row>
    <row r="17" spans="1:9" x14ac:dyDescent="0.25">
      <c r="A17" s="6" t="s">
        <v>27</v>
      </c>
      <c r="B17" s="96">
        <v>2797</v>
      </c>
      <c r="C17" s="96">
        <v>2780</v>
      </c>
      <c r="D17" s="85">
        <v>8831</v>
      </c>
      <c r="E17" s="109"/>
      <c r="F17" s="96">
        <v>4189.2299999999996</v>
      </c>
      <c r="G17" s="85">
        <v>1234.79</v>
      </c>
      <c r="H17" s="85">
        <v>185.02</v>
      </c>
      <c r="I17" s="85">
        <v>224.56</v>
      </c>
    </row>
    <row r="18" spans="1:9" x14ac:dyDescent="0.25">
      <c r="A18" s="6" t="s">
        <v>55</v>
      </c>
      <c r="B18" s="97">
        <v>16773</v>
      </c>
      <c r="C18" s="97">
        <v>20381</v>
      </c>
      <c r="D18" s="89">
        <v>49067</v>
      </c>
      <c r="E18" s="109"/>
      <c r="F18" s="97">
        <v>1344.1</v>
      </c>
      <c r="G18" s="89">
        <v>4057.7</v>
      </c>
      <c r="H18" s="89">
        <v>358.98</v>
      </c>
      <c r="I18" s="89">
        <v>289.06</v>
      </c>
    </row>
    <row r="19" spans="1:9" x14ac:dyDescent="0.25">
      <c r="A19" s="6" t="s">
        <v>28</v>
      </c>
      <c r="B19" s="96">
        <v>116245</v>
      </c>
      <c r="C19" s="96">
        <v>167682</v>
      </c>
      <c r="D19" s="85">
        <f>62868+457693</f>
        <v>520561</v>
      </c>
      <c r="E19" s="109"/>
      <c r="F19" s="96">
        <v>41585.230000000003</v>
      </c>
      <c r="G19" s="85">
        <v>45651.57</v>
      </c>
      <c r="H19" s="85">
        <v>3649.86</v>
      </c>
      <c r="I19" s="85">
        <v>3942.16</v>
      </c>
    </row>
    <row r="20" spans="1:9" x14ac:dyDescent="0.25">
      <c r="A20" s="6" t="s">
        <v>57</v>
      </c>
      <c r="B20" s="96">
        <f>154972+322207+53036</f>
        <v>530215</v>
      </c>
      <c r="C20" s="96">
        <f>242555+378070+52807</f>
        <v>673432</v>
      </c>
      <c r="D20" s="85">
        <f>283743+490139</f>
        <v>773882</v>
      </c>
      <c r="E20" s="109"/>
      <c r="F20" s="96">
        <f>7612.95+45896.81</f>
        <v>53509.759999999995</v>
      </c>
      <c r="G20" s="85">
        <v>26082.61</v>
      </c>
      <c r="H20" s="85">
        <f>3507.66+1999.45</f>
        <v>5507.11</v>
      </c>
      <c r="I20" s="85">
        <f>3826.93+1275.64</f>
        <v>5102.57</v>
      </c>
    </row>
    <row r="21" spans="1:9" x14ac:dyDescent="0.25">
      <c r="A21" s="6" t="s">
        <v>29</v>
      </c>
      <c r="B21" s="96">
        <v>650789</v>
      </c>
      <c r="C21" s="96">
        <v>848688</v>
      </c>
      <c r="D21" s="85">
        <v>1300128</v>
      </c>
      <c r="E21" s="109"/>
      <c r="F21" s="96">
        <v>96434.11</v>
      </c>
      <c r="G21" s="85">
        <v>73346.97</v>
      </c>
      <c r="H21" s="85">
        <v>9220.18</v>
      </c>
      <c r="I21" s="85">
        <v>9113.19</v>
      </c>
    </row>
    <row r="22" spans="1:9" x14ac:dyDescent="0.25">
      <c r="A22" s="6" t="s">
        <v>58</v>
      </c>
      <c r="B22" s="96">
        <v>628102</v>
      </c>
      <c r="C22" s="96">
        <v>784023</v>
      </c>
      <c r="D22" s="85">
        <v>906997</v>
      </c>
      <c r="E22" s="109"/>
      <c r="F22" s="96">
        <v>75659.25</v>
      </c>
      <c r="G22" s="85">
        <v>51736.11</v>
      </c>
      <c r="H22" s="85">
        <v>7220.07</v>
      </c>
      <c r="I22" s="85">
        <v>7823.31</v>
      </c>
    </row>
    <row r="23" spans="1:9" x14ac:dyDescent="0.25">
      <c r="A23" s="6" t="s">
        <v>59</v>
      </c>
      <c r="B23" s="97">
        <v>6030</v>
      </c>
      <c r="C23" s="97">
        <v>5922</v>
      </c>
      <c r="D23" s="89">
        <v>50419</v>
      </c>
      <c r="E23" s="109"/>
      <c r="F23" s="97">
        <v>2019.98</v>
      </c>
      <c r="G23" s="109"/>
      <c r="H23" s="89">
        <v>288.93</v>
      </c>
      <c r="I23" s="89">
        <v>416.01</v>
      </c>
    </row>
    <row r="24" spans="1:9" x14ac:dyDescent="0.25">
      <c r="A24" s="6" t="s">
        <v>60</v>
      </c>
      <c r="B24" s="97">
        <v>3837</v>
      </c>
      <c r="C24" s="97">
        <v>3768</v>
      </c>
      <c r="D24" s="89">
        <v>24055</v>
      </c>
      <c r="E24" s="109"/>
      <c r="F24" s="97">
        <v>1262.98</v>
      </c>
      <c r="G24" s="109"/>
      <c r="H24" s="89">
        <v>164.9</v>
      </c>
      <c r="I24" s="89">
        <v>284.52999999999997</v>
      </c>
    </row>
    <row r="25" spans="1:9" x14ac:dyDescent="0.25">
      <c r="D25" s="81"/>
    </row>
    <row r="26" spans="1:9" x14ac:dyDescent="0.25">
      <c r="A26" s="103" t="s">
        <v>6</v>
      </c>
      <c r="B26" s="112" t="s">
        <v>10</v>
      </c>
      <c r="C26" s="112" t="s">
        <v>90</v>
      </c>
      <c r="D26" s="112" t="s">
        <v>10</v>
      </c>
      <c r="E26" s="112"/>
      <c r="F26" s="112" t="s">
        <v>10</v>
      </c>
      <c r="G26" s="112" t="s">
        <v>90</v>
      </c>
      <c r="H26" s="112" t="s">
        <v>10</v>
      </c>
      <c r="I26" s="112" t="s">
        <v>90</v>
      </c>
    </row>
    <row r="27" spans="1:9" x14ac:dyDescent="0.25">
      <c r="A27" s="42" t="s">
        <v>11</v>
      </c>
      <c r="B27" s="100">
        <v>3.3998198054276528E-2</v>
      </c>
      <c r="C27" s="100">
        <v>4.0156501726121979E-2</v>
      </c>
      <c r="D27" s="130">
        <v>2.9767891403163483E-2</v>
      </c>
      <c r="E27" s="109"/>
      <c r="F27" s="100">
        <v>9.3132823925558009E-2</v>
      </c>
      <c r="G27" s="100">
        <v>0.1545808261776567</v>
      </c>
      <c r="H27" s="130">
        <v>9.342542779750633E-2</v>
      </c>
      <c r="I27" s="130">
        <v>7.5960322746616765E-2</v>
      </c>
    </row>
    <row r="28" spans="1:9" x14ac:dyDescent="0.25">
      <c r="A28" s="40" t="s">
        <v>12</v>
      </c>
      <c r="B28" s="95" t="s">
        <v>5</v>
      </c>
      <c r="C28" s="95"/>
      <c r="D28" s="109" t="s">
        <v>5</v>
      </c>
      <c r="E28" s="109"/>
      <c r="F28" s="95" t="s">
        <v>5</v>
      </c>
      <c r="G28" s="95"/>
      <c r="H28" s="109" t="s">
        <v>5</v>
      </c>
      <c r="I28" s="109"/>
    </row>
    <row r="29" spans="1:9" x14ac:dyDescent="0.25">
      <c r="A29" s="42" t="s">
        <v>127</v>
      </c>
      <c r="B29" s="101">
        <v>4.5611854273302077</v>
      </c>
      <c r="C29" s="101">
        <v>4.0161257618587562</v>
      </c>
      <c r="D29" s="131">
        <v>1.4866307694967544</v>
      </c>
      <c r="E29" s="109"/>
      <c r="F29" s="101">
        <v>1.2867491655090038</v>
      </c>
      <c r="G29" s="101">
        <v>0.57134091992893121</v>
      </c>
      <c r="H29" s="131">
        <v>1.5088551341695295</v>
      </c>
      <c r="I29" s="131">
        <v>1.2943589301296752</v>
      </c>
    </row>
    <row r="30" spans="1:9" x14ac:dyDescent="0.25">
      <c r="A30" s="42" t="s">
        <v>14</v>
      </c>
      <c r="B30" s="100">
        <v>0.24840000000000001</v>
      </c>
      <c r="C30" s="100">
        <v>0.2324</v>
      </c>
      <c r="D30" s="130">
        <v>0.39100000000000001</v>
      </c>
      <c r="E30" s="109"/>
      <c r="F30" s="100">
        <v>0.41010000000000002</v>
      </c>
      <c r="G30" s="100">
        <v>0.47270000000000001</v>
      </c>
      <c r="H30" s="130">
        <v>0.40089999999999998</v>
      </c>
      <c r="I30" s="130">
        <v>0.45279999999999998</v>
      </c>
    </row>
    <row r="31" spans="1:9" x14ac:dyDescent="0.25">
      <c r="A31" s="42" t="s">
        <v>128</v>
      </c>
      <c r="B31" s="100">
        <v>0.18507344348529378</v>
      </c>
      <c r="C31" s="100">
        <v>0.21387382768107568</v>
      </c>
      <c r="D31" s="130">
        <v>0.57393905382266974</v>
      </c>
      <c r="E31" s="109"/>
      <c r="F31" s="100">
        <v>0.54963841169453842</v>
      </c>
      <c r="G31" s="100">
        <v>0.88239278136682486</v>
      </c>
      <c r="H31" s="130">
        <v>0.50551587449983171</v>
      </c>
      <c r="I31" s="130">
        <v>0.50389924469310299</v>
      </c>
    </row>
    <row r="32" spans="1:9" x14ac:dyDescent="0.25">
      <c r="A32" s="40" t="s">
        <v>16</v>
      </c>
      <c r="B32" s="95" t="s">
        <v>5</v>
      </c>
      <c r="C32" s="95"/>
      <c r="D32" s="109" t="s">
        <v>5</v>
      </c>
      <c r="E32" s="109"/>
      <c r="F32" s="95" t="s">
        <v>5</v>
      </c>
      <c r="G32" s="95"/>
      <c r="H32" s="109" t="s">
        <v>5</v>
      </c>
      <c r="I32" s="109"/>
    </row>
    <row r="33" spans="1:9" ht="22.5" x14ac:dyDescent="0.25">
      <c r="A33" s="49" t="s">
        <v>93</v>
      </c>
      <c r="B33" s="100">
        <v>0.14413296093238165</v>
      </c>
      <c r="C33" s="100">
        <v>0.15725863785013508</v>
      </c>
      <c r="D33" s="132">
        <v>0.17835539951778689</v>
      </c>
      <c r="E33" s="109"/>
      <c r="F33" s="102">
        <v>0.28788198824460937</v>
      </c>
      <c r="G33" s="102">
        <v>0.31868775187952203</v>
      </c>
      <c r="H33" s="130">
        <v>7.6020379753883843E-2</v>
      </c>
      <c r="I33" s="130">
        <v>9.5056749179123504E-2</v>
      </c>
    </row>
    <row r="34" spans="1:9" ht="22.5" x14ac:dyDescent="0.25">
      <c r="A34" s="42" t="s">
        <v>92</v>
      </c>
      <c r="B34" s="100">
        <v>6.2553312482229173E-2</v>
      </c>
      <c r="C34" s="100">
        <v>7.8542211112373597E-2</v>
      </c>
      <c r="D34" s="130">
        <v>8.3997370413163866E-2</v>
      </c>
      <c r="E34" s="109"/>
      <c r="F34" s="100">
        <v>0.1622484933208658</v>
      </c>
      <c r="G34" s="100">
        <v>0.23697053219811942</v>
      </c>
      <c r="H34" s="130">
        <v>4.6775561246777272E-2</v>
      </c>
      <c r="I34" s="130">
        <v>5.6486101211689239E-2</v>
      </c>
    </row>
    <row r="35" spans="1:9" x14ac:dyDescent="0.25">
      <c r="A35" s="42" t="s">
        <v>17</v>
      </c>
      <c r="B35" s="100">
        <v>6.5678813318971983E-3</v>
      </c>
      <c r="C35" s="100">
        <v>7.3759050655661943E-3</v>
      </c>
      <c r="D35" s="130">
        <v>1.1868851513039305E-2</v>
      </c>
      <c r="E35" s="109"/>
      <c r="F35" s="100">
        <v>2.4710151041422421E-2</v>
      </c>
      <c r="G35" s="100">
        <v>3.9822576225807961E-2</v>
      </c>
      <c r="H35" s="130">
        <v>6.2698552112359111E-3</v>
      </c>
      <c r="I35" s="130">
        <v>6.916349803664029E-3</v>
      </c>
    </row>
    <row r="36" spans="1:9" x14ac:dyDescent="0.25">
      <c r="A36" s="40" t="s">
        <v>18</v>
      </c>
      <c r="B36" s="95" t="s">
        <v>5</v>
      </c>
      <c r="C36" s="95"/>
      <c r="D36" s="109" t="s">
        <v>5</v>
      </c>
      <c r="E36" s="109"/>
      <c r="F36" s="95" t="s">
        <v>5</v>
      </c>
      <c r="G36" s="95"/>
      <c r="H36" s="109" t="s">
        <v>5</v>
      </c>
      <c r="I36" s="109"/>
    </row>
    <row r="37" spans="1:9" x14ac:dyDescent="0.25">
      <c r="A37" s="42" t="s">
        <v>19</v>
      </c>
      <c r="B37" s="100">
        <v>9.6003515352601973E-3</v>
      </c>
      <c r="C37" s="100">
        <v>7.5533498379511824E-3</v>
      </c>
      <c r="D37" s="130">
        <v>5.5588938000897467E-2</v>
      </c>
      <c r="E37" s="109"/>
      <c r="F37" s="100">
        <v>2.6698387837574389E-2</v>
      </c>
      <c r="G37" s="100">
        <v>0</v>
      </c>
      <c r="H37" s="130">
        <v>4.0017617557724511E-2</v>
      </c>
      <c r="I37" s="130">
        <v>5.3175701844871283E-2</v>
      </c>
    </row>
    <row r="38" spans="1:9" x14ac:dyDescent="0.25">
      <c r="A38" s="42" t="s">
        <v>20</v>
      </c>
      <c r="B38" s="100">
        <v>6.1088804047750205E-3</v>
      </c>
      <c r="C38" s="100">
        <v>4.8059814571766385E-3</v>
      </c>
      <c r="D38" s="130">
        <v>2.6521587171732652E-2</v>
      </c>
      <c r="E38" s="109"/>
      <c r="F38" s="100">
        <v>1.669300184709735E-2</v>
      </c>
      <c r="G38" s="100">
        <v>0</v>
      </c>
      <c r="H38" s="130">
        <v>2.2839113748204659E-2</v>
      </c>
      <c r="I38" s="130">
        <v>3.6369516227785934E-2</v>
      </c>
    </row>
    <row r="39" spans="1:9" x14ac:dyDescent="0.25">
      <c r="A39" s="42" t="s">
        <v>21</v>
      </c>
      <c r="B39" s="100">
        <v>0.36368159203980105</v>
      </c>
      <c r="C39" s="100">
        <v>0.36372847011144888</v>
      </c>
      <c r="D39" s="130">
        <v>0.52289811380630313</v>
      </c>
      <c r="E39" s="109"/>
      <c r="F39" s="100">
        <v>0.3747561857048089</v>
      </c>
      <c r="G39" s="100" t="e">
        <v>#DIV/0!</v>
      </c>
      <c r="H39" s="130">
        <v>0.42927352645969608</v>
      </c>
      <c r="I39" s="130">
        <v>0.31605009494964065</v>
      </c>
    </row>
    <row r="40" spans="1:9" x14ac:dyDescent="0.25">
      <c r="A40" s="42" t="s">
        <v>22</v>
      </c>
      <c r="B40" s="100">
        <v>4.8046160043356632E-3</v>
      </c>
      <c r="C40" s="100">
        <v>3.9373284942905195E-3</v>
      </c>
      <c r="D40" s="130">
        <v>9.1189208055132767E-3</v>
      </c>
      <c r="E40" s="109"/>
      <c r="F40" s="100">
        <v>4.7328151134474493E-2</v>
      </c>
      <c r="G40" s="100">
        <v>1.9385164420431009E-2</v>
      </c>
      <c r="H40" s="130">
        <v>2.5343556412425219E-2</v>
      </c>
      <c r="I40" s="130">
        <v>2.9854992694460951E-2</v>
      </c>
    </row>
    <row r="41" spans="1:9" x14ac:dyDescent="0.25">
      <c r="A41" s="18"/>
      <c r="B41" s="95"/>
      <c r="C41" s="95"/>
      <c r="D41" s="109"/>
      <c r="E41" s="109"/>
      <c r="F41" s="95"/>
      <c r="G41" s="95"/>
      <c r="H41" s="109"/>
      <c r="I41" s="109"/>
    </row>
    <row r="42" spans="1:9" x14ac:dyDescent="0.25">
      <c r="A42" s="40" t="s">
        <v>30</v>
      </c>
      <c r="B42" s="95" t="s">
        <v>5</v>
      </c>
      <c r="C42" s="95"/>
      <c r="D42" s="109" t="s">
        <v>5</v>
      </c>
      <c r="E42" s="109"/>
      <c r="F42" s="95" t="s">
        <v>5</v>
      </c>
      <c r="G42" s="95"/>
      <c r="H42" s="109" t="s">
        <v>5</v>
      </c>
      <c r="I42" s="109"/>
    </row>
    <row r="43" spans="1:9" ht="22.5" x14ac:dyDescent="0.25">
      <c r="A43" s="46" t="s">
        <v>95</v>
      </c>
      <c r="B43" s="100">
        <v>3.9071037607405677E-2</v>
      </c>
      <c r="C43" s="100">
        <v>3.9540453104649154E-2</v>
      </c>
      <c r="D43" s="130">
        <v>5.4677221917474678E-2</v>
      </c>
      <c r="E43" s="109"/>
      <c r="F43" s="100">
        <v>6.1124156245723815E-2</v>
      </c>
      <c r="G43" s="100">
        <v>8.5254611408997996E-2</v>
      </c>
      <c r="H43" s="130">
        <v>7.6206123355756022E-2</v>
      </c>
      <c r="I43" s="130">
        <v>6.7338410777723887E-2</v>
      </c>
    </row>
    <row r="44" spans="1:9" x14ac:dyDescent="0.25">
      <c r="A44" s="42" t="s">
        <v>31</v>
      </c>
      <c r="B44" s="100">
        <v>2.6354802291844906E-2</v>
      </c>
      <c r="C44" s="100">
        <v>2.7184144871845315E-2</v>
      </c>
      <c r="D44" s="130">
        <v>3.4529167389440271E-2</v>
      </c>
      <c r="E44" s="109"/>
      <c r="F44" s="100">
        <v>1.361391441110983E-2</v>
      </c>
      <c r="G44" s="100">
        <v>4.7799201183076456E-2</v>
      </c>
      <c r="H44" s="130">
        <v>4.1215026986439619E-2</v>
      </c>
      <c r="I44" s="130">
        <v>3.1533755114307949E-2</v>
      </c>
    </row>
    <row r="45" spans="1:9" x14ac:dyDescent="0.25">
      <c r="A45" s="42" t="s">
        <v>32</v>
      </c>
      <c r="B45" s="100">
        <v>0.15602790697674418</v>
      </c>
      <c r="C45" s="100">
        <v>0.14356507130353929</v>
      </c>
      <c r="D45" s="130">
        <v>9.8914933399186583E-2</v>
      </c>
      <c r="E45" s="109"/>
      <c r="F45" s="100">
        <v>3.2851594674722526E-2</v>
      </c>
      <c r="G45" s="100">
        <v>9.3027254553124356E-2</v>
      </c>
      <c r="H45" s="130">
        <v>0.10343560774686543</v>
      </c>
      <c r="I45" s="130">
        <v>7.6148376848322319E-2</v>
      </c>
    </row>
    <row r="46" spans="1:9" x14ac:dyDescent="0.25">
      <c r="A46" s="40" t="s">
        <v>33</v>
      </c>
      <c r="B46" s="95" t="s">
        <v>5</v>
      </c>
      <c r="C46" s="95"/>
      <c r="D46" s="109" t="s">
        <v>5</v>
      </c>
      <c r="E46" s="109"/>
      <c r="F46" s="95" t="s">
        <v>5</v>
      </c>
      <c r="G46" s="95"/>
      <c r="H46" s="109" t="s">
        <v>5</v>
      </c>
      <c r="I46" s="109"/>
    </row>
    <row r="47" spans="1:9" x14ac:dyDescent="0.25">
      <c r="A47" s="42" t="s">
        <v>34</v>
      </c>
      <c r="B47" s="100">
        <v>9.8967875035321742E-2</v>
      </c>
      <c r="C47" s="100">
        <v>9.0071346375143843E-2</v>
      </c>
      <c r="D47" s="130">
        <v>0.13945928754494408</v>
      </c>
      <c r="E47" s="109"/>
      <c r="F47" s="100">
        <v>0.16726718940558361</v>
      </c>
      <c r="G47" s="100">
        <v>0.21200819244908134</v>
      </c>
      <c r="H47" s="130">
        <v>0.15494608227546838</v>
      </c>
      <c r="I47" s="130">
        <v>0.13650921534921007</v>
      </c>
    </row>
    <row r="48" spans="1:9" x14ac:dyDescent="0.25">
      <c r="A48" s="42" t="s">
        <v>35</v>
      </c>
      <c r="B48" s="100">
        <v>7.2421046181772572E-2</v>
      </c>
      <c r="C48" s="100">
        <v>5.8560358643356403E-2</v>
      </c>
      <c r="D48" s="133">
        <v>0.11560387921817093</v>
      </c>
      <c r="E48" s="109"/>
      <c r="F48" s="100">
        <v>0.11619204249085573</v>
      </c>
      <c r="G48" s="100">
        <v>9.1918107225604659E-2</v>
      </c>
      <c r="H48" s="130">
        <v>8.6703796295402563E-2</v>
      </c>
      <c r="I48" s="130">
        <v>8.5851788178342797E-2</v>
      </c>
    </row>
    <row r="49" spans="1:9" x14ac:dyDescent="0.25">
      <c r="A49" s="42" t="s">
        <v>36</v>
      </c>
      <c r="B49" s="100">
        <v>2.654682885354917E-2</v>
      </c>
      <c r="C49" s="100">
        <v>3.151098773178744E-2</v>
      </c>
      <c r="D49" s="133">
        <v>2.3855408326773145E-2</v>
      </c>
      <c r="E49" s="109"/>
      <c r="F49" s="100">
        <v>5.1075146914727879E-2</v>
      </c>
      <c r="G49" s="100">
        <v>0.12009008522347668</v>
      </c>
      <c r="H49" s="130">
        <v>6.824228598006582E-2</v>
      </c>
      <c r="I49" s="130">
        <v>5.065742717086727E-2</v>
      </c>
    </row>
  </sheetData>
  <mergeCells count="9">
    <mergeCell ref="B1:I1"/>
    <mergeCell ref="B2:C2"/>
    <mergeCell ref="B5:C5"/>
    <mergeCell ref="F2:G2"/>
    <mergeCell ref="F5:G5"/>
    <mergeCell ref="H2:I2"/>
    <mergeCell ref="H5:I5"/>
    <mergeCell ref="D2:E2"/>
    <mergeCell ref="D5:E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9"/>
  <sheetViews>
    <sheetView workbookViewId="0"/>
  </sheetViews>
  <sheetFormatPr defaultRowHeight="15" x14ac:dyDescent="0.25"/>
  <cols>
    <col min="1" max="1" width="32.28515625" customWidth="1"/>
    <col min="2" max="2" width="17.140625" customWidth="1"/>
    <col min="3" max="3" width="17.28515625" customWidth="1"/>
    <col min="4" max="4" width="16.28515625" customWidth="1"/>
    <col min="5" max="5" width="19.28515625" customWidth="1"/>
  </cols>
  <sheetData>
    <row r="1" spans="1:5" ht="18.75" x14ac:dyDescent="0.3">
      <c r="A1" s="81"/>
      <c r="B1" s="748" t="s">
        <v>151</v>
      </c>
      <c r="C1" s="748"/>
      <c r="D1" s="748"/>
      <c r="E1" s="748"/>
    </row>
    <row r="2" spans="1:5" x14ac:dyDescent="0.25">
      <c r="A2" s="81"/>
      <c r="B2" s="747" t="s">
        <v>150</v>
      </c>
      <c r="C2" s="747"/>
      <c r="D2" s="749" t="s">
        <v>152</v>
      </c>
      <c r="E2" s="749"/>
    </row>
    <row r="3" spans="1:5" x14ac:dyDescent="0.25">
      <c r="A3" s="3" t="s">
        <v>4</v>
      </c>
      <c r="B3" s="3" t="s">
        <v>45</v>
      </c>
      <c r="C3" s="3" t="s">
        <v>42</v>
      </c>
      <c r="D3" s="3" t="s">
        <v>45</v>
      </c>
      <c r="E3" s="3" t="s">
        <v>42</v>
      </c>
    </row>
    <row r="4" spans="1:5" x14ac:dyDescent="0.25">
      <c r="A4" s="3"/>
      <c r="B4" s="1" t="s">
        <v>46</v>
      </c>
      <c r="C4" s="1" t="s">
        <v>46</v>
      </c>
      <c r="D4" s="1" t="s">
        <v>46</v>
      </c>
      <c r="E4" s="1" t="s">
        <v>46</v>
      </c>
    </row>
    <row r="5" spans="1:5" x14ac:dyDescent="0.25">
      <c r="A5" s="3"/>
      <c r="B5" s="710" t="s">
        <v>119</v>
      </c>
      <c r="C5" s="710"/>
      <c r="D5" s="710" t="s">
        <v>123</v>
      </c>
      <c r="E5" s="710"/>
    </row>
    <row r="6" spans="1:5" x14ac:dyDescent="0.25">
      <c r="A6" s="6" t="s">
        <v>23</v>
      </c>
      <c r="B6" s="85">
        <v>265481.14</v>
      </c>
      <c r="C6" s="90">
        <v>285989.94</v>
      </c>
      <c r="D6" s="96">
        <v>4683.78</v>
      </c>
      <c r="E6" s="99">
        <v>4507.57</v>
      </c>
    </row>
    <row r="7" spans="1:5" x14ac:dyDescent="0.25">
      <c r="A7" s="6" t="s">
        <v>50</v>
      </c>
      <c r="B7" s="85">
        <v>249499.78</v>
      </c>
      <c r="C7" s="85">
        <v>264480.5</v>
      </c>
      <c r="D7" s="96">
        <v>4525.55</v>
      </c>
      <c r="E7" s="96">
        <v>3797.96</v>
      </c>
    </row>
    <row r="8" spans="1:5" x14ac:dyDescent="0.25">
      <c r="A8" s="6" t="s">
        <v>52</v>
      </c>
      <c r="B8" s="85">
        <f>B6-B7</f>
        <v>15981.360000000015</v>
      </c>
      <c r="C8" s="85">
        <f>C6-C7</f>
        <v>21509.440000000002</v>
      </c>
      <c r="D8" s="96">
        <f>D6-D7</f>
        <v>158.22999999999956</v>
      </c>
      <c r="E8" s="96">
        <f>E6-E7</f>
        <v>709.60999999999967</v>
      </c>
    </row>
    <row r="9" spans="1:5" x14ac:dyDescent="0.25">
      <c r="A9" s="6" t="s">
        <v>24</v>
      </c>
      <c r="B9" s="85">
        <v>157026.19</v>
      </c>
      <c r="C9" s="85">
        <v>158725.13</v>
      </c>
      <c r="D9" s="96">
        <v>1881.22</v>
      </c>
      <c r="E9" s="96">
        <v>2164.96</v>
      </c>
    </row>
    <row r="10" spans="1:5" x14ac:dyDescent="0.25">
      <c r="A10" s="6" t="s">
        <v>53</v>
      </c>
      <c r="B10" s="89">
        <f>B7-B9</f>
        <v>92473.59</v>
      </c>
      <c r="C10" s="89">
        <f>C7-C9</f>
        <v>105755.37</v>
      </c>
      <c r="D10" s="97">
        <f>D7-D9</f>
        <v>2644.33</v>
      </c>
      <c r="E10" s="97">
        <f>E7-E9</f>
        <v>1633</v>
      </c>
    </row>
    <row r="11" spans="1:5" x14ac:dyDescent="0.25">
      <c r="A11" s="6" t="s">
        <v>1</v>
      </c>
      <c r="B11" s="89">
        <f>SUM(B7:B8)</f>
        <v>265481.14</v>
      </c>
      <c r="C11" s="89">
        <f>SUM(C7:C8)</f>
        <v>285989.94</v>
      </c>
      <c r="D11" s="97">
        <f>SUM(D7:D8)</f>
        <v>4683.78</v>
      </c>
      <c r="E11" s="97">
        <f>SUM(E7:E8)</f>
        <v>4507.57</v>
      </c>
    </row>
    <row r="12" spans="1:5" x14ac:dyDescent="0.25">
      <c r="A12" s="6" t="s">
        <v>91</v>
      </c>
      <c r="B12" s="89">
        <v>293.20999999999998</v>
      </c>
      <c r="C12" s="89">
        <v>1425.54</v>
      </c>
      <c r="D12" s="97">
        <v>10.18</v>
      </c>
      <c r="E12" s="97">
        <v>5.21</v>
      </c>
    </row>
    <row r="13" spans="1:5" x14ac:dyDescent="0.25">
      <c r="A13" s="6" t="s">
        <v>25</v>
      </c>
      <c r="B13" s="88">
        <f>B11+B12</f>
        <v>265774.35000000003</v>
      </c>
      <c r="C13" s="88">
        <f>C11+C12</f>
        <v>287415.48</v>
      </c>
      <c r="D13" s="98">
        <f>D11+D12</f>
        <v>4693.96</v>
      </c>
      <c r="E13" s="98">
        <f>E11+E12</f>
        <v>4512.78</v>
      </c>
    </row>
    <row r="14" spans="1:5" x14ac:dyDescent="0.25">
      <c r="A14" s="6" t="s">
        <v>26</v>
      </c>
      <c r="B14" s="85">
        <f>4735.95+2267.4+2002.33+1641.6</f>
        <v>10647.28</v>
      </c>
      <c r="C14" s="85">
        <f>5881.83+2324.31+13570.9+950.6</f>
        <v>22727.64</v>
      </c>
      <c r="D14" s="96">
        <f>314.73+24.05+265.39</f>
        <v>604.17000000000007</v>
      </c>
      <c r="E14" s="96">
        <f>364.39+24.53+356.12</f>
        <v>745.04</v>
      </c>
    </row>
    <row r="15" spans="1:5" x14ac:dyDescent="0.25">
      <c r="A15" s="6" t="s">
        <v>54</v>
      </c>
      <c r="B15" s="89">
        <f>B11-B14</f>
        <v>254833.86000000002</v>
      </c>
      <c r="C15" s="89">
        <f>C11-C14</f>
        <v>263262.3</v>
      </c>
      <c r="D15" s="97">
        <f>D11-D14</f>
        <v>4079.6099999999997</v>
      </c>
      <c r="E15" s="97">
        <f>E11-E14</f>
        <v>3762.5299999999997</v>
      </c>
    </row>
    <row r="16" spans="1:5" x14ac:dyDescent="0.25">
      <c r="A16" s="6" t="s">
        <v>94</v>
      </c>
      <c r="B16" s="89">
        <f>B13-B14-B9</f>
        <v>98100.880000000034</v>
      </c>
      <c r="C16" s="89">
        <f>C13-C14-C9</f>
        <v>105962.70999999996</v>
      </c>
      <c r="D16" s="97">
        <f>D13-D14-D9</f>
        <v>2208.5699999999997</v>
      </c>
      <c r="E16" s="97">
        <f>E13-E14-E9</f>
        <v>1602.7799999999997</v>
      </c>
    </row>
    <row r="17" spans="1:5" x14ac:dyDescent="0.25">
      <c r="A17" s="6" t="s">
        <v>27</v>
      </c>
      <c r="B17" s="85">
        <v>34164.5</v>
      </c>
      <c r="C17" s="85">
        <v>17989.84</v>
      </c>
      <c r="D17" s="96">
        <v>598.71</v>
      </c>
      <c r="E17" s="96">
        <v>-952.17</v>
      </c>
    </row>
    <row r="18" spans="1:5" x14ac:dyDescent="0.25">
      <c r="A18" s="6" t="s">
        <v>55</v>
      </c>
      <c r="B18" s="89">
        <v>34640.720000000001</v>
      </c>
      <c r="C18" s="89">
        <v>63352.65</v>
      </c>
      <c r="D18" s="97">
        <v>452.1</v>
      </c>
      <c r="E18" s="97">
        <v>507.42</v>
      </c>
    </row>
    <row r="19" spans="1:5" x14ac:dyDescent="0.25">
      <c r="A19" s="6" t="s">
        <v>28</v>
      </c>
      <c r="B19" s="85">
        <v>299518.5</v>
      </c>
      <c r="C19" s="85">
        <v>526811.31000000006</v>
      </c>
      <c r="D19" s="96">
        <v>21266.87</v>
      </c>
      <c r="E19" s="96">
        <v>21773</v>
      </c>
    </row>
    <row r="20" spans="1:5" x14ac:dyDescent="0.25">
      <c r="A20" s="6" t="s">
        <v>57</v>
      </c>
      <c r="B20" s="85">
        <f>912026.16+1423055.09+64919.2</f>
        <v>2400000.4500000002</v>
      </c>
      <c r="C20" s="85">
        <f>922913.87+1773467.47+64925.97</f>
        <v>2761307.31</v>
      </c>
      <c r="D20" s="96">
        <f>21579.37</f>
        <v>21579.37</v>
      </c>
      <c r="E20" s="96">
        <f>4661.75+17345.53</f>
        <v>22007.279999999999</v>
      </c>
    </row>
    <row r="21" spans="1:5" x14ac:dyDescent="0.25">
      <c r="A21" s="6" t="s">
        <v>29</v>
      </c>
      <c r="B21" s="85">
        <v>3029297.64</v>
      </c>
      <c r="C21" s="85">
        <v>3670840.35</v>
      </c>
      <c r="D21" s="96">
        <v>43045.25</v>
      </c>
      <c r="E21" s="96">
        <v>43971.47</v>
      </c>
    </row>
    <row r="22" spans="1:5" x14ac:dyDescent="0.25">
      <c r="A22" s="6" t="s">
        <v>58</v>
      </c>
      <c r="B22" s="85">
        <v>2784035.87</v>
      </c>
      <c r="C22" s="85">
        <v>3391335.06</v>
      </c>
      <c r="D22" s="96">
        <v>33084.58</v>
      </c>
      <c r="E22" s="96">
        <v>29096.28</v>
      </c>
    </row>
    <row r="23" spans="1:5" x14ac:dyDescent="0.25">
      <c r="A23" s="6" t="s">
        <v>59</v>
      </c>
      <c r="B23" s="89">
        <v>244155.27</v>
      </c>
      <c r="C23" s="89">
        <v>176825.45</v>
      </c>
      <c r="D23" s="97">
        <v>2391.5</v>
      </c>
      <c r="E23" s="97">
        <v>907.45</v>
      </c>
    </row>
    <row r="24" spans="1:5" x14ac:dyDescent="0.25">
      <c r="A24" s="6" t="s">
        <v>60</v>
      </c>
      <c r="B24" s="89">
        <v>151022.39000000001</v>
      </c>
      <c r="C24" s="89">
        <v>103539.01</v>
      </c>
      <c r="D24" s="97">
        <v>1546.51</v>
      </c>
      <c r="E24" s="97">
        <v>547.88</v>
      </c>
    </row>
    <row r="26" spans="1:5" x14ac:dyDescent="0.25">
      <c r="A26" s="103" t="s">
        <v>6</v>
      </c>
      <c r="B26" s="108" t="s">
        <v>10</v>
      </c>
      <c r="C26" s="108" t="s">
        <v>90</v>
      </c>
      <c r="D26" s="108" t="s">
        <v>10</v>
      </c>
      <c r="E26" s="108" t="s">
        <v>90</v>
      </c>
    </row>
    <row r="27" spans="1:5" x14ac:dyDescent="0.25">
      <c r="A27" s="42" t="s">
        <v>11</v>
      </c>
      <c r="B27" s="82">
        <v>3.5873963029539699E-2</v>
      </c>
      <c r="C27" s="82">
        <v>3.4250693990296059E-2</v>
      </c>
      <c r="D27" s="100">
        <v>7.9926358442513099E-2</v>
      </c>
      <c r="E27" s="100">
        <v>5.2524201177018136E-2</v>
      </c>
    </row>
    <row r="28" spans="1:5" x14ac:dyDescent="0.25">
      <c r="A28" s="40" t="s">
        <v>12</v>
      </c>
      <c r="B28" s="81" t="s">
        <v>5</v>
      </c>
      <c r="C28" s="81"/>
      <c r="D28" s="95" t="s">
        <v>5</v>
      </c>
      <c r="E28" s="95"/>
    </row>
    <row r="29" spans="1:5" x14ac:dyDescent="0.25">
      <c r="A29" s="42" t="s">
        <v>127</v>
      </c>
      <c r="B29" s="84">
        <v>8.0128621437407048</v>
      </c>
      <c r="C29" s="84">
        <v>5.2415490282469444</v>
      </c>
      <c r="D29" s="101">
        <v>1.0146942168734749</v>
      </c>
      <c r="E29" s="101">
        <v>1.0107601157396775</v>
      </c>
    </row>
    <row r="30" spans="1:5" x14ac:dyDescent="0.25">
      <c r="A30" s="42" t="s">
        <v>14</v>
      </c>
      <c r="B30" s="82"/>
      <c r="C30" s="82"/>
      <c r="D30" s="100">
        <v>0.56599999999999995</v>
      </c>
      <c r="E30" s="100">
        <v>0.63480000000000003</v>
      </c>
    </row>
    <row r="31" spans="1:5" x14ac:dyDescent="0.25">
      <c r="A31" s="42" t="s">
        <v>128</v>
      </c>
      <c r="B31" s="82">
        <v>0.10758428195107989</v>
      </c>
      <c r="C31" s="82">
        <v>0.15534038975199344</v>
      </c>
      <c r="D31" s="100">
        <v>0.64280308228183636</v>
      </c>
      <c r="E31" s="100">
        <v>0.74830871850284641</v>
      </c>
    </row>
    <row r="32" spans="1:5" x14ac:dyDescent="0.25">
      <c r="A32" s="40" t="s">
        <v>16</v>
      </c>
      <c r="B32" s="81" t="s">
        <v>5</v>
      </c>
      <c r="C32" s="81"/>
      <c r="D32" s="95" t="s">
        <v>5</v>
      </c>
      <c r="E32" s="95"/>
    </row>
    <row r="33" spans="1:5" ht="33.75" x14ac:dyDescent="0.25">
      <c r="A33" s="49" t="s">
        <v>93</v>
      </c>
      <c r="B33" s="82">
        <v>9.8172374797093162E-2</v>
      </c>
      <c r="C33" s="82">
        <v>0.1785854235746708</v>
      </c>
      <c r="D33" s="100">
        <v>0.21557790020552645</v>
      </c>
      <c r="E33" s="100">
        <v>0.31803842722433529</v>
      </c>
    </row>
    <row r="34" spans="1:5" ht="22.5" x14ac:dyDescent="0.25">
      <c r="A34" s="42" t="s">
        <v>92</v>
      </c>
      <c r="B34" s="82">
        <v>4.0105598461721237E-2</v>
      </c>
      <c r="C34" s="82">
        <v>7.9470068073023828E-2</v>
      </c>
      <c r="D34" s="100">
        <v>0.12899196802582533</v>
      </c>
      <c r="E34" s="100">
        <v>0.16528639599606884</v>
      </c>
    </row>
    <row r="35" spans="1:5" x14ac:dyDescent="0.25">
      <c r="A35" s="42" t="s">
        <v>17</v>
      </c>
      <c r="B35" s="82">
        <v>3.674967201297054E-3</v>
      </c>
      <c r="C35" s="82">
        <v>6.7842304244841375E-3</v>
      </c>
      <c r="D35" s="100">
        <v>1.4035694995382767E-2</v>
      </c>
      <c r="E35" s="100">
        <v>1.712406535203809E-2</v>
      </c>
    </row>
    <row r="36" spans="1:5" x14ac:dyDescent="0.25">
      <c r="A36" s="40" t="s">
        <v>18</v>
      </c>
      <c r="B36" s="81" t="s">
        <v>5</v>
      </c>
      <c r="C36" s="81"/>
      <c r="D36" s="95" t="s">
        <v>5</v>
      </c>
      <c r="E36" s="95"/>
    </row>
    <row r="37" spans="1:5" x14ac:dyDescent="0.25">
      <c r="A37" s="42" t="s">
        <v>19</v>
      </c>
      <c r="B37" s="82">
        <v>8.769832049613642E-2</v>
      </c>
      <c r="C37" s="82">
        <v>5.2140365629340088E-2</v>
      </c>
      <c r="D37" s="100">
        <v>7.2284429785718904E-2</v>
      </c>
      <c r="E37" s="100">
        <v>3.1187835695834658E-2</v>
      </c>
    </row>
    <row r="38" spans="1:5" x14ac:dyDescent="0.25">
      <c r="A38" s="42" t="s">
        <v>20</v>
      </c>
      <c r="B38" s="82">
        <v>5.4245849210268982E-2</v>
      </c>
      <c r="C38" s="82">
        <v>3.0530457229431054E-2</v>
      </c>
      <c r="D38" s="100">
        <v>4.6744132765173377E-2</v>
      </c>
      <c r="E38" s="100">
        <v>1.8829898529983902E-2</v>
      </c>
    </row>
    <row r="39" spans="1:5" x14ac:dyDescent="0.25">
      <c r="A39" s="42" t="s">
        <v>21</v>
      </c>
      <c r="B39" s="82">
        <v>0.38144939488711416</v>
      </c>
      <c r="C39" s="82">
        <v>0.4144564031930924</v>
      </c>
      <c r="D39" s="100">
        <v>0.35333054568262601</v>
      </c>
      <c r="E39" s="100">
        <v>0.39624221720204972</v>
      </c>
    </row>
    <row r="40" spans="1:5" x14ac:dyDescent="0.25">
      <c r="A40" s="42" t="s">
        <v>22</v>
      </c>
      <c r="B40" s="82">
        <v>1.3253686916693826E-2</v>
      </c>
      <c r="C40" s="82">
        <v>5.8263188410610988E-3</v>
      </c>
      <c r="D40" s="100">
        <v>1.809634579009315E-2</v>
      </c>
      <c r="E40" s="100">
        <v>-3.062582280142153E-2</v>
      </c>
    </row>
    <row r="41" spans="1:5" x14ac:dyDescent="0.25">
      <c r="A41" s="18"/>
      <c r="B41" s="81"/>
      <c r="C41" s="81"/>
      <c r="D41" s="95"/>
      <c r="E41" s="95"/>
    </row>
    <row r="42" spans="1:5" x14ac:dyDescent="0.25">
      <c r="A42" s="40" t="s">
        <v>30</v>
      </c>
      <c r="B42" s="81" t="s">
        <v>5</v>
      </c>
      <c r="C42" s="81"/>
      <c r="D42" s="95" t="s">
        <v>5</v>
      </c>
      <c r="E42" s="95"/>
    </row>
    <row r="43" spans="1:5" ht="22.5" x14ac:dyDescent="0.25">
      <c r="A43" s="46" t="s">
        <v>95</v>
      </c>
      <c r="B43" s="82">
        <v>3.3860057819309557E-2</v>
      </c>
      <c r="C43" s="82">
        <v>3.1630008264949168E-2</v>
      </c>
      <c r="D43" s="100">
        <v>5.1308100196885829E-2</v>
      </c>
      <c r="E43" s="100">
        <v>3.6838437486496844E-2</v>
      </c>
    </row>
    <row r="44" spans="1:5" x14ac:dyDescent="0.25">
      <c r="A44" s="42" t="s">
        <v>31</v>
      </c>
      <c r="B44" s="82">
        <v>1.1956434866868804E-2</v>
      </c>
      <c r="C44" s="82">
        <v>1.8910849327149454E-2</v>
      </c>
      <c r="D44" s="100">
        <v>1.050290101695309E-2</v>
      </c>
      <c r="E44" s="100">
        <v>1.1662586224808289E-2</v>
      </c>
    </row>
    <row r="45" spans="1:5" x14ac:dyDescent="0.25">
      <c r="A45" s="42" t="s">
        <v>32</v>
      </c>
      <c r="B45" s="82">
        <v>0.12558940640570609</v>
      </c>
      <c r="C45" s="82">
        <v>0.15333502248938591</v>
      </c>
      <c r="D45" s="100">
        <v>2.1258417435193803E-2</v>
      </c>
      <c r="E45" s="100">
        <v>2.3579067501830284E-2</v>
      </c>
    </row>
    <row r="46" spans="1:5" x14ac:dyDescent="0.25">
      <c r="A46" s="40" t="s">
        <v>33</v>
      </c>
      <c r="B46" s="81" t="s">
        <v>5</v>
      </c>
      <c r="C46" s="81"/>
      <c r="D46" s="95" t="s">
        <v>5</v>
      </c>
      <c r="E46" s="95"/>
    </row>
    <row r="47" spans="1:5" x14ac:dyDescent="0.25">
      <c r="A47" s="42" t="s">
        <v>34</v>
      </c>
      <c r="B47" s="82">
        <v>9.6790293137730327E-2</v>
      </c>
      <c r="C47" s="82">
        <v>8.5656555046807539E-2</v>
      </c>
      <c r="D47" s="100">
        <v>0.13678728882155977</v>
      </c>
      <c r="E47" s="100">
        <v>0.12215849057089272</v>
      </c>
    </row>
    <row r="48" spans="1:5" x14ac:dyDescent="0.25">
      <c r="A48" s="42" t="s">
        <v>35</v>
      </c>
      <c r="B48" s="82">
        <v>6.8490309417615941E-2</v>
      </c>
      <c r="C48" s="82">
        <v>6.1505780077722012E-2</v>
      </c>
      <c r="D48" s="100">
        <v>8.7176780415739674E-2</v>
      </c>
      <c r="E48" s="100">
        <v>9.9340509077894282E-2</v>
      </c>
    </row>
    <row r="49" spans="1:5" x14ac:dyDescent="0.25">
      <c r="A49" s="42" t="s">
        <v>36</v>
      </c>
      <c r="B49" s="82">
        <v>2.8299983720114386E-2</v>
      </c>
      <c r="C49" s="82">
        <v>2.4150774969085527E-2</v>
      </c>
      <c r="D49" s="100">
        <v>4.9610508405820097E-2</v>
      </c>
      <c r="E49" s="100">
        <v>2.2817981492998435E-2</v>
      </c>
    </row>
  </sheetData>
  <mergeCells count="5">
    <mergeCell ref="B2:C2"/>
    <mergeCell ref="B1:E1"/>
    <mergeCell ref="D2:E2"/>
    <mergeCell ref="B5:C5"/>
    <mergeCell ref="D5:E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9"/>
  <sheetViews>
    <sheetView workbookViewId="0"/>
  </sheetViews>
  <sheetFormatPr defaultRowHeight="15" x14ac:dyDescent="0.25"/>
  <cols>
    <col min="1" max="1" width="31.42578125" customWidth="1"/>
    <col min="2" max="2" width="13.7109375" customWidth="1"/>
    <col min="3" max="3" width="13" customWidth="1"/>
    <col min="4" max="4" width="11.42578125" customWidth="1"/>
    <col min="5" max="5" width="11" customWidth="1"/>
    <col min="6" max="6" width="12.85546875" customWidth="1"/>
    <col min="7" max="7" width="14.5703125" customWidth="1"/>
    <col min="8" max="8" width="16.140625" customWidth="1"/>
    <col min="9" max="9" width="17.42578125" customWidth="1"/>
    <col min="10" max="10" width="12.5703125" customWidth="1"/>
    <col min="11" max="11" width="16.7109375" customWidth="1"/>
    <col min="12" max="12" width="12.7109375" customWidth="1"/>
    <col min="13" max="13" width="12.140625" customWidth="1"/>
  </cols>
  <sheetData>
    <row r="1" spans="1:13" ht="18.75" x14ac:dyDescent="0.3">
      <c r="B1" s="750" t="s">
        <v>149</v>
      </c>
      <c r="C1" s="750"/>
      <c r="D1" s="750"/>
      <c r="E1" s="750"/>
      <c r="F1" s="750"/>
      <c r="G1" s="750"/>
      <c r="H1" s="750"/>
      <c r="I1" s="750"/>
      <c r="J1" s="750"/>
      <c r="K1" s="750"/>
    </row>
    <row r="2" spans="1:13" x14ac:dyDescent="0.25">
      <c r="A2" s="81"/>
      <c r="B2" s="711" t="s">
        <v>148</v>
      </c>
      <c r="C2" s="711"/>
      <c r="D2" s="709" t="s">
        <v>146</v>
      </c>
      <c r="E2" s="709"/>
      <c r="F2" s="753" t="s">
        <v>176</v>
      </c>
      <c r="G2" s="753"/>
      <c r="H2" s="709" t="s">
        <v>147</v>
      </c>
      <c r="I2" s="709"/>
      <c r="J2" s="752" t="s">
        <v>175</v>
      </c>
      <c r="K2" s="712"/>
      <c r="L2" s="709" t="s">
        <v>145</v>
      </c>
      <c r="M2" s="709"/>
    </row>
    <row r="3" spans="1:13" x14ac:dyDescent="0.25">
      <c r="A3" s="3" t="s">
        <v>4</v>
      </c>
      <c r="B3" s="3" t="s">
        <v>45</v>
      </c>
      <c r="C3" s="81"/>
      <c r="D3" s="3" t="s">
        <v>45</v>
      </c>
      <c r="E3" s="81"/>
      <c r="F3" s="3" t="s">
        <v>45</v>
      </c>
      <c r="G3" s="3" t="s">
        <v>42</v>
      </c>
      <c r="H3" s="3" t="s">
        <v>45</v>
      </c>
      <c r="I3" s="3" t="s">
        <v>42</v>
      </c>
      <c r="J3" s="3" t="s">
        <v>45</v>
      </c>
      <c r="K3" s="3" t="s">
        <v>42</v>
      </c>
      <c r="L3" s="3" t="s">
        <v>45</v>
      </c>
      <c r="M3" s="3" t="s">
        <v>42</v>
      </c>
    </row>
    <row r="4" spans="1:13" x14ac:dyDescent="0.25">
      <c r="A4" s="3"/>
      <c r="B4" s="1" t="s">
        <v>46</v>
      </c>
      <c r="C4" s="81"/>
      <c r="D4" s="1" t="s">
        <v>46</v>
      </c>
      <c r="E4" s="81"/>
      <c r="F4" s="1" t="s">
        <v>46</v>
      </c>
      <c r="G4" s="1" t="s">
        <v>46</v>
      </c>
      <c r="H4" s="1" t="s">
        <v>46</v>
      </c>
      <c r="I4" s="1" t="s">
        <v>46</v>
      </c>
      <c r="J4" s="1" t="s">
        <v>46</v>
      </c>
      <c r="K4" s="1" t="s">
        <v>46</v>
      </c>
      <c r="L4" s="1" t="s">
        <v>46</v>
      </c>
      <c r="M4" s="1" t="s">
        <v>46</v>
      </c>
    </row>
    <row r="5" spans="1:13" ht="22.5" customHeight="1" x14ac:dyDescent="0.25">
      <c r="A5" s="3"/>
      <c r="B5" s="710" t="s">
        <v>119</v>
      </c>
      <c r="C5" s="710"/>
      <c r="D5" s="714" t="s">
        <v>119</v>
      </c>
      <c r="E5" s="751"/>
      <c r="F5" s="714" t="s">
        <v>119</v>
      </c>
      <c r="G5" s="751"/>
      <c r="H5" s="714" t="s">
        <v>114</v>
      </c>
      <c r="I5" s="751"/>
      <c r="J5" s="714" t="s">
        <v>114</v>
      </c>
      <c r="K5" s="751"/>
      <c r="L5" s="710" t="s">
        <v>112</v>
      </c>
      <c r="M5" s="710"/>
    </row>
    <row r="6" spans="1:13" x14ac:dyDescent="0.25">
      <c r="A6" s="6" t="s">
        <v>23</v>
      </c>
      <c r="B6" s="96">
        <f>113945.03-888.25</f>
        <v>113056.78</v>
      </c>
      <c r="C6" s="95"/>
      <c r="D6" s="85">
        <v>334556.28000000003</v>
      </c>
      <c r="E6" s="81"/>
      <c r="F6" s="96">
        <f>4701.11+37.72</f>
        <v>4738.83</v>
      </c>
      <c r="G6" s="99">
        <f>31124.3+217.45</f>
        <v>31341.75</v>
      </c>
      <c r="H6" s="85">
        <v>37744.870000000003</v>
      </c>
      <c r="I6" s="90">
        <v>38545.4</v>
      </c>
      <c r="J6" s="96">
        <v>35387.99</v>
      </c>
      <c r="K6" s="99">
        <v>39132.49</v>
      </c>
      <c r="L6" s="85">
        <v>157704.72</v>
      </c>
      <c r="M6" s="90">
        <v>202992.64000000001</v>
      </c>
    </row>
    <row r="7" spans="1:13" x14ac:dyDescent="0.25">
      <c r="A7" s="6" t="s">
        <v>50</v>
      </c>
      <c r="B7" s="96">
        <v>106024.52</v>
      </c>
      <c r="C7" s="95"/>
      <c r="D7" s="85">
        <v>330269.23</v>
      </c>
      <c r="E7" s="81"/>
      <c r="F7" s="96">
        <v>1774.92</v>
      </c>
      <c r="G7" s="96">
        <v>23777.82</v>
      </c>
      <c r="H7" s="85">
        <f>36058.44-331.27</f>
        <v>35727.170000000006</v>
      </c>
      <c r="I7" s="85">
        <f>36780.13-386.71</f>
        <v>36393.42</v>
      </c>
      <c r="J7" s="96">
        <v>34229.919999999998</v>
      </c>
      <c r="K7" s="96">
        <v>37810.839999999997</v>
      </c>
      <c r="L7" s="85">
        <v>157512.70000000001</v>
      </c>
      <c r="M7" s="85">
        <v>202801.61</v>
      </c>
    </row>
    <row r="8" spans="1:13" x14ac:dyDescent="0.25">
      <c r="A8" s="6" t="s">
        <v>52</v>
      </c>
      <c r="B8" s="96">
        <f>B6-B7</f>
        <v>7032.2599999999948</v>
      </c>
      <c r="C8" s="95"/>
      <c r="D8" s="85">
        <f>D6-D7</f>
        <v>4287.0500000000466</v>
      </c>
      <c r="E8" s="81"/>
      <c r="F8" s="96">
        <f t="shared" ref="F8:M8" si="0">F6-F7</f>
        <v>2963.91</v>
      </c>
      <c r="G8" s="96">
        <f t="shared" si="0"/>
        <v>7563.93</v>
      </c>
      <c r="H8" s="85">
        <f t="shared" si="0"/>
        <v>2017.6999999999971</v>
      </c>
      <c r="I8" s="85">
        <f t="shared" si="0"/>
        <v>2151.9800000000032</v>
      </c>
      <c r="J8" s="96">
        <f t="shared" si="0"/>
        <v>1158.0699999999997</v>
      </c>
      <c r="K8" s="96">
        <f t="shared" si="0"/>
        <v>1321.6500000000015</v>
      </c>
      <c r="L8" s="85">
        <f t="shared" si="0"/>
        <v>192.01999999998952</v>
      </c>
      <c r="M8" s="85">
        <f t="shared" si="0"/>
        <v>191.03000000002794</v>
      </c>
    </row>
    <row r="9" spans="1:13" x14ac:dyDescent="0.25">
      <c r="A9" s="6" t="s">
        <v>24</v>
      </c>
      <c r="B9" s="96">
        <v>75150.23</v>
      </c>
      <c r="C9" s="95"/>
      <c r="D9" s="85">
        <v>222918.68</v>
      </c>
      <c r="E9" s="81"/>
      <c r="F9" s="96">
        <v>185.73</v>
      </c>
      <c r="G9" s="96">
        <v>14275.62</v>
      </c>
      <c r="H9" s="85">
        <v>23194.49</v>
      </c>
      <c r="I9" s="85">
        <v>22671.3</v>
      </c>
      <c r="J9" s="96">
        <v>21489.08</v>
      </c>
      <c r="K9" s="96">
        <v>22052.91</v>
      </c>
      <c r="L9" s="85">
        <v>112370.53</v>
      </c>
      <c r="M9" s="85">
        <v>140747.82</v>
      </c>
    </row>
    <row r="10" spans="1:13" x14ac:dyDescent="0.25">
      <c r="A10" s="6" t="s">
        <v>53</v>
      </c>
      <c r="B10" s="97">
        <f>B7-B9</f>
        <v>30874.290000000008</v>
      </c>
      <c r="C10" s="95"/>
      <c r="D10" s="89">
        <f>D7-D9</f>
        <v>107350.54999999999</v>
      </c>
      <c r="E10" s="81"/>
      <c r="F10" s="97">
        <f t="shared" ref="F10:M10" si="1">F7-F9</f>
        <v>1589.19</v>
      </c>
      <c r="G10" s="97">
        <f t="shared" si="1"/>
        <v>9502.1999999999989</v>
      </c>
      <c r="H10" s="89">
        <f t="shared" si="1"/>
        <v>12532.680000000004</v>
      </c>
      <c r="I10" s="89">
        <f t="shared" si="1"/>
        <v>13722.119999999999</v>
      </c>
      <c r="J10" s="97">
        <f t="shared" si="1"/>
        <v>12740.839999999997</v>
      </c>
      <c r="K10" s="97">
        <f t="shared" si="1"/>
        <v>15757.929999999997</v>
      </c>
      <c r="L10" s="89">
        <f t="shared" si="1"/>
        <v>45142.170000000013</v>
      </c>
      <c r="M10" s="89">
        <f t="shared" si="1"/>
        <v>62053.789999999979</v>
      </c>
    </row>
    <row r="11" spans="1:13" x14ac:dyDescent="0.25">
      <c r="A11" s="6" t="s">
        <v>1</v>
      </c>
      <c r="B11" s="97">
        <f>SUM(B7:B8)</f>
        <v>113056.78</v>
      </c>
      <c r="C11" s="95"/>
      <c r="D11" s="89">
        <f>SUM(D7:D8)</f>
        <v>334556.28000000003</v>
      </c>
      <c r="E11" s="81"/>
      <c r="F11" s="97">
        <f t="shared" ref="F11:M11" si="2">SUM(F7:F8)</f>
        <v>4738.83</v>
      </c>
      <c r="G11" s="97">
        <f t="shared" si="2"/>
        <v>31341.75</v>
      </c>
      <c r="H11" s="89">
        <f t="shared" si="2"/>
        <v>37744.870000000003</v>
      </c>
      <c r="I11" s="89">
        <f t="shared" si="2"/>
        <v>38545.4</v>
      </c>
      <c r="J11" s="97">
        <f t="shared" si="2"/>
        <v>35387.99</v>
      </c>
      <c r="K11" s="97">
        <f t="shared" si="2"/>
        <v>39132.49</v>
      </c>
      <c r="L11" s="89">
        <f t="shared" si="2"/>
        <v>157704.72</v>
      </c>
      <c r="M11" s="89">
        <f t="shared" si="2"/>
        <v>202992.64000000001</v>
      </c>
    </row>
    <row r="12" spans="1:13" x14ac:dyDescent="0.25">
      <c r="A12" s="6" t="s">
        <v>91</v>
      </c>
      <c r="B12" s="97">
        <v>888.25</v>
      </c>
      <c r="C12" s="95"/>
      <c r="D12" s="89">
        <v>66770.899999999994</v>
      </c>
      <c r="E12" s="81"/>
      <c r="F12" s="97"/>
      <c r="G12" s="97">
        <v>52.65</v>
      </c>
      <c r="H12" s="89">
        <v>21.7</v>
      </c>
      <c r="I12" s="89">
        <v>45.77</v>
      </c>
      <c r="J12" s="97">
        <v>22.55</v>
      </c>
      <c r="K12" s="97">
        <v>97.96</v>
      </c>
      <c r="L12" s="89">
        <v>3.9</v>
      </c>
      <c r="M12" s="89">
        <v>23.33</v>
      </c>
    </row>
    <row r="13" spans="1:13" x14ac:dyDescent="0.25">
      <c r="A13" s="6" t="s">
        <v>25</v>
      </c>
      <c r="B13" s="98">
        <f>B11+B12</f>
        <v>113945.03</v>
      </c>
      <c r="C13" s="95"/>
      <c r="D13" s="88">
        <f>D11+D12</f>
        <v>401327.18000000005</v>
      </c>
      <c r="E13" s="81"/>
      <c r="F13" s="98">
        <f t="shared" ref="F13:M13" si="3">F11+F12</f>
        <v>4738.83</v>
      </c>
      <c r="G13" s="98">
        <f t="shared" si="3"/>
        <v>31394.400000000001</v>
      </c>
      <c r="H13" s="88">
        <f t="shared" si="3"/>
        <v>37766.57</v>
      </c>
      <c r="I13" s="88">
        <f t="shared" si="3"/>
        <v>38591.17</v>
      </c>
      <c r="J13" s="98">
        <f t="shared" si="3"/>
        <v>35410.54</v>
      </c>
      <c r="K13" s="98">
        <f t="shared" si="3"/>
        <v>39230.449999999997</v>
      </c>
      <c r="L13" s="88">
        <f t="shared" si="3"/>
        <v>157708.62</v>
      </c>
      <c r="M13" s="88">
        <f t="shared" si="3"/>
        <v>203015.97</v>
      </c>
    </row>
    <row r="14" spans="1:13" x14ac:dyDescent="0.25">
      <c r="A14" s="6" t="s">
        <v>26</v>
      </c>
      <c r="B14" s="96">
        <f>148.02+595.82+1674.33+595.43+3492.87</f>
        <v>6506.4699999999993</v>
      </c>
      <c r="C14" s="95"/>
      <c r="D14" s="85">
        <f>179639.16+1449.42+3140.16+2537.32+4934.5</f>
        <v>191700.56000000003</v>
      </c>
      <c r="E14" s="81"/>
      <c r="F14" s="96">
        <f>599.25+2.76+447.43</f>
        <v>1049.44</v>
      </c>
      <c r="G14" s="96">
        <f>1090.24+20.15+959.1</f>
        <v>2069.4900000000002</v>
      </c>
      <c r="H14" s="85">
        <f>70.8+222.61+11.17+194.62+518.95+14.28-164.06</f>
        <v>868.37000000000012</v>
      </c>
      <c r="I14" s="85">
        <f>10.18+213.11+13.2+214.72+122.71+905.58</f>
        <v>1479.5</v>
      </c>
      <c r="J14" s="96">
        <f>330.26+9.95+144.84+9.53+144.32+106.71</f>
        <v>745.6099999999999</v>
      </c>
      <c r="K14" s="96">
        <f>799.05+16.73+158.86+17.96+170.67+116.06</f>
        <v>1279.33</v>
      </c>
      <c r="L14" s="85">
        <f>78.47+44.32+1026.84</f>
        <v>1149.6299999999999</v>
      </c>
      <c r="M14" s="85">
        <f>107.48+140.25+1114.26</f>
        <v>1361.99</v>
      </c>
    </row>
    <row r="15" spans="1:13" x14ac:dyDescent="0.25">
      <c r="A15" s="6" t="s">
        <v>54</v>
      </c>
      <c r="B15" s="97">
        <f>B11-B14</f>
        <v>106550.31</v>
      </c>
      <c r="C15" s="95"/>
      <c r="D15" s="89">
        <f>D11-D14</f>
        <v>142855.72</v>
      </c>
      <c r="E15" s="81"/>
      <c r="F15" s="97">
        <f t="shared" ref="F15:M15" si="4">F11-F14</f>
        <v>3689.39</v>
      </c>
      <c r="G15" s="97">
        <f t="shared" si="4"/>
        <v>29272.26</v>
      </c>
      <c r="H15" s="89">
        <f t="shared" si="4"/>
        <v>36876.5</v>
      </c>
      <c r="I15" s="89">
        <f t="shared" si="4"/>
        <v>37065.9</v>
      </c>
      <c r="J15" s="97">
        <f t="shared" si="4"/>
        <v>34642.379999999997</v>
      </c>
      <c r="K15" s="97">
        <f t="shared" si="4"/>
        <v>37853.159999999996</v>
      </c>
      <c r="L15" s="89">
        <f t="shared" si="4"/>
        <v>156555.09</v>
      </c>
      <c r="M15" s="89">
        <f t="shared" si="4"/>
        <v>201630.65000000002</v>
      </c>
    </row>
    <row r="16" spans="1:13" x14ac:dyDescent="0.25">
      <c r="A16" s="6" t="s">
        <v>94</v>
      </c>
      <c r="B16" s="97">
        <f>B13-B14-B9</f>
        <v>32288.33</v>
      </c>
      <c r="C16" s="95"/>
      <c r="D16" s="89">
        <f>D13-D14-D9</f>
        <v>-13292.059999999969</v>
      </c>
      <c r="E16" s="81"/>
      <c r="F16" s="97">
        <f t="shared" ref="F16:M16" si="5">F13-F14-F9</f>
        <v>3503.66</v>
      </c>
      <c r="G16" s="97">
        <f t="shared" si="5"/>
        <v>15049.289999999999</v>
      </c>
      <c r="H16" s="89">
        <f t="shared" si="5"/>
        <v>13703.709999999995</v>
      </c>
      <c r="I16" s="89">
        <f t="shared" si="5"/>
        <v>14440.369999999999</v>
      </c>
      <c r="J16" s="97">
        <f t="shared" si="5"/>
        <v>13175.849999999999</v>
      </c>
      <c r="K16" s="97">
        <f t="shared" si="5"/>
        <v>15898.209999999995</v>
      </c>
      <c r="L16" s="89">
        <f t="shared" si="5"/>
        <v>44188.459999999992</v>
      </c>
      <c r="M16" s="89">
        <f t="shared" si="5"/>
        <v>60906.16</v>
      </c>
    </row>
    <row r="17" spans="1:13" x14ac:dyDescent="0.25">
      <c r="A17" s="6" t="s">
        <v>27</v>
      </c>
      <c r="B17" s="96">
        <v>22946.97</v>
      </c>
      <c r="C17" s="95"/>
      <c r="D17" s="85">
        <v>-44834.61</v>
      </c>
      <c r="E17" s="81"/>
      <c r="F17" s="96">
        <v>854.97</v>
      </c>
      <c r="G17" s="96">
        <v>4239.51</v>
      </c>
      <c r="H17" s="85">
        <v>3496.4</v>
      </c>
      <c r="I17" s="85">
        <v>2222.14</v>
      </c>
      <c r="J17" s="96">
        <v>2419.62</v>
      </c>
      <c r="K17" s="96">
        <v>3473.31</v>
      </c>
      <c r="L17" s="85">
        <v>27.15</v>
      </c>
      <c r="M17" s="85">
        <v>4.6100000000000003</v>
      </c>
    </row>
    <row r="18" spans="1:13" x14ac:dyDescent="0.25">
      <c r="A18" s="6" t="s">
        <v>55</v>
      </c>
      <c r="B18" s="97">
        <v>2560.31</v>
      </c>
      <c r="C18" s="95"/>
      <c r="D18" s="89">
        <v>28527.45</v>
      </c>
      <c r="E18" s="81"/>
      <c r="F18" s="97">
        <v>2080.0300000000002</v>
      </c>
      <c r="G18" s="97">
        <v>8523.3700000000008</v>
      </c>
      <c r="H18" s="89">
        <v>8444.01</v>
      </c>
      <c r="I18" s="89">
        <v>10021.9</v>
      </c>
      <c r="J18" s="97">
        <v>8361.7800000000007</v>
      </c>
      <c r="K18" s="97">
        <v>10045.92</v>
      </c>
      <c r="L18" s="89">
        <v>44161.31</v>
      </c>
      <c r="M18" s="89">
        <v>60898.36</v>
      </c>
    </row>
    <row r="19" spans="1:13" x14ac:dyDescent="0.25">
      <c r="A19" s="6" t="s">
        <v>28</v>
      </c>
      <c r="B19" s="96">
        <v>211950.43</v>
      </c>
      <c r="C19" s="95"/>
      <c r="D19" s="85">
        <v>1065447.1000000001</v>
      </c>
      <c r="E19" s="81"/>
      <c r="F19" s="96">
        <v>225275.48</v>
      </c>
      <c r="G19" s="96">
        <v>265402.73</v>
      </c>
      <c r="H19" s="85">
        <v>52393.120000000003</v>
      </c>
      <c r="I19" s="85">
        <v>59350.28</v>
      </c>
      <c r="J19" s="96">
        <v>43426.37</v>
      </c>
      <c r="K19" s="96">
        <v>50985.599999999999</v>
      </c>
      <c r="L19" s="85">
        <v>359133.82</v>
      </c>
      <c r="M19" s="85">
        <v>409963.4</v>
      </c>
    </row>
    <row r="20" spans="1:13" x14ac:dyDescent="0.25">
      <c r="A20" s="6" t="s">
        <v>57</v>
      </c>
      <c r="B20" s="96">
        <f>63608.8+853810.92</f>
        <v>917419.72000000009</v>
      </c>
      <c r="C20" s="95"/>
      <c r="D20" s="85">
        <f>1848997.24+2121065.96</f>
        <v>3970063.2</v>
      </c>
      <c r="E20" s="81"/>
      <c r="F20" s="96">
        <v>44182.49</v>
      </c>
      <c r="G20" s="96">
        <v>472748.4</v>
      </c>
      <c r="H20" s="85">
        <f>242811.54+80837.6+9310.2</f>
        <v>332959.34000000003</v>
      </c>
      <c r="I20" s="85">
        <f>230156.95+87965.42+9311.27</f>
        <v>327433.64</v>
      </c>
      <c r="J20" s="96">
        <f>237328.06+85507.36+6946.89</f>
        <v>329782.31</v>
      </c>
      <c r="K20" s="96">
        <f>219633.57+106651.59+6816.47</f>
        <v>333101.63</v>
      </c>
      <c r="L20" s="85">
        <f>1785747.89+1445358.9</f>
        <v>3231106.79</v>
      </c>
      <c r="M20" s="85">
        <f>1941749.53+1942416.65</f>
        <v>3884166.1799999997</v>
      </c>
    </row>
    <row r="21" spans="1:13" x14ac:dyDescent="0.25">
      <c r="A21" s="6" t="s">
        <v>29</v>
      </c>
      <c r="B21" s="96">
        <v>1153207.56</v>
      </c>
      <c r="C21" s="95"/>
      <c r="D21" s="85">
        <v>5552458.6299999999</v>
      </c>
      <c r="E21" s="81"/>
      <c r="F21" s="96">
        <v>270460.33</v>
      </c>
      <c r="G21" s="96">
        <v>847219.57</v>
      </c>
      <c r="H21" s="85">
        <v>392084.07</v>
      </c>
      <c r="I21" s="85">
        <v>394410.01</v>
      </c>
      <c r="J21" s="96">
        <v>400233.19</v>
      </c>
      <c r="K21" s="96">
        <v>410412.61</v>
      </c>
      <c r="L21" s="85">
        <v>3804815.23</v>
      </c>
      <c r="M21" s="85">
        <v>4499802.24</v>
      </c>
    </row>
    <row r="22" spans="1:13" x14ac:dyDescent="0.25">
      <c r="A22" s="6" t="s">
        <v>58</v>
      </c>
      <c r="B22" s="96">
        <v>1058977.1200000001</v>
      </c>
      <c r="C22" s="95"/>
      <c r="D22" s="85">
        <v>3670259.98</v>
      </c>
      <c r="E22" s="81"/>
      <c r="F22" s="96">
        <v>158832.28</v>
      </c>
      <c r="G22" s="96">
        <v>699194.28</v>
      </c>
      <c r="H22" s="85">
        <v>376665.52</v>
      </c>
      <c r="I22" s="85">
        <v>378201.04</v>
      </c>
      <c r="J22" s="96">
        <v>378467.6</v>
      </c>
      <c r="K22" s="96">
        <v>386635.2</v>
      </c>
      <c r="L22" s="85">
        <v>69978.06</v>
      </c>
      <c r="M22" s="85">
        <v>68522.14</v>
      </c>
    </row>
    <row r="23" spans="1:13" x14ac:dyDescent="0.25">
      <c r="A23" s="6" t="s">
        <v>59</v>
      </c>
      <c r="B23" s="97">
        <v>82410.63</v>
      </c>
      <c r="C23" s="95"/>
      <c r="D23" s="89">
        <v>510043.88</v>
      </c>
      <c r="E23" s="81"/>
      <c r="F23" s="97"/>
      <c r="G23" s="97"/>
      <c r="H23" s="89">
        <v>21150.16</v>
      </c>
      <c r="I23" s="89">
        <v>20915.28</v>
      </c>
      <c r="J23" s="97">
        <v>18256.93</v>
      </c>
      <c r="K23" s="97">
        <v>17159.89</v>
      </c>
      <c r="L23" s="89"/>
      <c r="M23" s="89"/>
    </row>
    <row r="24" spans="1:13" x14ac:dyDescent="0.25">
      <c r="A24" s="6" t="s">
        <v>60</v>
      </c>
      <c r="B24" s="97">
        <v>31305.84</v>
      </c>
      <c r="C24" s="95"/>
      <c r="D24" s="89">
        <v>197718.2</v>
      </c>
      <c r="E24" s="81"/>
      <c r="F24" s="97"/>
      <c r="G24" s="97"/>
      <c r="H24" s="89">
        <v>7733.8</v>
      </c>
      <c r="I24" s="89">
        <v>6570.9</v>
      </c>
      <c r="J24" s="97">
        <v>6465.62</v>
      </c>
      <c r="K24" s="97">
        <v>5594.16</v>
      </c>
      <c r="L24" s="89"/>
      <c r="M24" s="89"/>
    </row>
    <row r="25" spans="1:13" x14ac:dyDescent="0.25">
      <c r="I25" s="81"/>
    </row>
    <row r="26" spans="1:13" x14ac:dyDescent="0.25">
      <c r="A26" s="103" t="s">
        <v>6</v>
      </c>
      <c r="B26" s="112" t="s">
        <v>10</v>
      </c>
      <c r="C26" s="112"/>
      <c r="D26" s="112" t="s">
        <v>10</v>
      </c>
      <c r="E26" s="112"/>
      <c r="F26" s="112" t="s">
        <v>10</v>
      </c>
      <c r="G26" s="112" t="s">
        <v>90</v>
      </c>
      <c r="H26" s="112" t="s">
        <v>10</v>
      </c>
      <c r="I26" s="112" t="s">
        <v>90</v>
      </c>
      <c r="J26" s="112" t="s">
        <v>10</v>
      </c>
      <c r="K26" s="112" t="s">
        <v>90</v>
      </c>
      <c r="L26" s="112" t="s">
        <v>10</v>
      </c>
      <c r="M26" s="112" t="s">
        <v>90</v>
      </c>
    </row>
    <row r="27" spans="1:13" x14ac:dyDescent="0.25">
      <c r="A27" s="42" t="s">
        <v>11</v>
      </c>
      <c r="B27" s="100">
        <v>2.8804281272013628E-2</v>
      </c>
      <c r="C27" s="95"/>
      <c r="D27" s="82">
        <v>3.0523406523348267E-2</v>
      </c>
      <c r="E27" s="81"/>
      <c r="F27" s="140">
        <v>1.0005459847330781E-2</v>
      </c>
      <c r="G27" s="140">
        <v>2.2148964712700732E-2</v>
      </c>
      <c r="H27" s="82">
        <v>3.4498598935192963E-2</v>
      </c>
      <c r="I27" s="82">
        <v>3.6356412449903723E-2</v>
      </c>
      <c r="J27" s="100">
        <v>3.6270420231160568E-2</v>
      </c>
      <c r="K27" s="100">
        <v>4.1191667315816895E-2</v>
      </c>
      <c r="L27" s="82">
        <v>0.67141008824736359</v>
      </c>
      <c r="M27" s="82">
        <v>0.89608231612661893</v>
      </c>
    </row>
    <row r="28" spans="1:13" x14ac:dyDescent="0.25">
      <c r="A28" s="40" t="s">
        <v>12</v>
      </c>
      <c r="B28" s="95" t="s">
        <v>5</v>
      </c>
      <c r="C28" s="95"/>
      <c r="D28" s="81" t="s">
        <v>5</v>
      </c>
      <c r="E28" s="81"/>
      <c r="F28" s="141" t="s">
        <v>5</v>
      </c>
      <c r="G28" s="141"/>
      <c r="H28" s="81" t="s">
        <v>5</v>
      </c>
      <c r="I28" s="81"/>
      <c r="J28" s="95" t="s">
        <v>5</v>
      </c>
      <c r="K28" s="95"/>
      <c r="L28" s="81" t="s">
        <v>5</v>
      </c>
      <c r="M28" s="81"/>
    </row>
    <row r="29" spans="1:13" x14ac:dyDescent="0.25">
      <c r="A29" s="42" t="s">
        <v>127</v>
      </c>
      <c r="B29" s="101">
        <v>4.3284635940582907</v>
      </c>
      <c r="C29" s="95"/>
      <c r="D29" s="84">
        <v>3.7261945712743505</v>
      </c>
      <c r="E29" s="81"/>
      <c r="F29" s="142">
        <v>0.19612649366011781</v>
      </c>
      <c r="G29" s="142">
        <v>1.7812491981525589</v>
      </c>
      <c r="H29" s="84">
        <v>6.3550202774715459</v>
      </c>
      <c r="I29" s="84">
        <v>5.5169687489258692</v>
      </c>
      <c r="J29" s="101">
        <v>7.5940565605644679</v>
      </c>
      <c r="K29" s="101">
        <v>6.5332491919287019</v>
      </c>
      <c r="L29" s="84">
        <v>8.9969437854669323</v>
      </c>
      <c r="M29" s="84">
        <v>9.4744218142400012</v>
      </c>
    </row>
    <row r="30" spans="1:13" x14ac:dyDescent="0.25">
      <c r="A30" s="42" t="s">
        <v>14</v>
      </c>
      <c r="B30" s="100">
        <v>0.24099999999999999</v>
      </c>
      <c r="C30" s="95"/>
      <c r="D30" s="82">
        <v>0.30859999999999999</v>
      </c>
      <c r="E30" s="81"/>
      <c r="F30" s="140">
        <v>1.5086999999999999</v>
      </c>
      <c r="G30" s="140">
        <v>0.35199999999999998</v>
      </c>
      <c r="H30" s="82">
        <v>0.1883</v>
      </c>
      <c r="I30" s="82">
        <v>0.23480000000000001</v>
      </c>
      <c r="J30" s="100">
        <v>0.19719999999999999</v>
      </c>
      <c r="K30" s="100">
        <v>0.2361</v>
      </c>
      <c r="L30" s="82">
        <v>4.2046000000000001</v>
      </c>
      <c r="M30" s="82">
        <v>4.3973000000000004</v>
      </c>
    </row>
    <row r="31" spans="1:13" x14ac:dyDescent="0.25">
      <c r="A31" s="42" t="s">
        <v>128</v>
      </c>
      <c r="B31" s="100">
        <v>0.20014637332296656</v>
      </c>
      <c r="C31" s="95"/>
      <c r="D31" s="82">
        <v>0.29029199724429333</v>
      </c>
      <c r="E31" s="81"/>
      <c r="F31" s="140">
        <v>1.4183230260246846</v>
      </c>
      <c r="G31" s="140">
        <v>0.37958366879088307</v>
      </c>
      <c r="H31" s="82">
        <v>0.13909720220741204</v>
      </c>
      <c r="I31" s="82">
        <v>0.15692786037817347</v>
      </c>
      <c r="J31" s="100">
        <v>0.1147426358293286</v>
      </c>
      <c r="K31" s="100">
        <v>0.1318700418378875</v>
      </c>
      <c r="L31" s="82">
        <v>5.1320916870230473</v>
      </c>
      <c r="M31" s="82">
        <v>5.9829333993363321</v>
      </c>
    </row>
    <row r="32" spans="1:13" x14ac:dyDescent="0.25">
      <c r="A32" s="40" t="s">
        <v>16</v>
      </c>
      <c r="B32" s="95" t="s">
        <v>5</v>
      </c>
      <c r="C32" s="95"/>
      <c r="D32" s="81" t="s">
        <v>5</v>
      </c>
      <c r="E32" s="81"/>
      <c r="F32" s="141" t="s">
        <v>5</v>
      </c>
      <c r="G32" s="141"/>
      <c r="H32" s="81" t="s">
        <v>5</v>
      </c>
      <c r="I32" s="81"/>
      <c r="J32" s="95" t="s">
        <v>5</v>
      </c>
      <c r="K32" s="95"/>
      <c r="L32" s="81" t="s">
        <v>5</v>
      </c>
      <c r="M32" s="81"/>
    </row>
    <row r="33" spans="1:13" ht="33.75" x14ac:dyDescent="0.25">
      <c r="A33" s="49" t="s">
        <v>93</v>
      </c>
      <c r="B33" s="102">
        <v>0.17164500594224477</v>
      </c>
      <c r="C33" s="95"/>
      <c r="D33" s="94">
        <v>1.7171684092098001</v>
      </c>
      <c r="E33" s="81"/>
      <c r="F33" s="140">
        <v>0.23048911730469349</v>
      </c>
      <c r="G33" s="140">
        <v>0.12126299284020457</v>
      </c>
      <c r="H33" s="94">
        <v>5.9680228282697777E-2</v>
      </c>
      <c r="I33" s="94">
        <v>9.320213429422769E-2</v>
      </c>
      <c r="J33" s="100">
        <v>5.3645213905263084E-2</v>
      </c>
      <c r="K33" s="100">
        <v>7.4904066727636165E-2</v>
      </c>
      <c r="L33" s="82">
        <v>2.5359006083487977E-2</v>
      </c>
      <c r="M33" s="82">
        <v>2.1881178224951087E-2</v>
      </c>
    </row>
    <row r="34" spans="1:13" ht="22.5" x14ac:dyDescent="0.25">
      <c r="A34" s="42" t="s">
        <v>92</v>
      </c>
      <c r="B34" s="100">
        <v>5.7550462696708674E-2</v>
      </c>
      <c r="C34" s="95"/>
      <c r="D34" s="82">
        <v>0.57299943674648701</v>
      </c>
      <c r="E34" s="81"/>
      <c r="F34" s="140">
        <v>0.22145550695002778</v>
      </c>
      <c r="G34" s="140">
        <v>6.6029816458876747E-2</v>
      </c>
      <c r="H34" s="82">
        <v>2.3006305227703795E-2</v>
      </c>
      <c r="I34" s="82">
        <v>3.8383309032984481E-2</v>
      </c>
      <c r="J34" s="100">
        <v>2.106957756007052E-2</v>
      </c>
      <c r="K34" s="100">
        <v>3.2692271818123508E-2</v>
      </c>
      <c r="L34" s="82">
        <v>7.2897627921345654E-3</v>
      </c>
      <c r="M34" s="82">
        <v>6.7095536074608412E-3</v>
      </c>
    </row>
    <row r="35" spans="1:13" ht="22.5" x14ac:dyDescent="0.25">
      <c r="A35" s="42" t="s">
        <v>17</v>
      </c>
      <c r="B35" s="100">
        <v>5.6153399003180003E-3</v>
      </c>
      <c r="C35" s="95"/>
      <c r="D35" s="82">
        <v>3.5608329054348166E-2</v>
      </c>
      <c r="E35" s="81"/>
      <c r="F35" s="140">
        <v>3.880199362324227E-3</v>
      </c>
      <c r="G35" s="140">
        <v>3.7031890794493134E-3</v>
      </c>
      <c r="H35" s="82">
        <v>2.3037618369171832E-3</v>
      </c>
      <c r="I35" s="82">
        <v>3.7622660808839144E-3</v>
      </c>
      <c r="J35" s="100">
        <v>1.9970249120427582E-3</v>
      </c>
      <c r="K35" s="100">
        <v>3.1563230204856422E-3</v>
      </c>
      <c r="L35" s="82">
        <v>3.5050461743940702E-4</v>
      </c>
      <c r="M35" s="82">
        <v>3.2800788354674207E-4</v>
      </c>
    </row>
    <row r="36" spans="1:13" x14ac:dyDescent="0.25">
      <c r="A36" s="40" t="s">
        <v>18</v>
      </c>
      <c r="B36" s="95" t="s">
        <v>5</v>
      </c>
      <c r="C36" s="95"/>
      <c r="D36" s="81" t="s">
        <v>5</v>
      </c>
      <c r="E36" s="81"/>
      <c r="F36" s="141" t="s">
        <v>5</v>
      </c>
      <c r="G36" s="141"/>
      <c r="H36" s="81" t="s">
        <v>5</v>
      </c>
      <c r="I36" s="81"/>
      <c r="J36" s="95" t="s">
        <v>5</v>
      </c>
      <c r="K36" s="95"/>
      <c r="L36" s="81" t="s">
        <v>5</v>
      </c>
      <c r="M36" s="81"/>
    </row>
    <row r="37" spans="1:13" x14ac:dyDescent="0.25">
      <c r="A37" s="42" t="s">
        <v>19</v>
      </c>
      <c r="B37" s="100">
        <v>7.7820973129240037E-2</v>
      </c>
      <c r="C37" s="95"/>
      <c r="D37" s="82">
        <v>0.13896668976566615</v>
      </c>
      <c r="E37" s="81"/>
      <c r="F37" s="140">
        <v>0</v>
      </c>
      <c r="G37" s="140">
        <v>0</v>
      </c>
      <c r="H37" s="82">
        <v>5.6151038194310963E-2</v>
      </c>
      <c r="I37" s="82">
        <v>5.5302016091759026E-2</v>
      </c>
      <c r="J37" s="100">
        <v>4.8239083081352281E-2</v>
      </c>
      <c r="K37" s="100">
        <v>4.4382637690515502E-2</v>
      </c>
      <c r="L37" s="82">
        <v>0</v>
      </c>
      <c r="M37" s="82">
        <v>0</v>
      </c>
    </row>
    <row r="38" spans="1:13" x14ac:dyDescent="0.25">
      <c r="A38" s="42" t="s">
        <v>20</v>
      </c>
      <c r="B38" s="100">
        <v>2.9562338419549611E-2</v>
      </c>
      <c r="C38" s="95"/>
      <c r="D38" s="82">
        <v>5.3870352802637161E-2</v>
      </c>
      <c r="E38" s="81"/>
      <c r="F38" s="140">
        <v>0</v>
      </c>
      <c r="G38" s="140">
        <v>0</v>
      </c>
      <c r="H38" s="82">
        <v>2.0532274894712953E-2</v>
      </c>
      <c r="I38" s="82">
        <v>1.7374092889855617E-2</v>
      </c>
      <c r="J38" s="100">
        <v>1.708368166786272E-2</v>
      </c>
      <c r="K38" s="100">
        <v>1.4468832636035208E-2</v>
      </c>
      <c r="L38" s="82">
        <v>0</v>
      </c>
      <c r="M38" s="82">
        <v>0</v>
      </c>
    </row>
    <row r="39" spans="1:13" x14ac:dyDescent="0.25">
      <c r="A39" s="42" t="s">
        <v>21</v>
      </c>
      <c r="B39" s="100">
        <v>0.62012376316016515</v>
      </c>
      <c r="C39" s="95"/>
      <c r="D39" s="82">
        <v>0.61235060795161389</v>
      </c>
      <c r="E39" s="81"/>
      <c r="F39" s="140" t="e">
        <v>#DIV/0!</v>
      </c>
      <c r="G39" s="140" t="e">
        <v>#DIV/0!</v>
      </c>
      <c r="H39" s="82">
        <v>0.6343384636333721</v>
      </c>
      <c r="I39" s="82">
        <v>0.6858325587799925</v>
      </c>
      <c r="J39" s="100">
        <v>0.64585393053487083</v>
      </c>
      <c r="K39" s="100">
        <v>0.67399791024301436</v>
      </c>
      <c r="L39" s="82" t="e">
        <v>#DIV/0!</v>
      </c>
      <c r="M39" s="82" t="e">
        <v>#DIV/0!</v>
      </c>
    </row>
    <row r="40" spans="1:13" x14ac:dyDescent="0.25">
      <c r="A40" s="42" t="s">
        <v>22</v>
      </c>
      <c r="B40" s="100">
        <v>2.1408459213813773E-2</v>
      </c>
      <c r="C40" s="95"/>
      <c r="D40" s="82">
        <v>-1.2748002011594498E-2</v>
      </c>
      <c r="E40" s="81"/>
      <c r="F40" s="140">
        <v>5.3828478694633109E-3</v>
      </c>
      <c r="G40" s="140">
        <v>9.8820017879166812E-3</v>
      </c>
      <c r="H40" s="82">
        <v>9.6245097869736267E-3</v>
      </c>
      <c r="I40" s="82">
        <v>5.8875041437787354E-3</v>
      </c>
      <c r="J40" s="100">
        <v>6.8881356488050046E-3</v>
      </c>
      <c r="K40" s="100">
        <v>9.0793289476917335E-3</v>
      </c>
      <c r="L40" s="82">
        <v>4.0380832148556248E-4</v>
      </c>
      <c r="M40" s="82">
        <v>6.6570300981514825E-5</v>
      </c>
    </row>
    <row r="41" spans="1:13" x14ac:dyDescent="0.25">
      <c r="A41" s="18"/>
      <c r="B41" s="95"/>
      <c r="C41" s="95"/>
      <c r="D41" s="81"/>
      <c r="E41" s="81"/>
      <c r="F41" s="141"/>
      <c r="G41" s="141"/>
      <c r="H41" s="81"/>
      <c r="I41" s="81"/>
      <c r="J41" s="95"/>
      <c r="K41" s="95"/>
      <c r="L41" s="81"/>
      <c r="M41" s="81"/>
    </row>
    <row r="42" spans="1:13" x14ac:dyDescent="0.25">
      <c r="A42" s="40" t="s">
        <v>30</v>
      </c>
      <c r="B42" s="95" t="s">
        <v>5</v>
      </c>
      <c r="C42" s="95"/>
      <c r="D42" s="81" t="s">
        <v>5</v>
      </c>
      <c r="E42" s="81"/>
      <c r="F42" s="141" t="s">
        <v>5</v>
      </c>
      <c r="G42" s="141"/>
      <c r="H42" s="81" t="s">
        <v>5</v>
      </c>
      <c r="I42" s="81"/>
      <c r="J42" s="95" t="s">
        <v>5</v>
      </c>
      <c r="K42" s="95"/>
      <c r="L42" s="81" t="s">
        <v>5</v>
      </c>
      <c r="M42" s="81"/>
    </row>
    <row r="43" spans="1:13" ht="22.5" x14ac:dyDescent="0.25">
      <c r="A43" s="46" t="s">
        <v>95</v>
      </c>
      <c r="B43" s="100">
        <v>2.7866100629624777E-2</v>
      </c>
      <c r="C43" s="95"/>
      <c r="D43" s="82">
        <v>-2.4689966805007658E-3</v>
      </c>
      <c r="E43" s="81"/>
      <c r="F43" s="140">
        <v>1.2954432171254098E-2</v>
      </c>
      <c r="G43" s="140">
        <v>2.6929517118452252E-2</v>
      </c>
      <c r="H43" s="82">
        <v>3.6355567467992171E-2</v>
      </c>
      <c r="I43" s="82">
        <v>3.6720861268275527E-2</v>
      </c>
      <c r="J43" s="100">
        <v>3.5289897784818572E-2</v>
      </c>
      <c r="K43" s="100">
        <v>3.922356718556981E-2</v>
      </c>
      <c r="L43" s="82">
        <v>1.3472386130786896E-2</v>
      </c>
      <c r="M43" s="82">
        <v>1.4668022993237278E-2</v>
      </c>
    </row>
    <row r="44" spans="1:13" x14ac:dyDescent="0.25">
      <c r="A44" s="42" t="s">
        <v>31</v>
      </c>
      <c r="B44" s="100">
        <v>2.2096483807937609E-3</v>
      </c>
      <c r="C44" s="95"/>
      <c r="D44" s="82">
        <v>5.2989664019837211E-3</v>
      </c>
      <c r="E44" s="81"/>
      <c r="F44" s="140">
        <v>7.6907027363310549E-3</v>
      </c>
      <c r="G44" s="140">
        <v>1.5251898150803288E-2</v>
      </c>
      <c r="H44" s="82">
        <v>2.2401727361086934E-2</v>
      </c>
      <c r="I44" s="82">
        <v>2.5484997929037172E-2</v>
      </c>
      <c r="J44" s="100">
        <v>2.2396001889755903E-2</v>
      </c>
      <c r="K44" s="100">
        <v>2.4784980073911441E-2</v>
      </c>
      <c r="L44" s="82">
        <v>1.3464108510714804E-2</v>
      </c>
      <c r="M44" s="82">
        <v>1.4666144520200278E-2</v>
      </c>
    </row>
    <row r="45" spans="1:13" x14ac:dyDescent="0.25">
      <c r="A45" s="42" t="s">
        <v>32</v>
      </c>
      <c r="B45" s="100">
        <v>1.2093120204356543E-2</v>
      </c>
      <c r="C45" s="95"/>
      <c r="D45" s="82">
        <v>2.7220524434486588E-2</v>
      </c>
      <c r="E45" s="81"/>
      <c r="F45" s="140">
        <v>9.2332729687225612E-3</v>
      </c>
      <c r="G45" s="140">
        <v>3.4741179968028342E-2</v>
      </c>
      <c r="H45" s="82">
        <v>0.17310881559289545</v>
      </c>
      <c r="I45" s="82">
        <v>0.17937345740330077</v>
      </c>
      <c r="J45" s="100">
        <v>0.21303102954246425</v>
      </c>
      <c r="K45" s="100">
        <v>0.21281030360874792</v>
      </c>
      <c r="L45" s="82">
        <v>0.13339139029425792</v>
      </c>
      <c r="M45" s="82">
        <v>0.15836323007382605</v>
      </c>
    </row>
    <row r="46" spans="1:13" x14ac:dyDescent="0.25">
      <c r="A46" s="40" t="s">
        <v>33</v>
      </c>
      <c r="B46" s="95" t="s">
        <v>5</v>
      </c>
      <c r="C46" s="95"/>
      <c r="D46" s="81" t="s">
        <v>5</v>
      </c>
      <c r="E46" s="81"/>
      <c r="F46" s="141" t="s">
        <v>5</v>
      </c>
      <c r="G46" s="141"/>
      <c r="H46" s="81" t="s">
        <v>5</v>
      </c>
      <c r="I46" s="81"/>
      <c r="J46" s="95" t="s">
        <v>5</v>
      </c>
      <c r="K46" s="95"/>
      <c r="L46" s="81" t="s">
        <v>5</v>
      </c>
      <c r="M46" s="81"/>
    </row>
    <row r="47" spans="1:13" x14ac:dyDescent="0.25">
      <c r="A47" s="42" t="s">
        <v>34</v>
      </c>
      <c r="B47" s="100">
        <v>9.8915961980347841E-2</v>
      </c>
      <c r="C47" s="95"/>
      <c r="D47" s="82">
        <v>9.3906756597364513E-2</v>
      </c>
      <c r="E47" s="81"/>
      <c r="F47" s="140">
        <v>1.1174806531770495E-2</v>
      </c>
      <c r="G47" s="140">
        <v>5.5424438143266794E-2</v>
      </c>
      <c r="H47" s="82">
        <v>9.8345869272929473E-2</v>
      </c>
      <c r="I47" s="82">
        <v>9.6423452643073754E-2</v>
      </c>
      <c r="J47" s="100">
        <v>9.7445190652971705E-2</v>
      </c>
      <c r="K47" s="100">
        <v>9.8838587442105802E-2</v>
      </c>
      <c r="L47" s="82">
        <v>2.3427233517369785</v>
      </c>
      <c r="M47" s="82">
        <v>2.9285388757561357</v>
      </c>
    </row>
    <row r="48" spans="1:13" x14ac:dyDescent="0.25">
      <c r="A48" s="42" t="s">
        <v>35</v>
      </c>
      <c r="B48" s="100">
        <v>8.1467568218093131E-2</v>
      </c>
      <c r="C48" s="95"/>
      <c r="D48" s="82">
        <v>5.8525542716239491E-2</v>
      </c>
      <c r="E48" s="81"/>
      <c r="F48" s="140">
        <v>4.2037015116169326E-3</v>
      </c>
      <c r="G48" s="140">
        <v>5.523221875945545E-2</v>
      </c>
      <c r="H48" s="82">
        <v>7.2118355928997666E-2</v>
      </c>
      <c r="I48" s="80">
        <v>6.8660027246201197E-2</v>
      </c>
      <c r="J48" s="100">
        <v>6.975583552103308E-2</v>
      </c>
      <c r="K48" s="100">
        <v>6.6536262743067814E-2</v>
      </c>
      <c r="L48" s="82">
        <v>4.0313208872523397E-2</v>
      </c>
      <c r="M48" s="82">
        <v>3.9562170163655722E-2</v>
      </c>
    </row>
    <row r="49" spans="1:13" x14ac:dyDescent="0.25">
      <c r="A49" s="42" t="s">
        <v>36</v>
      </c>
      <c r="B49" s="100">
        <v>1.744839376225471E-2</v>
      </c>
      <c r="C49" s="95"/>
      <c r="D49" s="82">
        <v>3.5381213881125022E-2</v>
      </c>
      <c r="E49" s="81"/>
      <c r="F49" s="140">
        <v>6.971105020153562E-3</v>
      </c>
      <c r="G49" s="140">
        <v>1.9221938381134424E-4</v>
      </c>
      <c r="H49" s="82">
        <v>2.6227513343931808E-2</v>
      </c>
      <c r="I49" s="80">
        <v>2.7763425396872557E-2</v>
      </c>
      <c r="J49" s="100">
        <v>2.7689355131938626E-2</v>
      </c>
      <c r="K49" s="100">
        <v>3.2302324699037988E-2</v>
      </c>
      <c r="L49" s="82">
        <v>2.302410142864455</v>
      </c>
      <c r="M49" s="82">
        <v>2.88897670559248</v>
      </c>
    </row>
  </sheetData>
  <mergeCells count="13">
    <mergeCell ref="B1:K1"/>
    <mergeCell ref="H5:I5"/>
    <mergeCell ref="D2:E2"/>
    <mergeCell ref="L2:M2"/>
    <mergeCell ref="H2:I2"/>
    <mergeCell ref="B2:C2"/>
    <mergeCell ref="B5:C5"/>
    <mergeCell ref="L5:M5"/>
    <mergeCell ref="D5:E5"/>
    <mergeCell ref="F5:G5"/>
    <mergeCell ref="J2:K2"/>
    <mergeCell ref="J5:K5"/>
    <mergeCell ref="F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49"/>
  <sheetViews>
    <sheetView topLeftCell="S1" zoomScale="91" workbookViewId="0">
      <selection activeCell="A2" sqref="A2"/>
    </sheetView>
  </sheetViews>
  <sheetFormatPr defaultRowHeight="15" x14ac:dyDescent="0.25"/>
  <cols>
    <col min="1" max="1" width="30.85546875" customWidth="1"/>
    <col min="2" max="2" width="12" customWidth="1"/>
    <col min="3" max="3" width="13.42578125" customWidth="1"/>
    <col min="4" max="4" width="11.140625" customWidth="1"/>
    <col min="5" max="5" width="12.5703125" customWidth="1"/>
    <col min="6" max="6" width="13.5703125" customWidth="1"/>
    <col min="7" max="7" width="15.28515625" customWidth="1"/>
    <col min="8" max="8" width="13.5703125" customWidth="1"/>
    <col min="9" max="9" width="14.28515625" customWidth="1"/>
    <col min="10" max="10" width="11.5703125" customWidth="1"/>
    <col min="11" max="11" width="14.7109375" customWidth="1"/>
    <col min="12" max="12" width="16.140625" customWidth="1"/>
    <col min="13" max="13" width="14.7109375" customWidth="1"/>
    <col min="14" max="14" width="13" customWidth="1"/>
    <col min="15" max="15" width="15.28515625" customWidth="1"/>
    <col min="16" max="16" width="13.140625" customWidth="1"/>
    <col min="17" max="17" width="14" customWidth="1"/>
    <col min="18" max="18" width="15.140625" customWidth="1"/>
    <col min="19" max="19" width="16.28515625" customWidth="1"/>
    <col min="20" max="20" width="13.28515625" customWidth="1"/>
    <col min="21" max="21" width="16.5703125" customWidth="1"/>
    <col min="22" max="22" width="14.28515625" customWidth="1"/>
    <col min="23" max="23" width="13.28515625" customWidth="1"/>
    <col min="24" max="24" width="12.7109375" customWidth="1"/>
    <col min="25" max="25" width="14" customWidth="1"/>
    <col min="26" max="26" width="11.42578125" customWidth="1"/>
    <col min="27" max="27" width="11.28515625" customWidth="1"/>
    <col min="28" max="28" width="15.28515625" customWidth="1"/>
    <col min="29" max="29" width="12.42578125" customWidth="1"/>
    <col min="30" max="30" width="14.28515625" customWidth="1"/>
    <col min="31" max="31" width="14" customWidth="1"/>
    <col min="32" max="33" width="11" customWidth="1"/>
  </cols>
  <sheetData>
    <row r="1" spans="1:33" ht="18.75" x14ac:dyDescent="0.3">
      <c r="B1" s="757" t="s">
        <v>144</v>
      </c>
      <c r="C1" s="757"/>
      <c r="D1" s="757"/>
      <c r="E1" s="757"/>
      <c r="F1" s="757"/>
      <c r="G1" s="757"/>
      <c r="H1" s="757"/>
      <c r="I1" s="757"/>
      <c r="J1" s="757"/>
      <c r="K1" s="757"/>
      <c r="L1" s="757"/>
      <c r="M1" s="757"/>
    </row>
    <row r="2" spans="1:33" x14ac:dyDescent="0.25">
      <c r="A2" s="81"/>
      <c r="B2" s="711" t="s">
        <v>129</v>
      </c>
      <c r="C2" s="711"/>
      <c r="D2" s="709" t="s">
        <v>130</v>
      </c>
      <c r="E2" s="709"/>
      <c r="F2" s="711" t="s">
        <v>143</v>
      </c>
      <c r="G2" s="711"/>
      <c r="H2" s="709" t="s">
        <v>137</v>
      </c>
      <c r="I2" s="709"/>
      <c r="J2" s="711" t="s">
        <v>138</v>
      </c>
      <c r="K2" s="711"/>
      <c r="L2" s="709" t="s">
        <v>140</v>
      </c>
      <c r="M2" s="709"/>
      <c r="N2" s="711" t="s">
        <v>133</v>
      </c>
      <c r="O2" s="711"/>
      <c r="P2" s="709" t="s">
        <v>134</v>
      </c>
      <c r="Q2" s="709"/>
      <c r="R2" s="711" t="s">
        <v>139</v>
      </c>
      <c r="S2" s="711"/>
      <c r="T2" s="709" t="s">
        <v>135</v>
      </c>
      <c r="U2" s="709"/>
      <c r="V2" s="711" t="s">
        <v>136</v>
      </c>
      <c r="W2" s="711"/>
      <c r="X2" s="709" t="s">
        <v>132</v>
      </c>
      <c r="Y2" s="709"/>
      <c r="Z2" s="711" t="s">
        <v>141</v>
      </c>
      <c r="AA2" s="711"/>
      <c r="AB2" s="756" t="s">
        <v>131</v>
      </c>
      <c r="AC2" s="756"/>
      <c r="AD2" s="711" t="s">
        <v>142</v>
      </c>
      <c r="AE2" s="711"/>
      <c r="AF2" s="754"/>
      <c r="AG2" s="755"/>
    </row>
    <row r="3" spans="1:33" x14ac:dyDescent="0.25">
      <c r="A3" s="3" t="s">
        <v>4</v>
      </c>
      <c r="B3" s="3" t="s">
        <v>45</v>
      </c>
      <c r="C3" s="3" t="s">
        <v>42</v>
      </c>
      <c r="D3" s="3" t="s">
        <v>45</v>
      </c>
      <c r="E3" s="3" t="s">
        <v>42</v>
      </c>
      <c r="F3" s="3" t="s">
        <v>45</v>
      </c>
      <c r="G3" s="3" t="s">
        <v>42</v>
      </c>
      <c r="H3" s="3" t="s">
        <v>45</v>
      </c>
      <c r="I3" s="3" t="s">
        <v>42</v>
      </c>
      <c r="J3" s="3" t="s">
        <v>45</v>
      </c>
      <c r="K3" s="3" t="s">
        <v>42</v>
      </c>
      <c r="L3" s="3" t="s">
        <v>45</v>
      </c>
      <c r="M3" s="3" t="s">
        <v>42</v>
      </c>
      <c r="N3" s="3" t="s">
        <v>45</v>
      </c>
      <c r="O3" s="81"/>
      <c r="P3" s="3" t="s">
        <v>45</v>
      </c>
      <c r="Q3" s="3" t="s">
        <v>42</v>
      </c>
      <c r="R3" s="3" t="s">
        <v>45</v>
      </c>
      <c r="S3" s="3" t="s">
        <v>42</v>
      </c>
      <c r="T3" s="3" t="s">
        <v>45</v>
      </c>
      <c r="U3" s="81"/>
      <c r="V3" s="3" t="s">
        <v>45</v>
      </c>
      <c r="W3" s="3" t="s">
        <v>42</v>
      </c>
      <c r="X3" s="3" t="s">
        <v>45</v>
      </c>
      <c r="Y3" s="3" t="s">
        <v>42</v>
      </c>
      <c r="Z3" s="3" t="s">
        <v>45</v>
      </c>
      <c r="AA3" s="3" t="s">
        <v>42</v>
      </c>
      <c r="AB3" s="3" t="s">
        <v>45</v>
      </c>
      <c r="AC3" s="3" t="s">
        <v>42</v>
      </c>
      <c r="AD3" s="3" t="s">
        <v>45</v>
      </c>
      <c r="AE3" s="3" t="s">
        <v>42</v>
      </c>
    </row>
    <row r="4" spans="1:33" x14ac:dyDescent="0.25">
      <c r="A4" s="3"/>
      <c r="B4" s="1" t="s">
        <v>46</v>
      </c>
      <c r="C4" s="1" t="s">
        <v>46</v>
      </c>
      <c r="D4" s="1" t="s">
        <v>46</v>
      </c>
      <c r="E4" s="1" t="s">
        <v>46</v>
      </c>
      <c r="F4" s="1" t="s">
        <v>46</v>
      </c>
      <c r="G4" s="1" t="s">
        <v>46</v>
      </c>
      <c r="H4" s="1" t="s">
        <v>46</v>
      </c>
      <c r="I4" s="1" t="s">
        <v>46</v>
      </c>
      <c r="J4" s="1" t="s">
        <v>46</v>
      </c>
      <c r="K4" s="1" t="s">
        <v>46</v>
      </c>
      <c r="L4" s="1" t="s">
        <v>46</v>
      </c>
      <c r="M4" s="1" t="s">
        <v>46</v>
      </c>
      <c r="N4" s="1" t="s">
        <v>46</v>
      </c>
      <c r="O4" s="81"/>
      <c r="P4" s="1" t="s">
        <v>46</v>
      </c>
      <c r="Q4" s="1" t="s">
        <v>46</v>
      </c>
      <c r="R4" s="1" t="s">
        <v>46</v>
      </c>
      <c r="S4" s="1" t="s">
        <v>46</v>
      </c>
      <c r="T4" s="1" t="s">
        <v>46</v>
      </c>
      <c r="U4" s="81"/>
      <c r="V4" s="1" t="s">
        <v>46</v>
      </c>
      <c r="W4" s="1" t="s">
        <v>46</v>
      </c>
      <c r="X4" s="1" t="s">
        <v>46</v>
      </c>
      <c r="Y4" s="1" t="s">
        <v>46</v>
      </c>
      <c r="Z4" s="1" t="s">
        <v>46</v>
      </c>
      <c r="AA4" s="1" t="s">
        <v>46</v>
      </c>
      <c r="AB4" s="1" t="s">
        <v>46</v>
      </c>
      <c r="AC4" s="1" t="s">
        <v>46</v>
      </c>
      <c r="AD4" s="1" t="s">
        <v>46</v>
      </c>
      <c r="AE4" s="1" t="s">
        <v>46</v>
      </c>
    </row>
    <row r="5" spans="1:33" ht="22.5" customHeight="1" x14ac:dyDescent="0.25">
      <c r="A5" s="3"/>
      <c r="B5" s="710" t="s">
        <v>113</v>
      </c>
      <c r="C5" s="710"/>
      <c r="D5" s="710" t="s">
        <v>113</v>
      </c>
      <c r="E5" s="710"/>
      <c r="F5" s="710" t="s">
        <v>113</v>
      </c>
      <c r="G5" s="710"/>
      <c r="H5" s="710" t="s">
        <v>113</v>
      </c>
      <c r="I5" s="710"/>
      <c r="J5" s="710" t="s">
        <v>113</v>
      </c>
      <c r="K5" s="710"/>
      <c r="L5" s="710" t="s">
        <v>113</v>
      </c>
      <c r="M5" s="710"/>
      <c r="N5" s="710" t="s">
        <v>113</v>
      </c>
      <c r="O5" s="710"/>
      <c r="P5" s="710" t="s">
        <v>113</v>
      </c>
      <c r="Q5" s="710"/>
      <c r="R5" s="710" t="s">
        <v>113</v>
      </c>
      <c r="S5" s="710"/>
      <c r="T5" s="710" t="s">
        <v>113</v>
      </c>
      <c r="U5" s="710"/>
      <c r="V5" s="710" t="s">
        <v>122</v>
      </c>
      <c r="W5" s="710"/>
      <c r="X5" s="710" t="s">
        <v>114</v>
      </c>
      <c r="Y5" s="710"/>
      <c r="Z5" s="710" t="s">
        <v>114</v>
      </c>
      <c r="AA5" s="710"/>
      <c r="AB5" s="710" t="s">
        <v>114</v>
      </c>
      <c r="AC5" s="710"/>
      <c r="AD5" s="714" t="s">
        <v>114</v>
      </c>
      <c r="AE5" s="751"/>
    </row>
    <row r="6" spans="1:33" x14ac:dyDescent="0.25">
      <c r="A6" s="6" t="s">
        <v>23</v>
      </c>
      <c r="B6" s="96">
        <v>110317.46</v>
      </c>
      <c r="C6" s="99">
        <v>130435.89</v>
      </c>
      <c r="D6" s="85">
        <v>53466.16</v>
      </c>
      <c r="E6" s="90">
        <v>67896.83</v>
      </c>
      <c r="F6" s="96">
        <v>53919</v>
      </c>
      <c r="G6" s="99">
        <v>52170</v>
      </c>
      <c r="H6" s="85">
        <v>35195.040000000001</v>
      </c>
      <c r="I6" s="90">
        <v>48216.23</v>
      </c>
      <c r="J6" s="96">
        <v>103911.35</v>
      </c>
      <c r="K6" s="99">
        <v>95659.17</v>
      </c>
      <c r="L6" s="85">
        <v>9114.49</v>
      </c>
      <c r="M6" s="90">
        <v>11186.13</v>
      </c>
      <c r="N6" s="96">
        <v>3980.37</v>
      </c>
      <c r="O6" s="95"/>
      <c r="P6" s="90">
        <v>31670.61</v>
      </c>
      <c r="Q6" s="85">
        <v>44797.7</v>
      </c>
      <c r="R6" s="96">
        <v>33655.15</v>
      </c>
      <c r="S6" s="99">
        <v>34686.92</v>
      </c>
      <c r="T6" s="85">
        <v>13217.82</v>
      </c>
      <c r="U6" s="81"/>
      <c r="V6" s="96">
        <v>19847.150000000001</v>
      </c>
      <c r="W6" s="99">
        <v>19919.07</v>
      </c>
      <c r="X6" s="85">
        <v>48149.74</v>
      </c>
      <c r="Y6" s="90">
        <v>47957.07</v>
      </c>
      <c r="Z6" s="96">
        <v>1373.46</v>
      </c>
      <c r="AA6" s="99">
        <v>1290.19</v>
      </c>
      <c r="AB6" s="85">
        <v>3154.7</v>
      </c>
      <c r="AC6" s="90">
        <v>3766.66</v>
      </c>
      <c r="AD6" s="96">
        <v>7565.2</v>
      </c>
      <c r="AE6" s="99">
        <v>6141.09</v>
      </c>
    </row>
    <row r="7" spans="1:33" x14ac:dyDescent="0.25">
      <c r="A7" s="6" t="s">
        <v>50</v>
      </c>
      <c r="B7" s="96">
        <v>89939.42</v>
      </c>
      <c r="C7" s="96">
        <v>106452.48</v>
      </c>
      <c r="D7" s="85">
        <v>52408.4</v>
      </c>
      <c r="E7" s="85">
        <v>65934.210000000006</v>
      </c>
      <c r="F7" s="96">
        <v>52809</v>
      </c>
      <c r="G7" s="96">
        <v>49773</v>
      </c>
      <c r="H7" s="85">
        <v>28290.66</v>
      </c>
      <c r="I7" s="85">
        <v>35951.360000000001</v>
      </c>
      <c r="J7" s="96">
        <v>96920.26</v>
      </c>
      <c r="K7" s="96">
        <v>89052.81</v>
      </c>
      <c r="L7" s="85">
        <v>8779.2099999999991</v>
      </c>
      <c r="M7" s="85">
        <v>10666.12</v>
      </c>
      <c r="N7" s="96">
        <v>2925.27</v>
      </c>
      <c r="O7" s="95"/>
      <c r="P7" s="85">
        <v>25719.71</v>
      </c>
      <c r="Q7" s="85">
        <v>35663.21</v>
      </c>
      <c r="R7" s="96">
        <v>29040.36</v>
      </c>
      <c r="S7" s="96">
        <v>32108.9</v>
      </c>
      <c r="T7" s="85">
        <v>10835.88</v>
      </c>
      <c r="U7" s="81"/>
      <c r="V7" s="96">
        <v>19514.310000000001</v>
      </c>
      <c r="W7" s="96">
        <v>19460.2</v>
      </c>
      <c r="X7" s="85">
        <v>41453.15</v>
      </c>
      <c r="Y7" s="85">
        <v>41044.17</v>
      </c>
      <c r="Z7" s="96">
        <v>1351.82</v>
      </c>
      <c r="AA7" s="96">
        <v>1258.17</v>
      </c>
      <c r="AB7" s="85">
        <v>2832.81</v>
      </c>
      <c r="AC7" s="85">
        <v>3463.64</v>
      </c>
      <c r="AD7" s="96">
        <v>6987.32</v>
      </c>
      <c r="AE7" s="96">
        <v>5535.98</v>
      </c>
    </row>
    <row r="8" spans="1:33" x14ac:dyDescent="0.25">
      <c r="A8" s="6" t="s">
        <v>52</v>
      </c>
      <c r="B8" s="96">
        <f t="shared" ref="B8:N8" si="0">B6-B7</f>
        <v>20378.040000000008</v>
      </c>
      <c r="C8" s="96">
        <f t="shared" si="0"/>
        <v>23983.410000000003</v>
      </c>
      <c r="D8" s="85">
        <f t="shared" si="0"/>
        <v>1057.760000000002</v>
      </c>
      <c r="E8" s="85">
        <f t="shared" si="0"/>
        <v>1962.6199999999953</v>
      </c>
      <c r="F8" s="96">
        <f t="shared" si="0"/>
        <v>1110</v>
      </c>
      <c r="G8" s="96">
        <f t="shared" si="0"/>
        <v>2397</v>
      </c>
      <c r="H8" s="85">
        <f t="shared" si="0"/>
        <v>6904.380000000001</v>
      </c>
      <c r="I8" s="85">
        <f t="shared" si="0"/>
        <v>12264.870000000003</v>
      </c>
      <c r="J8" s="96">
        <f t="shared" si="0"/>
        <v>6991.0900000000111</v>
      </c>
      <c r="K8" s="96">
        <f t="shared" si="0"/>
        <v>6606.3600000000006</v>
      </c>
      <c r="L8" s="85">
        <f t="shared" si="0"/>
        <v>335.28000000000065</v>
      </c>
      <c r="M8" s="85">
        <f t="shared" si="0"/>
        <v>520.0099999999984</v>
      </c>
      <c r="N8" s="96">
        <f t="shared" si="0"/>
        <v>1055.0999999999999</v>
      </c>
      <c r="O8" s="95"/>
      <c r="P8" s="85">
        <f>P6-P7</f>
        <v>5950.9000000000015</v>
      </c>
      <c r="Q8" s="85">
        <f>Q6-Q7</f>
        <v>9134.489999999998</v>
      </c>
      <c r="R8" s="96">
        <f>R6-R7</f>
        <v>4614.7900000000009</v>
      </c>
      <c r="S8" s="96">
        <f>S6-S7</f>
        <v>2578.0199999999968</v>
      </c>
      <c r="T8" s="85">
        <f>T6-T7</f>
        <v>2381.9400000000005</v>
      </c>
      <c r="U8" s="81"/>
      <c r="V8" s="96">
        <f>V6-V7</f>
        <v>332.84000000000015</v>
      </c>
      <c r="W8" s="96">
        <f>W6-W7</f>
        <v>458.86999999999898</v>
      </c>
      <c r="X8" s="85">
        <f t="shared" ref="X8:AE8" si="1">X6-X7</f>
        <v>6696.5899999999965</v>
      </c>
      <c r="Y8" s="85">
        <f t="shared" si="1"/>
        <v>6912.9000000000015</v>
      </c>
      <c r="Z8" s="96">
        <f t="shared" si="1"/>
        <v>21.6400000000001</v>
      </c>
      <c r="AA8" s="96">
        <f t="shared" si="1"/>
        <v>32.019999999999982</v>
      </c>
      <c r="AB8" s="85">
        <f t="shared" si="1"/>
        <v>321.88999999999987</v>
      </c>
      <c r="AC8" s="85">
        <f t="shared" si="1"/>
        <v>303.02</v>
      </c>
      <c r="AD8" s="96">
        <f t="shared" si="1"/>
        <v>577.88000000000011</v>
      </c>
      <c r="AE8" s="96">
        <f t="shared" si="1"/>
        <v>605.11000000000058</v>
      </c>
    </row>
    <row r="9" spans="1:33" x14ac:dyDescent="0.25">
      <c r="A9" s="6" t="s">
        <v>24</v>
      </c>
      <c r="B9" s="96">
        <v>45824.27</v>
      </c>
      <c r="C9" s="96">
        <v>47750.33</v>
      </c>
      <c r="D9" s="85">
        <v>18208.21</v>
      </c>
      <c r="E9" s="85">
        <v>17919.560000000001</v>
      </c>
      <c r="F9" s="96">
        <v>28890</v>
      </c>
      <c r="G9" s="96">
        <v>22903</v>
      </c>
      <c r="H9" s="85">
        <v>12800.13</v>
      </c>
      <c r="I9" s="85">
        <v>12557.83</v>
      </c>
      <c r="J9" s="96">
        <v>62537.2</v>
      </c>
      <c r="K9" s="96">
        <v>53242.96</v>
      </c>
      <c r="L9" s="85">
        <v>6162.39</v>
      </c>
      <c r="M9" s="85">
        <v>7452.17</v>
      </c>
      <c r="N9" s="96">
        <v>1572.39</v>
      </c>
      <c r="O9" s="95"/>
      <c r="P9" s="85">
        <v>10534.81</v>
      </c>
      <c r="Q9" s="85">
        <v>14833.86</v>
      </c>
      <c r="R9" s="96">
        <v>14017.95</v>
      </c>
      <c r="S9" s="96">
        <v>15789.36</v>
      </c>
      <c r="T9" s="85">
        <v>5658.05</v>
      </c>
      <c r="U9" s="81"/>
      <c r="V9" s="96">
        <v>14452.58</v>
      </c>
      <c r="W9" s="96">
        <v>14153.65</v>
      </c>
      <c r="X9" s="85">
        <v>28614.76</v>
      </c>
      <c r="Y9" s="85">
        <v>26739.21</v>
      </c>
      <c r="Z9" s="96">
        <v>807.24</v>
      </c>
      <c r="AA9" s="96">
        <v>689.93</v>
      </c>
      <c r="AB9" s="85">
        <v>1965.87</v>
      </c>
      <c r="AC9" s="85">
        <v>2155.31</v>
      </c>
      <c r="AD9" s="96">
        <v>5100.3999999999996</v>
      </c>
      <c r="AE9" s="96">
        <v>4065.63</v>
      </c>
    </row>
    <row r="10" spans="1:33" x14ac:dyDescent="0.25">
      <c r="A10" s="6" t="s">
        <v>53</v>
      </c>
      <c r="B10" s="97">
        <f t="shared" ref="B10:N10" si="2">B7-B9</f>
        <v>44115.15</v>
      </c>
      <c r="C10" s="97">
        <f t="shared" si="2"/>
        <v>58702.149999999994</v>
      </c>
      <c r="D10" s="89">
        <f t="shared" si="2"/>
        <v>34200.19</v>
      </c>
      <c r="E10" s="89">
        <f t="shared" si="2"/>
        <v>48014.650000000009</v>
      </c>
      <c r="F10" s="97">
        <f t="shared" si="2"/>
        <v>23919</v>
      </c>
      <c r="G10" s="97">
        <f t="shared" si="2"/>
        <v>26870</v>
      </c>
      <c r="H10" s="89">
        <f t="shared" si="2"/>
        <v>15490.53</v>
      </c>
      <c r="I10" s="89">
        <f t="shared" si="2"/>
        <v>23393.53</v>
      </c>
      <c r="J10" s="97">
        <f t="shared" si="2"/>
        <v>34383.06</v>
      </c>
      <c r="K10" s="97">
        <f t="shared" si="2"/>
        <v>35809.85</v>
      </c>
      <c r="L10" s="89">
        <f t="shared" si="2"/>
        <v>2616.8199999999988</v>
      </c>
      <c r="M10" s="89">
        <f t="shared" si="2"/>
        <v>3213.9500000000007</v>
      </c>
      <c r="N10" s="97">
        <f t="shared" si="2"/>
        <v>1352.8799999999999</v>
      </c>
      <c r="O10" s="95"/>
      <c r="P10" s="89">
        <f>P7-P9</f>
        <v>15184.9</v>
      </c>
      <c r="Q10" s="89">
        <f>Q7-Q9</f>
        <v>20829.349999999999</v>
      </c>
      <c r="R10" s="97">
        <f>R7-R9</f>
        <v>15022.41</v>
      </c>
      <c r="S10" s="97">
        <f>S7-S9</f>
        <v>16319.54</v>
      </c>
      <c r="T10" s="89">
        <f>T7-T9</f>
        <v>5177.829999999999</v>
      </c>
      <c r="U10" s="81"/>
      <c r="V10" s="97">
        <f>V7-V9</f>
        <v>5061.7300000000014</v>
      </c>
      <c r="W10" s="97">
        <f>W7-W9</f>
        <v>5306.5500000000011</v>
      </c>
      <c r="X10" s="89">
        <f t="shared" ref="X10:AE10" si="3">X7-X9</f>
        <v>12838.390000000003</v>
      </c>
      <c r="Y10" s="89">
        <f t="shared" si="3"/>
        <v>14304.96</v>
      </c>
      <c r="Z10" s="97">
        <f t="shared" si="3"/>
        <v>544.57999999999993</v>
      </c>
      <c r="AA10" s="97">
        <f t="shared" si="3"/>
        <v>568.24000000000012</v>
      </c>
      <c r="AB10" s="89">
        <f t="shared" si="3"/>
        <v>866.94</v>
      </c>
      <c r="AC10" s="89">
        <f t="shared" si="3"/>
        <v>1308.33</v>
      </c>
      <c r="AD10" s="97">
        <f t="shared" si="3"/>
        <v>1886.92</v>
      </c>
      <c r="AE10" s="97">
        <f t="shared" si="3"/>
        <v>1470.3499999999995</v>
      </c>
    </row>
    <row r="11" spans="1:33" x14ac:dyDescent="0.25">
      <c r="A11" s="6" t="s">
        <v>1</v>
      </c>
      <c r="B11" s="97">
        <f t="shared" ref="B11:N11" si="4">SUM(B7:B8)</f>
        <v>110317.46</v>
      </c>
      <c r="C11" s="97">
        <f t="shared" si="4"/>
        <v>130435.89</v>
      </c>
      <c r="D11" s="89">
        <f t="shared" si="4"/>
        <v>53466.16</v>
      </c>
      <c r="E11" s="89">
        <f t="shared" si="4"/>
        <v>67896.83</v>
      </c>
      <c r="F11" s="97">
        <f t="shared" si="4"/>
        <v>53919</v>
      </c>
      <c r="G11" s="97">
        <f t="shared" si="4"/>
        <v>52170</v>
      </c>
      <c r="H11" s="89">
        <f t="shared" si="4"/>
        <v>35195.040000000001</v>
      </c>
      <c r="I11" s="89">
        <f t="shared" si="4"/>
        <v>48216.23</v>
      </c>
      <c r="J11" s="97">
        <f t="shared" si="4"/>
        <v>103911.35</v>
      </c>
      <c r="K11" s="97">
        <f t="shared" si="4"/>
        <v>95659.17</v>
      </c>
      <c r="L11" s="89">
        <f t="shared" si="4"/>
        <v>9114.49</v>
      </c>
      <c r="M11" s="89">
        <f t="shared" si="4"/>
        <v>11186.13</v>
      </c>
      <c r="N11" s="97">
        <f t="shared" si="4"/>
        <v>3980.37</v>
      </c>
      <c r="O11" s="95"/>
      <c r="P11" s="89">
        <f>SUM(P7:P8)</f>
        <v>31670.61</v>
      </c>
      <c r="Q11" s="89">
        <f>SUM(Q7:Q8)</f>
        <v>44797.7</v>
      </c>
      <c r="R11" s="97">
        <f>SUM(R7:R8)</f>
        <v>33655.15</v>
      </c>
      <c r="S11" s="97">
        <f>SUM(S7:S8)</f>
        <v>34686.92</v>
      </c>
      <c r="T11" s="89">
        <f>SUM(T7:T8)</f>
        <v>13217.82</v>
      </c>
      <c r="U11" s="81"/>
      <c r="V11" s="97">
        <f>SUM(V7:V8)</f>
        <v>19847.150000000001</v>
      </c>
      <c r="W11" s="97">
        <f>SUM(W7:W8)</f>
        <v>19919.07</v>
      </c>
      <c r="X11" s="89">
        <f t="shared" ref="X11:AE11" si="5">SUM(X7:X8)</f>
        <v>48149.74</v>
      </c>
      <c r="Y11" s="89">
        <f t="shared" si="5"/>
        <v>47957.07</v>
      </c>
      <c r="Z11" s="97">
        <f t="shared" si="5"/>
        <v>1373.46</v>
      </c>
      <c r="AA11" s="97">
        <f t="shared" si="5"/>
        <v>1290.19</v>
      </c>
      <c r="AB11" s="89">
        <f t="shared" si="5"/>
        <v>3154.7</v>
      </c>
      <c r="AC11" s="89">
        <f t="shared" si="5"/>
        <v>3766.66</v>
      </c>
      <c r="AD11" s="97">
        <f t="shared" si="5"/>
        <v>7565.2</v>
      </c>
      <c r="AE11" s="97">
        <f t="shared" si="5"/>
        <v>6141.09</v>
      </c>
    </row>
    <row r="12" spans="1:33" x14ac:dyDescent="0.25">
      <c r="A12" s="6" t="s">
        <v>91</v>
      </c>
      <c r="B12" s="97">
        <v>216.05</v>
      </c>
      <c r="C12" s="97">
        <v>119.91</v>
      </c>
      <c r="D12" s="89">
        <v>1688.07</v>
      </c>
      <c r="E12" s="89">
        <v>2391.27</v>
      </c>
      <c r="F12" s="97">
        <v>633</v>
      </c>
      <c r="G12" s="97">
        <v>450</v>
      </c>
      <c r="H12" s="89">
        <v>118.22</v>
      </c>
      <c r="I12" s="89">
        <v>243.29</v>
      </c>
      <c r="J12" s="97">
        <v>4.57</v>
      </c>
      <c r="K12" s="97">
        <v>39.54</v>
      </c>
      <c r="L12" s="89">
        <v>115.69</v>
      </c>
      <c r="M12" s="89">
        <v>177.13</v>
      </c>
      <c r="N12" s="97">
        <v>41.03</v>
      </c>
      <c r="O12" s="95"/>
      <c r="P12" s="89">
        <v>609.22</v>
      </c>
      <c r="Q12" s="89">
        <v>1182.8</v>
      </c>
      <c r="R12" s="97">
        <v>422.84</v>
      </c>
      <c r="S12" s="97">
        <v>285.36</v>
      </c>
      <c r="T12" s="89">
        <v>188.93</v>
      </c>
      <c r="U12" s="81"/>
      <c r="V12" s="97">
        <v>0.54</v>
      </c>
      <c r="W12" s="97">
        <v>33.950000000000003</v>
      </c>
      <c r="X12" s="89">
        <v>26.12</v>
      </c>
      <c r="Y12" s="89">
        <v>33.130000000000003</v>
      </c>
      <c r="Z12" s="97">
        <v>18.77</v>
      </c>
      <c r="AA12" s="97">
        <v>16.38</v>
      </c>
      <c r="AB12" s="89">
        <v>0.57999999999999996</v>
      </c>
      <c r="AC12" s="89">
        <v>0.47</v>
      </c>
      <c r="AD12" s="97">
        <v>18.78</v>
      </c>
      <c r="AE12" s="97">
        <v>4.83</v>
      </c>
    </row>
    <row r="13" spans="1:33" x14ac:dyDescent="0.25">
      <c r="A13" s="6" t="s">
        <v>25</v>
      </c>
      <c r="B13" s="98">
        <f t="shared" ref="B13:N13" si="6">B11+B12</f>
        <v>110533.51000000001</v>
      </c>
      <c r="C13" s="98">
        <f t="shared" si="6"/>
        <v>130555.8</v>
      </c>
      <c r="D13" s="88">
        <f t="shared" si="6"/>
        <v>55154.23</v>
      </c>
      <c r="E13" s="88">
        <f t="shared" si="6"/>
        <v>70288.100000000006</v>
      </c>
      <c r="F13" s="98">
        <f t="shared" si="6"/>
        <v>54552</v>
      </c>
      <c r="G13" s="98">
        <f t="shared" si="6"/>
        <v>52620</v>
      </c>
      <c r="H13" s="88">
        <f t="shared" si="6"/>
        <v>35313.26</v>
      </c>
      <c r="I13" s="88">
        <f t="shared" si="6"/>
        <v>48459.520000000004</v>
      </c>
      <c r="J13" s="98">
        <f t="shared" si="6"/>
        <v>103915.92000000001</v>
      </c>
      <c r="K13" s="98">
        <f t="shared" si="6"/>
        <v>95698.709999999992</v>
      </c>
      <c r="L13" s="88">
        <f t="shared" si="6"/>
        <v>9230.18</v>
      </c>
      <c r="M13" s="88">
        <f t="shared" si="6"/>
        <v>11363.259999999998</v>
      </c>
      <c r="N13" s="98">
        <f t="shared" si="6"/>
        <v>4021.4</v>
      </c>
      <c r="O13" s="95"/>
      <c r="P13" s="88">
        <f>P11+P12</f>
        <v>32279.83</v>
      </c>
      <c r="Q13" s="88">
        <f>Q11+Q12</f>
        <v>45980.5</v>
      </c>
      <c r="R13" s="98">
        <f>R11+R12</f>
        <v>34077.99</v>
      </c>
      <c r="S13" s="98">
        <f>S11+S12</f>
        <v>34972.28</v>
      </c>
      <c r="T13" s="88">
        <f>T11+T12</f>
        <v>13406.75</v>
      </c>
      <c r="U13" s="81"/>
      <c r="V13" s="98">
        <f t="shared" ref="V13:AE13" si="7">V11+V12</f>
        <v>19847.690000000002</v>
      </c>
      <c r="W13" s="98">
        <f t="shared" si="7"/>
        <v>19953.02</v>
      </c>
      <c r="X13" s="88">
        <f t="shared" si="7"/>
        <v>48175.86</v>
      </c>
      <c r="Y13" s="88">
        <f t="shared" si="7"/>
        <v>47990.2</v>
      </c>
      <c r="Z13" s="98">
        <f t="shared" si="7"/>
        <v>1392.23</v>
      </c>
      <c r="AA13" s="98">
        <f t="shared" si="7"/>
        <v>1306.5700000000002</v>
      </c>
      <c r="AB13" s="88">
        <f t="shared" si="7"/>
        <v>3155.2799999999997</v>
      </c>
      <c r="AC13" s="88">
        <f t="shared" si="7"/>
        <v>3767.1299999999997</v>
      </c>
      <c r="AD13" s="98">
        <f t="shared" si="7"/>
        <v>7583.98</v>
      </c>
      <c r="AE13" s="98">
        <f t="shared" si="7"/>
        <v>6145.92</v>
      </c>
    </row>
    <row r="14" spans="1:33" x14ac:dyDescent="0.25">
      <c r="A14" s="6" t="s">
        <v>26</v>
      </c>
      <c r="B14" s="96">
        <f>618.46+17213.61+2060.37+5770</f>
        <v>25662.44</v>
      </c>
      <c r="C14" s="96">
        <f>571.23+23223.53+2375.76+8888.7</f>
        <v>35059.22</v>
      </c>
      <c r="D14" s="85">
        <f>6540.66+567.08+1460.25</f>
        <v>8567.99</v>
      </c>
      <c r="E14" s="85">
        <f>7405.57+661.19+1729.73</f>
        <v>9796.49</v>
      </c>
      <c r="F14" s="96">
        <f>5765+647+2170</f>
        <v>8582</v>
      </c>
      <c r="G14" s="96">
        <f>7584+469+2514</f>
        <v>10567</v>
      </c>
      <c r="H14" s="85">
        <f>6156.86+336+1615.46</f>
        <v>8108.32</v>
      </c>
      <c r="I14" s="85">
        <f>9128.84+432.55+1754.28</f>
        <v>11315.67</v>
      </c>
      <c r="J14" s="96">
        <f>6628.21+1293.55+3098.91</f>
        <v>11020.67</v>
      </c>
      <c r="K14" s="96">
        <f>7270.91+1155.79+4663.39</f>
        <v>13090.09</v>
      </c>
      <c r="L14" s="85">
        <f>1383.7+78.41+479.23</f>
        <v>1941.3400000000001</v>
      </c>
      <c r="M14" s="85">
        <f>1954.88+104.69+697.21</f>
        <v>2756.78</v>
      </c>
      <c r="N14" s="96">
        <f>816.76+49.03+272.23</f>
        <v>1138.02</v>
      </c>
      <c r="O14" s="95"/>
      <c r="P14" s="85">
        <f>6168.58+509.84+1786.18</f>
        <v>8464.6</v>
      </c>
      <c r="Q14" s="85">
        <f>10140.62+653.9+2473.14</f>
        <v>13267.66</v>
      </c>
      <c r="R14" s="96">
        <f>8585.04+533.38+2176.53</f>
        <v>11294.95</v>
      </c>
      <c r="S14" s="96">
        <f>10115.9+541.58+2828.14</f>
        <v>13485.619999999999</v>
      </c>
      <c r="T14" s="85">
        <f>1808.4+200.82+917.15</f>
        <v>2926.37</v>
      </c>
      <c r="U14" s="81"/>
      <c r="V14" s="96">
        <f>109.15+293.18+49.44+249.74</f>
        <v>701.51</v>
      </c>
      <c r="W14" s="96">
        <f>135.54+563.32+52.44+248.09</f>
        <v>999.39</v>
      </c>
      <c r="X14" s="85">
        <f>914.11+158.78+725.12</f>
        <v>1798.0100000000002</v>
      </c>
      <c r="Y14" s="85">
        <f>1060.79+172.29+839.6</f>
        <v>2072.6799999999998</v>
      </c>
      <c r="Z14" s="96">
        <f>71.35+12.98+30.11</f>
        <v>114.44</v>
      </c>
      <c r="AA14" s="96">
        <f>78.63+12.88+32.56</f>
        <v>124.07</v>
      </c>
      <c r="AB14" s="85">
        <f>1.33+245.76+21.77+60.16</f>
        <v>329.02</v>
      </c>
      <c r="AC14" s="85">
        <f>4.68+348.8+25.76+91.65</f>
        <v>470.89</v>
      </c>
      <c r="AD14" s="96">
        <f>176.37+6.68+58.78+193.2</f>
        <v>435.03</v>
      </c>
      <c r="AE14" s="96">
        <f>180.05+9+53.18+198.91</f>
        <v>441.14</v>
      </c>
    </row>
    <row r="15" spans="1:33" x14ac:dyDescent="0.25">
      <c r="A15" s="6" t="s">
        <v>54</v>
      </c>
      <c r="B15" s="97">
        <f t="shared" ref="B15:N15" si="8">B11-B14</f>
        <v>84655.02</v>
      </c>
      <c r="C15" s="97">
        <f t="shared" si="8"/>
        <v>95376.67</v>
      </c>
      <c r="D15" s="89">
        <f t="shared" si="8"/>
        <v>44898.170000000006</v>
      </c>
      <c r="E15" s="89">
        <f t="shared" si="8"/>
        <v>58100.340000000004</v>
      </c>
      <c r="F15" s="97">
        <f t="shared" si="8"/>
        <v>45337</v>
      </c>
      <c r="G15" s="97">
        <f t="shared" si="8"/>
        <v>41603</v>
      </c>
      <c r="H15" s="89">
        <f t="shared" si="8"/>
        <v>27086.720000000001</v>
      </c>
      <c r="I15" s="89">
        <f t="shared" si="8"/>
        <v>36900.560000000005</v>
      </c>
      <c r="J15" s="97">
        <f t="shared" si="8"/>
        <v>92890.680000000008</v>
      </c>
      <c r="K15" s="97">
        <f t="shared" si="8"/>
        <v>82569.08</v>
      </c>
      <c r="L15" s="89">
        <f t="shared" si="8"/>
        <v>7173.15</v>
      </c>
      <c r="M15" s="89">
        <f t="shared" si="8"/>
        <v>8429.3499999999985</v>
      </c>
      <c r="N15" s="97">
        <f t="shared" si="8"/>
        <v>2842.35</v>
      </c>
      <c r="O15" s="95"/>
      <c r="P15" s="89">
        <f>P11-P14</f>
        <v>23206.010000000002</v>
      </c>
      <c r="Q15" s="89">
        <f>Q11-Q14</f>
        <v>31530.039999999997</v>
      </c>
      <c r="R15" s="97">
        <f>R11-R14</f>
        <v>22360.2</v>
      </c>
      <c r="S15" s="97">
        <f>S11-S14</f>
        <v>21201.3</v>
      </c>
      <c r="T15" s="89">
        <f>T11-T14</f>
        <v>10291.450000000001</v>
      </c>
      <c r="U15" s="81"/>
      <c r="V15" s="97">
        <f>V11-V14</f>
        <v>19145.640000000003</v>
      </c>
      <c r="W15" s="97">
        <f>W11-W14</f>
        <v>18919.68</v>
      </c>
      <c r="X15" s="89">
        <f t="shared" ref="X15:AE15" si="9">X11-X14</f>
        <v>46351.729999999996</v>
      </c>
      <c r="Y15" s="89">
        <f t="shared" si="9"/>
        <v>45884.39</v>
      </c>
      <c r="Z15" s="97">
        <f t="shared" si="9"/>
        <v>1259.02</v>
      </c>
      <c r="AA15" s="97">
        <f t="shared" si="9"/>
        <v>1166.1200000000001</v>
      </c>
      <c r="AB15" s="89">
        <f t="shared" si="9"/>
        <v>2825.68</v>
      </c>
      <c r="AC15" s="89">
        <f t="shared" si="9"/>
        <v>3295.77</v>
      </c>
      <c r="AD15" s="97">
        <f t="shared" si="9"/>
        <v>7130.17</v>
      </c>
      <c r="AE15" s="97">
        <f t="shared" si="9"/>
        <v>5699.95</v>
      </c>
    </row>
    <row r="16" spans="1:33" x14ac:dyDescent="0.25">
      <c r="A16" s="6" t="s">
        <v>94</v>
      </c>
      <c r="B16" s="97">
        <f t="shared" ref="B16:N16" si="10">B13-B14-B9</f>
        <v>39046.80000000001</v>
      </c>
      <c r="C16" s="97">
        <f t="shared" si="10"/>
        <v>47746.25</v>
      </c>
      <c r="D16" s="89">
        <f t="shared" si="10"/>
        <v>28378.030000000006</v>
      </c>
      <c r="E16" s="89">
        <f t="shared" si="10"/>
        <v>42572.05</v>
      </c>
      <c r="F16" s="97">
        <f t="shared" si="10"/>
        <v>17080</v>
      </c>
      <c r="G16" s="97">
        <f t="shared" si="10"/>
        <v>19150</v>
      </c>
      <c r="H16" s="89">
        <f t="shared" si="10"/>
        <v>14404.810000000003</v>
      </c>
      <c r="I16" s="89">
        <f t="shared" si="10"/>
        <v>24586.020000000004</v>
      </c>
      <c r="J16" s="97">
        <f t="shared" si="10"/>
        <v>30358.050000000017</v>
      </c>
      <c r="K16" s="97">
        <f t="shared" si="10"/>
        <v>29365.659999999996</v>
      </c>
      <c r="L16" s="89">
        <f t="shared" si="10"/>
        <v>1126.4499999999998</v>
      </c>
      <c r="M16" s="89">
        <f t="shared" si="10"/>
        <v>1154.3099999999977</v>
      </c>
      <c r="N16" s="97">
        <f t="shared" si="10"/>
        <v>1310.99</v>
      </c>
      <c r="O16" s="95"/>
      <c r="P16" s="89">
        <f>P13-P14-P9</f>
        <v>13280.420000000004</v>
      </c>
      <c r="Q16" s="89">
        <f>Q13-Q14-Q9</f>
        <v>17878.98</v>
      </c>
      <c r="R16" s="97">
        <f>R13-R14-R9</f>
        <v>8765.0899999999965</v>
      </c>
      <c r="S16" s="97">
        <f>S13-S14-S9</f>
        <v>5697.2999999999993</v>
      </c>
      <c r="T16" s="89">
        <f>T13-T14-T9</f>
        <v>4822.3300000000008</v>
      </c>
      <c r="U16" s="81"/>
      <c r="V16" s="97">
        <f t="shared" ref="V16:AE16" si="11">V13-V14-V9</f>
        <v>4693.600000000004</v>
      </c>
      <c r="W16" s="97">
        <f t="shared" si="11"/>
        <v>4799.9800000000014</v>
      </c>
      <c r="X16" s="89">
        <f t="shared" si="11"/>
        <v>17763.09</v>
      </c>
      <c r="Y16" s="89">
        <f t="shared" si="11"/>
        <v>19178.309999999998</v>
      </c>
      <c r="Z16" s="97">
        <f t="shared" si="11"/>
        <v>470.54999999999995</v>
      </c>
      <c r="AA16" s="97">
        <f t="shared" si="11"/>
        <v>492.57000000000028</v>
      </c>
      <c r="AB16" s="89">
        <f t="shared" si="11"/>
        <v>860.38999999999987</v>
      </c>
      <c r="AC16" s="89">
        <f t="shared" si="11"/>
        <v>1140.9299999999998</v>
      </c>
      <c r="AD16" s="97">
        <f t="shared" si="11"/>
        <v>2048.5500000000002</v>
      </c>
      <c r="AE16" s="97">
        <f t="shared" si="11"/>
        <v>1639.1499999999996</v>
      </c>
    </row>
    <row r="17" spans="1:31" x14ac:dyDescent="0.25">
      <c r="A17" s="6" t="s">
        <v>27</v>
      </c>
      <c r="B17" s="96">
        <v>3713.86</v>
      </c>
      <c r="C17" s="96">
        <v>2260.52</v>
      </c>
      <c r="D17" s="85">
        <v>493.62</v>
      </c>
      <c r="E17" s="85">
        <v>2933.61</v>
      </c>
      <c r="F17" s="96">
        <v>8035</v>
      </c>
      <c r="G17" s="96">
        <v>7319</v>
      </c>
      <c r="H17" s="85">
        <v>1081.8599999999999</v>
      </c>
      <c r="I17" s="85">
        <v>1875.25</v>
      </c>
      <c r="J17" s="96">
        <v>5227.97</v>
      </c>
      <c r="K17" s="96">
        <v>8093.92</v>
      </c>
      <c r="L17" s="85">
        <v>357.18</v>
      </c>
      <c r="M17" s="85">
        <v>74.83</v>
      </c>
      <c r="N17" s="96">
        <v>114.48</v>
      </c>
      <c r="O17" s="95"/>
      <c r="P17" s="85">
        <v>1984.73</v>
      </c>
      <c r="Q17" s="85">
        <v>1188.8699999999999</v>
      </c>
      <c r="R17" s="96">
        <v>954.51</v>
      </c>
      <c r="S17" s="96">
        <v>2603.04</v>
      </c>
      <c r="T17" s="85">
        <v>955.1</v>
      </c>
      <c r="U17" s="81"/>
      <c r="V17" s="96">
        <v>1317.61</v>
      </c>
      <c r="W17" s="96">
        <v>1988.24</v>
      </c>
      <c r="X17" s="85">
        <v>2948</v>
      </c>
      <c r="Y17" s="85">
        <v>1932</v>
      </c>
      <c r="Z17" s="96">
        <v>80.760000000000005</v>
      </c>
      <c r="AA17" s="96">
        <v>233.06</v>
      </c>
      <c r="AB17" s="85">
        <v>247.21</v>
      </c>
      <c r="AC17" s="85">
        <v>181.07</v>
      </c>
      <c r="AD17" s="96">
        <v>861.83</v>
      </c>
      <c r="AE17" s="96">
        <v>576.38</v>
      </c>
    </row>
    <row r="18" spans="1:31" x14ac:dyDescent="0.25">
      <c r="A18" s="6" t="s">
        <v>55</v>
      </c>
      <c r="B18" s="97">
        <v>28949.52</v>
      </c>
      <c r="C18" s="97">
        <v>35679.919999999998</v>
      </c>
      <c r="D18" s="89">
        <v>21785.48</v>
      </c>
      <c r="E18" s="89">
        <v>30822.86</v>
      </c>
      <c r="F18" s="97">
        <v>4023</v>
      </c>
      <c r="G18" s="97">
        <v>9489</v>
      </c>
      <c r="H18" s="89">
        <v>10026.530000000001</v>
      </c>
      <c r="I18" s="89">
        <v>17628.16</v>
      </c>
      <c r="J18" s="97">
        <v>19164.34</v>
      </c>
      <c r="K18" s="97">
        <v>16769.650000000001</v>
      </c>
      <c r="L18" s="89">
        <v>577.6</v>
      </c>
      <c r="M18" s="89">
        <v>869.78</v>
      </c>
      <c r="N18" s="97">
        <v>905.33</v>
      </c>
      <c r="O18" s="95"/>
      <c r="P18" s="89">
        <v>8738.86</v>
      </c>
      <c r="Q18" s="89">
        <v>12844.71</v>
      </c>
      <c r="R18" s="97">
        <v>6076.99</v>
      </c>
      <c r="S18" s="97">
        <v>2491.11</v>
      </c>
      <c r="T18" s="89">
        <v>2795.13</v>
      </c>
      <c r="U18" s="81"/>
      <c r="V18" s="97">
        <v>2734.34</v>
      </c>
      <c r="W18" s="97">
        <v>2287.2800000000002</v>
      </c>
      <c r="X18" s="89">
        <v>12027.3</v>
      </c>
      <c r="Y18" s="89">
        <v>13742.18</v>
      </c>
      <c r="Z18" s="97">
        <v>287.60000000000002</v>
      </c>
      <c r="AA18" s="97">
        <v>191.54</v>
      </c>
      <c r="AB18" s="89">
        <v>453.19</v>
      </c>
      <c r="AC18" s="89">
        <v>709.62</v>
      </c>
      <c r="AD18" s="97">
        <v>925.22</v>
      </c>
      <c r="AE18" s="97">
        <v>821.92</v>
      </c>
    </row>
    <row r="19" spans="1:31" x14ac:dyDescent="0.25">
      <c r="A19" s="6" t="s">
        <v>28</v>
      </c>
      <c r="B19" s="96">
        <v>240140.48</v>
      </c>
      <c r="C19" s="96">
        <v>280864.34000000003</v>
      </c>
      <c r="D19" s="85">
        <v>189109.61</v>
      </c>
      <c r="E19" s="85">
        <v>276589.56</v>
      </c>
      <c r="F19" s="96">
        <v>90953</v>
      </c>
      <c r="G19" s="96">
        <v>100697</v>
      </c>
      <c r="H19" s="85">
        <v>99479.94</v>
      </c>
      <c r="I19" s="85">
        <v>210640.57</v>
      </c>
      <c r="J19" s="96">
        <f>10125.44+145744.96</f>
        <v>155870.39999999999</v>
      </c>
      <c r="K19" s="96">
        <f>10125.44+155372.19</f>
        <v>165497.63</v>
      </c>
      <c r="L19" s="85">
        <v>16749.87</v>
      </c>
      <c r="M19" s="85">
        <v>19625.25</v>
      </c>
      <c r="N19" s="96">
        <v>5883.04</v>
      </c>
      <c r="O19" s="95"/>
      <c r="P19" s="85">
        <v>93726.96</v>
      </c>
      <c r="Q19" s="85">
        <v>107612.64</v>
      </c>
      <c r="R19" s="96">
        <v>52481.919999999998</v>
      </c>
      <c r="S19" s="96">
        <v>54985.26</v>
      </c>
      <c r="T19" s="85">
        <v>21529.3</v>
      </c>
      <c r="U19" s="81"/>
      <c r="V19" s="96">
        <v>20521.310000000001</v>
      </c>
      <c r="W19" s="96">
        <v>24671.84</v>
      </c>
      <c r="X19" s="85">
        <v>108782.65</v>
      </c>
      <c r="Y19" s="85">
        <v>120251</v>
      </c>
      <c r="Z19" s="96">
        <v>2059.29</v>
      </c>
      <c r="AA19" s="96">
        <v>2235.6</v>
      </c>
      <c r="AB19" s="85">
        <v>6032.22</v>
      </c>
      <c r="AC19" s="85">
        <v>6741.36</v>
      </c>
      <c r="AD19" s="96">
        <v>8867.18</v>
      </c>
      <c r="AE19" s="96">
        <v>9800.5400000000009</v>
      </c>
    </row>
    <row r="20" spans="1:31" x14ac:dyDescent="0.25">
      <c r="A20" s="6" t="s">
        <v>57</v>
      </c>
      <c r="B20" s="96">
        <f>146466.15+478102.49+9973.65+3229.82</f>
        <v>637772.11</v>
      </c>
      <c r="C20" s="96">
        <f>170946.09+616321.15+9982.5+3948.24</f>
        <v>801197.98</v>
      </c>
      <c r="D20" s="85">
        <f>38144.13+178592.76+709.05</f>
        <v>217445.94</v>
      </c>
      <c r="E20" s="85">
        <f>38211.45+195680.54+780.13</f>
        <v>234672.12</v>
      </c>
      <c r="F20" s="96">
        <f>114924+170321</f>
        <v>285245</v>
      </c>
      <c r="G20" s="96">
        <f>74619+186027</f>
        <v>260646</v>
      </c>
      <c r="H20" s="85">
        <f>33277.38+119516.32</f>
        <v>152793.70000000001</v>
      </c>
      <c r="I20" s="85">
        <f>17970.83+113846</f>
        <v>131816.83000000002</v>
      </c>
      <c r="J20" s="96">
        <f>257188.02+365432.58+184588.41+13265.58</f>
        <v>820474.59</v>
      </c>
      <c r="K20" s="96">
        <f>321230.62+317984.63+200042.21+13286.7</f>
        <v>852544.15999999992</v>
      </c>
      <c r="L20" s="85">
        <f>9222.09+66581.35</f>
        <v>75803.44</v>
      </c>
      <c r="M20" s="85">
        <f>11754.39+92914.62+2000</f>
        <v>106669.01</v>
      </c>
      <c r="N20" s="96">
        <f>6392.8+9522.81</f>
        <v>15915.61</v>
      </c>
      <c r="O20" s="95"/>
      <c r="P20" s="85">
        <f>8222.38+140906.65</f>
        <v>149129.03</v>
      </c>
      <c r="Q20" s="85">
        <f>18659.85+188341.12</f>
        <v>207000.97</v>
      </c>
      <c r="R20" s="96">
        <f>11278.35+148867.47</f>
        <v>160145.82</v>
      </c>
      <c r="S20" s="96">
        <f>12736.2+167329.48</f>
        <v>180065.68000000002</v>
      </c>
      <c r="T20" s="85">
        <v>63984.46</v>
      </c>
      <c r="U20" s="81"/>
      <c r="V20" s="96">
        <v>207861.49</v>
      </c>
      <c r="W20" s="96">
        <f>127341.99+76447.22+18073.5+1795.44</f>
        <v>223658.15000000002</v>
      </c>
      <c r="X20" s="85">
        <f>182054.73+105179.18+150131.13+4000</f>
        <v>441365.04000000004</v>
      </c>
      <c r="Y20" s="85">
        <f>195929.63+139851.75+160899.76+3000</f>
        <v>499681.14</v>
      </c>
      <c r="Z20" s="96">
        <v>10197.39</v>
      </c>
      <c r="AA20" s="96">
        <v>9691.99</v>
      </c>
      <c r="AB20" s="85">
        <f>11332.08+20268.52</f>
        <v>31600.6</v>
      </c>
      <c r="AC20" s="85">
        <f>16489.15+24493.17+510</f>
        <v>41492.32</v>
      </c>
      <c r="AD20" s="96">
        <f>11461.48+29746.34+16747.42+1438.58</f>
        <v>59393.82</v>
      </c>
      <c r="AE20" s="96">
        <f>6201.97+27715.84+17648.97+1438.18</f>
        <v>53004.959999999999</v>
      </c>
    </row>
    <row r="21" spans="1:31" x14ac:dyDescent="0.25">
      <c r="A21" s="6" t="s">
        <v>29</v>
      </c>
      <c r="B21" s="96">
        <v>896004.7</v>
      </c>
      <c r="C21" s="96">
        <v>1102038.31</v>
      </c>
      <c r="D21" s="85">
        <v>408924.54</v>
      </c>
      <c r="E21" s="85">
        <v>515052.73</v>
      </c>
      <c r="F21" s="96">
        <v>389758</v>
      </c>
      <c r="G21" s="96">
        <v>376302</v>
      </c>
      <c r="H21" s="85">
        <v>276670.67</v>
      </c>
      <c r="I21" s="85">
        <v>380238.8</v>
      </c>
      <c r="J21" s="96">
        <v>982966.54</v>
      </c>
      <c r="K21" s="96">
        <v>1024913.16</v>
      </c>
      <c r="L21" s="85">
        <v>93317.65</v>
      </c>
      <c r="M21" s="85">
        <v>127211.27</v>
      </c>
      <c r="N21" s="96">
        <v>22984.41</v>
      </c>
      <c r="O21" s="95"/>
      <c r="P21" s="85">
        <v>246264.17</v>
      </c>
      <c r="Q21" s="85">
        <v>322122.11</v>
      </c>
      <c r="R21" s="96">
        <v>237370.75</v>
      </c>
      <c r="S21" s="96">
        <v>254077.45</v>
      </c>
      <c r="T21" s="85">
        <v>89034.54</v>
      </c>
      <c r="U21" s="81"/>
      <c r="V21" s="96">
        <v>235633.32</v>
      </c>
      <c r="W21" s="96">
        <v>254567.46</v>
      </c>
      <c r="X21" s="85">
        <v>567598.57999999996</v>
      </c>
      <c r="Y21" s="85">
        <v>640862.46</v>
      </c>
      <c r="Z21" s="96">
        <v>12364.52</v>
      </c>
      <c r="AA21" s="96">
        <v>11997.39</v>
      </c>
      <c r="AB21" s="85">
        <v>37858.379999999997</v>
      </c>
      <c r="AC21" s="85">
        <v>48527.08</v>
      </c>
      <c r="AD21" s="96">
        <v>71332.52</v>
      </c>
      <c r="AE21" s="96">
        <v>65649.3</v>
      </c>
    </row>
    <row r="22" spans="1:31" x14ac:dyDescent="0.25">
      <c r="A22" s="6" t="s">
        <v>58</v>
      </c>
      <c r="B22" s="96">
        <v>757286.55</v>
      </c>
      <c r="C22" s="96">
        <v>911773.88</v>
      </c>
      <c r="D22" s="85">
        <v>344428.15</v>
      </c>
      <c r="E22" s="85">
        <v>4445334.5999999996</v>
      </c>
      <c r="F22" s="96">
        <v>347429</v>
      </c>
      <c r="G22" s="96">
        <v>343455</v>
      </c>
      <c r="H22" s="85">
        <v>217701.45</v>
      </c>
      <c r="I22" s="85">
        <v>283516.59999999998</v>
      </c>
      <c r="J22" s="96">
        <v>906908.77</v>
      </c>
      <c r="K22" s="96">
        <v>943998.56</v>
      </c>
      <c r="L22" s="85">
        <v>81488.13</v>
      </c>
      <c r="M22" s="85">
        <v>113056.61</v>
      </c>
      <c r="N22" s="96">
        <v>19273.98</v>
      </c>
      <c r="O22" s="95"/>
      <c r="P22" s="85">
        <v>201217.29</v>
      </c>
      <c r="Q22" s="85">
        <v>265687.27</v>
      </c>
      <c r="R22" s="96">
        <v>195979.34</v>
      </c>
      <c r="S22" s="96">
        <v>228883.42</v>
      </c>
      <c r="T22" s="85">
        <v>85355.75</v>
      </c>
      <c r="U22" s="81"/>
      <c r="V22" s="96">
        <v>232013.8</v>
      </c>
      <c r="W22" s="96">
        <v>251135.45</v>
      </c>
      <c r="X22" s="85">
        <v>498298.03</v>
      </c>
      <c r="Y22" s="85">
        <v>568363.29</v>
      </c>
      <c r="Z22" s="96">
        <v>12124.22</v>
      </c>
      <c r="AA22" s="96">
        <v>11763.43</v>
      </c>
      <c r="AB22" s="85">
        <v>33774.660000000003</v>
      </c>
      <c r="AC22" s="85">
        <v>46949.66</v>
      </c>
      <c r="AD22" s="96">
        <v>63231.48</v>
      </c>
      <c r="AE22" s="96">
        <v>57939.68</v>
      </c>
    </row>
    <row r="23" spans="1:31" x14ac:dyDescent="0.25">
      <c r="A23" s="6" t="s">
        <v>59</v>
      </c>
      <c r="B23" s="97">
        <v>7391.35</v>
      </c>
      <c r="C23" s="97">
        <v>9035.93</v>
      </c>
      <c r="D23" s="89">
        <v>2468.06</v>
      </c>
      <c r="E23" s="89">
        <v>5065.53</v>
      </c>
      <c r="F23" s="97">
        <v>7662</v>
      </c>
      <c r="G23" s="97">
        <v>5725</v>
      </c>
      <c r="H23" s="89">
        <v>1056.5999999999999</v>
      </c>
      <c r="I23" s="89">
        <v>3628.4</v>
      </c>
      <c r="J23" s="97">
        <v>40660</v>
      </c>
      <c r="K23" s="97">
        <v>28323</v>
      </c>
      <c r="L23" s="89">
        <v>1442.69</v>
      </c>
      <c r="M23" s="89">
        <v>1872.84</v>
      </c>
      <c r="N23" s="97">
        <v>182.24</v>
      </c>
      <c r="O23" s="95"/>
      <c r="P23" s="89">
        <v>3618.7</v>
      </c>
      <c r="Q23" s="89">
        <v>5703.9</v>
      </c>
      <c r="R23" s="97">
        <v>4247</v>
      </c>
      <c r="S23" s="97">
        <v>8141</v>
      </c>
      <c r="T23" s="89">
        <v>1550.9</v>
      </c>
      <c r="U23" s="81"/>
      <c r="V23" s="97">
        <v>9659.1299999999992</v>
      </c>
      <c r="W23" s="97">
        <v>11616.4</v>
      </c>
      <c r="X23" s="89">
        <v>11615.77</v>
      </c>
      <c r="Y23" s="89">
        <v>12875.04</v>
      </c>
      <c r="Z23" s="97">
        <v>503.66</v>
      </c>
      <c r="AA23" s="97">
        <v>881.99</v>
      </c>
      <c r="AB23" s="89">
        <v>119.13</v>
      </c>
      <c r="AC23" s="89">
        <v>146.36000000000001</v>
      </c>
      <c r="AD23" s="97">
        <v>2998.41</v>
      </c>
      <c r="AE23" s="97">
        <v>4706.17</v>
      </c>
    </row>
    <row r="24" spans="1:31" x14ac:dyDescent="0.25">
      <c r="A24" s="6" t="s">
        <v>60</v>
      </c>
      <c r="B24" s="97">
        <v>5377.55</v>
      </c>
      <c r="C24" s="97">
        <v>6952.57</v>
      </c>
      <c r="D24" s="89">
        <v>1774.94</v>
      </c>
      <c r="E24" s="89">
        <v>3781.63</v>
      </c>
      <c r="F24" s="97">
        <v>5248</v>
      </c>
      <c r="G24" s="97">
        <v>3150</v>
      </c>
      <c r="H24" s="89">
        <v>766.04</v>
      </c>
      <c r="I24" s="89">
        <v>2648.75</v>
      </c>
      <c r="J24" s="97">
        <v>9582</v>
      </c>
      <c r="K24" s="97">
        <v>14571</v>
      </c>
      <c r="L24" s="89">
        <v>1417.82</v>
      </c>
      <c r="M24" s="89">
        <v>1554.56</v>
      </c>
      <c r="N24" s="97">
        <v>126.33</v>
      </c>
      <c r="O24" s="95"/>
      <c r="P24" s="89">
        <v>2469.46</v>
      </c>
      <c r="Q24" s="89">
        <v>4253.3500000000004</v>
      </c>
      <c r="R24" s="97">
        <v>2769</v>
      </c>
      <c r="S24" s="97">
        <v>5579</v>
      </c>
      <c r="T24" s="89">
        <v>1200.22</v>
      </c>
      <c r="U24" s="81"/>
      <c r="V24" s="97">
        <v>5913.93</v>
      </c>
      <c r="W24" s="97">
        <v>6596.72</v>
      </c>
      <c r="X24" s="89">
        <v>5558.77</v>
      </c>
      <c r="Y24" s="89">
        <v>5883.98</v>
      </c>
      <c r="Z24" s="97">
        <v>325.06</v>
      </c>
      <c r="AA24" s="97">
        <v>620.86</v>
      </c>
      <c r="AB24" s="89">
        <v>73.930000000000007</v>
      </c>
      <c r="AC24" s="89">
        <v>66.89</v>
      </c>
      <c r="AD24" s="97">
        <v>1749.15</v>
      </c>
      <c r="AE24" s="97">
        <v>2930.96</v>
      </c>
    </row>
    <row r="25" spans="1:31" x14ac:dyDescent="0.25">
      <c r="W25" s="81"/>
    </row>
    <row r="26" spans="1:31" x14ac:dyDescent="0.25">
      <c r="A26" s="103" t="s">
        <v>6</v>
      </c>
      <c r="B26" s="104" t="s">
        <v>10</v>
      </c>
      <c r="C26" s="104" t="s">
        <v>90</v>
      </c>
      <c r="D26" s="104" t="s">
        <v>10</v>
      </c>
      <c r="E26" s="104" t="s">
        <v>90</v>
      </c>
      <c r="F26" s="104" t="s">
        <v>10</v>
      </c>
      <c r="G26" s="104" t="s">
        <v>90</v>
      </c>
      <c r="H26" s="104" t="s">
        <v>10</v>
      </c>
      <c r="I26" s="104" t="s">
        <v>90</v>
      </c>
      <c r="J26" s="104" t="s">
        <v>10</v>
      </c>
      <c r="K26" s="104" t="s">
        <v>90</v>
      </c>
      <c r="L26" s="104" t="s">
        <v>10</v>
      </c>
      <c r="M26" s="104" t="s">
        <v>90</v>
      </c>
      <c r="N26" s="104" t="s">
        <v>10</v>
      </c>
      <c r="O26" s="104"/>
      <c r="P26" s="104" t="s">
        <v>10</v>
      </c>
      <c r="Q26" s="104" t="s">
        <v>90</v>
      </c>
      <c r="R26" s="104" t="s">
        <v>10</v>
      </c>
      <c r="S26" s="104" t="s">
        <v>90</v>
      </c>
      <c r="T26" s="104" t="s">
        <v>10</v>
      </c>
      <c r="U26" s="104"/>
      <c r="V26" s="104" t="s">
        <v>10</v>
      </c>
      <c r="W26" s="104" t="s">
        <v>90</v>
      </c>
      <c r="X26" s="104" t="s">
        <v>10</v>
      </c>
      <c r="Y26" s="104" t="s">
        <v>90</v>
      </c>
      <c r="Z26" s="104" t="s">
        <v>10</v>
      </c>
      <c r="AA26" s="104" t="s">
        <v>90</v>
      </c>
      <c r="AB26" s="104" t="s">
        <v>10</v>
      </c>
      <c r="AC26" s="104" t="s">
        <v>90</v>
      </c>
      <c r="AD26" s="104" t="s">
        <v>10</v>
      </c>
      <c r="AE26" s="104" t="s">
        <v>90</v>
      </c>
    </row>
    <row r="27" spans="1:31" x14ac:dyDescent="0.25">
      <c r="A27" s="42" t="s">
        <v>11</v>
      </c>
      <c r="B27" s="100">
        <v>6.405227972417496E-2</v>
      </c>
      <c r="C27" s="100">
        <v>7.0341551384092177E-2</v>
      </c>
      <c r="D27" s="82">
        <v>0.11044957815035285</v>
      </c>
      <c r="E27" s="82">
        <v>2.0048863589329141E-2</v>
      </c>
      <c r="F27" s="100">
        <v>6.7360094422974776E-2</v>
      </c>
      <c r="G27" s="100">
        <v>7.7784403749399322E-2</v>
      </c>
      <c r="H27" s="82">
        <v>7.9813390415043775E-2</v>
      </c>
      <c r="I27" s="82">
        <v>9.3346718060133713E-2</v>
      </c>
      <c r="J27" s="100">
        <v>3.7057680486731616E-2</v>
      </c>
      <c r="K27" s="100">
        <v>3.8694373748036318E-2</v>
      </c>
      <c r="L27" s="82">
        <v>3.4738657585761383E-2</v>
      </c>
      <c r="M27" s="82">
        <v>3.3040728831835814E-2</v>
      </c>
      <c r="N27" s="100">
        <v>8.068427286465904E-2</v>
      </c>
      <c r="O27" s="95"/>
      <c r="P27" s="82">
        <v>8.6683744932556775E-2</v>
      </c>
      <c r="Q27" s="82">
        <v>8.9223159439693611E-2</v>
      </c>
      <c r="R27" s="100">
        <v>8.3177663237661154E-2</v>
      </c>
      <c r="S27" s="100">
        <v>7.6822642681133077E-2</v>
      </c>
      <c r="T27" s="82">
        <v>6.4462230030649811E-2</v>
      </c>
      <c r="U27" s="81"/>
      <c r="V27" s="100">
        <v>2.287197189462192E-2</v>
      </c>
      <c r="W27" s="100">
        <v>2.1966504139248902E-2</v>
      </c>
      <c r="X27" s="82">
        <v>2.7050946723295506E-2</v>
      </c>
      <c r="Y27" s="82">
        <v>2.6821934444946401E-2</v>
      </c>
      <c r="Z27" s="100">
        <v>4.5522273589215352E-2</v>
      </c>
      <c r="AA27" s="100">
        <v>4.7576048711363408E-2</v>
      </c>
      <c r="AB27" s="105">
        <v>2.8024255103668638E-2</v>
      </c>
      <c r="AC27" s="105">
        <v>3.2414766702277574E-2</v>
      </c>
      <c r="AD27" s="100">
        <v>2.8662268966165697E-2</v>
      </c>
      <c r="AE27" s="100">
        <v>2.4268976215132371E-2</v>
      </c>
    </row>
    <row r="28" spans="1:31" x14ac:dyDescent="0.25">
      <c r="A28" s="40" t="s">
        <v>12</v>
      </c>
      <c r="B28" s="95" t="s">
        <v>5</v>
      </c>
      <c r="C28" s="95"/>
      <c r="D28" s="81" t="s">
        <v>5</v>
      </c>
      <c r="E28" s="81"/>
      <c r="F28" s="95" t="s">
        <v>5</v>
      </c>
      <c r="G28" s="95"/>
      <c r="H28" s="81" t="s">
        <v>5</v>
      </c>
      <c r="I28" s="81"/>
      <c r="J28" s="95" t="s">
        <v>5</v>
      </c>
      <c r="K28" s="95"/>
      <c r="L28" s="81" t="s">
        <v>5</v>
      </c>
      <c r="M28" s="81"/>
      <c r="N28" s="95" t="s">
        <v>5</v>
      </c>
      <c r="O28" s="95"/>
      <c r="P28" s="81" t="s">
        <v>5</v>
      </c>
      <c r="Q28" s="81"/>
      <c r="R28" s="95" t="s">
        <v>5</v>
      </c>
      <c r="S28" s="95"/>
      <c r="T28" s="81" t="s">
        <v>5</v>
      </c>
      <c r="U28" s="81"/>
      <c r="V28" s="95" t="s">
        <v>5</v>
      </c>
      <c r="W28" s="95"/>
      <c r="X28" s="81" t="s">
        <v>5</v>
      </c>
      <c r="Y28" s="81"/>
      <c r="Z28" s="95" t="s">
        <v>5</v>
      </c>
      <c r="AA28" s="95"/>
      <c r="AB28" s="106" t="s">
        <v>5</v>
      </c>
      <c r="AC28" s="106"/>
      <c r="AD28" s="95" t="s">
        <v>5</v>
      </c>
      <c r="AE28" s="95"/>
    </row>
    <row r="29" spans="1:31" x14ac:dyDescent="0.25">
      <c r="A29" s="42" t="s">
        <v>127</v>
      </c>
      <c r="B29" s="101">
        <v>2.6558292462811766</v>
      </c>
      <c r="C29" s="101">
        <v>2.8526155367391954</v>
      </c>
      <c r="D29" s="84">
        <v>1.1498407722378572</v>
      </c>
      <c r="E29" s="84">
        <v>0.84844894362607182</v>
      </c>
      <c r="F29" s="101">
        <v>3.1361802249513486</v>
      </c>
      <c r="G29" s="101">
        <v>2.5884187215110677</v>
      </c>
      <c r="H29" s="84">
        <v>1.5359247301516266</v>
      </c>
      <c r="I29" s="84">
        <v>0.62579032139914936</v>
      </c>
      <c r="J29" s="101">
        <v>5.2638255242817111</v>
      </c>
      <c r="K29" s="101">
        <v>5.1513979988716452</v>
      </c>
      <c r="L29" s="84">
        <v>4.5256136316281861</v>
      </c>
      <c r="M29" s="84">
        <v>5.4352943274607961</v>
      </c>
      <c r="N29" s="101">
        <v>2.7053377165547063</v>
      </c>
      <c r="O29" s="95"/>
      <c r="P29" s="84">
        <v>1.5911006822369997</v>
      </c>
      <c r="Q29" s="84">
        <v>1.9235748700152695</v>
      </c>
      <c r="R29" s="101">
        <v>3.0514474318012756</v>
      </c>
      <c r="S29" s="101">
        <v>3.2747991007044437</v>
      </c>
      <c r="T29" s="84">
        <v>2.9719712206156261</v>
      </c>
      <c r="U29" s="81"/>
      <c r="V29" s="101">
        <v>10.129055601226236</v>
      </c>
      <c r="W29" s="101">
        <v>9.0653210299677696</v>
      </c>
      <c r="X29" s="84">
        <v>4.0573109774398777</v>
      </c>
      <c r="Y29" s="84">
        <v>4.1553179599338055</v>
      </c>
      <c r="Z29" s="101">
        <v>4.9518960418396629</v>
      </c>
      <c r="AA29" s="101">
        <v>4.3352970119878336</v>
      </c>
      <c r="AB29" s="107">
        <v>5.2386351956659398</v>
      </c>
      <c r="AC29" s="107">
        <v>6.1548886278139729</v>
      </c>
      <c r="AD29" s="101">
        <v>6.6981633394156876</v>
      </c>
      <c r="AE29" s="101">
        <v>5.4083713754548217</v>
      </c>
    </row>
    <row r="30" spans="1:31" x14ac:dyDescent="0.25">
      <c r="A30" s="42" t="s">
        <v>14</v>
      </c>
      <c r="B30" s="100">
        <v>0.54379999999999995</v>
      </c>
      <c r="C30" s="100">
        <v>0.51929999999999998</v>
      </c>
      <c r="D30" s="82">
        <v>0.73629999999999995</v>
      </c>
      <c r="E30" s="82">
        <v>0.85609999999999997</v>
      </c>
      <c r="F30" s="100">
        <v>0.50029999999999997</v>
      </c>
      <c r="G30" s="100">
        <v>0.51570000000000005</v>
      </c>
      <c r="H30" s="82">
        <v>0.57010000000000005</v>
      </c>
      <c r="I30" s="82">
        <v>0.998</v>
      </c>
      <c r="J30" s="100"/>
      <c r="K30" s="100">
        <v>0.25700000000000001</v>
      </c>
      <c r="L30" s="82">
        <v>0.3654</v>
      </c>
      <c r="M30" s="82">
        <v>0.35659999999999997</v>
      </c>
      <c r="N30" s="100">
        <v>0.48080000000000001</v>
      </c>
      <c r="O30" s="95"/>
      <c r="P30" s="82">
        <v>0.71509999999999996</v>
      </c>
      <c r="Q30" s="82">
        <v>0.55869999999999997</v>
      </c>
      <c r="R30" s="100">
        <v>0.41239999999999999</v>
      </c>
      <c r="S30" s="100">
        <v>0.36849999999999999</v>
      </c>
      <c r="T30" s="82">
        <v>0.49199999999999999</v>
      </c>
      <c r="U30" s="81"/>
      <c r="V30" s="100">
        <v>0.15279999999999999</v>
      </c>
      <c r="W30" s="100">
        <v>0.18079999999999999</v>
      </c>
      <c r="X30" s="82">
        <v>0.222</v>
      </c>
      <c r="Y30" s="82">
        <v>0.22800000000000001</v>
      </c>
      <c r="Z30" s="100">
        <v>0.30719999999999997</v>
      </c>
      <c r="AA30" s="100">
        <v>0.33329999999999999</v>
      </c>
      <c r="AB30" s="105">
        <v>0.21329999999999999</v>
      </c>
      <c r="AC30" s="105">
        <v>0.1971</v>
      </c>
      <c r="AD30" s="100">
        <v>0.18729999999999999</v>
      </c>
      <c r="AE30" s="100">
        <v>0.23400000000000001</v>
      </c>
    </row>
    <row r="31" spans="1:31" x14ac:dyDescent="0.25">
      <c r="A31" s="42" t="s">
        <v>128</v>
      </c>
      <c r="B31" s="100">
        <v>0.31710649027108695</v>
      </c>
      <c r="C31" s="100">
        <v>0.30804166050468568</v>
      </c>
      <c r="D31" s="82">
        <v>0.54905387379051329</v>
      </c>
      <c r="E31" s="82">
        <v>6.2220189229400195E-2</v>
      </c>
      <c r="F31" s="100">
        <v>0.26178873956981141</v>
      </c>
      <c r="G31" s="100">
        <v>0.29318833617213319</v>
      </c>
      <c r="H31" s="82">
        <v>0.45695579887042553</v>
      </c>
      <c r="I31" s="82">
        <v>0.74295674397901224</v>
      </c>
      <c r="J31" s="100">
        <v>0.17186998864284883</v>
      </c>
      <c r="K31" s="100">
        <v>0.17531555344745442</v>
      </c>
      <c r="L31" s="82">
        <v>0.20554981443309595</v>
      </c>
      <c r="M31" s="82">
        <v>0.17358781587383523</v>
      </c>
      <c r="N31" s="100">
        <v>0.30523223537639865</v>
      </c>
      <c r="O31" s="95"/>
      <c r="P31" s="82">
        <v>0.46579973321378099</v>
      </c>
      <c r="Q31" s="82">
        <v>0.40503498718625092</v>
      </c>
      <c r="R31" s="100">
        <v>0.26779312554068196</v>
      </c>
      <c r="S31" s="100">
        <v>0.24023260400425683</v>
      </c>
      <c r="T31" s="82">
        <v>0.25223022467730644</v>
      </c>
      <c r="U31" s="81"/>
      <c r="V31" s="100">
        <v>8.8448661243426041E-2</v>
      </c>
      <c r="W31" s="100">
        <v>9.8241168261987699E-2</v>
      </c>
      <c r="X31" s="82">
        <v>0.21830840872479465</v>
      </c>
      <c r="Y31" s="82">
        <v>0.21157418523634766</v>
      </c>
      <c r="Z31" s="100">
        <v>0.1698492769019368</v>
      </c>
      <c r="AA31" s="100">
        <v>0.19004661055491467</v>
      </c>
      <c r="AB31" s="105">
        <v>0.17860194595593262</v>
      </c>
      <c r="AC31" s="105">
        <v>0.14358698231254496</v>
      </c>
      <c r="AD31" s="100">
        <v>0.14023363046381326</v>
      </c>
      <c r="AE31" s="100">
        <v>0.16915074436034166</v>
      </c>
    </row>
    <row r="32" spans="1:31" x14ac:dyDescent="0.25">
      <c r="A32" s="40" t="s">
        <v>16</v>
      </c>
      <c r="B32" s="95" t="s">
        <v>5</v>
      </c>
      <c r="C32" s="95"/>
      <c r="D32" s="81" t="s">
        <v>5</v>
      </c>
      <c r="E32" s="81"/>
      <c r="F32" s="95" t="s">
        <v>5</v>
      </c>
      <c r="G32" s="95"/>
      <c r="H32" s="81" t="s">
        <v>5</v>
      </c>
      <c r="I32" s="81"/>
      <c r="J32" s="95" t="s">
        <v>5</v>
      </c>
      <c r="K32" s="95"/>
      <c r="L32" s="81" t="s">
        <v>5</v>
      </c>
      <c r="M32" s="81"/>
      <c r="N32" s="95" t="s">
        <v>5</v>
      </c>
      <c r="O32" s="95"/>
      <c r="P32" s="81" t="s">
        <v>5</v>
      </c>
      <c r="Q32" s="81"/>
      <c r="R32" s="95" t="s">
        <v>5</v>
      </c>
      <c r="S32" s="95"/>
      <c r="T32" s="81" t="s">
        <v>5</v>
      </c>
      <c r="U32" s="81"/>
      <c r="V32" s="95" t="s">
        <v>5</v>
      </c>
      <c r="W32" s="95"/>
      <c r="X32" s="81" t="s">
        <v>5</v>
      </c>
      <c r="Y32" s="81"/>
      <c r="Z32" s="95" t="s">
        <v>5</v>
      </c>
      <c r="AA32" s="95"/>
      <c r="AB32" s="106" t="s">
        <v>5</v>
      </c>
      <c r="AC32" s="106"/>
      <c r="AD32" s="95" t="s">
        <v>5</v>
      </c>
      <c r="AE32" s="95"/>
    </row>
    <row r="33" spans="1:31" ht="33.75" x14ac:dyDescent="0.25">
      <c r="A33" s="49" t="s">
        <v>93</v>
      </c>
      <c r="B33" s="100">
        <v>0.39790929864067809</v>
      </c>
      <c r="C33" s="100">
        <v>0.42400656172613455</v>
      </c>
      <c r="D33" s="82">
        <v>0.24300873987285135</v>
      </c>
      <c r="E33" s="82">
        <v>0.19601891019657533</v>
      </c>
      <c r="F33" s="100">
        <v>0.34288225658236443</v>
      </c>
      <c r="G33" s="100">
        <v>0.36105511326750267</v>
      </c>
      <c r="H33" s="82">
        <v>0.36206084328983679</v>
      </c>
      <c r="I33" s="82">
        <v>0.31733532631862338</v>
      </c>
      <c r="J33" s="100">
        <v>0.26636607640277798</v>
      </c>
      <c r="K33" s="100">
        <v>0.30861055242795149</v>
      </c>
      <c r="L33" s="82">
        <v>0.65761322448426562</v>
      </c>
      <c r="M33" s="82">
        <v>0.7382992854770809</v>
      </c>
      <c r="N33" s="102">
        <v>0.47260359305309851</v>
      </c>
      <c r="O33" s="95"/>
      <c r="P33" s="82">
        <v>0.40048637856149277</v>
      </c>
      <c r="Q33" s="82">
        <v>0.4427890417249592</v>
      </c>
      <c r="R33" s="100">
        <v>0.57518128857474593</v>
      </c>
      <c r="S33" s="100">
        <v>0.71361699605663376</v>
      </c>
      <c r="T33" s="94">
        <v>0.38709775561954929</v>
      </c>
      <c r="U33" s="81"/>
      <c r="V33" s="102">
        <v>0.1300400217255499</v>
      </c>
      <c r="W33" s="102">
        <v>0.17334209823395347</v>
      </c>
      <c r="X33" s="82">
        <v>9.2040534466889659E-2</v>
      </c>
      <c r="Y33" s="82">
        <v>9.7685628993687379E-2</v>
      </c>
      <c r="Z33" s="100">
        <v>0.20211225318780685</v>
      </c>
      <c r="AA33" s="100">
        <v>0.20669376603471823</v>
      </c>
      <c r="AB33" s="105">
        <v>0.27675950304080482</v>
      </c>
      <c r="AC33" s="105">
        <v>0.29223322059142953</v>
      </c>
      <c r="AD33" s="100">
        <v>0.17649707887049657</v>
      </c>
      <c r="AE33" s="100">
        <v>0.21255047073901689</v>
      </c>
    </row>
    <row r="34" spans="1:31" ht="22.5" x14ac:dyDescent="0.25">
      <c r="A34" s="42" t="s">
        <v>92</v>
      </c>
      <c r="B34" s="100">
        <v>0.23262355750395267</v>
      </c>
      <c r="C34" s="100">
        <v>0.26878507134807761</v>
      </c>
      <c r="D34" s="82">
        <v>0.16025070811144843</v>
      </c>
      <c r="E34" s="82">
        <v>0.14428493937051257</v>
      </c>
      <c r="F34" s="100">
        <v>0.15916467293532893</v>
      </c>
      <c r="G34" s="100">
        <v>0.20254935786850681</v>
      </c>
      <c r="H34" s="82">
        <v>0.23038246298342038</v>
      </c>
      <c r="I34" s="82">
        <v>0.23468591385099996</v>
      </c>
      <c r="J34" s="100">
        <v>0.10605838534481556</v>
      </c>
      <c r="K34" s="100">
        <v>0.13684093223890612</v>
      </c>
      <c r="L34" s="82">
        <v>0.21299491249647542</v>
      </c>
      <c r="M34" s="82">
        <v>0.24644626872743303</v>
      </c>
      <c r="N34" s="100">
        <v>0.28590809397116351</v>
      </c>
      <c r="O34" s="95"/>
      <c r="P34" s="82">
        <v>0.26726987576178673</v>
      </c>
      <c r="Q34" s="82">
        <v>0.29616833007051702</v>
      </c>
      <c r="R34" s="100">
        <v>0.33560836900147528</v>
      </c>
      <c r="S34" s="100">
        <v>0.38878113133134912</v>
      </c>
      <c r="T34" s="82">
        <v>0.22139581262265637</v>
      </c>
      <c r="U34" s="81"/>
      <c r="V34" s="100">
        <v>3.5345628969398628E-2</v>
      </c>
      <c r="W34" s="100">
        <v>5.0172523114783971E-2</v>
      </c>
      <c r="X34" s="82">
        <v>3.7342050029761327E-2</v>
      </c>
      <c r="Y34" s="82">
        <v>4.3219487762701098E-2</v>
      </c>
      <c r="Z34" s="100">
        <v>8.3322412010542718E-2</v>
      </c>
      <c r="AA34" s="100">
        <v>9.6164130864446307E-2</v>
      </c>
      <c r="AB34" s="105">
        <v>0.10429517862237296</v>
      </c>
      <c r="AC34" s="105">
        <v>0.12501526551374428</v>
      </c>
      <c r="AD34" s="100">
        <v>5.7504097710569448E-2</v>
      </c>
      <c r="AE34" s="100">
        <v>7.1834153220356647E-2</v>
      </c>
    </row>
    <row r="35" spans="1:31" ht="22.5" x14ac:dyDescent="0.25">
      <c r="A35" s="42" t="s">
        <v>17</v>
      </c>
      <c r="B35" s="100">
        <v>3.0884953438920785E-2</v>
      </c>
      <c r="C35" s="100">
        <v>3.509355887188835E-2</v>
      </c>
      <c r="D35" s="82">
        <v>2.253368935797544E-2</v>
      </c>
      <c r="E35" s="82">
        <v>2.120504544446207E-2</v>
      </c>
      <c r="F35" s="100">
        <v>2.2047604328174403E-2</v>
      </c>
      <c r="G35" s="100">
        <v>2.7587917395504268E-2</v>
      </c>
      <c r="H35" s="82">
        <v>3.2216202715832344E-2</v>
      </c>
      <c r="I35" s="82">
        <v>3.4451231156707181E-2</v>
      </c>
      <c r="J35" s="100">
        <v>1.1082195356426131E-2</v>
      </c>
      <c r="K35" s="100">
        <v>1.3038719401366526E-2</v>
      </c>
      <c r="L35" s="82">
        <v>2.3414231960751063E-2</v>
      </c>
      <c r="M35" s="82">
        <v>2.5001528144245212E-2</v>
      </c>
      <c r="N35" s="100">
        <v>5.8733227068316435E-2</v>
      </c>
      <c r="O35" s="95"/>
      <c r="P35" s="82">
        <v>3.9724678309934244E-2</v>
      </c>
      <c r="Q35" s="82">
        <v>4.6685363341282621E-2</v>
      </c>
      <c r="R35" s="100">
        <v>5.264127545411515E-2</v>
      </c>
      <c r="S35" s="100">
        <v>5.4881145154260402E-2</v>
      </c>
      <c r="T35" s="82">
        <v>3.4758073831376364E-2</v>
      </c>
      <c r="U35" s="81"/>
      <c r="V35" s="100">
        <v>3.1010153392863576E-3</v>
      </c>
      <c r="W35" s="100">
        <v>4.0774720921496694E-3</v>
      </c>
      <c r="X35" s="82">
        <v>3.2939872590820344E-3</v>
      </c>
      <c r="Y35" s="82">
        <v>3.4302802182187022E-3</v>
      </c>
      <c r="Z35" s="100">
        <v>9.3963285841258369E-3</v>
      </c>
      <c r="AA35" s="100">
        <v>1.0185572477691609E-2</v>
      </c>
      <c r="AB35" s="105">
        <v>9.5050179977697793E-3</v>
      </c>
      <c r="AC35" s="105">
        <v>1.0902066157892775E-2</v>
      </c>
      <c r="AD35" s="100">
        <v>5.7924180479299514E-3</v>
      </c>
      <c r="AE35" s="100">
        <v>6.4408547061208556E-3</v>
      </c>
    </row>
    <row r="36" spans="1:31" x14ac:dyDescent="0.25">
      <c r="A36" s="40" t="s">
        <v>18</v>
      </c>
      <c r="B36" s="95" t="s">
        <v>5</v>
      </c>
      <c r="C36" s="95"/>
      <c r="D36" s="81" t="s">
        <v>5</v>
      </c>
      <c r="E36" s="81"/>
      <c r="F36" s="95" t="s">
        <v>5</v>
      </c>
      <c r="G36" s="95"/>
      <c r="H36" s="81" t="s">
        <v>5</v>
      </c>
      <c r="I36" s="81"/>
      <c r="J36" s="95" t="s">
        <v>5</v>
      </c>
      <c r="K36" s="95"/>
      <c r="L36" s="81" t="s">
        <v>5</v>
      </c>
      <c r="M36" s="81"/>
      <c r="N36" s="95" t="s">
        <v>5</v>
      </c>
      <c r="O36" s="95"/>
      <c r="P36" s="81" t="s">
        <v>5</v>
      </c>
      <c r="Q36" s="81"/>
      <c r="R36" s="95" t="s">
        <v>5</v>
      </c>
      <c r="S36" s="95"/>
      <c r="T36" s="81" t="s">
        <v>5</v>
      </c>
      <c r="U36" s="81"/>
      <c r="V36" s="95" t="s">
        <v>5</v>
      </c>
      <c r="W36" s="95"/>
      <c r="X36" s="81" t="s">
        <v>5</v>
      </c>
      <c r="Y36" s="81"/>
      <c r="Z36" s="95" t="s">
        <v>5</v>
      </c>
      <c r="AA36" s="95"/>
      <c r="AB36" s="106" t="s">
        <v>5</v>
      </c>
      <c r="AC36" s="106"/>
      <c r="AD36" s="95" t="s">
        <v>5</v>
      </c>
      <c r="AE36" s="95"/>
    </row>
    <row r="37" spans="1:31" x14ac:dyDescent="0.25">
      <c r="A37" s="42" t="s">
        <v>19</v>
      </c>
      <c r="B37" s="100">
        <v>9.760308036634217E-3</v>
      </c>
      <c r="C37" s="100">
        <v>9.9102751221607707E-3</v>
      </c>
      <c r="D37" s="82">
        <v>7.165674466503391E-3</v>
      </c>
      <c r="E37" s="82">
        <v>1.1395160220335271E-3</v>
      </c>
      <c r="F37" s="100">
        <v>2.2053426743305828E-2</v>
      </c>
      <c r="G37" s="100">
        <v>1.6668850358853415E-2</v>
      </c>
      <c r="H37" s="82">
        <v>4.8534357488202303E-3</v>
      </c>
      <c r="I37" s="82">
        <v>1.2797839703213146E-2</v>
      </c>
      <c r="J37" s="100">
        <v>4.483361650588074E-2</v>
      </c>
      <c r="K37" s="100">
        <v>3.0003223733731117E-2</v>
      </c>
      <c r="L37" s="82">
        <v>1.7704296318985353E-2</v>
      </c>
      <c r="M37" s="82">
        <v>1.6565506430804885E-2</v>
      </c>
      <c r="N37" s="100">
        <v>9.4552344663634599E-3</v>
      </c>
      <c r="O37" s="95"/>
      <c r="P37" s="82">
        <v>1.7984041033451945E-2</v>
      </c>
      <c r="Q37" s="82">
        <v>2.1468473066097594E-2</v>
      </c>
      <c r="R37" s="100">
        <v>2.1670651610521802E-2</v>
      </c>
      <c r="S37" s="100">
        <v>3.5568325569409961E-2</v>
      </c>
      <c r="T37" s="82">
        <v>1.816983624418976E-2</v>
      </c>
      <c r="U37" s="81"/>
      <c r="V37" s="100">
        <v>4.163170466584315E-2</v>
      </c>
      <c r="W37" s="100">
        <v>4.6255516694277923E-2</v>
      </c>
      <c r="X37" s="82">
        <v>2.3310888867050107E-2</v>
      </c>
      <c r="Y37" s="82">
        <v>2.2652835301871801E-2</v>
      </c>
      <c r="Z37" s="100">
        <v>4.1541641441676255E-2</v>
      </c>
      <c r="AA37" s="100">
        <v>7.4977281286155481E-2</v>
      </c>
      <c r="AB37" s="105">
        <v>3.5272005698947077E-3</v>
      </c>
      <c r="AC37" s="105">
        <v>3.117381467725219E-3</v>
      </c>
      <c r="AD37" s="100">
        <v>4.7419576451476382E-2</v>
      </c>
      <c r="AE37" s="100">
        <v>8.122533641884111E-2</v>
      </c>
    </row>
    <row r="38" spans="1:31" x14ac:dyDescent="0.25">
      <c r="A38" s="42" t="s">
        <v>20</v>
      </c>
      <c r="B38" s="100">
        <v>7.1010768644973292E-3</v>
      </c>
      <c r="C38" s="100">
        <v>7.6253226293343688E-3</v>
      </c>
      <c r="D38" s="82">
        <v>5.1532953970225715E-3</v>
      </c>
      <c r="E38" s="82">
        <v>8.5069636827787951E-4</v>
      </c>
      <c r="F38" s="100">
        <v>1.5105244524780603E-2</v>
      </c>
      <c r="G38" s="100">
        <v>9.171507184347295E-3</v>
      </c>
      <c r="H38" s="82">
        <v>3.5187638851280041E-3</v>
      </c>
      <c r="I38" s="82">
        <v>9.3424864716916047E-3</v>
      </c>
      <c r="J38" s="100">
        <v>1.0565561076226002E-2</v>
      </c>
      <c r="K38" s="100">
        <v>1.5435404901465104E-2</v>
      </c>
      <c r="L38" s="82">
        <v>1.7399098494467843E-2</v>
      </c>
      <c r="M38" s="82">
        <v>1.3750279616556697E-2</v>
      </c>
      <c r="N38" s="100">
        <v>6.5544324524566284E-3</v>
      </c>
      <c r="O38" s="95"/>
      <c r="P38" s="82">
        <v>1.2272603412957207E-2</v>
      </c>
      <c r="Q38" s="82">
        <v>1.6008858836179845E-2</v>
      </c>
      <c r="R38" s="100">
        <v>1.4129040336598746E-2</v>
      </c>
      <c r="S38" s="100">
        <v>2.4374854238022131E-2</v>
      </c>
      <c r="T38" s="82">
        <v>1.4061384265266253E-2</v>
      </c>
      <c r="U38" s="81"/>
      <c r="V38" s="100">
        <v>2.5489561396778986E-2</v>
      </c>
      <c r="W38" s="100">
        <v>2.6267577914627346E-2</v>
      </c>
      <c r="X38" s="82">
        <v>1.1155512695886034E-2</v>
      </c>
      <c r="Y38" s="82">
        <v>1.0352498311423314E-2</v>
      </c>
      <c r="Z38" s="100">
        <v>2.6810796900749081E-2</v>
      </c>
      <c r="AA38" s="100">
        <v>5.2778823863447989E-2</v>
      </c>
      <c r="AB38" s="105">
        <v>2.188919148260856E-3</v>
      </c>
      <c r="AC38" s="105">
        <v>1.4247174526929481E-3</v>
      </c>
      <c r="AD38" s="100">
        <v>2.7662645252016876E-2</v>
      </c>
      <c r="AE38" s="100">
        <v>5.0586402962529309E-2</v>
      </c>
    </row>
    <row r="39" spans="1:31" x14ac:dyDescent="0.25">
      <c r="A39" s="42" t="s">
        <v>21</v>
      </c>
      <c r="B39" s="100">
        <v>0.2724536113159301</v>
      </c>
      <c r="C39" s="100">
        <v>0.23056398179268772</v>
      </c>
      <c r="D39" s="82">
        <v>0.28083596022787133</v>
      </c>
      <c r="E39" s="82">
        <v>0.25345817713052732</v>
      </c>
      <c r="F39" s="100">
        <v>0.31506134168624383</v>
      </c>
      <c r="G39" s="100">
        <v>0.44978165938864623</v>
      </c>
      <c r="H39" s="82">
        <v>0.27499526784024231</v>
      </c>
      <c r="I39" s="82">
        <v>0.26999503913570722</v>
      </c>
      <c r="J39" s="100">
        <v>0.76433841613379239</v>
      </c>
      <c r="K39" s="100">
        <v>0.48554178582777247</v>
      </c>
      <c r="L39" s="82">
        <v>1.7238630613645368E-2</v>
      </c>
      <c r="M39" s="82">
        <v>0.16994511010016869</v>
      </c>
      <c r="N39" s="100">
        <v>0.30679323968393324</v>
      </c>
      <c r="O39" s="95"/>
      <c r="P39" s="82">
        <v>0.31758366264127996</v>
      </c>
      <c r="Q39" s="82">
        <v>0.25430845561808574</v>
      </c>
      <c r="R39" s="100">
        <v>0.3480103602542971</v>
      </c>
      <c r="S39" s="100">
        <v>0.31470335339638866</v>
      </c>
      <c r="T39" s="82">
        <v>0.22611386936617456</v>
      </c>
      <c r="U39" s="81"/>
      <c r="V39" s="100">
        <v>0.38773678374760456</v>
      </c>
      <c r="W39" s="100">
        <v>0.43212010605695389</v>
      </c>
      <c r="X39" s="82">
        <v>0.52144627519312114</v>
      </c>
      <c r="Y39" s="82">
        <v>0.54299326448694529</v>
      </c>
      <c r="Z39" s="100">
        <v>0.35460429654925951</v>
      </c>
      <c r="AA39" s="100">
        <v>0.29606911642989148</v>
      </c>
      <c r="AB39" s="105">
        <v>0.37941744312935444</v>
      </c>
      <c r="AC39" s="105">
        <v>0.54297622301175186</v>
      </c>
      <c r="AD39" s="100">
        <v>0.41664081963440619</v>
      </c>
      <c r="AE39" s="100">
        <v>0.37720906809571259</v>
      </c>
    </row>
    <row r="40" spans="1:31" x14ac:dyDescent="0.25">
      <c r="A40" s="42" t="s">
        <v>22</v>
      </c>
      <c r="B40" s="100">
        <v>5.3922790600604191E-3</v>
      </c>
      <c r="C40" s="100">
        <v>2.708733559754933E-3</v>
      </c>
      <c r="D40" s="82">
        <v>1.5941467215994172E-3</v>
      </c>
      <c r="E40" s="82">
        <v>1.2249500249255562E-3</v>
      </c>
      <c r="F40" s="100">
        <v>2.2627967669576584E-2</v>
      </c>
      <c r="G40" s="100">
        <v>2.118734838265179E-2</v>
      </c>
      <c r="H40" s="82">
        <v>5.5741743216287136E-3</v>
      </c>
      <c r="I40" s="82">
        <v>7.4827712210284525E-3</v>
      </c>
      <c r="J40" s="100">
        <v>5.6346480462826261E-3</v>
      </c>
      <c r="K40" s="100">
        <v>8.7458943717079549E-3</v>
      </c>
      <c r="L40" s="82">
        <v>4.7416152874413435E-3</v>
      </c>
      <c r="M40" s="82">
        <v>7.6928319932988165E-4</v>
      </c>
      <c r="N40" s="100">
        <v>6.8274610886007395E-3</v>
      </c>
      <c r="O40" s="95"/>
      <c r="P40" s="82">
        <v>1.1329928355141846E-2</v>
      </c>
      <c r="Q40" s="82">
        <v>5.0925611007097459E-3</v>
      </c>
      <c r="R40" s="100">
        <v>5.2850315852769258E-3</v>
      </c>
      <c r="S40" s="100">
        <v>1.2253556889758942E-2</v>
      </c>
      <c r="T40" s="82">
        <v>1.1890671555897672E-2</v>
      </c>
      <c r="U40" s="81"/>
      <c r="V40" s="100">
        <v>5.9537626242554976E-3</v>
      </c>
      <c r="W40" s="100">
        <v>8.2303346222725171E-3</v>
      </c>
      <c r="X40" s="82">
        <v>6.2115413957883449E-3</v>
      </c>
      <c r="Y40" s="82">
        <v>3.622518157872266E-3</v>
      </c>
      <c r="Z40" s="100">
        <v>6.7508516931672714E-3</v>
      </c>
      <c r="AA40" s="100">
        <v>1.9513011953875746E-2</v>
      </c>
      <c r="AB40" s="105">
        <v>7.9911829009826785E-3</v>
      </c>
      <c r="AC40" s="105">
        <v>4.4861325558394295E-3</v>
      </c>
      <c r="AD40" s="100">
        <v>1.3091176765899234E-2</v>
      </c>
      <c r="AE40" s="100">
        <v>9.5134848919495359E-3</v>
      </c>
    </row>
    <row r="41" spans="1:31" x14ac:dyDescent="0.25">
      <c r="A41" s="18"/>
      <c r="B41" s="95"/>
      <c r="C41" s="95"/>
      <c r="D41" s="81"/>
      <c r="E41" s="81"/>
      <c r="F41" s="95"/>
      <c r="G41" s="95"/>
      <c r="H41" s="81"/>
      <c r="I41" s="81"/>
      <c r="J41" s="95"/>
      <c r="K41" s="95"/>
      <c r="L41" s="81"/>
      <c r="M41" s="81"/>
      <c r="N41" s="95"/>
      <c r="O41" s="95"/>
      <c r="P41" s="81"/>
      <c r="Q41" s="81"/>
      <c r="R41" s="95"/>
      <c r="S41" s="95"/>
      <c r="T41" s="81"/>
      <c r="U41" s="81"/>
      <c r="V41" s="95"/>
      <c r="W41" s="95"/>
      <c r="X41" s="81"/>
      <c r="Y41" s="81"/>
      <c r="Z41" s="95"/>
      <c r="AA41" s="95"/>
      <c r="AB41" s="106"/>
      <c r="AC41" s="106"/>
      <c r="AD41" s="95"/>
      <c r="AE41" s="95"/>
    </row>
    <row r="42" spans="1:31" x14ac:dyDescent="0.25">
      <c r="A42" s="40" t="s">
        <v>30</v>
      </c>
      <c r="B42" s="95" t="s">
        <v>5</v>
      </c>
      <c r="C42" s="95"/>
      <c r="D42" s="81" t="s">
        <v>5</v>
      </c>
      <c r="E42" s="81"/>
      <c r="F42" s="95" t="s">
        <v>5</v>
      </c>
      <c r="G42" s="95"/>
      <c r="H42" s="81" t="s">
        <v>5</v>
      </c>
      <c r="I42" s="81"/>
      <c r="J42" s="95" t="s">
        <v>5</v>
      </c>
      <c r="K42" s="95"/>
      <c r="L42" s="81" t="s">
        <v>5</v>
      </c>
      <c r="M42" s="81"/>
      <c r="N42" s="95" t="s">
        <v>5</v>
      </c>
      <c r="O42" s="95"/>
      <c r="P42" s="81" t="s">
        <v>5</v>
      </c>
      <c r="Q42" s="81"/>
      <c r="R42" s="95" t="s">
        <v>5</v>
      </c>
      <c r="S42" s="95"/>
      <c r="T42" s="81" t="s">
        <v>5</v>
      </c>
      <c r="U42" s="81"/>
      <c r="V42" s="95" t="s">
        <v>5</v>
      </c>
      <c r="W42" s="95"/>
      <c r="X42" s="81" t="s">
        <v>5</v>
      </c>
      <c r="Y42" s="81"/>
      <c r="Z42" s="95" t="s">
        <v>5</v>
      </c>
      <c r="AA42" s="95"/>
      <c r="AB42" s="106" t="s">
        <v>5</v>
      </c>
      <c r="AC42" s="106"/>
      <c r="AD42" s="95" t="s">
        <v>5</v>
      </c>
      <c r="AE42" s="95"/>
    </row>
    <row r="43" spans="1:31" ht="22.5" x14ac:dyDescent="0.25">
      <c r="A43" s="46" t="s">
        <v>95</v>
      </c>
      <c r="B43" s="100">
        <v>4.699313860797541E-2</v>
      </c>
      <c r="C43" s="100">
        <v>4.7793015226433991E-2</v>
      </c>
      <c r="D43" s="82">
        <v>7.4633807066920937E-2</v>
      </c>
      <c r="E43" s="82">
        <v>9.2149561211608597E-2</v>
      </c>
      <c r="F43" s="100">
        <v>4.3879408287720668E-2</v>
      </c>
      <c r="G43" s="100">
        <v>4.9996083857661279E-2</v>
      </c>
      <c r="H43" s="82">
        <v>5.7233592044103956E-2</v>
      </c>
      <c r="I43" s="82">
        <v>7.4853601973495693E-2</v>
      </c>
      <c r="J43" s="100">
        <v>3.0527530607499589E-2</v>
      </c>
      <c r="K43" s="100">
        <v>2.9250417741660512E-2</v>
      </c>
      <c r="L43" s="82">
        <v>1.3585956912332733E-2</v>
      </c>
      <c r="M43" s="82">
        <v>1.0468558953628375E-2</v>
      </c>
      <c r="N43" s="100">
        <v>6.7660211028182426E-2</v>
      </c>
      <c r="O43" s="95"/>
      <c r="P43" s="82">
        <v>6.2325498230373207E-2</v>
      </c>
      <c r="Q43" s="82">
        <v>6.2911370767077618E-2</v>
      </c>
      <c r="R43" s="100">
        <v>4.0850602886255361E-2</v>
      </c>
      <c r="S43" s="100">
        <v>2.3185759964122359E-2</v>
      </c>
      <c r="T43" s="82">
        <v>5.7277412691922484E-2</v>
      </c>
      <c r="U43" s="81"/>
      <c r="V43" s="100">
        <v>2.0747994464048212E-2</v>
      </c>
      <c r="W43" s="100">
        <v>1.9583730568523375E-2</v>
      </c>
      <c r="X43" s="82">
        <v>3.2542306295252801E-2</v>
      </c>
      <c r="Y43" s="82">
        <v>3.1740055103472754E-2</v>
      </c>
      <c r="Z43" s="100">
        <v>3.863546325813013E-2</v>
      </c>
      <c r="AA43" s="100">
        <v>4.0437716090405085E-2</v>
      </c>
      <c r="AB43" s="105">
        <v>2.4855700064133304E-2</v>
      </c>
      <c r="AC43" s="105">
        <v>2.6414861945517218E-2</v>
      </c>
      <c r="AD43" s="100">
        <v>2.727641310274442E-2</v>
      </c>
      <c r="AE43" s="100">
        <v>2.3932372923647818E-2</v>
      </c>
    </row>
    <row r="44" spans="1:31" x14ac:dyDescent="0.25">
      <c r="A44" s="42" t="s">
        <v>31</v>
      </c>
      <c r="B44" s="100">
        <v>3.4840980720426663E-2</v>
      </c>
      <c r="C44" s="100">
        <v>3.5714866818607673E-2</v>
      </c>
      <c r="D44" s="82">
        <v>5.7295496240586968E-2</v>
      </c>
      <c r="E44" s="82">
        <v>6.6717788414860035E-2</v>
      </c>
      <c r="F44" s="100">
        <v>1.0335296226083153E-2</v>
      </c>
      <c r="G44" s="100">
        <v>2.4773516434744014E-2</v>
      </c>
      <c r="H44" s="82">
        <v>3.9837688080437687E-2</v>
      </c>
      <c r="I44" s="82">
        <v>5.3669982866893368E-2</v>
      </c>
      <c r="J44" s="100">
        <v>1.9271329216551406E-2</v>
      </c>
      <c r="K44" s="100">
        <v>1.6703839378424911E-2</v>
      </c>
      <c r="L44" s="82">
        <v>6.9663533335375637E-3</v>
      </c>
      <c r="M44" s="82">
        <v>7.88812641897489E-3</v>
      </c>
      <c r="N44" s="100">
        <v>4.6724093128204178E-2</v>
      </c>
      <c r="O44" s="95"/>
      <c r="P44" s="82">
        <v>4.1011790550711427E-2</v>
      </c>
      <c r="Q44" s="82">
        <v>4.5197114891654309E-2</v>
      </c>
      <c r="R44" s="100">
        <v>2.8322436533309417E-2</v>
      </c>
      <c r="S44" s="100">
        <v>1.0137833448164019E-2</v>
      </c>
      <c r="T44" s="82">
        <v>3.3199265611763042E-2</v>
      </c>
      <c r="U44" s="81"/>
      <c r="V44" s="100">
        <v>1.2087112489949195E-2</v>
      </c>
      <c r="W44" s="100">
        <v>9.3320128947979239E-3</v>
      </c>
      <c r="X44" s="82">
        <v>2.2034233937051156E-2</v>
      </c>
      <c r="Y44" s="82">
        <v>2.2743273544010983E-2</v>
      </c>
      <c r="Z44" s="100">
        <v>2.361398200624424E-2</v>
      </c>
      <c r="AA44" s="100">
        <v>1.5724547049061424E-2</v>
      </c>
      <c r="AB44" s="105">
        <v>1.3092149736822342E-2</v>
      </c>
      <c r="AC44" s="105">
        <v>1.6429153702486508E-2</v>
      </c>
      <c r="AD44" s="100">
        <v>1.2319290684103971E-2</v>
      </c>
      <c r="AE44" s="100">
        <v>1.2000424581889772E-2</v>
      </c>
    </row>
    <row r="45" spans="1:31" x14ac:dyDescent="0.25">
      <c r="A45" s="42" t="s">
        <v>32</v>
      </c>
      <c r="B45" s="100">
        <v>0.12868344980045401</v>
      </c>
      <c r="C45" s="100">
        <v>0.13696579620894866</v>
      </c>
      <c r="D45" s="82">
        <v>0.12236142403654507</v>
      </c>
      <c r="E45" s="82">
        <v>0.13237240684796583</v>
      </c>
      <c r="F45" s="100">
        <v>4.5280717657166888E-2</v>
      </c>
      <c r="G45" s="100">
        <v>9.9024262979389516E-2</v>
      </c>
      <c r="H45" s="82">
        <v>0.10656743714237933</v>
      </c>
      <c r="I45" s="82">
        <v>0.11368587005096825</v>
      </c>
      <c r="J45" s="100">
        <v>0.12862959458468542</v>
      </c>
      <c r="K45" s="100">
        <v>0.10436414599174659</v>
      </c>
      <c r="L45" s="82">
        <v>3.6777674627097558E-2</v>
      </c>
      <c r="M45" s="82">
        <v>4.7822797560530386E-2</v>
      </c>
      <c r="N45" s="100">
        <v>0.16674770782452381</v>
      </c>
      <c r="O45" s="95"/>
      <c r="P45" s="82">
        <v>9.7884056443456491E-2</v>
      </c>
      <c r="Q45" s="82">
        <v>0.12759248553190727</v>
      </c>
      <c r="R45" s="100">
        <v>0.12323632048228736</v>
      </c>
      <c r="S45" s="100">
        <v>4.6360386491950387E-2</v>
      </c>
      <c r="T45" s="82">
        <v>0.13914554669086707</v>
      </c>
      <c r="U45" s="81"/>
      <c r="V45" s="100">
        <v>0.14125699997933586</v>
      </c>
      <c r="W45" s="100">
        <v>0.1012224197693677</v>
      </c>
      <c r="X45" s="82">
        <v>0.12339444131500291</v>
      </c>
      <c r="Y45" s="82">
        <v>0.12000140590694862</v>
      </c>
      <c r="Z45" s="100">
        <v>0.14955176071718287</v>
      </c>
      <c r="AA45" s="100">
        <v>8.9194368191036336E-2</v>
      </c>
      <c r="AB45" s="105">
        <v>7.8019513916684949E-2</v>
      </c>
      <c r="AC45" s="105">
        <v>0.11110745773698524</v>
      </c>
      <c r="AD45" s="100">
        <v>0.11005130144864443</v>
      </c>
      <c r="AE45" s="100">
        <v>8.805788816202513E-2</v>
      </c>
    </row>
    <row r="46" spans="1:31" x14ac:dyDescent="0.25">
      <c r="A46" s="40" t="s">
        <v>33</v>
      </c>
      <c r="B46" s="95" t="s">
        <v>5</v>
      </c>
      <c r="C46" s="95"/>
      <c r="D46" s="81" t="s">
        <v>5</v>
      </c>
      <c r="E46" s="81"/>
      <c r="F46" s="95" t="s">
        <v>5</v>
      </c>
      <c r="G46" s="95"/>
      <c r="H46" s="81" t="s">
        <v>5</v>
      </c>
      <c r="I46" s="81"/>
      <c r="J46" s="95" t="s">
        <v>5</v>
      </c>
      <c r="K46" s="95"/>
      <c r="L46" s="81" t="s">
        <v>5</v>
      </c>
      <c r="M46" s="81"/>
      <c r="N46" s="95" t="s">
        <v>5</v>
      </c>
      <c r="O46" s="95"/>
      <c r="P46" s="81"/>
      <c r="Q46" s="81"/>
      <c r="R46" s="95" t="s">
        <v>5</v>
      </c>
      <c r="S46" s="95"/>
      <c r="T46" s="81" t="s">
        <v>5</v>
      </c>
      <c r="U46" s="81"/>
      <c r="V46" s="95" t="s">
        <v>5</v>
      </c>
      <c r="W46" s="95"/>
      <c r="X46" s="81" t="s">
        <v>5</v>
      </c>
      <c r="Y46" s="81"/>
      <c r="Z46" s="95" t="s">
        <v>5</v>
      </c>
      <c r="AA46" s="95"/>
      <c r="AB46" s="106" t="s">
        <v>5</v>
      </c>
      <c r="AC46" s="106"/>
      <c r="AD46" s="95" t="s">
        <v>5</v>
      </c>
      <c r="AE46" s="95"/>
    </row>
    <row r="47" spans="1:31" x14ac:dyDescent="0.25">
      <c r="A47" s="42" t="s">
        <v>34</v>
      </c>
      <c r="B47" s="100">
        <v>0.13058608863553803</v>
      </c>
      <c r="C47" s="100">
        <v>0.12755976726378923</v>
      </c>
      <c r="D47" s="82">
        <v>0.16925302670935313</v>
      </c>
      <c r="E47" s="82">
        <v>2.7531305177902605E-2</v>
      </c>
      <c r="F47" s="100">
        <v>0.14871939572653017</v>
      </c>
      <c r="G47" s="100">
        <v>0.14408496940152038</v>
      </c>
      <c r="H47" s="82">
        <v>0.14576476671096872</v>
      </c>
      <c r="I47" s="82">
        <v>0.14345596691898865</v>
      </c>
      <c r="J47" s="100">
        <v>0.1044595806123991</v>
      </c>
      <c r="K47" s="100">
        <v>9.6226114140463198E-2</v>
      </c>
      <c r="L47" s="82">
        <v>0.11654526106629126</v>
      </c>
      <c r="M47" s="82">
        <v>0.1096521036754836</v>
      </c>
      <c r="N47" s="100">
        <v>0.17445988031665868</v>
      </c>
      <c r="O47" s="95"/>
      <c r="P47" s="82">
        <v>0.14682222348381155</v>
      </c>
      <c r="Q47" s="82">
        <v>0.15276445361767294</v>
      </c>
      <c r="R47" s="100">
        <v>0.16079372646469145</v>
      </c>
      <c r="S47" s="100">
        <v>0.151149514728003</v>
      </c>
      <c r="T47" s="82">
        <v>0.13490303643505441</v>
      </c>
      <c r="U47" s="81"/>
      <c r="V47" s="100">
        <v>8.8177510428833497E-2</v>
      </c>
      <c r="W47" s="100">
        <v>8.0555646107284662E-2</v>
      </c>
      <c r="X47" s="82">
        <v>8.7343269067443566E-2</v>
      </c>
      <c r="Y47" s="82">
        <v>7.6958204503000061E-2</v>
      </c>
      <c r="Z47" s="100">
        <v>0.11300069757128998</v>
      </c>
      <c r="AA47" s="100">
        <v>0.10534062580454753</v>
      </c>
      <c r="AB47" s="105">
        <v>9.1571954345425921E-2</v>
      </c>
      <c r="AC47" s="105">
        <v>8.5814039684694768E-2</v>
      </c>
      <c r="AD47" s="100">
        <v>0.10613722107596978</v>
      </c>
      <c r="AE47" s="100">
        <v>9.1374548201073574E-2</v>
      </c>
    </row>
    <row r="48" spans="1:31" x14ac:dyDescent="0.25">
      <c r="A48" s="42" t="s">
        <v>35</v>
      </c>
      <c r="B48" s="100">
        <v>7.7933189435676217E-2</v>
      </c>
      <c r="C48" s="100">
        <v>6.6367369734557868E-2</v>
      </c>
      <c r="D48" s="82">
        <v>9.0943535793745145E-2</v>
      </c>
      <c r="E48" s="82">
        <v>7.9269383753438213E-2</v>
      </c>
      <c r="F48" s="100">
        <v>9.9608686808411992E-2</v>
      </c>
      <c r="G48" s="100">
        <v>8.391052426216955E-2</v>
      </c>
      <c r="H48" s="82">
        <v>9.0789205883038224E-2</v>
      </c>
      <c r="I48" s="82">
        <v>8.824571599652338E-2</v>
      </c>
      <c r="J48" s="100">
        <v>7.4507693156528929E-2</v>
      </c>
      <c r="K48" s="100">
        <v>6.3648969863607324E-2</v>
      </c>
      <c r="L48" s="82">
        <v>9.2792663308403217E-2</v>
      </c>
      <c r="M48" s="82">
        <v>8.167994675360582E-2</v>
      </c>
      <c r="N48" s="100">
        <v>0.12324322036488816</v>
      </c>
      <c r="O48" s="95"/>
      <c r="P48" s="82">
        <v>8.6853015294691985E-2</v>
      </c>
      <c r="Q48" s="82">
        <v>8.3305871451436281E-2</v>
      </c>
      <c r="R48" s="100">
        <v>9.730978915813196E-2</v>
      </c>
      <c r="S48" s="100">
        <v>9.2820848207659068E-2</v>
      </c>
      <c r="T48" s="82">
        <v>9.2498053969636285E-2</v>
      </c>
      <c r="U48" s="81"/>
      <c r="V48" s="100">
        <v>7.2408954291477479E-2</v>
      </c>
      <c r="W48" s="140">
        <v>6.5599099962170893E-2</v>
      </c>
      <c r="X48" s="82">
        <v>6.6509861834510534E-2</v>
      </c>
      <c r="Y48" s="82">
        <v>5.6828688258423188E-2</v>
      </c>
      <c r="Z48" s="100">
        <v>7.9505851102335559E-2</v>
      </c>
      <c r="AA48" s="100">
        <v>6.9376722652993716E-2</v>
      </c>
      <c r="AB48" s="105">
        <v>6.8735463551012357E-2</v>
      </c>
      <c r="AC48" s="105">
        <v>5.8974521745745002E-2</v>
      </c>
      <c r="AD48" s="100">
        <v>8.0239339899123449E-2</v>
      </c>
      <c r="AE48" s="100">
        <v>7.2342956035643807E-2</v>
      </c>
    </row>
    <row r="49" spans="1:31" x14ac:dyDescent="0.25">
      <c r="A49" s="42" t="s">
        <v>36</v>
      </c>
      <c r="B49" s="100">
        <v>5.2652899199861811E-2</v>
      </c>
      <c r="C49" s="100">
        <v>6.1192397529231363E-2</v>
      </c>
      <c r="D49" s="82">
        <v>7.8309490915607988E-2</v>
      </c>
      <c r="E49" s="82">
        <v>-5.1738078575535612E-2</v>
      </c>
      <c r="F49" s="100">
        <v>4.9110708918118182E-2</v>
      </c>
      <c r="G49" s="100">
        <v>6.017444513935083E-2</v>
      </c>
      <c r="H49" s="82">
        <v>5.4975560827930495E-2</v>
      </c>
      <c r="I49" s="82">
        <v>5.5210250922465273E-2</v>
      </c>
      <c r="J49" s="100">
        <v>2.9951887455870171E-2</v>
      </c>
      <c r="K49" s="100">
        <v>3.2577144276855874E-2</v>
      </c>
      <c r="L49" s="82">
        <v>2.3752597757888044E-2</v>
      </c>
      <c r="M49" s="82">
        <v>2.797215692187778E-2</v>
      </c>
      <c r="N49" s="100">
        <v>5.1216659951770521E-2</v>
      </c>
      <c r="O49" s="95"/>
      <c r="P49" s="82">
        <v>5.9969208189119563E-2</v>
      </c>
      <c r="Q49" s="82">
        <v>6.9458582166236654E-2</v>
      </c>
      <c r="R49" s="100">
        <v>6.348393730655949E-2</v>
      </c>
      <c r="S49" s="100">
        <v>5.8328666520343936E-2</v>
      </c>
      <c r="T49" s="82">
        <v>4.2404982465418128E-2</v>
      </c>
      <c r="U49" s="81"/>
      <c r="V49" s="100">
        <v>1.5768556137356018E-2</v>
      </c>
      <c r="W49" s="140">
        <v>1.4956546145113769E-2</v>
      </c>
      <c r="X49" s="82">
        <v>2.0833407232933032E-2</v>
      </c>
      <c r="Y49" s="82">
        <v>2.0129516244576873E-2</v>
      </c>
      <c r="Z49" s="100">
        <v>3.3494846468954426E-2</v>
      </c>
      <c r="AA49" s="100">
        <v>3.5963903151553817E-2</v>
      </c>
      <c r="AB49" s="105">
        <v>2.2836490794413564E-2</v>
      </c>
      <c r="AC49" s="105">
        <v>2.6839517938949765E-2</v>
      </c>
      <c r="AD49" s="100">
        <v>2.5897881176846327E-2</v>
      </c>
      <c r="AE49" s="100">
        <v>1.9031592165429767E-2</v>
      </c>
    </row>
  </sheetData>
  <mergeCells count="32">
    <mergeCell ref="B1:M1"/>
    <mergeCell ref="AD5:AE5"/>
    <mergeCell ref="Z2:AA2"/>
    <mergeCell ref="Z5:AA5"/>
    <mergeCell ref="V2:W2"/>
    <mergeCell ref="F2:G2"/>
    <mergeCell ref="AD2:AE2"/>
    <mergeCell ref="F5:G5"/>
    <mergeCell ref="T2:U2"/>
    <mergeCell ref="R5:S5"/>
    <mergeCell ref="P5:Q5"/>
    <mergeCell ref="T5:U5"/>
    <mergeCell ref="V5:W5"/>
    <mergeCell ref="L2:M2"/>
    <mergeCell ref="L5:M5"/>
    <mergeCell ref="X2:Y2"/>
    <mergeCell ref="B5:C5"/>
    <mergeCell ref="D5:E5"/>
    <mergeCell ref="AB5:AC5"/>
    <mergeCell ref="H2:I2"/>
    <mergeCell ref="H5:I5"/>
    <mergeCell ref="J5:K5"/>
    <mergeCell ref="X5:Y5"/>
    <mergeCell ref="N2:O2"/>
    <mergeCell ref="N5:O5"/>
    <mergeCell ref="P2:Q2"/>
    <mergeCell ref="R2:S2"/>
    <mergeCell ref="AF2:AG2"/>
    <mergeCell ref="B2:C2"/>
    <mergeCell ref="D2:E2"/>
    <mergeCell ref="AB2:AC2"/>
    <mergeCell ref="J2:K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1CBB-BCBA-41B7-9247-E9FFFC5A4C2D}">
  <dimension ref="B1:J35"/>
  <sheetViews>
    <sheetView showGridLines="0" topLeftCell="B1" zoomScale="120" zoomScaleNormal="120" workbookViewId="0">
      <selection activeCell="J29" sqref="J29"/>
    </sheetView>
  </sheetViews>
  <sheetFormatPr defaultRowHeight="15" x14ac:dyDescent="0.25"/>
  <cols>
    <col min="1" max="1" width="1.85546875" customWidth="1"/>
    <col min="2" max="2" width="30.85546875" bestFit="1" customWidth="1"/>
    <col min="3" max="5" width="15.7109375" customWidth="1"/>
    <col min="7" max="7" width="39.42578125" customWidth="1"/>
    <col min="8" max="10" width="15.7109375" customWidth="1"/>
  </cols>
  <sheetData>
    <row r="1" spans="2:10" x14ac:dyDescent="0.25">
      <c r="E1" s="414" t="s">
        <v>111</v>
      </c>
    </row>
    <row r="2" spans="2:10" ht="18.75" x14ac:dyDescent="0.25">
      <c r="B2" s="728" t="s">
        <v>760</v>
      </c>
      <c r="C2" s="728"/>
      <c r="D2" s="728"/>
      <c r="E2" s="728"/>
      <c r="F2" s="145"/>
      <c r="G2" s="145"/>
      <c r="H2" s="145"/>
      <c r="I2" s="145"/>
      <c r="J2" s="145"/>
    </row>
    <row r="3" spans="2:10" ht="15" customHeight="1" x14ac:dyDescent="0.25">
      <c r="B3" s="729" t="s">
        <v>4</v>
      </c>
      <c r="C3" s="471" t="s">
        <v>367</v>
      </c>
      <c r="D3" s="471" t="s">
        <v>368</v>
      </c>
      <c r="E3" s="471" t="s">
        <v>693</v>
      </c>
      <c r="F3" s="145"/>
      <c r="G3" s="631" t="s">
        <v>4</v>
      </c>
      <c r="H3" s="565" t="s">
        <v>623</v>
      </c>
      <c r="I3" s="565" t="s">
        <v>700</v>
      </c>
      <c r="J3" s="565" t="s">
        <v>701</v>
      </c>
    </row>
    <row r="4" spans="2:10" ht="15" customHeight="1" x14ac:dyDescent="0.25">
      <c r="B4" s="729"/>
      <c r="C4" s="471" t="s">
        <v>46</v>
      </c>
      <c r="D4" s="471" t="s">
        <v>46</v>
      </c>
      <c r="E4" s="471" t="s">
        <v>46</v>
      </c>
      <c r="F4" s="145"/>
      <c r="G4" s="632" t="s">
        <v>6</v>
      </c>
      <c r="H4" s="607"/>
      <c r="I4" s="607"/>
      <c r="J4" s="607"/>
    </row>
    <row r="5" spans="2:10" ht="15" customHeight="1" x14ac:dyDescent="0.25">
      <c r="B5" s="729"/>
      <c r="C5" s="621" t="s">
        <v>49</v>
      </c>
      <c r="D5" s="621" t="s">
        <v>49</v>
      </c>
      <c r="E5" s="621" t="s">
        <v>49</v>
      </c>
      <c r="F5" s="145"/>
      <c r="G5" s="474" t="s">
        <v>11</v>
      </c>
      <c r="H5" s="634" t="s">
        <v>465</v>
      </c>
      <c r="I5" s="633">
        <f>D11/AVERAGE(C24:D24)</f>
        <v>3.7037037037037035E-2</v>
      </c>
      <c r="J5" s="633">
        <f>E11/AVERAGE(D24:E24)</f>
        <v>9.0191657271702363E-2</v>
      </c>
    </row>
    <row r="6" spans="2:10" ht="15" customHeight="1" x14ac:dyDescent="0.25">
      <c r="B6" s="473" t="s">
        <v>23</v>
      </c>
      <c r="C6" s="627">
        <v>4</v>
      </c>
      <c r="D6" s="627">
        <v>48</v>
      </c>
      <c r="E6" s="627">
        <v>102</v>
      </c>
      <c r="F6" s="145"/>
      <c r="G6" s="632" t="s">
        <v>12</v>
      </c>
      <c r="H6" s="607"/>
      <c r="I6" s="607"/>
      <c r="J6" s="607"/>
    </row>
    <row r="7" spans="2:10" ht="15" customHeight="1" x14ac:dyDescent="0.25">
      <c r="B7" s="473" t="s">
        <v>50</v>
      </c>
      <c r="C7" s="494">
        <v>3</v>
      </c>
      <c r="D7" s="494">
        <v>32</v>
      </c>
      <c r="E7" s="494">
        <v>74</v>
      </c>
      <c r="F7" s="145"/>
      <c r="G7" s="474" t="s">
        <v>13</v>
      </c>
      <c r="H7" s="601">
        <f>C22/C21</f>
        <v>1.4579439252336448</v>
      </c>
      <c r="I7" s="601">
        <f>D22/D21</f>
        <v>1.9557522123893805</v>
      </c>
      <c r="J7" s="601">
        <f>E22/E21</f>
        <v>1.2820512820512822</v>
      </c>
    </row>
    <row r="8" spans="2:10" ht="15" customHeight="1" x14ac:dyDescent="0.25">
      <c r="B8" s="473" t="s">
        <v>51</v>
      </c>
      <c r="C8" s="494">
        <v>0</v>
      </c>
      <c r="D8" s="494">
        <v>0</v>
      </c>
      <c r="E8" s="494">
        <v>0</v>
      </c>
      <c r="F8" s="145"/>
      <c r="G8" s="474" t="s">
        <v>14</v>
      </c>
      <c r="H8" s="575">
        <v>0.47370000000000001</v>
      </c>
      <c r="I8" s="575">
        <v>0.33979999999999999</v>
      </c>
      <c r="J8" s="575">
        <v>0.45019999999999999</v>
      </c>
    </row>
    <row r="9" spans="2:10" ht="15" customHeight="1" x14ac:dyDescent="0.25">
      <c r="B9" s="473" t="s">
        <v>52</v>
      </c>
      <c r="C9" s="494">
        <v>1</v>
      </c>
      <c r="D9" s="494">
        <v>16</v>
      </c>
      <c r="E9" s="494">
        <v>19</v>
      </c>
      <c r="F9" s="145"/>
      <c r="G9" s="474" t="s">
        <v>15</v>
      </c>
      <c r="H9" s="634">
        <f>C21/C24</f>
        <v>0.69934640522875813</v>
      </c>
      <c r="I9" s="634">
        <f>D21/D24</f>
        <v>0.4050179211469534</v>
      </c>
      <c r="J9" s="634">
        <f>E21/E24</f>
        <v>0.57730263157894735</v>
      </c>
    </row>
    <row r="10" spans="2:10" ht="15" customHeight="1" x14ac:dyDescent="0.25">
      <c r="B10" s="473" t="s">
        <v>24</v>
      </c>
      <c r="C10" s="494">
        <v>3</v>
      </c>
      <c r="D10" s="494">
        <v>24</v>
      </c>
      <c r="E10" s="494">
        <v>34</v>
      </c>
      <c r="F10" s="145"/>
      <c r="G10" s="632" t="s">
        <v>16</v>
      </c>
      <c r="H10" s="435"/>
      <c r="I10" s="435"/>
      <c r="J10" s="435"/>
    </row>
    <row r="11" spans="2:10" ht="32.25" customHeight="1" x14ac:dyDescent="0.25">
      <c r="B11" s="473" t="s">
        <v>53</v>
      </c>
      <c r="C11" s="494">
        <v>0</v>
      </c>
      <c r="D11" s="494">
        <v>8</v>
      </c>
      <c r="E11" s="494">
        <f>E7-E10</f>
        <v>40</v>
      </c>
      <c r="F11" s="145"/>
      <c r="G11" s="474" t="s">
        <v>93</v>
      </c>
      <c r="H11" s="635">
        <f>C15/(C12-C10)</f>
        <v>4</v>
      </c>
      <c r="I11" s="635">
        <f>D15/(D12-D10)</f>
        <v>0.875</v>
      </c>
      <c r="J11" s="635">
        <f>E15/(E12-E10)</f>
        <v>0.9152542372881356</v>
      </c>
    </row>
    <row r="12" spans="2:10" ht="20.25" customHeight="1" x14ac:dyDescent="0.25">
      <c r="B12" s="473" t="s">
        <v>1</v>
      </c>
      <c r="C12" s="494">
        <f>C7+C8+C9</f>
        <v>4</v>
      </c>
      <c r="D12" s="494">
        <f t="shared" ref="D12:E12" si="0">D7+D8+D9</f>
        <v>48</v>
      </c>
      <c r="E12" s="494">
        <f t="shared" si="0"/>
        <v>93</v>
      </c>
      <c r="F12" s="145"/>
      <c r="G12" s="474" t="s">
        <v>92</v>
      </c>
      <c r="H12" s="634">
        <f>C15/C12</f>
        <v>1</v>
      </c>
      <c r="I12" s="634">
        <f>D15/D12</f>
        <v>0.4375</v>
      </c>
      <c r="J12" s="634">
        <f>E15/E12</f>
        <v>0.58064516129032262</v>
      </c>
    </row>
    <row r="13" spans="2:10" ht="15" customHeight="1" x14ac:dyDescent="0.25">
      <c r="B13" s="473" t="s">
        <v>91</v>
      </c>
      <c r="C13" s="494">
        <v>3</v>
      </c>
      <c r="D13" s="494">
        <v>3</v>
      </c>
      <c r="E13" s="494">
        <v>9</v>
      </c>
      <c r="F13" s="145"/>
      <c r="G13" s="474" t="s">
        <v>17</v>
      </c>
      <c r="H13" s="634">
        <f>C15/AVERAGE(C24)</f>
        <v>2.6143790849673203E-2</v>
      </c>
      <c r="I13" s="634">
        <f>D15/AVERAGE(C23:D23)</f>
        <v>6.7199999999999996E-2</v>
      </c>
      <c r="J13" s="634">
        <f>E15/AVERAGE(D23:E23)</f>
        <v>9.1216216216216214E-2</v>
      </c>
    </row>
    <row r="14" spans="2:10" ht="15" customHeight="1" x14ac:dyDescent="0.25">
      <c r="B14" s="473" t="s">
        <v>25</v>
      </c>
      <c r="C14" s="494">
        <f>C12+C13</f>
        <v>7</v>
      </c>
      <c r="D14" s="494">
        <f t="shared" ref="D14:E14" si="1">D12+D13</f>
        <v>51</v>
      </c>
      <c r="E14" s="494">
        <f t="shared" si="1"/>
        <v>102</v>
      </c>
      <c r="F14" s="145"/>
      <c r="G14" s="632" t="s">
        <v>18</v>
      </c>
      <c r="H14" s="435"/>
      <c r="I14" s="435"/>
      <c r="J14" s="435"/>
    </row>
    <row r="15" spans="2:10" ht="15" customHeight="1" x14ac:dyDescent="0.25">
      <c r="B15" s="473" t="s">
        <v>26</v>
      </c>
      <c r="C15" s="494">
        <v>4</v>
      </c>
      <c r="D15" s="494">
        <v>21</v>
      </c>
      <c r="E15" s="494">
        <v>54</v>
      </c>
      <c r="F15" s="145"/>
      <c r="G15" s="474" t="s">
        <v>19</v>
      </c>
      <c r="H15" s="634" t="s">
        <v>465</v>
      </c>
      <c r="I15" s="634">
        <v>9.4999999999999998E-3</v>
      </c>
      <c r="J15" s="634">
        <v>3.8999999999999998E-3</v>
      </c>
    </row>
    <row r="16" spans="2:10" ht="15" customHeight="1" x14ac:dyDescent="0.25">
      <c r="B16" s="473" t="s">
        <v>54</v>
      </c>
      <c r="C16" s="494">
        <f>C12-C15</f>
        <v>0</v>
      </c>
      <c r="D16" s="494">
        <f t="shared" ref="D16:E16" si="2">D12-D15</f>
        <v>27</v>
      </c>
      <c r="E16" s="494">
        <f t="shared" si="2"/>
        <v>39</v>
      </c>
      <c r="F16" s="145"/>
      <c r="G16" s="474" t="s">
        <v>20</v>
      </c>
      <c r="H16" s="634" t="s">
        <v>465</v>
      </c>
      <c r="I16" s="634">
        <v>3.8999999999999998E-3</v>
      </c>
      <c r="J16" s="634">
        <v>2.8999999999999998E-3</v>
      </c>
    </row>
    <row r="17" spans="2:10" ht="15" customHeight="1" x14ac:dyDescent="0.25">
      <c r="B17" s="473" t="s">
        <v>94</v>
      </c>
      <c r="C17" s="494">
        <f>C16-C10</f>
        <v>-3</v>
      </c>
      <c r="D17" s="494">
        <f t="shared" ref="D17:E17" si="3">D16-D10</f>
        <v>3</v>
      </c>
      <c r="E17" s="494">
        <f t="shared" si="3"/>
        <v>5</v>
      </c>
      <c r="F17" s="145"/>
      <c r="G17" s="474" t="s">
        <v>21</v>
      </c>
      <c r="H17" s="634" t="s">
        <v>465</v>
      </c>
      <c r="I17" s="634">
        <f t="shared" ref="I17:J17" si="4">(I15-I16)/I15</f>
        <v>0.58947368421052637</v>
      </c>
      <c r="J17" s="634">
        <f t="shared" si="4"/>
        <v>0.25641025641025644</v>
      </c>
    </row>
    <row r="18" spans="2:10" ht="15" customHeight="1" x14ac:dyDescent="0.25">
      <c r="B18" s="473" t="s">
        <v>27</v>
      </c>
      <c r="C18" s="494">
        <v>1</v>
      </c>
      <c r="D18" s="494">
        <v>3</v>
      </c>
      <c r="E18" s="494">
        <v>8</v>
      </c>
      <c r="F18" s="145"/>
      <c r="G18" s="474" t="s">
        <v>22</v>
      </c>
      <c r="H18" s="634">
        <v>8.0000000000000002E-3</v>
      </c>
      <c r="I18" s="634">
        <v>1.3599999999999999E-2</v>
      </c>
      <c r="J18" s="634">
        <f>E18/AVERAGE(D24:E24)</f>
        <v>1.8038331454340473E-2</v>
      </c>
    </row>
    <row r="19" spans="2:10" ht="15" customHeight="1" x14ac:dyDescent="0.25">
      <c r="B19" s="473" t="s">
        <v>55</v>
      </c>
      <c r="C19" s="494">
        <v>0.31</v>
      </c>
      <c r="D19" s="494">
        <v>2</v>
      </c>
      <c r="E19" s="494">
        <v>5</v>
      </c>
      <c r="F19" s="145"/>
      <c r="G19" s="632" t="s">
        <v>30</v>
      </c>
      <c r="H19" s="435"/>
      <c r="I19" s="435"/>
      <c r="J19" s="435"/>
    </row>
    <row r="20" spans="2:10" ht="29.25" customHeight="1" x14ac:dyDescent="0.25">
      <c r="B20" s="473" t="s">
        <v>28</v>
      </c>
      <c r="C20" s="494">
        <v>107</v>
      </c>
      <c r="D20" s="494">
        <v>113</v>
      </c>
      <c r="E20" s="494">
        <v>351</v>
      </c>
      <c r="F20" s="145"/>
      <c r="G20" s="476" t="s">
        <v>95</v>
      </c>
      <c r="H20" s="636">
        <f>C17/C23</f>
        <v>-1.107011070110701E-2</v>
      </c>
      <c r="I20" s="636">
        <f>D17/AVERAGE(C23:D23)</f>
        <v>9.5999999999999992E-3</v>
      </c>
      <c r="J20" s="636">
        <f>E17/AVERAGE(D23:E23)</f>
        <v>8.4459459459459464E-3</v>
      </c>
    </row>
    <row r="21" spans="2:10" ht="15" customHeight="1" x14ac:dyDescent="0.25">
      <c r="B21" s="473" t="s">
        <v>56</v>
      </c>
      <c r="C21" s="494">
        <v>107</v>
      </c>
      <c r="D21" s="494">
        <v>113</v>
      </c>
      <c r="E21" s="494">
        <v>351</v>
      </c>
      <c r="F21" s="145"/>
      <c r="G21" s="474" t="s">
        <v>31</v>
      </c>
      <c r="H21" s="634">
        <v>2.2000000000000001E-3</v>
      </c>
      <c r="I21" s="634">
        <v>1.3599999999999999E-2</v>
      </c>
      <c r="J21" s="634">
        <f>E19/AVERAGE(D23:E23)</f>
        <v>8.4459459459459464E-3</v>
      </c>
    </row>
    <row r="22" spans="2:10" ht="15" customHeight="1" x14ac:dyDescent="0.25">
      <c r="B22" s="473" t="s">
        <v>57</v>
      </c>
      <c r="C22" s="494">
        <v>156</v>
      </c>
      <c r="D22" s="494">
        <v>221</v>
      </c>
      <c r="E22" s="494">
        <v>450</v>
      </c>
      <c r="F22" s="145"/>
      <c r="G22" s="474" t="s">
        <v>32</v>
      </c>
      <c r="H22" s="634">
        <v>5.3E-3</v>
      </c>
      <c r="I22" s="634">
        <v>3.9899999999999998E-2</v>
      </c>
      <c r="J22" s="634">
        <f>E19/AVERAGE(D20:E20)</f>
        <v>2.1551724137931036E-2</v>
      </c>
    </row>
    <row r="23" spans="2:10" ht="15" customHeight="1" x14ac:dyDescent="0.25">
      <c r="B23" s="473" t="s">
        <v>29</v>
      </c>
      <c r="C23" s="494">
        <v>271</v>
      </c>
      <c r="D23" s="494">
        <v>354</v>
      </c>
      <c r="E23" s="494">
        <v>830</v>
      </c>
      <c r="F23" s="145"/>
      <c r="G23" s="632" t="s">
        <v>33</v>
      </c>
      <c r="H23" s="435"/>
      <c r="I23" s="435"/>
      <c r="J23" s="435"/>
    </row>
    <row r="24" spans="2:10" ht="15" customHeight="1" x14ac:dyDescent="0.25">
      <c r="B24" s="473" t="s">
        <v>58</v>
      </c>
      <c r="C24" s="494">
        <v>153</v>
      </c>
      <c r="D24" s="494">
        <v>279</v>
      </c>
      <c r="E24" s="494">
        <v>608</v>
      </c>
      <c r="F24" s="145"/>
      <c r="G24" s="474" t="s">
        <v>34</v>
      </c>
      <c r="H24" s="634">
        <v>3.5400000000000001E-2</v>
      </c>
      <c r="I24" s="634">
        <f>D7/AVERAGE(C24:D24)</f>
        <v>0.14814814814814814</v>
      </c>
      <c r="J24" s="634">
        <f>E7/AVERAGE(D24:E24)</f>
        <v>0.16685456595264939</v>
      </c>
    </row>
    <row r="25" spans="2:10" ht="15" customHeight="1" x14ac:dyDescent="0.25">
      <c r="B25" s="473" t="s">
        <v>59</v>
      </c>
      <c r="C25" s="494">
        <v>0</v>
      </c>
      <c r="D25" s="494">
        <v>3</v>
      </c>
      <c r="E25" s="494"/>
      <c r="F25" s="145"/>
      <c r="G25" s="474" t="s">
        <v>35</v>
      </c>
      <c r="H25" s="634">
        <v>3.5900000000000001E-2</v>
      </c>
      <c r="I25" s="634">
        <f>D10/AVERAGE(C22:D22)</f>
        <v>0.1273209549071618</v>
      </c>
      <c r="J25" s="634">
        <f>E10/AVERAGE(D22:E22)</f>
        <v>0.10134128166915052</v>
      </c>
    </row>
    <row r="26" spans="2:10" ht="15" customHeight="1" x14ac:dyDescent="0.25">
      <c r="B26" s="473" t="s">
        <v>60</v>
      </c>
      <c r="C26" s="494">
        <v>0</v>
      </c>
      <c r="D26" s="494">
        <v>1</v>
      </c>
      <c r="E26" s="494"/>
      <c r="F26" s="145"/>
      <c r="G26" s="474" t="s">
        <v>36</v>
      </c>
      <c r="H26" s="575">
        <f t="shared" ref="H26:J26" si="5">H24-H25</f>
        <v>-5.0000000000000044E-4</v>
      </c>
      <c r="I26" s="575">
        <f t="shared" si="5"/>
        <v>2.0827193240986336E-2</v>
      </c>
      <c r="J26" s="575">
        <f t="shared" si="5"/>
        <v>6.5513284283498868E-2</v>
      </c>
    </row>
    <row r="27" spans="2:10" x14ac:dyDescent="0.25">
      <c r="G27" s="642">
        <v>45992</v>
      </c>
      <c r="H27" s="81"/>
      <c r="I27" s="81"/>
      <c r="J27" s="81"/>
    </row>
    <row r="28" spans="2:10" x14ac:dyDescent="0.25">
      <c r="G28" s="474" t="s">
        <v>752</v>
      </c>
      <c r="H28" s="81"/>
      <c r="I28" s="81"/>
      <c r="J28" s="82">
        <v>0.22450000000000001</v>
      </c>
    </row>
    <row r="29" spans="2:10" x14ac:dyDescent="0.25">
      <c r="G29" s="474" t="s">
        <v>764</v>
      </c>
      <c r="H29" s="81"/>
      <c r="I29" s="81"/>
      <c r="J29" s="82">
        <v>0.77549999999999997</v>
      </c>
    </row>
    <row r="30" spans="2:10" x14ac:dyDescent="0.25">
      <c r="G30" s="475" t="s">
        <v>756</v>
      </c>
      <c r="H30" s="81"/>
      <c r="I30" s="81"/>
      <c r="J30" s="81"/>
    </row>
    <row r="31" spans="2:10" x14ac:dyDescent="0.25">
      <c r="G31" s="476" t="s">
        <v>612</v>
      </c>
      <c r="H31" s="432" t="s">
        <v>465</v>
      </c>
      <c r="I31" s="82">
        <v>0.97450000000000003</v>
      </c>
      <c r="J31" s="82">
        <v>0.96960000000000002</v>
      </c>
    </row>
    <row r="32" spans="2:10" x14ac:dyDescent="0.25">
      <c r="G32" s="474" t="s">
        <v>747</v>
      </c>
      <c r="H32" s="432" t="s">
        <v>465</v>
      </c>
      <c r="I32" s="82">
        <v>3.5999999999999999E-3</v>
      </c>
      <c r="J32" s="82">
        <v>4.1000000000000003E-3</v>
      </c>
    </row>
    <row r="33" spans="7:10" x14ac:dyDescent="0.25">
      <c r="G33" s="474" t="s">
        <v>757</v>
      </c>
      <c r="H33" s="432" t="s">
        <v>465</v>
      </c>
      <c r="I33" s="82">
        <v>1.6999999999999999E-3</v>
      </c>
      <c r="J33" s="82">
        <v>1.8E-3</v>
      </c>
    </row>
    <row r="34" spans="7:10" x14ac:dyDescent="0.25">
      <c r="G34" s="474" t="s">
        <v>765</v>
      </c>
      <c r="H34" s="432" t="s">
        <v>465</v>
      </c>
      <c r="I34" s="82">
        <v>5.1999999999999998E-3</v>
      </c>
      <c r="J34" s="82">
        <v>3.3999999999999998E-3</v>
      </c>
    </row>
    <row r="35" spans="7:10" x14ac:dyDescent="0.25">
      <c r="G35" s="474" t="s">
        <v>766</v>
      </c>
      <c r="H35" s="432" t="s">
        <v>465</v>
      </c>
      <c r="I35" s="82">
        <v>5.7000000000000002E-3</v>
      </c>
      <c r="J35" s="82">
        <v>1.15E-2</v>
      </c>
    </row>
  </sheetData>
  <mergeCells count="2">
    <mergeCell ref="B2:E2"/>
    <mergeCell ref="B3:B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1:J52"/>
  <sheetViews>
    <sheetView showGridLines="0" topLeftCell="B17" zoomScale="120" zoomScaleNormal="120" workbookViewId="0">
      <selection activeCell="G30" sqref="G30"/>
    </sheetView>
  </sheetViews>
  <sheetFormatPr defaultRowHeight="15" x14ac:dyDescent="0.25"/>
  <cols>
    <col min="1" max="1" width="1.85546875" style="145" customWidth="1"/>
    <col min="2" max="2" width="30.28515625" style="145" customWidth="1"/>
    <col min="3" max="5" width="15.7109375" style="145" customWidth="1"/>
    <col min="6" max="6" width="9.140625" style="145"/>
    <col min="7" max="7" width="36.7109375" style="145" customWidth="1"/>
    <col min="8" max="10" width="15.7109375" style="145" customWidth="1"/>
    <col min="11" max="16384" width="9.140625" style="145"/>
  </cols>
  <sheetData>
    <row r="1" spans="2:10" x14ac:dyDescent="0.25">
      <c r="E1" s="646" t="s">
        <v>111</v>
      </c>
    </row>
    <row r="2" spans="2:10" ht="18.75" x14ac:dyDescent="0.25">
      <c r="B2" s="728" t="s">
        <v>164</v>
      </c>
      <c r="C2" s="728"/>
      <c r="D2" s="728"/>
      <c r="E2" s="728"/>
    </row>
    <row r="3" spans="2:10" ht="15" customHeight="1" x14ac:dyDescent="0.25">
      <c r="B3" s="729" t="s">
        <v>4</v>
      </c>
      <c r="C3" s="471" t="s">
        <v>367</v>
      </c>
      <c r="D3" s="471" t="s">
        <v>368</v>
      </c>
      <c r="E3" s="471" t="s">
        <v>693</v>
      </c>
      <c r="G3" s="631" t="s">
        <v>4</v>
      </c>
      <c r="H3" s="565" t="s">
        <v>623</v>
      </c>
      <c r="I3" s="565" t="s">
        <v>700</v>
      </c>
      <c r="J3" s="565" t="s">
        <v>701</v>
      </c>
    </row>
    <row r="4" spans="2:10" x14ac:dyDescent="0.25">
      <c r="B4" s="729"/>
      <c r="C4" s="471" t="s">
        <v>46</v>
      </c>
      <c r="D4" s="471" t="s">
        <v>46</v>
      </c>
      <c r="E4" s="471" t="s">
        <v>46</v>
      </c>
      <c r="G4" s="632" t="s">
        <v>6</v>
      </c>
      <c r="H4" s="607"/>
      <c r="I4" s="607"/>
      <c r="J4" s="607"/>
    </row>
    <row r="5" spans="2:10" ht="15" customHeight="1" x14ac:dyDescent="0.25">
      <c r="B5" s="729"/>
      <c r="C5" s="621" t="s">
        <v>49</v>
      </c>
      <c r="D5" s="621" t="s">
        <v>49</v>
      </c>
      <c r="E5" s="621" t="s">
        <v>49</v>
      </c>
      <c r="G5" s="474" t="s">
        <v>11</v>
      </c>
      <c r="H5" s="633">
        <v>3.6999999999999998E-2</v>
      </c>
      <c r="I5" s="633">
        <f>D11/AVERAGE(C24:D24)</f>
        <v>3.6400214945339453E-2</v>
      </c>
      <c r="J5" s="633">
        <f>E11/AVERAGE(D24:E24)</f>
        <v>4.4412926360282018E-2</v>
      </c>
    </row>
    <row r="6" spans="2:10" ht="15" customHeight="1" x14ac:dyDescent="0.25">
      <c r="B6" s="473" t="s">
        <v>23</v>
      </c>
      <c r="C6" s="627">
        <v>2771.04</v>
      </c>
      <c r="D6" s="627">
        <v>4726</v>
      </c>
      <c r="E6" s="627">
        <v>6061.49</v>
      </c>
      <c r="G6" s="632" t="s">
        <v>12</v>
      </c>
      <c r="H6" s="607"/>
      <c r="I6" s="607"/>
      <c r="J6" s="607"/>
    </row>
    <row r="7" spans="2:10" ht="15" customHeight="1" x14ac:dyDescent="0.25">
      <c r="B7" s="473" t="s">
        <v>50</v>
      </c>
      <c r="C7" s="494">
        <v>2535.35</v>
      </c>
      <c r="D7" s="494">
        <v>4165.57</v>
      </c>
      <c r="E7" s="494">
        <v>5690.4</v>
      </c>
      <c r="G7" s="474" t="s">
        <v>13</v>
      </c>
      <c r="H7" s="601">
        <f>C22/C21</f>
        <v>5.2261850988611256</v>
      </c>
      <c r="I7" s="601">
        <f>D22/D21</f>
        <v>4.5093908396822586</v>
      </c>
      <c r="J7" s="601">
        <f>E22/E21</f>
        <v>4.6220484898688037</v>
      </c>
    </row>
    <row r="8" spans="2:10" ht="15" customHeight="1" x14ac:dyDescent="0.25">
      <c r="B8" s="473" t="s">
        <v>51</v>
      </c>
      <c r="C8" s="494">
        <v>0</v>
      </c>
      <c r="D8" s="494">
        <v>0</v>
      </c>
      <c r="E8" s="494">
        <v>0</v>
      </c>
      <c r="G8" s="474" t="s">
        <v>14</v>
      </c>
      <c r="H8" s="575">
        <v>0.20449999999999999</v>
      </c>
      <c r="I8" s="575">
        <v>0.21809999999999999</v>
      </c>
      <c r="J8" s="575">
        <v>0.19889999999999999</v>
      </c>
    </row>
    <row r="9" spans="2:10" ht="15" customHeight="1" x14ac:dyDescent="0.25">
      <c r="B9" s="473" t="s">
        <v>52</v>
      </c>
      <c r="C9" s="494">
        <v>235.69</v>
      </c>
      <c r="D9" s="494">
        <v>560.42999999999995</v>
      </c>
      <c r="E9" s="494">
        <v>371.09</v>
      </c>
      <c r="G9" s="474" t="s">
        <v>15</v>
      </c>
      <c r="H9" s="634">
        <f>C21/C24</f>
        <v>0.17671957484248169</v>
      </c>
      <c r="I9" s="634">
        <f>D21/D24</f>
        <v>0.20665654270811257</v>
      </c>
      <c r="J9" s="634">
        <f>E21/E24</f>
        <v>0.19590548028608454</v>
      </c>
    </row>
    <row r="10" spans="2:10" ht="15" customHeight="1" x14ac:dyDescent="0.25">
      <c r="B10" s="473" t="s">
        <v>24</v>
      </c>
      <c r="C10" s="494">
        <v>1731.02</v>
      </c>
      <c r="D10" s="494">
        <v>2893.44</v>
      </c>
      <c r="E10" s="494">
        <v>3639.34</v>
      </c>
      <c r="G10" s="632" t="s">
        <v>16</v>
      </c>
      <c r="H10" s="435"/>
      <c r="I10" s="435"/>
      <c r="J10" s="435"/>
    </row>
    <row r="11" spans="2:10" ht="30" customHeight="1" x14ac:dyDescent="0.25">
      <c r="B11" s="473" t="s">
        <v>53</v>
      </c>
      <c r="C11" s="494">
        <v>804.33</v>
      </c>
      <c r="D11" s="494">
        <v>1272.1300000000001</v>
      </c>
      <c r="E11" s="494">
        <v>2051.06</v>
      </c>
      <c r="G11" s="474" t="s">
        <v>93</v>
      </c>
      <c r="H11" s="635">
        <f>C15/(C12-C10)</f>
        <v>0.27102363416088154</v>
      </c>
      <c r="I11" s="635">
        <f>D15/(D12-D10)</f>
        <v>0.19646832845854981</v>
      </c>
      <c r="J11" s="635">
        <f>E15/(E12-E10)</f>
        <v>0.2056561319488884</v>
      </c>
    </row>
    <row r="12" spans="2:10" ht="29.25" customHeight="1" x14ac:dyDescent="0.25">
      <c r="B12" s="473" t="s">
        <v>1</v>
      </c>
      <c r="C12" s="494">
        <f t="shared" ref="C12:E12" si="0">SUM(C7:C9)</f>
        <v>2771.04</v>
      </c>
      <c r="D12" s="494">
        <f t="shared" si="0"/>
        <v>4726</v>
      </c>
      <c r="E12" s="494">
        <f t="shared" si="0"/>
        <v>6061.49</v>
      </c>
      <c r="G12" s="474" t="s">
        <v>92</v>
      </c>
      <c r="H12" s="634">
        <f>C15/C12</f>
        <v>0.10171993186673596</v>
      </c>
      <c r="I12" s="634">
        <f>D15/D12</f>
        <v>7.6182818451121459E-2</v>
      </c>
      <c r="J12" s="634">
        <f>E15/E12</f>
        <v>8.217946412515735E-2</v>
      </c>
    </row>
    <row r="13" spans="2:10" ht="15" customHeight="1" x14ac:dyDescent="0.25">
      <c r="B13" s="473" t="s">
        <v>91</v>
      </c>
      <c r="C13" s="494">
        <f>C14-C12</f>
        <v>0</v>
      </c>
      <c r="D13" s="494">
        <f t="shared" ref="D13:E13" si="1">D14-D12</f>
        <v>0</v>
      </c>
      <c r="E13" s="494">
        <f t="shared" si="1"/>
        <v>5.5399999999999636</v>
      </c>
      <c r="G13" s="474" t="s">
        <v>17</v>
      </c>
      <c r="H13" s="634">
        <f>C15/AVERAGE(16403,C23)</f>
        <v>1.1767421938078155E-2</v>
      </c>
      <c r="I13" s="634">
        <f>D15/AVERAGE(C23:D23)</f>
        <v>9.0435714823065231E-3</v>
      </c>
      <c r="J13" s="634">
        <f>E15/AVERAGE(D23:E23)</f>
        <v>9.452870949230455E-3</v>
      </c>
    </row>
    <row r="14" spans="2:10" ht="15" customHeight="1" x14ac:dyDescent="0.25">
      <c r="B14" s="473" t="s">
        <v>25</v>
      </c>
      <c r="C14" s="494">
        <v>2771.04</v>
      </c>
      <c r="D14" s="494">
        <v>4726</v>
      </c>
      <c r="E14" s="494">
        <v>6067.03</v>
      </c>
      <c r="G14" s="632" t="s">
        <v>18</v>
      </c>
      <c r="H14" s="435"/>
      <c r="I14" s="435"/>
      <c r="J14" s="435"/>
    </row>
    <row r="15" spans="2:10" ht="15" customHeight="1" x14ac:dyDescent="0.25">
      <c r="B15" s="473" t="s">
        <v>26</v>
      </c>
      <c r="C15" s="494">
        <v>281.87</v>
      </c>
      <c r="D15" s="494">
        <v>360.04</v>
      </c>
      <c r="E15" s="494">
        <v>498.13</v>
      </c>
      <c r="G15" s="474" t="s">
        <v>19</v>
      </c>
      <c r="H15" s="634">
        <f>C25/C24</f>
        <v>7.6133847987739115E-4</v>
      </c>
      <c r="I15" s="634">
        <f>D25/D24</f>
        <v>1.9151447962629262E-3</v>
      </c>
      <c r="J15" s="634">
        <f>E25/E24</f>
        <v>2.6000146880100824E-3</v>
      </c>
    </row>
    <row r="16" spans="2:10" ht="15" customHeight="1" x14ac:dyDescent="0.25">
      <c r="B16" s="473" t="s">
        <v>54</v>
      </c>
      <c r="C16" s="494">
        <f t="shared" ref="C16:E16" si="2">C12-C15</f>
        <v>2489.17</v>
      </c>
      <c r="D16" s="494">
        <f t="shared" si="2"/>
        <v>4365.96</v>
      </c>
      <c r="E16" s="494">
        <f t="shared" si="2"/>
        <v>5563.36</v>
      </c>
      <c r="G16" s="474" t="s">
        <v>20</v>
      </c>
      <c r="H16" s="634">
        <f>C26/C24</f>
        <v>3.4732076971107447E-4</v>
      </c>
      <c r="I16" s="634">
        <f>D26/D24</f>
        <v>6.7010887650912352E-4</v>
      </c>
      <c r="J16" s="634">
        <f>E26/E24</f>
        <v>9.9992971866143276E-4</v>
      </c>
    </row>
    <row r="17" spans="2:10" ht="15" customHeight="1" x14ac:dyDescent="0.25">
      <c r="B17" s="473" t="s">
        <v>94</v>
      </c>
      <c r="C17" s="494">
        <f t="shared" ref="C17:E17" si="3">C14-C15-C10</f>
        <v>758.15000000000009</v>
      </c>
      <c r="D17" s="494">
        <f t="shared" si="3"/>
        <v>1472.52</v>
      </c>
      <c r="E17" s="494">
        <f t="shared" si="3"/>
        <v>1929.5599999999995</v>
      </c>
      <c r="G17" s="474" t="s">
        <v>21</v>
      </c>
      <c r="H17" s="634">
        <f t="shared" ref="H17:J17" si="4">(H15-H16)/H15</f>
        <v>0.54380242311276805</v>
      </c>
      <c r="I17" s="634">
        <f t="shared" si="4"/>
        <v>0.65010015022533796</v>
      </c>
      <c r="J17" s="634">
        <f t="shared" si="4"/>
        <v>0.6154138192862566</v>
      </c>
    </row>
    <row r="18" spans="2:10" ht="15" customHeight="1" x14ac:dyDescent="0.25">
      <c r="B18" s="473" t="s">
        <v>27</v>
      </c>
      <c r="C18" s="494">
        <v>49.79</v>
      </c>
      <c r="D18" s="494">
        <v>146.54</v>
      </c>
      <c r="E18" s="494">
        <v>173.33</v>
      </c>
      <c r="G18" s="474" t="s">
        <v>22</v>
      </c>
      <c r="H18" s="634">
        <f>C18/AVERAGE(15298,C24)</f>
        <v>2.2899745200665976E-3</v>
      </c>
      <c r="I18" s="634">
        <f>D18/AVERAGE(C24:D24)</f>
        <v>4.1930364806191528E-3</v>
      </c>
      <c r="J18" s="634">
        <f>E18/AVERAGE(D24:E24)</f>
        <v>3.7532263931955587E-3</v>
      </c>
    </row>
    <row r="19" spans="2:10" ht="15" customHeight="1" x14ac:dyDescent="0.25">
      <c r="B19" s="473" t="s">
        <v>55</v>
      </c>
      <c r="C19" s="494">
        <v>528.84</v>
      </c>
      <c r="D19" s="494">
        <v>989.96</v>
      </c>
      <c r="E19" s="494">
        <v>1316.3</v>
      </c>
      <c r="G19" s="632" t="s">
        <v>30</v>
      </c>
      <c r="H19" s="435"/>
      <c r="I19" s="435"/>
      <c r="J19" s="435"/>
    </row>
    <row r="20" spans="2:10" ht="30" customHeight="1" x14ac:dyDescent="0.25">
      <c r="B20" s="473" t="s">
        <v>28</v>
      </c>
      <c r="C20" s="494">
        <v>4981.2299999999996</v>
      </c>
      <c r="D20" s="494">
        <v>8619.57</v>
      </c>
      <c r="E20" s="494">
        <v>9923.31</v>
      </c>
      <c r="G20" s="476" t="s">
        <v>95</v>
      </c>
      <c r="H20" s="636">
        <f>C17/AVERAGE(16403,C23)</f>
        <v>3.1651012673764335E-2</v>
      </c>
      <c r="I20" s="636">
        <f>D17/AVERAGE(C23:D23)</f>
        <v>3.6987112207326964E-2</v>
      </c>
      <c r="J20" s="636">
        <f>E17/AVERAGE(D23:E23)</f>
        <v>3.6616709832367277E-2</v>
      </c>
    </row>
    <row r="21" spans="2:10" ht="15" customHeight="1" x14ac:dyDescent="0.25">
      <c r="B21" s="473" t="s">
        <v>56</v>
      </c>
      <c r="C21" s="494">
        <v>4981.2299999999996</v>
      </c>
      <c r="D21" s="494">
        <v>8619.57</v>
      </c>
      <c r="E21" s="494">
        <v>9923.31</v>
      </c>
      <c r="G21" s="474" t="s">
        <v>31</v>
      </c>
      <c r="H21" s="634">
        <f>C19/AVERAGE(16403,C23)</f>
        <v>2.2077849426094483E-2</v>
      </c>
      <c r="I21" s="634">
        <f>D19/AVERAGE(C23:D23)</f>
        <v>2.4866053840195992E-2</v>
      </c>
      <c r="J21" s="634">
        <f>E19/AVERAGE(D23:E23)</f>
        <v>2.4979049706847709E-2</v>
      </c>
    </row>
    <row r="22" spans="2:10" ht="15" customHeight="1" x14ac:dyDescent="0.25">
      <c r="B22" s="473" t="s">
        <v>57</v>
      </c>
      <c r="C22" s="494">
        <v>26032.83</v>
      </c>
      <c r="D22" s="494">
        <v>38869.01</v>
      </c>
      <c r="E22" s="494">
        <v>45866.02</v>
      </c>
      <c r="G22" s="474" t="s">
        <v>32</v>
      </c>
      <c r="H22" s="634">
        <f>C19/AVERAGE(2392,C20)</f>
        <v>0.14344866496772787</v>
      </c>
      <c r="I22" s="634">
        <f>D19/AVERAGE(C20:D20)</f>
        <v>0.14557378977707194</v>
      </c>
      <c r="J22" s="634">
        <f>E19/AVERAGE(D20:E20)</f>
        <v>0.14197363084914535</v>
      </c>
    </row>
    <row r="23" spans="2:10" ht="15" customHeight="1" x14ac:dyDescent="0.25">
      <c r="B23" s="473" t="s">
        <v>29</v>
      </c>
      <c r="C23" s="494">
        <v>31503.84</v>
      </c>
      <c r="D23" s="494">
        <v>48119.57</v>
      </c>
      <c r="E23" s="494">
        <v>57272.75</v>
      </c>
      <c r="G23" s="632" t="s">
        <v>33</v>
      </c>
      <c r="H23" s="435"/>
      <c r="I23" s="435"/>
      <c r="J23" s="435"/>
    </row>
    <row r="24" spans="2:10" ht="15" customHeight="1" x14ac:dyDescent="0.25">
      <c r="B24" s="473" t="s">
        <v>58</v>
      </c>
      <c r="C24" s="494">
        <v>28187.200000000001</v>
      </c>
      <c r="D24" s="494">
        <v>41709.64</v>
      </c>
      <c r="E24" s="494">
        <v>50653.56</v>
      </c>
      <c r="G24" s="474" t="s">
        <v>34</v>
      </c>
      <c r="H24" s="634">
        <f>C7/AVERAGE(15298,C24)</f>
        <v>0.11660748944468463</v>
      </c>
      <c r="I24" s="634">
        <f>D7/AVERAGE(C24:D24)</f>
        <v>0.11919194057986027</v>
      </c>
      <c r="J24" s="634">
        <f>E7/AVERAGE(D24:E24)</f>
        <v>0.12321790496648015</v>
      </c>
    </row>
    <row r="25" spans="2:10" ht="15" customHeight="1" x14ac:dyDescent="0.25">
      <c r="B25" s="473" t="s">
        <v>59</v>
      </c>
      <c r="C25" s="494">
        <v>21.46</v>
      </c>
      <c r="D25" s="494">
        <v>79.88</v>
      </c>
      <c r="E25" s="494">
        <v>131.69999999999999</v>
      </c>
      <c r="G25" s="474" t="s">
        <v>35</v>
      </c>
      <c r="H25" s="634">
        <f>C10/AVERAGE(13655,C22)</f>
        <v>8.7231778608203067E-2</v>
      </c>
      <c r="I25" s="634">
        <f>D10/AVERAGE(C22:D22)</f>
        <v>8.91635737908201E-2</v>
      </c>
      <c r="J25" s="634">
        <f>E10/AVERAGE(D22:E22)</f>
        <v>8.5899302803102803E-2</v>
      </c>
    </row>
    <row r="26" spans="2:10" ht="15" customHeight="1" x14ac:dyDescent="0.25">
      <c r="B26" s="473" t="s">
        <v>60</v>
      </c>
      <c r="C26" s="494">
        <v>9.7899999999999991</v>
      </c>
      <c r="D26" s="494">
        <v>27.95</v>
      </c>
      <c r="E26" s="494">
        <v>50.65</v>
      </c>
      <c r="G26" s="474" t="s">
        <v>36</v>
      </c>
      <c r="H26" s="575">
        <f t="shared" ref="H26:J26" si="5">H24-H25</f>
        <v>2.9375710836481564E-2</v>
      </c>
      <c r="I26" s="575">
        <f t="shared" si="5"/>
        <v>3.0028366789040167E-2</v>
      </c>
      <c r="J26" s="575">
        <f t="shared" si="5"/>
        <v>3.7318602163377346E-2</v>
      </c>
    </row>
    <row r="27" spans="2:10" x14ac:dyDescent="0.25">
      <c r="G27" s="607"/>
      <c r="H27" s="607"/>
      <c r="I27" s="607"/>
      <c r="J27" s="607"/>
    </row>
    <row r="28" spans="2:10" x14ac:dyDescent="0.25">
      <c r="G28" s="607" t="s">
        <v>753</v>
      </c>
      <c r="H28" s="607"/>
      <c r="I28" s="643">
        <v>0.23</v>
      </c>
      <c r="J28" s="607"/>
    </row>
    <row r="29" spans="2:10" x14ac:dyDescent="0.25">
      <c r="G29" s="607" t="s">
        <v>752</v>
      </c>
      <c r="H29" s="607"/>
      <c r="I29" s="643">
        <v>0.77</v>
      </c>
      <c r="J29" s="607"/>
    </row>
    <row r="41" spans="2:7" x14ac:dyDescent="0.25">
      <c r="B41" s="730" t="s">
        <v>261</v>
      </c>
      <c r="C41" s="730"/>
      <c r="D41" s="730"/>
      <c r="E41" s="730"/>
      <c r="F41" s="730"/>
      <c r="G41" s="730"/>
    </row>
    <row r="42" spans="2:7" x14ac:dyDescent="0.25">
      <c r="B42" s="730"/>
      <c r="C42" s="730"/>
      <c r="D42" s="730"/>
      <c r="E42" s="730"/>
      <c r="F42" s="730"/>
      <c r="G42" s="730"/>
    </row>
    <row r="43" spans="2:7" x14ac:dyDescent="0.25">
      <c r="B43" s="730"/>
      <c r="C43" s="730"/>
      <c r="D43" s="730"/>
      <c r="E43" s="730"/>
      <c r="F43" s="730"/>
      <c r="G43" s="730"/>
    </row>
    <row r="44" spans="2:7" x14ac:dyDescent="0.25">
      <c r="B44" s="730"/>
      <c r="C44" s="730"/>
      <c r="D44" s="730"/>
      <c r="E44" s="730"/>
      <c r="F44" s="730"/>
      <c r="G44" s="730"/>
    </row>
    <row r="45" spans="2:7" x14ac:dyDescent="0.25">
      <c r="B45" s="730"/>
      <c r="C45" s="730"/>
      <c r="D45" s="730"/>
      <c r="E45" s="730"/>
      <c r="F45" s="730"/>
      <c r="G45" s="730"/>
    </row>
    <row r="46" spans="2:7" x14ac:dyDescent="0.25">
      <c r="B46" s="730"/>
      <c r="C46" s="730"/>
      <c r="D46" s="730"/>
      <c r="E46" s="730"/>
      <c r="F46" s="730"/>
      <c r="G46" s="730"/>
    </row>
    <row r="47" spans="2:7" x14ac:dyDescent="0.25">
      <c r="B47" s="730"/>
      <c r="C47" s="730"/>
      <c r="D47" s="730"/>
      <c r="E47" s="730"/>
      <c r="F47" s="730"/>
      <c r="G47" s="730"/>
    </row>
    <row r="48" spans="2:7" x14ac:dyDescent="0.25">
      <c r="B48" s="730"/>
      <c r="C48" s="730"/>
      <c r="D48" s="730"/>
      <c r="E48" s="730"/>
      <c r="F48" s="730"/>
      <c r="G48" s="730"/>
    </row>
    <row r="49" spans="2:7" x14ac:dyDescent="0.25">
      <c r="B49" s="730"/>
      <c r="C49" s="730"/>
      <c r="D49" s="730"/>
      <c r="E49" s="730"/>
      <c r="F49" s="730"/>
      <c r="G49" s="730"/>
    </row>
    <row r="50" spans="2:7" x14ac:dyDescent="0.25">
      <c r="B50" s="730"/>
      <c r="C50" s="730"/>
      <c r="D50" s="730"/>
      <c r="E50" s="730"/>
      <c r="F50" s="730"/>
      <c r="G50" s="730"/>
    </row>
    <row r="51" spans="2:7" x14ac:dyDescent="0.25">
      <c r="B51" s="730"/>
      <c r="C51" s="730"/>
      <c r="D51" s="730"/>
      <c r="E51" s="730"/>
      <c r="F51" s="730"/>
      <c r="G51" s="730"/>
    </row>
    <row r="52" spans="2:7" x14ac:dyDescent="0.25">
      <c r="B52" s="730"/>
      <c r="C52" s="730"/>
      <c r="D52" s="730"/>
      <c r="E52" s="730"/>
      <c r="F52" s="730"/>
      <c r="G52" s="730"/>
    </row>
  </sheetData>
  <mergeCells count="3">
    <mergeCell ref="B3:B5"/>
    <mergeCell ref="B41:G52"/>
    <mergeCell ref="B2:E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K34"/>
  <sheetViews>
    <sheetView showGridLines="0" topLeftCell="C14" zoomScale="110" zoomScaleNormal="110" workbookViewId="0">
      <selection activeCell="G32" sqref="G32"/>
    </sheetView>
  </sheetViews>
  <sheetFormatPr defaultRowHeight="15" x14ac:dyDescent="0.25"/>
  <cols>
    <col min="1" max="1" width="1.85546875" customWidth="1"/>
    <col min="2" max="2" width="30.140625" customWidth="1"/>
    <col min="3" max="5" width="15.7109375" customWidth="1"/>
    <col min="7" max="7" width="35.42578125" customWidth="1"/>
    <col min="8" max="11" width="15.7109375" customWidth="1"/>
  </cols>
  <sheetData>
    <row r="1" spans="2:10" x14ac:dyDescent="0.25">
      <c r="E1" s="414" t="s">
        <v>111</v>
      </c>
    </row>
    <row r="2" spans="2:10" ht="18.75" x14ac:dyDescent="0.3">
      <c r="B2" s="731" t="s">
        <v>751</v>
      </c>
      <c r="C2" s="731"/>
      <c r="D2" s="731"/>
      <c r="E2" s="731"/>
    </row>
    <row r="3" spans="2:10" x14ac:dyDescent="0.25">
      <c r="B3" s="729" t="s">
        <v>4</v>
      </c>
      <c r="C3" s="471" t="s">
        <v>367</v>
      </c>
      <c r="D3" s="471" t="s">
        <v>368</v>
      </c>
      <c r="E3" s="471" t="s">
        <v>693</v>
      </c>
      <c r="G3" s="629" t="s">
        <v>4</v>
      </c>
      <c r="H3" s="630" t="s">
        <v>622</v>
      </c>
      <c r="I3" s="630" t="s">
        <v>694</v>
      </c>
      <c r="J3" s="630" t="s">
        <v>695</v>
      </c>
    </row>
    <row r="4" spans="2:10" x14ac:dyDescent="0.25">
      <c r="B4" s="729"/>
      <c r="C4" s="472" t="s">
        <v>46</v>
      </c>
      <c r="D4" s="472" t="s">
        <v>46</v>
      </c>
      <c r="E4" s="472" t="s">
        <v>46</v>
      </c>
      <c r="G4" s="632" t="s">
        <v>6</v>
      </c>
    </row>
    <row r="5" spans="2:10" x14ac:dyDescent="0.25">
      <c r="B5" s="729"/>
      <c r="C5" s="480" t="s">
        <v>49</v>
      </c>
      <c r="D5" s="480" t="s">
        <v>49</v>
      </c>
      <c r="E5" s="480" t="s">
        <v>49</v>
      </c>
      <c r="G5" s="474" t="s">
        <v>11</v>
      </c>
      <c r="H5" s="622">
        <v>5.1150960745002944E-2</v>
      </c>
      <c r="I5" s="622">
        <f>D11/AVERAGE(C24:D24)</f>
        <v>5.0769080316852705E-2</v>
      </c>
      <c r="J5" s="622">
        <f>E11/AVERAGE(D24:E24)</f>
        <v>4.5824670824670823E-2</v>
      </c>
    </row>
    <row r="6" spans="2:10" ht="15" customHeight="1" x14ac:dyDescent="0.25">
      <c r="B6" s="473" t="s">
        <v>23</v>
      </c>
      <c r="C6" s="627">
        <v>356.7</v>
      </c>
      <c r="D6" s="627">
        <v>528.1</v>
      </c>
      <c r="E6" s="627">
        <v>675.8</v>
      </c>
      <c r="G6" s="632" t="s">
        <v>12</v>
      </c>
      <c r="H6" s="432"/>
      <c r="I6" s="432"/>
      <c r="J6" s="432"/>
    </row>
    <row r="7" spans="2:10" ht="15" customHeight="1" x14ac:dyDescent="0.25">
      <c r="B7" s="473" t="s">
        <v>50</v>
      </c>
      <c r="C7" s="494">
        <v>312.10000000000002</v>
      </c>
      <c r="D7" s="494">
        <v>463.9</v>
      </c>
      <c r="E7" s="494">
        <v>596.29999999999995</v>
      </c>
      <c r="G7" s="474" t="s">
        <v>13</v>
      </c>
      <c r="H7" s="625">
        <f>C22/C21</f>
        <v>2.3867290860981067</v>
      </c>
      <c r="I7" s="625">
        <f>D22/D21</f>
        <v>2.4632792792792793</v>
      </c>
      <c r="J7" s="625">
        <f>E22/E21</f>
        <v>2.6122259136212627</v>
      </c>
    </row>
    <row r="8" spans="2:10" ht="15" customHeight="1" x14ac:dyDescent="0.25">
      <c r="B8" s="473" t="s">
        <v>51</v>
      </c>
      <c r="C8" s="494">
        <v>0</v>
      </c>
      <c r="D8" s="494">
        <v>0</v>
      </c>
      <c r="E8" s="494">
        <v>0</v>
      </c>
      <c r="G8" s="474" t="s">
        <v>14</v>
      </c>
      <c r="H8" s="605">
        <v>0.31490000000000001</v>
      </c>
      <c r="I8" s="605">
        <v>0.3</v>
      </c>
      <c r="J8" s="605">
        <v>0.32100000000000001</v>
      </c>
    </row>
    <row r="9" spans="2:10" ht="15" customHeight="1" x14ac:dyDescent="0.25">
      <c r="B9" s="473" t="s">
        <v>52</v>
      </c>
      <c r="C9" s="494">
        <f>C6-C7</f>
        <v>44.599999999999966</v>
      </c>
      <c r="D9" s="494">
        <f t="shared" ref="D9:E9" si="0">D6-D7</f>
        <v>64.200000000000045</v>
      </c>
      <c r="E9" s="494">
        <f t="shared" si="0"/>
        <v>79.5</v>
      </c>
      <c r="G9" s="474" t="s">
        <v>15</v>
      </c>
      <c r="H9" s="622">
        <f>C21/C24</f>
        <v>0.34363852556480379</v>
      </c>
      <c r="I9" s="622">
        <f>D21/D24</f>
        <v>0.32278701872746307</v>
      </c>
      <c r="J9" s="622">
        <f>E21/E24</f>
        <v>0.30485952154273099</v>
      </c>
    </row>
    <row r="10" spans="2:10" ht="15" customHeight="1" x14ac:dyDescent="0.25">
      <c r="B10" s="473" t="s">
        <v>24</v>
      </c>
      <c r="C10" s="494">
        <v>195.3</v>
      </c>
      <c r="D10" s="494">
        <v>282.2</v>
      </c>
      <c r="E10" s="494">
        <v>384.7</v>
      </c>
      <c r="G10" s="632" t="s">
        <v>16</v>
      </c>
      <c r="H10" s="605"/>
      <c r="I10" s="605"/>
      <c r="J10" s="605"/>
    </row>
    <row r="11" spans="2:10" ht="31.5" customHeight="1" x14ac:dyDescent="0.25">
      <c r="B11" s="473" t="s">
        <v>53</v>
      </c>
      <c r="C11" s="494">
        <v>116.9</v>
      </c>
      <c r="D11" s="494">
        <v>181.7</v>
      </c>
      <c r="E11" s="494">
        <v>211.6</v>
      </c>
      <c r="G11" s="476" t="s">
        <v>93</v>
      </c>
      <c r="H11" s="623">
        <f>C15/(C12-C10)</f>
        <v>0.44981412639405205</v>
      </c>
      <c r="I11" s="623">
        <f>D15/(D12-D10)</f>
        <v>0.40056933712891413</v>
      </c>
      <c r="J11" s="623">
        <f>E15/(E12-E10)</f>
        <v>0.4658193060803848</v>
      </c>
    </row>
    <row r="12" spans="2:10" ht="27.75" customHeight="1" x14ac:dyDescent="0.25">
      <c r="B12" s="473" t="s">
        <v>1</v>
      </c>
      <c r="C12" s="494">
        <f t="shared" ref="C12:E12" si="1">SUM(C7:C9)</f>
        <v>356.7</v>
      </c>
      <c r="D12" s="494">
        <f t="shared" si="1"/>
        <v>528.1</v>
      </c>
      <c r="E12" s="494">
        <f t="shared" si="1"/>
        <v>675.8</v>
      </c>
      <c r="G12" s="474" t="s">
        <v>92</v>
      </c>
      <c r="H12" s="622">
        <f>C15/C12</f>
        <v>0.20353238015138772</v>
      </c>
      <c r="I12" s="622">
        <f>D15/D12</f>
        <v>0.18651770498011738</v>
      </c>
      <c r="J12" s="622">
        <f>E15/E12</f>
        <v>0.20065108020124298</v>
      </c>
    </row>
    <row r="13" spans="2:10" ht="15" customHeight="1" x14ac:dyDescent="0.25">
      <c r="B13" s="473" t="s">
        <v>91</v>
      </c>
      <c r="C13" s="494">
        <f>C14-C12</f>
        <v>10.600000000000023</v>
      </c>
      <c r="D13" s="494">
        <f t="shared" ref="D13:E13" si="2">D14-D12</f>
        <v>15.5</v>
      </c>
      <c r="E13" s="494">
        <f t="shared" si="2"/>
        <v>13.900000000000091</v>
      </c>
      <c r="G13" s="474" t="s">
        <v>17</v>
      </c>
      <c r="H13" s="622">
        <v>2.7262572250279712E-2</v>
      </c>
      <c r="I13" s="622">
        <f>D15/AVERAGE(C23:D23)</f>
        <v>2.3958650045606569E-2</v>
      </c>
      <c r="J13" s="622">
        <f>E15/AVERAGE(D23:E23)</f>
        <v>2.6207962891379975E-2</v>
      </c>
    </row>
    <row r="14" spans="2:10" ht="15" customHeight="1" x14ac:dyDescent="0.25">
      <c r="B14" s="473" t="s">
        <v>25</v>
      </c>
      <c r="C14" s="494">
        <v>367.3</v>
      </c>
      <c r="D14" s="494">
        <v>543.6</v>
      </c>
      <c r="E14" s="494">
        <v>689.7</v>
      </c>
      <c r="G14" s="632" t="s">
        <v>18</v>
      </c>
      <c r="H14" s="605"/>
      <c r="I14" s="605"/>
      <c r="J14" s="605"/>
    </row>
    <row r="15" spans="2:10" ht="15" customHeight="1" x14ac:dyDescent="0.25">
      <c r="B15" s="473" t="s">
        <v>26</v>
      </c>
      <c r="C15" s="494">
        <v>72.599999999999994</v>
      </c>
      <c r="D15" s="494">
        <v>98.5</v>
      </c>
      <c r="E15" s="494">
        <v>135.6</v>
      </c>
      <c r="G15" s="474" t="s">
        <v>19</v>
      </c>
      <c r="H15" s="622">
        <f>C25/C24</f>
        <v>8.7430929565643131E-3</v>
      </c>
      <c r="I15" s="622">
        <f>D25/D24</f>
        <v>5.2576480167500295E-3</v>
      </c>
      <c r="J15" s="622">
        <f>E25/E24</f>
        <v>3.6461603905442908E-3</v>
      </c>
    </row>
    <row r="16" spans="2:10" ht="15" customHeight="1" x14ac:dyDescent="0.25">
      <c r="B16" s="473" t="s">
        <v>54</v>
      </c>
      <c r="C16" s="494">
        <f t="shared" ref="C16:E16" si="3">C12-C15</f>
        <v>284.10000000000002</v>
      </c>
      <c r="D16" s="494">
        <f t="shared" si="3"/>
        <v>429.6</v>
      </c>
      <c r="E16" s="494">
        <f t="shared" si="3"/>
        <v>540.19999999999993</v>
      </c>
      <c r="G16" s="474" t="s">
        <v>20</v>
      </c>
      <c r="H16" s="622">
        <f>C26/C24</f>
        <v>5.0360215429810446E-3</v>
      </c>
      <c r="I16" s="622">
        <f>D26/D24</f>
        <v>8.1423752471792481E-4</v>
      </c>
      <c r="J16" s="622">
        <f>E26/E24</f>
        <v>1.0128223307067474E-3</v>
      </c>
    </row>
    <row r="17" spans="2:10" ht="15" customHeight="1" x14ac:dyDescent="0.25">
      <c r="B17" s="473" t="s">
        <v>94</v>
      </c>
      <c r="C17" s="494">
        <f t="shared" ref="C17:E17" si="4">C14-C15-C10</f>
        <v>99.400000000000034</v>
      </c>
      <c r="D17" s="494">
        <f t="shared" si="4"/>
        <v>162.90000000000003</v>
      </c>
      <c r="E17" s="494">
        <f t="shared" si="4"/>
        <v>169.40000000000003</v>
      </c>
      <c r="G17" s="474" t="s">
        <v>21</v>
      </c>
      <c r="H17" s="622">
        <f t="shared" ref="H17:J17" si="5">(H15-H16)/H15</f>
        <v>0.42399999999999999</v>
      </c>
      <c r="I17" s="622">
        <f t="shared" si="5"/>
        <v>0.84513274336283184</v>
      </c>
      <c r="J17" s="622">
        <f t="shared" si="5"/>
        <v>0.72222222222222232</v>
      </c>
    </row>
    <row r="18" spans="2:10" ht="15" customHeight="1" x14ac:dyDescent="0.25">
      <c r="B18" s="473" t="s">
        <v>27</v>
      </c>
      <c r="C18" s="494">
        <v>6.8</v>
      </c>
      <c r="D18" s="494">
        <v>12.9</v>
      </c>
      <c r="E18" s="494">
        <v>12.7</v>
      </c>
      <c r="G18" s="474" t="s">
        <v>22</v>
      </c>
      <c r="H18" s="622">
        <v>2.9713043196016677E-3</v>
      </c>
      <c r="I18" s="622">
        <f>D18/AVERAGE(C24:D24)</f>
        <v>3.6044091144050634E-3</v>
      </c>
      <c r="J18" s="622">
        <f>E18/AVERAGE(D24:E24)</f>
        <v>2.7503465003464998E-3</v>
      </c>
    </row>
    <row r="19" spans="2:10" ht="15" customHeight="1" x14ac:dyDescent="0.25">
      <c r="B19" s="473" t="s">
        <v>55</v>
      </c>
      <c r="C19" s="494">
        <v>69.2</v>
      </c>
      <c r="D19" s="494">
        <v>111.9</v>
      </c>
      <c r="E19" s="494">
        <v>116.9</v>
      </c>
      <c r="G19" s="632" t="s">
        <v>30</v>
      </c>
      <c r="H19" s="605"/>
      <c r="I19" s="605"/>
      <c r="J19" s="605"/>
    </row>
    <row r="20" spans="2:10" ht="29.25" customHeight="1" x14ac:dyDescent="0.25">
      <c r="B20" s="473" t="s">
        <v>28</v>
      </c>
      <c r="C20" s="494">
        <v>982.6</v>
      </c>
      <c r="D20" s="494">
        <v>1387.5</v>
      </c>
      <c r="E20" s="494">
        <v>1505</v>
      </c>
      <c r="G20" s="476" t="s">
        <v>95</v>
      </c>
      <c r="H20" s="624">
        <v>3.7374690385462921E-2</v>
      </c>
      <c r="I20" s="624">
        <f>D17/AVERAGE(C23:D23)</f>
        <v>3.9622985709942243E-2</v>
      </c>
      <c r="J20" s="624">
        <f>E17/AVERAGE(D23:E23)</f>
        <v>3.2740626207962899E-2</v>
      </c>
    </row>
    <row r="21" spans="2:10" ht="15" customHeight="1" x14ac:dyDescent="0.25">
      <c r="B21" s="473" t="s">
        <v>56</v>
      </c>
      <c r="C21" s="494">
        <v>982.6</v>
      </c>
      <c r="D21" s="494">
        <v>1387.5</v>
      </c>
      <c r="E21" s="494">
        <v>1505</v>
      </c>
      <c r="G21" s="474" t="s">
        <v>31</v>
      </c>
      <c r="H21" s="622">
        <v>2.600508517539166E-2</v>
      </c>
      <c r="I21" s="622">
        <f>D19/AVERAGE(C23:D23)</f>
        <v>2.7217999391912436E-2</v>
      </c>
      <c r="J21" s="622">
        <f>E19/AVERAGE(D23:E23)</f>
        <v>2.2593737920371088E-2</v>
      </c>
    </row>
    <row r="22" spans="2:10" ht="15" customHeight="1" x14ac:dyDescent="0.25">
      <c r="B22" s="473" t="s">
        <v>57</v>
      </c>
      <c r="C22" s="494">
        <v>2345.1999999999998</v>
      </c>
      <c r="D22" s="494">
        <v>3417.8</v>
      </c>
      <c r="E22" s="494">
        <v>3931.4</v>
      </c>
      <c r="G22" s="474" t="s">
        <v>32</v>
      </c>
      <c r="H22" s="622">
        <v>9.6016948793998524E-2</v>
      </c>
      <c r="I22" s="622">
        <f>D19/AVERAGE(C20:D20)</f>
        <v>9.4426395510737948E-2</v>
      </c>
      <c r="J22" s="622">
        <f>E19/AVERAGE(D20:E20)</f>
        <v>8.0829732065687124E-2</v>
      </c>
    </row>
    <row r="23" spans="2:10" ht="15" customHeight="1" x14ac:dyDescent="0.25">
      <c r="B23" s="473" t="s">
        <v>29</v>
      </c>
      <c r="C23" s="494">
        <v>3363.6</v>
      </c>
      <c r="D23" s="494">
        <v>4858.8999999999996</v>
      </c>
      <c r="E23" s="494">
        <v>5489.1</v>
      </c>
      <c r="G23" s="632" t="s">
        <v>33</v>
      </c>
      <c r="H23" s="605"/>
      <c r="I23" s="605"/>
      <c r="J23" s="605"/>
    </row>
    <row r="24" spans="2:10" ht="15" customHeight="1" x14ac:dyDescent="0.25">
      <c r="B24" s="473" t="s">
        <v>58</v>
      </c>
      <c r="C24" s="494">
        <v>2859.4</v>
      </c>
      <c r="D24" s="494">
        <v>4298.5</v>
      </c>
      <c r="E24" s="494">
        <v>4936.7</v>
      </c>
      <c r="G24" s="474" t="s">
        <v>34</v>
      </c>
      <c r="H24" s="622">
        <v>0.13663241686052693</v>
      </c>
      <c r="I24" s="622">
        <f>D7/AVERAGE(C24:D24)</f>
        <v>0.12961902233895417</v>
      </c>
      <c r="J24" s="622">
        <f>E7/AVERAGE(D24:E24)</f>
        <v>0.12913634788634787</v>
      </c>
    </row>
    <row r="25" spans="2:10" ht="15" customHeight="1" x14ac:dyDescent="0.25">
      <c r="B25" s="473" t="s">
        <v>59</v>
      </c>
      <c r="C25" s="494">
        <v>25</v>
      </c>
      <c r="D25" s="494">
        <v>22.6</v>
      </c>
      <c r="E25" s="494">
        <v>18</v>
      </c>
      <c r="G25" s="474" t="s">
        <v>35</v>
      </c>
      <c r="H25" s="622">
        <v>0.10264120109081418</v>
      </c>
      <c r="I25" s="622">
        <f>D10/AVERAGE(C22:D22)</f>
        <v>9.7935103244837757E-2</v>
      </c>
      <c r="J25" s="622">
        <f>E10/AVERAGE(D22:E22)</f>
        <v>0.10469166712023076</v>
      </c>
    </row>
    <row r="26" spans="2:10" ht="15" customHeight="1" x14ac:dyDescent="0.25">
      <c r="B26" s="473" t="s">
        <v>60</v>
      </c>
      <c r="C26" s="494">
        <v>14.4</v>
      </c>
      <c r="D26" s="494">
        <v>3.5</v>
      </c>
      <c r="E26" s="494">
        <v>5</v>
      </c>
      <c r="G26" s="474" t="s">
        <v>36</v>
      </c>
      <c r="H26" s="605">
        <f t="shared" ref="H26:J26" si="6">H24-H25</f>
        <v>3.3991215769712757E-2</v>
      </c>
      <c r="I26" s="605">
        <f t="shared" si="6"/>
        <v>3.1683919094116414E-2</v>
      </c>
      <c r="J26" s="605">
        <f t="shared" si="6"/>
        <v>2.4444680766117111E-2</v>
      </c>
    </row>
    <row r="27" spans="2:10" x14ac:dyDescent="0.25">
      <c r="G27" s="632" t="s">
        <v>758</v>
      </c>
      <c r="H27" s="81"/>
      <c r="I27" s="81"/>
      <c r="J27" s="81"/>
    </row>
    <row r="28" spans="2:10" x14ac:dyDescent="0.25">
      <c r="G28" s="474" t="s">
        <v>759</v>
      </c>
      <c r="H28" s="605">
        <v>0.15</v>
      </c>
      <c r="I28" s="605">
        <v>0.16</v>
      </c>
      <c r="J28" s="605">
        <v>0.2</v>
      </c>
    </row>
    <row r="29" spans="2:10" x14ac:dyDescent="0.25">
      <c r="G29" s="632" t="s">
        <v>756</v>
      </c>
      <c r="H29" s="81"/>
      <c r="I29" s="81"/>
      <c r="J29" s="81"/>
    </row>
    <row r="30" spans="2:10" x14ac:dyDescent="0.25">
      <c r="G30" s="474" t="s">
        <v>612</v>
      </c>
      <c r="H30" s="81"/>
      <c r="I30" s="81"/>
      <c r="J30" s="82">
        <v>0.98980000000000001</v>
      </c>
    </row>
    <row r="31" spans="2:10" x14ac:dyDescent="0.25">
      <c r="G31" s="534" t="s">
        <v>747</v>
      </c>
      <c r="H31" s="81"/>
      <c r="I31" s="81"/>
      <c r="J31" s="82">
        <v>2.8E-3</v>
      </c>
    </row>
    <row r="32" spans="2:10" x14ac:dyDescent="0.25">
      <c r="G32" s="110" t="s">
        <v>757</v>
      </c>
      <c r="H32" s="110"/>
      <c r="I32" s="110"/>
      <c r="J32" s="644">
        <v>2E-3</v>
      </c>
    </row>
    <row r="33" spans="7:11" x14ac:dyDescent="0.25">
      <c r="G33" s="81"/>
      <c r="H33" s="81"/>
      <c r="I33" s="81"/>
      <c r="J33" s="81"/>
      <c r="K33" s="81"/>
    </row>
    <row r="34" spans="7:11" ht="30" x14ac:dyDescent="0.25">
      <c r="G34" s="81" t="s">
        <v>761</v>
      </c>
      <c r="H34" s="81"/>
      <c r="I34" s="81"/>
      <c r="J34" s="645" t="s">
        <v>762</v>
      </c>
      <c r="K34" s="645" t="s">
        <v>763</v>
      </c>
    </row>
  </sheetData>
  <mergeCells count="2">
    <mergeCell ref="B3:B5"/>
    <mergeCell ref="B2:E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1:J61"/>
  <sheetViews>
    <sheetView showGridLines="0" topLeftCell="C20" zoomScale="120" zoomScaleNormal="120" workbookViewId="0"/>
  </sheetViews>
  <sheetFormatPr defaultRowHeight="15" x14ac:dyDescent="0.25"/>
  <cols>
    <col min="1" max="1" width="1.85546875" customWidth="1"/>
    <col min="2" max="2" width="30.7109375" customWidth="1"/>
    <col min="3" max="5" width="15.7109375" customWidth="1"/>
    <col min="7" max="7" width="37.28515625" customWidth="1"/>
    <col min="8" max="10" width="15.7109375" customWidth="1"/>
  </cols>
  <sheetData>
    <row r="1" spans="2:10" x14ac:dyDescent="0.25">
      <c r="E1" s="414" t="s">
        <v>111</v>
      </c>
    </row>
    <row r="2" spans="2:10" ht="18.75" x14ac:dyDescent="0.3">
      <c r="B2" s="731" t="s">
        <v>158</v>
      </c>
      <c r="C2" s="731"/>
      <c r="D2" s="731"/>
      <c r="E2" s="731"/>
    </row>
    <row r="3" spans="2:10" ht="15" customHeight="1" x14ac:dyDescent="0.25">
      <c r="B3" s="729" t="s">
        <v>4</v>
      </c>
      <c r="C3" s="471" t="s">
        <v>367</v>
      </c>
      <c r="D3" s="471" t="s">
        <v>368</v>
      </c>
      <c r="E3" s="471" t="s">
        <v>693</v>
      </c>
      <c r="G3" s="629" t="s">
        <v>4</v>
      </c>
      <c r="H3" s="628" t="s">
        <v>622</v>
      </c>
      <c r="I3" s="628" t="s">
        <v>694</v>
      </c>
      <c r="J3" s="628" t="s">
        <v>695</v>
      </c>
    </row>
    <row r="4" spans="2:10" ht="15" customHeight="1" x14ac:dyDescent="0.25">
      <c r="B4" s="729"/>
      <c r="C4" s="472" t="s">
        <v>46</v>
      </c>
      <c r="D4" s="472" t="s">
        <v>46</v>
      </c>
      <c r="E4" s="472" t="s">
        <v>46</v>
      </c>
      <c r="G4" s="632" t="s">
        <v>6</v>
      </c>
      <c r="H4" s="606"/>
      <c r="I4" s="606"/>
      <c r="J4" s="606"/>
    </row>
    <row r="5" spans="2:10" ht="15" customHeight="1" x14ac:dyDescent="0.25">
      <c r="B5" s="729"/>
      <c r="C5" s="480" t="s">
        <v>49</v>
      </c>
      <c r="D5" s="480" t="s">
        <v>49</v>
      </c>
      <c r="E5" s="480" t="s">
        <v>49</v>
      </c>
      <c r="G5" s="476" t="s">
        <v>11</v>
      </c>
      <c r="H5" s="573">
        <v>4.87E-2</v>
      </c>
      <c r="I5" s="573">
        <f>D11/AVERAGE(C24:D24)</f>
        <v>4.9878759944690487E-2</v>
      </c>
      <c r="J5" s="573">
        <f>E11/AVERAGE(D24:E24)</f>
        <v>4.9047353526001827E-2</v>
      </c>
    </row>
    <row r="6" spans="2:10" ht="15" customHeight="1" x14ac:dyDescent="0.25">
      <c r="B6" s="473" t="s">
        <v>23</v>
      </c>
      <c r="C6" s="627">
        <v>1726.2</v>
      </c>
      <c r="D6" s="627">
        <v>2013</v>
      </c>
      <c r="E6" s="627">
        <v>2882</v>
      </c>
      <c r="G6" s="632" t="s">
        <v>12</v>
      </c>
      <c r="H6" s="435"/>
      <c r="I6" s="435"/>
      <c r="J6" s="435"/>
    </row>
    <row r="7" spans="2:10" ht="15" customHeight="1" x14ac:dyDescent="0.25">
      <c r="B7" s="473" t="s">
        <v>50</v>
      </c>
      <c r="C7" s="494">
        <v>1386.4</v>
      </c>
      <c r="D7" s="494">
        <v>1963.7</v>
      </c>
      <c r="E7" s="494">
        <v>2462.4</v>
      </c>
      <c r="G7" s="476" t="s">
        <v>13</v>
      </c>
      <c r="H7" s="579">
        <f>C22/C21</f>
        <v>2.8149423691154007</v>
      </c>
      <c r="I7" s="579">
        <f>D22/D21</f>
        <v>3.5605412054120542</v>
      </c>
      <c r="J7" s="579">
        <f>E22/E21</f>
        <v>3.0788745541220792</v>
      </c>
    </row>
    <row r="8" spans="2:10" ht="15" customHeight="1" x14ac:dyDescent="0.25">
      <c r="B8" s="473" t="s">
        <v>51</v>
      </c>
      <c r="C8" s="494">
        <v>0</v>
      </c>
      <c r="D8" s="494">
        <v>0</v>
      </c>
      <c r="E8" s="494">
        <v>0</v>
      </c>
      <c r="G8" s="476" t="s">
        <v>14</v>
      </c>
      <c r="H8" s="575">
        <v>0.2752</v>
      </c>
      <c r="I8" s="575">
        <v>0.22439999999999999</v>
      </c>
      <c r="J8" s="575">
        <v>0.26729999999999998</v>
      </c>
    </row>
    <row r="9" spans="2:10" ht="15" customHeight="1" x14ac:dyDescent="0.25">
      <c r="B9" s="473" t="s">
        <v>52</v>
      </c>
      <c r="C9" s="494">
        <v>339.7</v>
      </c>
      <c r="D9" s="494">
        <v>49.3</v>
      </c>
      <c r="E9" s="494">
        <v>419.6</v>
      </c>
      <c r="G9" s="476" t="s">
        <v>15</v>
      </c>
      <c r="H9" s="573">
        <f>C21/C24</f>
        <v>0.28756379435654555</v>
      </c>
      <c r="I9" s="573">
        <f>D21/D24</f>
        <v>0.23335380800119401</v>
      </c>
      <c r="J9" s="573">
        <f>E21/E24</f>
        <v>0.29122594111793404</v>
      </c>
    </row>
    <row r="10" spans="2:10" ht="15" customHeight="1" x14ac:dyDescent="0.25">
      <c r="B10" s="473" t="s">
        <v>24</v>
      </c>
      <c r="C10" s="494">
        <v>875.6</v>
      </c>
      <c r="D10" s="494">
        <v>1217</v>
      </c>
      <c r="E10" s="494">
        <v>1530</v>
      </c>
      <c r="G10" s="632" t="s">
        <v>16</v>
      </c>
      <c r="H10" s="435"/>
      <c r="I10" s="435"/>
      <c r="J10" s="435"/>
    </row>
    <row r="11" spans="2:10" ht="33.75" customHeight="1" x14ac:dyDescent="0.25">
      <c r="B11" s="473" t="s">
        <v>53</v>
      </c>
      <c r="C11" s="494">
        <v>510.8</v>
      </c>
      <c r="D11" s="494">
        <v>746.7</v>
      </c>
      <c r="E11" s="494">
        <v>932.4</v>
      </c>
      <c r="G11" s="476" t="s">
        <v>93</v>
      </c>
      <c r="H11" s="626">
        <f>C15/(C12-C10)</f>
        <v>0.36848912404467954</v>
      </c>
      <c r="I11" s="626">
        <f>D15/(D12-D10)</f>
        <v>0.49522613065326632</v>
      </c>
      <c r="J11" s="626">
        <f>E15/(E12-E10)</f>
        <v>0.32403846153846155</v>
      </c>
    </row>
    <row r="12" spans="2:10" ht="31.5" customHeight="1" x14ac:dyDescent="0.25">
      <c r="B12" s="473" t="s">
        <v>1</v>
      </c>
      <c r="C12" s="494">
        <f t="shared" ref="C12:E12" si="0">SUM(C7:C9)</f>
        <v>1726.1000000000001</v>
      </c>
      <c r="D12" s="494">
        <f t="shared" si="0"/>
        <v>2013</v>
      </c>
      <c r="E12" s="494">
        <f t="shared" si="0"/>
        <v>2882</v>
      </c>
      <c r="G12" s="476" t="s">
        <v>92</v>
      </c>
      <c r="H12" s="573">
        <f>C15/C12</f>
        <v>0.18156537859915414</v>
      </c>
      <c r="I12" s="573">
        <f>D15/D12</f>
        <v>0.19582712369597616</v>
      </c>
      <c r="J12" s="573">
        <f>E15/E12</f>
        <v>0.15201249132546843</v>
      </c>
    </row>
    <row r="13" spans="2:10" ht="15" customHeight="1" x14ac:dyDescent="0.25">
      <c r="B13" s="473" t="s">
        <v>91</v>
      </c>
      <c r="C13" s="494">
        <f>C14-C6</f>
        <v>2.0999999999999091</v>
      </c>
      <c r="D13" s="494">
        <f t="shared" ref="D13:E13" si="1">D14-D6</f>
        <v>337.80000000000018</v>
      </c>
      <c r="E13" s="494">
        <f t="shared" si="1"/>
        <v>6.9000000000000909</v>
      </c>
      <c r="G13" s="476" t="s">
        <v>17</v>
      </c>
      <c r="H13" s="573">
        <v>2.5999999999999999E-2</v>
      </c>
      <c r="I13" s="573">
        <f>D15/AVERAGE(C23:D23)</f>
        <v>2.3747345592554103E-2</v>
      </c>
      <c r="J13" s="573">
        <f>E15/AVERAGE(D23:E23)</f>
        <v>1.9892748977210294E-2</v>
      </c>
    </row>
    <row r="14" spans="2:10" ht="15" customHeight="1" x14ac:dyDescent="0.25">
      <c r="B14" s="473" t="s">
        <v>25</v>
      </c>
      <c r="C14" s="494">
        <v>1728.3</v>
      </c>
      <c r="D14" s="494">
        <v>2350.8000000000002</v>
      </c>
      <c r="E14" s="494">
        <v>2888.9</v>
      </c>
      <c r="G14" s="632" t="s">
        <v>18</v>
      </c>
      <c r="H14" s="435"/>
      <c r="I14" s="435"/>
      <c r="J14" s="435"/>
    </row>
    <row r="15" spans="2:10" ht="15" customHeight="1" x14ac:dyDescent="0.25">
      <c r="B15" s="473" t="s">
        <v>26</v>
      </c>
      <c r="C15" s="494">
        <v>313.39999999999998</v>
      </c>
      <c r="D15" s="494">
        <v>394.2</v>
      </c>
      <c r="E15" s="494">
        <v>438.1</v>
      </c>
      <c r="G15" s="476" t="s">
        <v>19</v>
      </c>
      <c r="H15" s="573">
        <f>C25/C24</f>
        <v>4.2409769421837438E-3</v>
      </c>
      <c r="I15" s="573">
        <f>D25/D24</f>
        <v>2.5545496816858876E-3</v>
      </c>
      <c r="J15" s="573">
        <f>E25/E24</f>
        <v>3.6406883328074561E-3</v>
      </c>
    </row>
    <row r="16" spans="2:10" ht="15" customHeight="1" x14ac:dyDescent="0.25">
      <c r="B16" s="473" t="s">
        <v>54</v>
      </c>
      <c r="C16" s="494">
        <f t="shared" ref="C16:E16" si="2">C12-C15</f>
        <v>1412.7000000000003</v>
      </c>
      <c r="D16" s="494">
        <f t="shared" si="2"/>
        <v>1618.8</v>
      </c>
      <c r="E16" s="494">
        <f t="shared" si="2"/>
        <v>2443.9</v>
      </c>
      <c r="G16" s="476" t="s">
        <v>20</v>
      </c>
      <c r="H16" s="573">
        <f>C26/C24</f>
        <v>1.2778838243868154E-3</v>
      </c>
      <c r="I16" s="573">
        <f>D26/D24</f>
        <v>3.9035815360593341E-4</v>
      </c>
      <c r="J16" s="573">
        <f>E26/E24</f>
        <v>5.9221863547001281E-4</v>
      </c>
    </row>
    <row r="17" spans="2:10" ht="15" customHeight="1" x14ac:dyDescent="0.25">
      <c r="B17" s="473" t="s">
        <v>94</v>
      </c>
      <c r="C17" s="494">
        <f t="shared" ref="C17:E17" si="3">C14-C15-C10</f>
        <v>539.30000000000007</v>
      </c>
      <c r="D17" s="494">
        <f t="shared" si="3"/>
        <v>739.60000000000014</v>
      </c>
      <c r="E17" s="494">
        <f t="shared" si="3"/>
        <v>920.80000000000018</v>
      </c>
      <c r="G17" s="476" t="s">
        <v>21</v>
      </c>
      <c r="H17" s="573">
        <f t="shared" ref="H17:J17" si="4">(H15-H16)/H15</f>
        <v>0.69868173258003774</v>
      </c>
      <c r="I17" s="573">
        <f t="shared" si="4"/>
        <v>0.84719101123595497</v>
      </c>
      <c r="J17" s="573">
        <f t="shared" si="4"/>
        <v>0.83733333333333337</v>
      </c>
    </row>
    <row r="18" spans="2:10" ht="15" customHeight="1" x14ac:dyDescent="0.25">
      <c r="B18" s="473" t="s">
        <v>27</v>
      </c>
      <c r="C18" s="494">
        <v>79.599999999999994</v>
      </c>
      <c r="D18" s="494">
        <v>64.7</v>
      </c>
      <c r="E18" s="494">
        <v>116.3</v>
      </c>
      <c r="G18" s="476" t="s">
        <v>22</v>
      </c>
      <c r="H18" s="573">
        <v>7.6E-3</v>
      </c>
      <c r="I18" s="573">
        <f>D18/AVERAGE(C24:D24)</f>
        <v>4.3218906768735426E-3</v>
      </c>
      <c r="J18" s="573">
        <f>E18/AVERAGE(D24:E24)</f>
        <v>6.1177683559352344E-3</v>
      </c>
    </row>
    <row r="19" spans="2:10" ht="15" customHeight="1" x14ac:dyDescent="0.25">
      <c r="B19" s="473" t="s">
        <v>55</v>
      </c>
      <c r="C19" s="494">
        <v>342.6</v>
      </c>
      <c r="D19" s="494">
        <v>504.2</v>
      </c>
      <c r="E19" s="494">
        <v>597.9</v>
      </c>
      <c r="G19" s="632" t="s">
        <v>30</v>
      </c>
      <c r="H19" s="435"/>
      <c r="I19" s="435"/>
      <c r="J19" s="435"/>
    </row>
    <row r="20" spans="2:10" ht="29.25" customHeight="1" x14ac:dyDescent="0.25">
      <c r="B20" s="473" t="s">
        <v>28</v>
      </c>
      <c r="C20" s="494">
        <v>3600.5</v>
      </c>
      <c r="D20" s="494">
        <v>4065</v>
      </c>
      <c r="E20" s="494">
        <v>5999.4</v>
      </c>
      <c r="G20" s="476" t="s">
        <v>95</v>
      </c>
      <c r="H20" s="578">
        <v>4.4793131280094371E-2</v>
      </c>
      <c r="I20" s="578">
        <f>D17/AVERAGE(C23:D23)</f>
        <v>4.45548878748174E-2</v>
      </c>
      <c r="J20" s="578">
        <f>E17/AVERAGE(D23:E23)</f>
        <v>4.1810644278053512E-2</v>
      </c>
    </row>
    <row r="21" spans="2:10" ht="15" customHeight="1" x14ac:dyDescent="0.25">
      <c r="B21" s="473" t="s">
        <v>56</v>
      </c>
      <c r="C21" s="494">
        <v>3600.5</v>
      </c>
      <c r="D21" s="494">
        <v>4065</v>
      </c>
      <c r="E21" s="494">
        <v>5999.4</v>
      </c>
      <c r="G21" s="476" t="s">
        <v>31</v>
      </c>
      <c r="H21" s="573">
        <v>2.8457487444639749E-2</v>
      </c>
      <c r="I21" s="573">
        <f>D19/AVERAGE(C23:D23)</f>
        <v>3.0373951414930947E-2</v>
      </c>
      <c r="J21" s="573">
        <f>E19/AVERAGE(D23:E23)</f>
        <v>2.7148766522424182E-2</v>
      </c>
    </row>
    <row r="22" spans="2:10" ht="15" customHeight="1" x14ac:dyDescent="0.25">
      <c r="B22" s="473" t="s">
        <v>57</v>
      </c>
      <c r="C22" s="494">
        <v>10135.200000000001</v>
      </c>
      <c r="D22" s="494">
        <v>14473.6</v>
      </c>
      <c r="E22" s="494">
        <v>18471.400000000001</v>
      </c>
      <c r="G22" s="476" t="s">
        <v>32</v>
      </c>
      <c r="H22" s="573">
        <v>0.11801450421816012</v>
      </c>
      <c r="I22" s="573">
        <f>D19/AVERAGE(C20:D20)</f>
        <v>0.13155045332985454</v>
      </c>
      <c r="J22" s="573">
        <f>E19/AVERAGE(D20:E20)</f>
        <v>0.1188148324788363</v>
      </c>
    </row>
    <row r="23" spans="2:10" ht="15" customHeight="1" x14ac:dyDescent="0.25">
      <c r="B23" s="473" t="s">
        <v>29</v>
      </c>
      <c r="C23" s="494">
        <v>14267.6</v>
      </c>
      <c r="D23" s="494">
        <v>18931.900000000001</v>
      </c>
      <c r="E23" s="494">
        <v>25114.3</v>
      </c>
      <c r="G23" s="632" t="s">
        <v>33</v>
      </c>
      <c r="H23" s="435"/>
      <c r="I23" s="435"/>
      <c r="J23" s="435"/>
    </row>
    <row r="24" spans="2:10" ht="15" customHeight="1" x14ac:dyDescent="0.25">
      <c r="B24" s="473" t="s">
        <v>58</v>
      </c>
      <c r="C24" s="494">
        <v>12520.7</v>
      </c>
      <c r="D24" s="494">
        <v>17419.900000000001</v>
      </c>
      <c r="E24" s="494">
        <v>20600.5</v>
      </c>
      <c r="G24" s="476" t="s">
        <v>34</v>
      </c>
      <c r="H24" s="573">
        <v>0.13212547170058558</v>
      </c>
      <c r="I24" s="573">
        <f>D7/AVERAGE(C24:D24)</f>
        <v>0.131173055984182</v>
      </c>
      <c r="J24" s="573">
        <f>E7/AVERAGE(D24:E24)</f>
        <v>0.12953046259376544</v>
      </c>
    </row>
    <row r="25" spans="2:10" ht="15" customHeight="1" x14ac:dyDescent="0.25">
      <c r="B25" s="473" t="s">
        <v>59</v>
      </c>
      <c r="C25" s="494">
        <v>53.1</v>
      </c>
      <c r="D25" s="494">
        <v>44.5</v>
      </c>
      <c r="E25" s="494">
        <v>75</v>
      </c>
      <c r="G25" s="476" t="s">
        <v>35</v>
      </c>
      <c r="H25" s="573">
        <v>0.1036883005973246</v>
      </c>
      <c r="I25" s="573">
        <f>D10/AVERAGE(C22:D22)</f>
        <v>9.8907707811839649E-2</v>
      </c>
      <c r="J25" s="573">
        <f>E10/AVERAGE(D22:E22)</f>
        <v>9.2882076187585372E-2</v>
      </c>
    </row>
    <row r="26" spans="2:10" ht="15" customHeight="1" x14ac:dyDescent="0.25">
      <c r="B26" s="473" t="s">
        <v>60</v>
      </c>
      <c r="C26" s="494">
        <v>16</v>
      </c>
      <c r="D26" s="494">
        <v>6.8</v>
      </c>
      <c r="E26" s="494">
        <v>12.2</v>
      </c>
      <c r="G26" s="476" t="s">
        <v>36</v>
      </c>
      <c r="H26" s="575">
        <f t="shared" ref="H26:J26" si="5">H24-H25</f>
        <v>2.843717110326098E-2</v>
      </c>
      <c r="I26" s="575">
        <f t="shared" si="5"/>
        <v>3.2265348172342348E-2</v>
      </c>
      <c r="J26" s="575">
        <f t="shared" si="5"/>
        <v>3.6648386406180067E-2</v>
      </c>
    </row>
    <row r="27" spans="2:10" x14ac:dyDescent="0.25">
      <c r="G27" s="637" t="s">
        <v>752</v>
      </c>
      <c r="H27" s="435"/>
      <c r="I27" s="435"/>
      <c r="J27" s="435"/>
    </row>
    <row r="28" spans="2:10" x14ac:dyDescent="0.25">
      <c r="G28" s="476" t="s">
        <v>753</v>
      </c>
      <c r="H28" s="435"/>
      <c r="I28" s="435"/>
      <c r="J28" s="575">
        <v>0.41</v>
      </c>
    </row>
    <row r="29" spans="2:10" x14ac:dyDescent="0.25">
      <c r="G29" s="476" t="s">
        <v>754</v>
      </c>
      <c r="H29" s="435"/>
      <c r="I29" s="435"/>
      <c r="J29" s="575">
        <v>0.59</v>
      </c>
    </row>
    <row r="30" spans="2:10" x14ac:dyDescent="0.25">
      <c r="G30" s="632" t="s">
        <v>756</v>
      </c>
      <c r="H30" s="81"/>
      <c r="I30" s="81"/>
      <c r="J30" s="575"/>
    </row>
    <row r="31" spans="2:10" x14ac:dyDescent="0.25">
      <c r="G31" s="476" t="s">
        <v>612</v>
      </c>
      <c r="H31" s="81"/>
      <c r="I31" s="81"/>
      <c r="J31" s="575">
        <v>0.99</v>
      </c>
    </row>
    <row r="32" spans="2:10" x14ac:dyDescent="0.25">
      <c r="G32" s="476" t="s">
        <v>747</v>
      </c>
      <c r="H32" s="81"/>
      <c r="I32" s="81"/>
      <c r="J32" s="82">
        <v>2.0999999999999999E-3</v>
      </c>
    </row>
    <row r="33" spans="2:10" x14ac:dyDescent="0.25">
      <c r="G33" s="476" t="s">
        <v>757</v>
      </c>
      <c r="H33" s="81"/>
      <c r="I33" s="81"/>
      <c r="J33" s="82">
        <v>1.4E-3</v>
      </c>
    </row>
    <row r="48" spans="2:10" x14ac:dyDescent="0.25">
      <c r="B48" s="732"/>
      <c r="C48" s="732"/>
      <c r="D48" s="732"/>
      <c r="E48" s="732"/>
    </row>
    <row r="49" spans="2:7" x14ac:dyDescent="0.25">
      <c r="B49" s="732"/>
      <c r="C49" s="732"/>
      <c r="D49" s="732"/>
      <c r="E49" s="732"/>
    </row>
    <row r="50" spans="2:7" ht="78" customHeight="1" x14ac:dyDescent="0.25">
      <c r="B50" s="732"/>
      <c r="C50" s="732"/>
      <c r="D50" s="732"/>
      <c r="E50" s="732"/>
    </row>
    <row r="58" spans="2:7" ht="15" customHeight="1" x14ac:dyDescent="0.25">
      <c r="B58" s="733"/>
      <c r="C58" s="733"/>
      <c r="D58" s="733"/>
      <c r="E58" s="733"/>
      <c r="F58" s="733"/>
      <c r="G58" s="733"/>
    </row>
    <row r="59" spans="2:7" x14ac:dyDescent="0.25">
      <c r="B59" s="733"/>
      <c r="C59" s="733"/>
      <c r="D59" s="733"/>
      <c r="E59" s="733"/>
      <c r="F59" s="733"/>
      <c r="G59" s="733"/>
    </row>
    <row r="60" spans="2:7" x14ac:dyDescent="0.25">
      <c r="B60" s="733"/>
      <c r="C60" s="733"/>
      <c r="D60" s="733"/>
      <c r="E60" s="733"/>
      <c r="F60" s="733"/>
      <c r="G60" s="733"/>
    </row>
    <row r="61" spans="2:7" x14ac:dyDescent="0.25">
      <c r="B61" s="733"/>
      <c r="C61" s="733"/>
      <c r="D61" s="733"/>
      <c r="E61" s="733"/>
      <c r="F61" s="733"/>
      <c r="G61" s="733"/>
    </row>
  </sheetData>
  <mergeCells count="4">
    <mergeCell ref="B3:B5"/>
    <mergeCell ref="B48:E50"/>
    <mergeCell ref="B58:G61"/>
    <mergeCell ref="B2:E2"/>
  </mergeCells>
  <pageMargins left="0.7" right="0.7" top="0.75" bottom="0.75" header="0.3" footer="0.3"/>
  <ignoredErrors>
    <ignoredError sqref="C12:E12" formulaRange="1"/>
  </ignoredError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DC751-0A13-43A6-804E-FD89EE0567E7}">
  <dimension ref="B2:N26"/>
  <sheetViews>
    <sheetView showGridLines="0" zoomScale="84" workbookViewId="0">
      <selection activeCell="B6" sqref="B6"/>
    </sheetView>
  </sheetViews>
  <sheetFormatPr defaultRowHeight="15" x14ac:dyDescent="0.25"/>
  <cols>
    <col min="1" max="1" width="1.85546875" customWidth="1"/>
    <col min="2" max="2" width="50.42578125" bestFit="1" customWidth="1"/>
    <col min="3" max="7" width="15.7109375" customWidth="1"/>
    <col min="9" max="9" width="24" customWidth="1"/>
    <col min="10" max="14" width="15.7109375" customWidth="1"/>
  </cols>
  <sheetData>
    <row r="2" spans="2:14" x14ac:dyDescent="0.25">
      <c r="B2" s="414" t="s">
        <v>773</v>
      </c>
      <c r="F2" s="738" t="s">
        <v>111</v>
      </c>
      <c r="G2" s="738"/>
    </row>
    <row r="3" spans="2:14" ht="15" customHeight="1" x14ac:dyDescent="0.25">
      <c r="B3" s="471" t="s">
        <v>4</v>
      </c>
      <c r="C3" s="471" t="s">
        <v>42</v>
      </c>
      <c r="D3" s="687">
        <v>23</v>
      </c>
      <c r="E3" s="687">
        <v>24</v>
      </c>
      <c r="F3" s="687">
        <v>25</v>
      </c>
      <c r="G3" s="687">
        <v>26</v>
      </c>
      <c r="I3" s="475" t="s">
        <v>6</v>
      </c>
      <c r="J3" s="40" t="s">
        <v>90</v>
      </c>
      <c r="K3" s="40" t="s">
        <v>492</v>
      </c>
      <c r="L3" s="40" t="s">
        <v>623</v>
      </c>
      <c r="M3" s="40" t="s">
        <v>700</v>
      </c>
      <c r="N3" s="40" t="s">
        <v>701</v>
      </c>
    </row>
    <row r="4" spans="2:14" ht="15" customHeight="1" x14ac:dyDescent="0.25">
      <c r="B4" s="471"/>
      <c r="C4" s="472" t="s">
        <v>46</v>
      </c>
      <c r="D4" s="472" t="s">
        <v>46</v>
      </c>
      <c r="E4" s="472" t="s">
        <v>46</v>
      </c>
      <c r="F4" s="472" t="s">
        <v>46</v>
      </c>
      <c r="G4" s="472" t="s">
        <v>46</v>
      </c>
      <c r="I4" s="474" t="s">
        <v>11</v>
      </c>
      <c r="J4" s="78">
        <f>C11/AVERAGE(C24:C24)</f>
        <v>5.8619836754884989E-2</v>
      </c>
      <c r="K4" s="78">
        <f>D11/AVERAGE(C24:D24)</f>
        <v>7.3271529096392271E-2</v>
      </c>
      <c r="L4" s="78">
        <f>E11/AVERAGE(D24:E24)</f>
        <v>6.6452929175167597E-2</v>
      </c>
      <c r="M4" s="78">
        <f>F11/AVERAGE(E24:F24)</f>
        <v>6.3682841510449367E-2</v>
      </c>
      <c r="N4" s="78">
        <f>G11/AVERAGE(F24:G24)</f>
        <v>7.0690672963400231E-2</v>
      </c>
    </row>
    <row r="5" spans="2:14" ht="15" customHeight="1" x14ac:dyDescent="0.25">
      <c r="B5" s="471"/>
      <c r="C5" s="480" t="s">
        <v>49</v>
      </c>
      <c r="D5" s="480" t="s">
        <v>49</v>
      </c>
      <c r="E5" s="480" t="s">
        <v>49</v>
      </c>
      <c r="F5" s="480" t="s">
        <v>49</v>
      </c>
      <c r="G5" s="480" t="s">
        <v>49</v>
      </c>
      <c r="I5" s="475" t="s">
        <v>12</v>
      </c>
      <c r="J5" s="691"/>
      <c r="K5" s="691"/>
      <c r="L5" s="691"/>
      <c r="M5" s="691"/>
      <c r="N5" s="691"/>
    </row>
    <row r="6" spans="2:14" ht="15" customHeight="1" x14ac:dyDescent="0.25">
      <c r="B6" s="473" t="s">
        <v>23</v>
      </c>
      <c r="C6" s="686">
        <v>610</v>
      </c>
      <c r="D6" s="686">
        <v>765</v>
      </c>
      <c r="E6" s="686">
        <v>859</v>
      </c>
      <c r="F6" s="686">
        <v>900</v>
      </c>
      <c r="G6" s="686">
        <v>1128</v>
      </c>
      <c r="I6" s="474" t="s">
        <v>13</v>
      </c>
      <c r="J6" s="692">
        <f>C22/C21</f>
        <v>6.0372093023255813</v>
      </c>
      <c r="K6" s="692">
        <f>D22/D21</f>
        <v>6.122207621550591</v>
      </c>
      <c r="L6" s="692">
        <f>E22/E21</f>
        <v>5.4835526315789478</v>
      </c>
      <c r="M6" s="692">
        <f>F22/F21</f>
        <v>5.0439350525310411</v>
      </c>
      <c r="N6" s="692">
        <f>G22/G21</f>
        <v>6.4901593252108718</v>
      </c>
    </row>
    <row r="7" spans="2:14" ht="15" customHeight="1" x14ac:dyDescent="0.25">
      <c r="B7" s="473" t="s">
        <v>50</v>
      </c>
      <c r="C7" s="655">
        <v>606</v>
      </c>
      <c r="D7" s="655">
        <v>761</v>
      </c>
      <c r="E7" s="655">
        <v>854</v>
      </c>
      <c r="F7" s="655">
        <v>894</v>
      </c>
      <c r="G7" s="655">
        <v>1107</v>
      </c>
      <c r="I7" s="474" t="s">
        <v>14</v>
      </c>
      <c r="J7" s="693">
        <v>0.1865</v>
      </c>
      <c r="K7" s="693">
        <v>0.17710000000000001</v>
      </c>
      <c r="L7" s="693">
        <v>0.1842</v>
      </c>
      <c r="M7" s="693">
        <v>0.18779999999999999</v>
      </c>
      <c r="N7" s="693" t="s">
        <v>774</v>
      </c>
    </row>
    <row r="8" spans="2:14" ht="15" customHeight="1" x14ac:dyDescent="0.25">
      <c r="B8" s="473" t="s">
        <v>51</v>
      </c>
      <c r="C8" s="655">
        <v>0</v>
      </c>
      <c r="D8" s="655">
        <v>0</v>
      </c>
      <c r="E8" s="655">
        <v>0</v>
      </c>
      <c r="F8" s="655">
        <v>0</v>
      </c>
      <c r="G8" s="655"/>
      <c r="I8" s="474" t="s">
        <v>15</v>
      </c>
      <c r="J8" s="78">
        <f>C21/C24</f>
        <v>0.15953499876329458</v>
      </c>
      <c r="K8" s="78">
        <f>D21/D24</f>
        <v>0.15498981670061099</v>
      </c>
      <c r="L8" s="78">
        <f>E21/E24</f>
        <v>0.16942225524800297</v>
      </c>
      <c r="M8" s="78">
        <f>F21/F24</f>
        <v>0.18158168574401665</v>
      </c>
      <c r="N8" s="78">
        <f>G21/G24</f>
        <v>0.13704084253788851</v>
      </c>
    </row>
    <row r="9" spans="2:14" ht="15" customHeight="1" x14ac:dyDescent="0.25">
      <c r="B9" s="473" t="s">
        <v>52</v>
      </c>
      <c r="C9" s="655">
        <v>3</v>
      </c>
      <c r="D9" s="655">
        <v>4</v>
      </c>
      <c r="E9" s="655">
        <v>4</v>
      </c>
      <c r="F9" s="655">
        <v>6</v>
      </c>
      <c r="G9" s="655">
        <v>21</v>
      </c>
      <c r="I9" s="475" t="s">
        <v>16</v>
      </c>
      <c r="J9" s="691"/>
      <c r="K9" s="691"/>
      <c r="L9" s="691"/>
      <c r="M9" s="691"/>
      <c r="N9" s="691"/>
    </row>
    <row r="10" spans="2:14" ht="15" customHeight="1" x14ac:dyDescent="0.25">
      <c r="B10" s="473" t="s">
        <v>24</v>
      </c>
      <c r="C10" s="655">
        <v>369</v>
      </c>
      <c r="D10" s="655">
        <v>433</v>
      </c>
      <c r="E10" s="655">
        <v>512</v>
      </c>
      <c r="F10" s="655">
        <v>539</v>
      </c>
      <c r="G10" s="655">
        <v>628</v>
      </c>
      <c r="I10" s="476" t="s">
        <v>93</v>
      </c>
      <c r="J10" s="694">
        <f>C15/(C12-C10)</f>
        <v>0.59583333333333333</v>
      </c>
      <c r="K10" s="694">
        <f>D15/(D12-D10)</f>
        <v>0.53012048192771088</v>
      </c>
      <c r="L10" s="694">
        <f>E15/(E12-E10)</f>
        <v>0.52890173410404628</v>
      </c>
      <c r="M10" s="694">
        <f>F15/(F12-F10)</f>
        <v>0.51246537396121883</v>
      </c>
      <c r="N10" s="694">
        <f>G15/(G12-G10)</f>
        <v>0.47799999999999998</v>
      </c>
    </row>
    <row r="11" spans="2:14" ht="15" customHeight="1" x14ac:dyDescent="0.25">
      <c r="B11" s="473" t="s">
        <v>53</v>
      </c>
      <c r="C11" s="658">
        <v>237</v>
      </c>
      <c r="D11" s="658">
        <v>328</v>
      </c>
      <c r="E11" s="658">
        <v>342</v>
      </c>
      <c r="F11" s="658">
        <v>355</v>
      </c>
      <c r="G11" s="658">
        <f>G7-G10</f>
        <v>479</v>
      </c>
      <c r="I11" s="474" t="s">
        <v>92</v>
      </c>
      <c r="J11" s="78">
        <f>C15/C12</f>
        <v>0.2348111658456486</v>
      </c>
      <c r="K11" s="78">
        <f>D15/D12</f>
        <v>0.23006535947712417</v>
      </c>
      <c r="L11" s="78">
        <f>E15/E12</f>
        <v>0.21328671328671328</v>
      </c>
      <c r="M11" s="78">
        <f>F15/F12</f>
        <v>0.20555555555555555</v>
      </c>
      <c r="N11" s="78">
        <f>G15/G12</f>
        <v>0.21187943262411346</v>
      </c>
    </row>
    <row r="12" spans="2:14" ht="15" customHeight="1" x14ac:dyDescent="0.25">
      <c r="B12" s="473" t="s">
        <v>1</v>
      </c>
      <c r="C12" s="658">
        <f>C7+C9</f>
        <v>609</v>
      </c>
      <c r="D12" s="658">
        <f t="shared" ref="D12:F12" si="0">D7+D9</f>
        <v>765</v>
      </c>
      <c r="E12" s="658">
        <f t="shared" si="0"/>
        <v>858</v>
      </c>
      <c r="F12" s="658">
        <f t="shared" si="0"/>
        <v>900</v>
      </c>
      <c r="G12" s="658">
        <f t="shared" ref="G12" si="1">G7+G9</f>
        <v>1128</v>
      </c>
      <c r="I12" s="474" t="s">
        <v>17</v>
      </c>
      <c r="J12" s="78">
        <f>C15/AVERAGE(C23:C23)</f>
        <v>3.5369774919614148E-2</v>
      </c>
      <c r="K12" s="78">
        <f>D15/AVERAGE(C23:D23)</f>
        <v>3.7103404659007064E-2</v>
      </c>
      <c r="L12" s="78">
        <f>E15/AVERAGE(D23:E23)</f>
        <v>3.2020997375328084E-2</v>
      </c>
      <c r="M12" s="78">
        <f>F15/AVERAGE(E23:F23)</f>
        <v>2.985797288573273E-2</v>
      </c>
      <c r="N12" s="78">
        <f>G15/AVERAGE(F23:G23)</f>
        <v>3.2536927370498944E-2</v>
      </c>
    </row>
    <row r="13" spans="2:14" ht="15" customHeight="1" x14ac:dyDescent="0.25">
      <c r="B13" s="473" t="s">
        <v>91</v>
      </c>
      <c r="C13" s="658">
        <v>0</v>
      </c>
      <c r="D13" s="658">
        <v>0</v>
      </c>
      <c r="E13" s="658">
        <v>1</v>
      </c>
      <c r="F13" s="658">
        <v>0</v>
      </c>
      <c r="G13" s="658"/>
      <c r="I13" s="475" t="s">
        <v>18</v>
      </c>
      <c r="J13" s="691"/>
      <c r="K13" s="691"/>
      <c r="L13" s="691"/>
      <c r="M13" s="691"/>
      <c r="N13" s="691"/>
    </row>
    <row r="14" spans="2:14" ht="15" customHeight="1" x14ac:dyDescent="0.25">
      <c r="B14" s="473" t="s">
        <v>25</v>
      </c>
      <c r="C14" s="656">
        <f>C12+C13</f>
        <v>609</v>
      </c>
      <c r="D14" s="656">
        <f t="shared" ref="D14:F14" si="2">D12+D13</f>
        <v>765</v>
      </c>
      <c r="E14" s="656">
        <f t="shared" si="2"/>
        <v>859</v>
      </c>
      <c r="F14" s="656">
        <f t="shared" si="2"/>
        <v>900</v>
      </c>
      <c r="G14" s="656">
        <f t="shared" ref="G14" si="3">G12+G13</f>
        <v>1128</v>
      </c>
      <c r="I14" s="474" t="s">
        <v>19</v>
      </c>
      <c r="J14" s="78">
        <f>C25/C24</f>
        <v>1.409844175117487E-2</v>
      </c>
      <c r="K14" s="78">
        <f>D25/D24</f>
        <v>1.5885947046843176E-2</v>
      </c>
      <c r="L14" s="78">
        <f>E25/E24</f>
        <v>1.4490061304105517E-2</v>
      </c>
      <c r="M14" s="78">
        <f>F25/F24</f>
        <v>1.3701005896635449E-2</v>
      </c>
      <c r="N14" s="78">
        <f>G25/G24</f>
        <v>1.2072951451322887E-2</v>
      </c>
    </row>
    <row r="15" spans="2:14" ht="15" customHeight="1" x14ac:dyDescent="0.25">
      <c r="B15" s="473" t="s">
        <v>26</v>
      </c>
      <c r="C15" s="655">
        <v>143</v>
      </c>
      <c r="D15" s="655">
        <v>176</v>
      </c>
      <c r="E15" s="655">
        <v>183</v>
      </c>
      <c r="F15" s="655">
        <v>185</v>
      </c>
      <c r="G15" s="655">
        <v>239</v>
      </c>
      <c r="I15" s="474" t="s">
        <v>20</v>
      </c>
      <c r="J15" s="78">
        <f>C26/C24</f>
        <v>8.6569379173880787E-3</v>
      </c>
      <c r="K15" s="78">
        <f>D26/D24</f>
        <v>6.7209775967413442E-3</v>
      </c>
      <c r="L15" s="78">
        <f>E26/E24</f>
        <v>5.2015604681404422E-3</v>
      </c>
      <c r="M15" s="78">
        <f>F26/F24</f>
        <v>4.6826222684703432E-3</v>
      </c>
      <c r="N15" s="78">
        <f>G26/G24</f>
        <v>4.8805548420241462E-3</v>
      </c>
    </row>
    <row r="16" spans="2:14" ht="15" customHeight="1" x14ac:dyDescent="0.25">
      <c r="B16" s="473" t="s">
        <v>54</v>
      </c>
      <c r="C16" s="658">
        <f>C12-C15</f>
        <v>466</v>
      </c>
      <c r="D16" s="658">
        <f t="shared" ref="D16:F16" si="4">D12-D15</f>
        <v>589</v>
      </c>
      <c r="E16" s="658">
        <f t="shared" si="4"/>
        <v>675</v>
      </c>
      <c r="F16" s="658">
        <f t="shared" si="4"/>
        <v>715</v>
      </c>
      <c r="G16" s="658">
        <f t="shared" ref="G16" si="5">G12-G15</f>
        <v>889</v>
      </c>
      <c r="I16" s="474" t="s">
        <v>21</v>
      </c>
      <c r="J16" s="78">
        <f>(J14-J15)/J14</f>
        <v>0.38596491228070173</v>
      </c>
      <c r="K16" s="78">
        <f>(K14-K15)/K14</f>
        <v>0.57692307692307698</v>
      </c>
      <c r="L16" s="78">
        <f t="shared" ref="L16:N16" si="6">(L14-L15)/L14</f>
        <v>0.64102564102564097</v>
      </c>
      <c r="M16" s="78">
        <f t="shared" si="6"/>
        <v>0.65822784810126578</v>
      </c>
      <c r="N16" s="78">
        <f t="shared" si="6"/>
        <v>0.5957446808510638</v>
      </c>
    </row>
    <row r="17" spans="2:14" ht="15" customHeight="1" x14ac:dyDescent="0.25">
      <c r="B17" s="473" t="s">
        <v>94</v>
      </c>
      <c r="C17" s="658">
        <f>C16-C10</f>
        <v>97</v>
      </c>
      <c r="D17" s="658">
        <f t="shared" ref="D17:F17" si="7">D16-D10</f>
        <v>156</v>
      </c>
      <c r="E17" s="658">
        <f t="shared" si="7"/>
        <v>163</v>
      </c>
      <c r="F17" s="658">
        <f t="shared" si="7"/>
        <v>176</v>
      </c>
      <c r="G17" s="658">
        <f t="shared" ref="G17" si="8">G16-G10</f>
        <v>261</v>
      </c>
      <c r="I17" s="474" t="s">
        <v>22</v>
      </c>
      <c r="J17" s="78">
        <f>C18/AVERAGE(C24:C24)</f>
        <v>1.4840465001236705E-3</v>
      </c>
      <c r="K17" s="78">
        <f>D18/AVERAGE(C24:D24)</f>
        <v>6.2548866301798279E-3</v>
      </c>
      <c r="L17" s="78">
        <f>E18/AVERAGE(D24:E24)</f>
        <v>1.943068104537064E-3</v>
      </c>
      <c r="M17" s="78">
        <f>F18/AVERAGE(E24:F24)</f>
        <v>1.0763297156695668E-3</v>
      </c>
      <c r="N17" s="78">
        <f>G18/AVERAGE(F24:G24)</f>
        <v>1.6233766233766235E-3</v>
      </c>
    </row>
    <row r="18" spans="2:14" ht="15" customHeight="1" x14ac:dyDescent="0.25">
      <c r="B18" s="473" t="s">
        <v>27</v>
      </c>
      <c r="C18" s="655">
        <v>6</v>
      </c>
      <c r="D18" s="655">
        <v>28</v>
      </c>
      <c r="E18" s="655">
        <v>10</v>
      </c>
      <c r="F18" s="655">
        <v>6</v>
      </c>
      <c r="G18" s="655">
        <v>11</v>
      </c>
      <c r="I18" s="475" t="s">
        <v>30</v>
      </c>
      <c r="J18" s="691"/>
      <c r="K18" s="691"/>
      <c r="L18" s="691"/>
      <c r="M18" s="691"/>
      <c r="N18" s="691"/>
    </row>
    <row r="19" spans="2:14" ht="15" customHeight="1" x14ac:dyDescent="0.25">
      <c r="B19" s="473" t="s">
        <v>55</v>
      </c>
      <c r="C19" s="658">
        <v>80</v>
      </c>
      <c r="D19" s="658">
        <v>107</v>
      </c>
      <c r="E19" s="658">
        <v>114</v>
      </c>
      <c r="F19" s="658">
        <v>127</v>
      </c>
      <c r="G19" s="658">
        <v>185</v>
      </c>
      <c r="I19" s="476" t="s">
        <v>95</v>
      </c>
      <c r="J19" s="695">
        <f>C17/AVERAGE(C23:C23)</f>
        <v>2.3992085085332675E-2</v>
      </c>
      <c r="K19" s="695">
        <f>D17/AVERAGE(C23:D23)</f>
        <v>3.2887108675028989E-2</v>
      </c>
      <c r="L19" s="695">
        <f>E17/AVERAGE(D23:E23)</f>
        <v>2.852143482064742E-2</v>
      </c>
      <c r="M19" s="695">
        <f>F17/AVERAGE(E23:F23)</f>
        <v>2.8405422853453842E-2</v>
      </c>
      <c r="N19" s="695">
        <f>G17/AVERAGE(F23:G23)</f>
        <v>3.5531958341841946E-2</v>
      </c>
    </row>
    <row r="20" spans="2:14" ht="15" customHeight="1" x14ac:dyDescent="0.25">
      <c r="B20" s="473" t="s">
        <v>28</v>
      </c>
      <c r="C20" s="655">
        <v>645</v>
      </c>
      <c r="D20" s="655">
        <v>761</v>
      </c>
      <c r="E20" s="655">
        <v>912</v>
      </c>
      <c r="F20" s="655">
        <v>1047</v>
      </c>
      <c r="G20" s="655">
        <v>1067</v>
      </c>
      <c r="I20" s="474" t="s">
        <v>31</v>
      </c>
      <c r="J20" s="78">
        <f>C19/AVERAGE(C23:C23)</f>
        <v>1.9787286668315609E-2</v>
      </c>
      <c r="K20" s="78">
        <f>D19/AVERAGE(C23:D23)</f>
        <v>2.2557183514282701E-2</v>
      </c>
      <c r="L20" s="78">
        <f>E19/AVERAGE(D23:E23)</f>
        <v>1.994750656167979E-2</v>
      </c>
      <c r="M20" s="78">
        <f>F19/AVERAGE(E23:F23)</f>
        <v>2.0497094899935443E-2</v>
      </c>
      <c r="N20" s="78">
        <f>G19/AVERAGE(F23:G23)</f>
        <v>2.5185487713566129E-2</v>
      </c>
    </row>
    <row r="21" spans="2:14" ht="15" customHeight="1" x14ac:dyDescent="0.25">
      <c r="B21" s="473" t="s">
        <v>56</v>
      </c>
      <c r="C21" s="658">
        <v>645</v>
      </c>
      <c r="D21" s="655">
        <v>761</v>
      </c>
      <c r="E21" s="655">
        <v>912</v>
      </c>
      <c r="F21" s="655">
        <v>1047</v>
      </c>
      <c r="G21" s="655">
        <v>1067</v>
      </c>
      <c r="I21" s="474" t="s">
        <v>32</v>
      </c>
      <c r="J21" s="78">
        <f>C19/AVERAGE(C20:C20)</f>
        <v>0.12403100775193798</v>
      </c>
      <c r="K21" s="78">
        <f>D19/AVERAGE(C20:D20)</f>
        <v>0.15220483641536273</v>
      </c>
      <c r="L21" s="78">
        <f>E19/AVERAGE(D20:E20)</f>
        <v>0.13628212791392708</v>
      </c>
      <c r="M21" s="78">
        <f>F19/AVERAGE(E20:F20)</f>
        <v>0.12965798876978049</v>
      </c>
      <c r="N21" s="78">
        <f>G19/AVERAGE(F20:G20)</f>
        <v>0.17502365184484389</v>
      </c>
    </row>
    <row r="22" spans="2:14" ht="15" customHeight="1" x14ac:dyDescent="0.25">
      <c r="B22" s="473" t="s">
        <v>57</v>
      </c>
      <c r="C22" s="655">
        <v>3894</v>
      </c>
      <c r="D22" s="655">
        <v>4659</v>
      </c>
      <c r="E22" s="655">
        <v>5001</v>
      </c>
      <c r="F22" s="655">
        <v>5281</v>
      </c>
      <c r="G22" s="655">
        <v>6925</v>
      </c>
      <c r="I22" s="475" t="s">
        <v>33</v>
      </c>
      <c r="J22" s="691"/>
      <c r="K22" s="691"/>
      <c r="L22" s="691"/>
      <c r="M22" s="691"/>
      <c r="N22" s="691"/>
    </row>
    <row r="23" spans="2:14" ht="15" customHeight="1" x14ac:dyDescent="0.25">
      <c r="B23" s="473" t="s">
        <v>29</v>
      </c>
      <c r="C23" s="655">
        <v>4043</v>
      </c>
      <c r="D23" s="655">
        <v>5444</v>
      </c>
      <c r="E23" s="655">
        <v>5986</v>
      </c>
      <c r="F23" s="655">
        <v>6406</v>
      </c>
      <c r="G23" s="655">
        <v>8285</v>
      </c>
      <c r="I23" s="474" t="s">
        <v>34</v>
      </c>
      <c r="J23" s="78">
        <f>C7/AVERAGE(C24:C24)</f>
        <v>0.14988869651249073</v>
      </c>
      <c r="K23" s="78">
        <f>D7/AVERAGE(C24:D24)</f>
        <v>0.16999888305595889</v>
      </c>
      <c r="L23" s="78">
        <f>E7/AVERAGE(D24:E24)</f>
        <v>0.16593801612746525</v>
      </c>
      <c r="M23" s="78">
        <f>F7/AVERAGE(E24:F24)</f>
        <v>0.16037312763476544</v>
      </c>
      <c r="N23" s="78">
        <f>G7/AVERAGE(F24:G24)</f>
        <v>0.163370720188902</v>
      </c>
    </row>
    <row r="24" spans="2:14" ht="15" customHeight="1" x14ac:dyDescent="0.25">
      <c r="B24" s="473" t="s">
        <v>58</v>
      </c>
      <c r="C24" s="655">
        <v>4043</v>
      </c>
      <c r="D24" s="655">
        <v>4910</v>
      </c>
      <c r="E24" s="655">
        <v>5383</v>
      </c>
      <c r="F24" s="655">
        <v>5766</v>
      </c>
      <c r="G24" s="655">
        <v>7786</v>
      </c>
      <c r="I24" s="474" t="s">
        <v>35</v>
      </c>
      <c r="J24" s="78">
        <f>C10/AVERAGE(C22:C22)</f>
        <v>9.4761171032357469E-2</v>
      </c>
      <c r="K24" s="78">
        <f>D10/AVERAGE(C22:D22)</f>
        <v>0.10125102303285397</v>
      </c>
      <c r="L24" s="78">
        <f>E10/AVERAGE(D22:E22)</f>
        <v>0.10600414078674948</v>
      </c>
      <c r="M24" s="78">
        <f>F10/AVERAGE(E22:F22)</f>
        <v>0.10484341567788368</v>
      </c>
      <c r="N24" s="78">
        <f>G10/AVERAGE(F22:G22)</f>
        <v>0.10290021300999508</v>
      </c>
    </row>
    <row r="25" spans="2:14" ht="15" customHeight="1" x14ac:dyDescent="0.25">
      <c r="B25" s="473" t="s">
        <v>59</v>
      </c>
      <c r="C25" s="658">
        <v>57</v>
      </c>
      <c r="D25" s="658">
        <v>78</v>
      </c>
      <c r="E25" s="658">
        <v>78</v>
      </c>
      <c r="F25" s="658">
        <v>79</v>
      </c>
      <c r="G25" s="658">
        <v>94</v>
      </c>
      <c r="I25" s="474" t="s">
        <v>36</v>
      </c>
      <c r="J25" s="693">
        <f>J23-J24</f>
        <v>5.5127525480133263E-2</v>
      </c>
      <c r="K25" s="693">
        <f t="shared" ref="K25:N25" si="9">K23-K24</f>
        <v>6.8747860023104929E-2</v>
      </c>
      <c r="L25" s="693">
        <f t="shared" si="9"/>
        <v>5.9933875340715773E-2</v>
      </c>
      <c r="M25" s="693">
        <f t="shared" si="9"/>
        <v>5.5529711956881764E-2</v>
      </c>
      <c r="N25" s="693">
        <f t="shared" si="9"/>
        <v>6.0470507178906924E-2</v>
      </c>
    </row>
    <row r="26" spans="2:14" ht="15" customHeight="1" x14ac:dyDescent="0.25">
      <c r="B26" s="473" t="s">
        <v>60</v>
      </c>
      <c r="C26" s="658">
        <v>35</v>
      </c>
      <c r="D26" s="658">
        <v>33</v>
      </c>
      <c r="E26" s="658">
        <v>28</v>
      </c>
      <c r="F26" s="658">
        <v>27</v>
      </c>
      <c r="G26" s="658">
        <v>38</v>
      </c>
    </row>
  </sheetData>
  <mergeCells count="1">
    <mergeCell ref="F2:G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2:N39"/>
  <sheetViews>
    <sheetView showGridLines="0" zoomScale="72" workbookViewId="0">
      <pane xSplit="2" topLeftCell="C1" activePane="topRight" state="frozen"/>
      <selection pane="topRight" activeCell="B2" sqref="B2:N26"/>
    </sheetView>
  </sheetViews>
  <sheetFormatPr defaultRowHeight="15" x14ac:dyDescent="0.25"/>
  <cols>
    <col min="1" max="1" width="1.85546875" customWidth="1"/>
    <col min="2" max="2" width="30.28515625" customWidth="1"/>
    <col min="3" max="7" width="11.85546875" customWidth="1"/>
    <col min="9" max="9" width="30.28515625" customWidth="1"/>
    <col min="10" max="14" width="12.7109375" customWidth="1"/>
  </cols>
  <sheetData>
    <row r="2" spans="2:14" x14ac:dyDescent="0.25">
      <c r="B2" s="414" t="s">
        <v>771</v>
      </c>
      <c r="F2" s="738" t="s">
        <v>111</v>
      </c>
      <c r="G2" s="738"/>
    </row>
    <row r="3" spans="2:14" ht="15" customHeight="1" x14ac:dyDescent="0.25">
      <c r="B3" s="471" t="s">
        <v>4</v>
      </c>
      <c r="C3" s="471" t="s">
        <v>42</v>
      </c>
      <c r="D3" s="687">
        <v>23</v>
      </c>
      <c r="E3" s="687">
        <v>24</v>
      </c>
      <c r="F3" s="687">
        <v>25</v>
      </c>
      <c r="G3" s="687">
        <v>26</v>
      </c>
      <c r="I3" s="475" t="s">
        <v>6</v>
      </c>
      <c r="J3" s="40" t="s">
        <v>90</v>
      </c>
      <c r="K3" s="40" t="s">
        <v>492</v>
      </c>
      <c r="L3" s="40" t="s">
        <v>623</v>
      </c>
      <c r="M3" s="40" t="s">
        <v>700</v>
      </c>
      <c r="N3" s="40" t="s">
        <v>701</v>
      </c>
    </row>
    <row r="4" spans="2:14" ht="15" customHeight="1" x14ac:dyDescent="0.25">
      <c r="B4" s="471"/>
      <c r="C4" s="472" t="s">
        <v>46</v>
      </c>
      <c r="D4" s="472" t="s">
        <v>46</v>
      </c>
      <c r="E4" s="472" t="s">
        <v>46</v>
      </c>
      <c r="F4" s="472" t="s">
        <v>46</v>
      </c>
      <c r="G4" s="472" t="s">
        <v>46</v>
      </c>
      <c r="I4" s="474" t="s">
        <v>11</v>
      </c>
      <c r="J4" s="689">
        <f>C11/AVERAGE(C24:C24)</f>
        <v>7.5788422065660194E-2</v>
      </c>
      <c r="K4" s="689">
        <f>D11/AVERAGE(C24:D24)</f>
        <v>8.1921623014533138E-2</v>
      </c>
      <c r="L4" s="689">
        <f>E11/AVERAGE(D24:E24)</f>
        <v>8.3112290008841738E-2</v>
      </c>
      <c r="M4" s="689">
        <f>F11/AVERAGE(E24:F24)</f>
        <v>9.0541422048271369E-2</v>
      </c>
      <c r="N4" s="689">
        <f>G11/AVERAGE(F24:G24)</f>
        <v>9.5848425745332963E-2</v>
      </c>
    </row>
    <row r="5" spans="2:14" ht="15" customHeight="1" x14ac:dyDescent="0.25">
      <c r="B5" s="471"/>
      <c r="C5" s="480" t="s">
        <v>49</v>
      </c>
      <c r="D5" s="480" t="s">
        <v>49</v>
      </c>
      <c r="E5" s="480" t="s">
        <v>49</v>
      </c>
      <c r="F5" s="480" t="s">
        <v>49</v>
      </c>
      <c r="G5" s="480" t="s">
        <v>49</v>
      </c>
      <c r="I5" s="475" t="s">
        <v>12</v>
      </c>
      <c r="J5" s="18"/>
      <c r="K5" s="18"/>
      <c r="L5" s="18"/>
      <c r="M5" s="18"/>
      <c r="N5" s="18"/>
    </row>
    <row r="6" spans="2:14" ht="15" customHeight="1" x14ac:dyDescent="0.25">
      <c r="B6" s="473" t="s">
        <v>23</v>
      </c>
      <c r="C6" s="686">
        <v>428.952</v>
      </c>
      <c r="D6" s="686">
        <v>544</v>
      </c>
      <c r="E6" s="686">
        <v>672</v>
      </c>
      <c r="F6" s="686">
        <v>815</v>
      </c>
      <c r="G6" s="686">
        <f>G14</f>
        <v>1113</v>
      </c>
      <c r="I6" s="474" t="s">
        <v>13</v>
      </c>
      <c r="J6" s="553">
        <f>C22/C21</f>
        <v>4.7529241000786273</v>
      </c>
      <c r="K6" s="553">
        <f>D22/D21</f>
        <v>5.155948553054662</v>
      </c>
      <c r="L6" s="553">
        <f>E22/E21</f>
        <v>5.108416547788873</v>
      </c>
      <c r="M6" s="553">
        <f>F22/F21</f>
        <v>5.168130489335006</v>
      </c>
      <c r="N6" s="553">
        <f>G22/G21</f>
        <v>5.40207075064711</v>
      </c>
    </row>
    <row r="7" spans="2:14" ht="15" customHeight="1" x14ac:dyDescent="0.25">
      <c r="B7" s="473" t="s">
        <v>50</v>
      </c>
      <c r="C7" s="655">
        <v>413.01920000000007</v>
      </c>
      <c r="D7" s="655">
        <v>519</v>
      </c>
      <c r="E7" s="655">
        <v>627</v>
      </c>
      <c r="F7" s="655">
        <v>744</v>
      </c>
      <c r="G7" s="655">
        <v>1046</v>
      </c>
      <c r="I7" s="474" t="s">
        <v>14</v>
      </c>
      <c r="J7" s="48">
        <v>0.2165</v>
      </c>
      <c r="K7" s="48">
        <v>0.22819999999999999</v>
      </c>
      <c r="L7" s="48">
        <v>0.23860000000000001</v>
      </c>
      <c r="M7" s="48">
        <v>0.21379999999999999</v>
      </c>
      <c r="N7" s="48">
        <v>0.1812</v>
      </c>
    </row>
    <row r="8" spans="2:14" ht="15" customHeight="1" x14ac:dyDescent="0.25">
      <c r="B8" s="473" t="s">
        <v>51</v>
      </c>
      <c r="C8" s="655">
        <v>0</v>
      </c>
      <c r="D8" s="655">
        <v>0</v>
      </c>
      <c r="E8" s="655">
        <v>0</v>
      </c>
      <c r="F8" s="655">
        <v>0</v>
      </c>
      <c r="G8" s="655">
        <v>0</v>
      </c>
      <c r="I8" s="474" t="s">
        <v>15</v>
      </c>
      <c r="J8" s="689">
        <f>C21/C24</f>
        <v>0.22320518420561619</v>
      </c>
      <c r="K8" s="689">
        <f>D21/D24</f>
        <v>0.19062212687710695</v>
      </c>
      <c r="L8" s="689">
        <f>E21/E24</f>
        <v>0.19897814362759011</v>
      </c>
      <c r="M8" s="689">
        <f>F21/F24</f>
        <v>0.19241912119748913</v>
      </c>
      <c r="N8" s="689">
        <f>G21/G24</f>
        <v>0.17494339622641508</v>
      </c>
    </row>
    <row r="9" spans="2:14" ht="15" customHeight="1" x14ac:dyDescent="0.25">
      <c r="B9" s="473" t="s">
        <v>52</v>
      </c>
      <c r="C9" s="655">
        <v>15.932799999999917</v>
      </c>
      <c r="D9" s="655">
        <v>24</v>
      </c>
      <c r="E9" s="655">
        <v>42</v>
      </c>
      <c r="F9" s="655">
        <v>67</v>
      </c>
      <c r="G9" s="655">
        <v>63</v>
      </c>
      <c r="I9" s="475" t="s">
        <v>16</v>
      </c>
      <c r="J9" s="18"/>
      <c r="K9" s="18"/>
      <c r="L9" s="18"/>
      <c r="M9" s="18"/>
      <c r="N9" s="18"/>
    </row>
    <row r="10" spans="2:14" ht="15" customHeight="1" x14ac:dyDescent="0.25">
      <c r="B10" s="473" t="s">
        <v>24</v>
      </c>
      <c r="C10" s="655">
        <v>223.65389999999999</v>
      </c>
      <c r="D10" s="655">
        <v>283</v>
      </c>
      <c r="E10" s="655">
        <v>345</v>
      </c>
      <c r="F10" s="655">
        <v>398</v>
      </c>
      <c r="G10" s="655">
        <v>530</v>
      </c>
      <c r="I10" s="476" t="s">
        <v>93</v>
      </c>
      <c r="J10" s="50">
        <f>C15/(C12-C10)</f>
        <v>0.68143592171578793</v>
      </c>
      <c r="K10" s="50">
        <f>D15/(D12-D10)</f>
        <v>0.69615384615384612</v>
      </c>
      <c r="L10" s="50">
        <f>E15/(E12-E10)</f>
        <v>0.64506172839506171</v>
      </c>
      <c r="M10" s="50">
        <f>F15/(F12-F10)</f>
        <v>0.66343825665859568</v>
      </c>
      <c r="N10" s="50">
        <f>G15/(G12-G10)</f>
        <v>0.57512953367875652</v>
      </c>
    </row>
    <row r="11" spans="2:14" ht="15" customHeight="1" x14ac:dyDescent="0.25">
      <c r="B11" s="473" t="s">
        <v>53</v>
      </c>
      <c r="C11" s="658">
        <v>189.36530000000008</v>
      </c>
      <c r="D11" s="658">
        <v>236</v>
      </c>
      <c r="E11" s="658">
        <v>282</v>
      </c>
      <c r="F11" s="658">
        <v>347</v>
      </c>
      <c r="G11" s="658">
        <f>G7-G10</f>
        <v>516</v>
      </c>
      <c r="I11" s="474" t="s">
        <v>92</v>
      </c>
      <c r="J11" s="689">
        <f>C15/C12</f>
        <v>0.32613788955407602</v>
      </c>
      <c r="K11" s="689">
        <f>D15/D12</f>
        <v>0.33333333333333331</v>
      </c>
      <c r="L11" s="689">
        <f>E15/E12</f>
        <v>0.31240657698056801</v>
      </c>
      <c r="M11" s="689">
        <f>F15/F12</f>
        <v>0.33785450061652283</v>
      </c>
      <c r="N11" s="689">
        <f>G15/G12</f>
        <v>0.30027051397655546</v>
      </c>
    </row>
    <row r="12" spans="2:14" ht="15" customHeight="1" x14ac:dyDescent="0.25">
      <c r="B12" s="473" t="s">
        <v>1</v>
      </c>
      <c r="C12" s="658">
        <v>428.952</v>
      </c>
      <c r="D12" s="658">
        <f t="shared" ref="D12:G12" si="0">SUM(D7:D9)</f>
        <v>543</v>
      </c>
      <c r="E12" s="658">
        <f t="shared" si="0"/>
        <v>669</v>
      </c>
      <c r="F12" s="658">
        <f t="shared" si="0"/>
        <v>811</v>
      </c>
      <c r="G12" s="658">
        <f t="shared" si="0"/>
        <v>1109</v>
      </c>
      <c r="I12" s="474" t="s">
        <v>17</v>
      </c>
      <c r="J12" s="689">
        <f>C15/AVERAGE(C23:C23)</f>
        <v>4.3301161243994329E-2</v>
      </c>
      <c r="K12" s="689">
        <f>D15/AVERAGE(C23:D23)</f>
        <v>5.1066453043373691E-2</v>
      </c>
      <c r="L12" s="689">
        <f>E15/AVERAGE(D23:E23)</f>
        <v>5.1137753853682411E-2</v>
      </c>
      <c r="M12" s="689">
        <f>F15/AVERAGE(E23:F23)</f>
        <v>5.9077188443294522E-2</v>
      </c>
      <c r="N12" s="689">
        <f>G15/AVERAGE(F23:G23)</f>
        <v>5.348108889424235E-2</v>
      </c>
    </row>
    <row r="13" spans="2:14" ht="15" customHeight="1" x14ac:dyDescent="0.25">
      <c r="B13" s="473" t="s">
        <v>91</v>
      </c>
      <c r="C13" s="658">
        <v>1.2938999999999998</v>
      </c>
      <c r="D13" s="658">
        <v>1</v>
      </c>
      <c r="E13" s="658">
        <v>2</v>
      </c>
      <c r="F13" s="658">
        <v>4</v>
      </c>
      <c r="G13" s="658">
        <v>4</v>
      </c>
      <c r="I13" s="475" t="s">
        <v>18</v>
      </c>
      <c r="J13" s="18"/>
      <c r="K13" s="18"/>
      <c r="L13" s="18"/>
      <c r="M13" s="18"/>
      <c r="N13" s="18"/>
    </row>
    <row r="14" spans="2:14" ht="15" customHeight="1" x14ac:dyDescent="0.25">
      <c r="B14" s="473" t="s">
        <v>25</v>
      </c>
      <c r="C14" s="656">
        <v>430.24589999999995</v>
      </c>
      <c r="D14" s="656">
        <f t="shared" ref="D14:G14" si="1">D12+D13</f>
        <v>544</v>
      </c>
      <c r="E14" s="656">
        <f t="shared" si="1"/>
        <v>671</v>
      </c>
      <c r="F14" s="656">
        <f t="shared" si="1"/>
        <v>815</v>
      </c>
      <c r="G14" s="656">
        <f t="shared" si="1"/>
        <v>1113</v>
      </c>
      <c r="I14" s="474" t="s">
        <v>19</v>
      </c>
      <c r="J14" s="689">
        <f>C25/C24</f>
        <v>6.1088497155572345E-3</v>
      </c>
      <c r="K14" s="689">
        <f>D25/D24</f>
        <v>4.2905301869445292E-3</v>
      </c>
      <c r="L14" s="689">
        <f>E25/E24</f>
        <v>8.7993187624183927E-3</v>
      </c>
      <c r="M14" s="689">
        <f>F25/F24</f>
        <v>8.4500241429261227E-3</v>
      </c>
      <c r="N14" s="689">
        <f>G25/G24</f>
        <v>6.1886792452830186E-3</v>
      </c>
    </row>
    <row r="15" spans="2:14" ht="15" customHeight="1" x14ac:dyDescent="0.25">
      <c r="B15" s="473" t="s">
        <v>26</v>
      </c>
      <c r="C15" s="655">
        <v>139.89750000000001</v>
      </c>
      <c r="D15" s="655">
        <v>181</v>
      </c>
      <c r="E15" s="655">
        <v>209</v>
      </c>
      <c r="F15" s="655">
        <v>274</v>
      </c>
      <c r="G15" s="655">
        <v>333</v>
      </c>
      <c r="I15" s="474" t="s">
        <v>20</v>
      </c>
      <c r="J15" s="689">
        <f>C26/C24</f>
        <v>5.1984615733117598E-3</v>
      </c>
      <c r="K15" s="689">
        <f>D26/D24</f>
        <v>3.6775973030953109E-3</v>
      </c>
      <c r="L15" s="689">
        <f>E26/E24</f>
        <v>7.0962248084019304E-3</v>
      </c>
      <c r="M15" s="689">
        <f>F26/F24</f>
        <v>5.0700144857556738E-3</v>
      </c>
      <c r="N15" s="689">
        <f>G26/G24</f>
        <v>2.5660377358490568E-3</v>
      </c>
    </row>
    <row r="16" spans="2:14" ht="15" customHeight="1" x14ac:dyDescent="0.25">
      <c r="B16" s="473" t="s">
        <v>54</v>
      </c>
      <c r="C16" s="658">
        <v>289.05449999999996</v>
      </c>
      <c r="D16" s="658">
        <f t="shared" ref="D16:F16" si="2">D12-D15</f>
        <v>362</v>
      </c>
      <c r="E16" s="658">
        <f t="shared" si="2"/>
        <v>460</v>
      </c>
      <c r="F16" s="658">
        <f t="shared" si="2"/>
        <v>537</v>
      </c>
      <c r="G16" s="658">
        <f t="shared" ref="G16" si="3">G12-G15</f>
        <v>776</v>
      </c>
      <c r="I16" s="474" t="s">
        <v>21</v>
      </c>
      <c r="J16" s="689">
        <f>(J14-J15)/J14</f>
        <v>0.14902775229958842</v>
      </c>
      <c r="K16" s="689">
        <f t="shared" ref="K16:N16" si="4">(K14-K15)/K14</f>
        <v>0.14285714285714282</v>
      </c>
      <c r="L16" s="689">
        <f t="shared" si="4"/>
        <v>0.1935483870967741</v>
      </c>
      <c r="M16" s="689">
        <f t="shared" si="4"/>
        <v>0.39999999999999997</v>
      </c>
      <c r="N16" s="689">
        <f t="shared" si="4"/>
        <v>0.58536585365853655</v>
      </c>
    </row>
    <row r="17" spans="2:14" ht="15" customHeight="1" x14ac:dyDescent="0.25">
      <c r="B17" s="473" t="s">
        <v>94</v>
      </c>
      <c r="C17" s="658">
        <v>66.694499999999977</v>
      </c>
      <c r="D17" s="658">
        <f t="shared" ref="D17:F17" si="5">D14-D15-D10</f>
        <v>80</v>
      </c>
      <c r="E17" s="658">
        <f t="shared" si="5"/>
        <v>117</v>
      </c>
      <c r="F17" s="658">
        <f t="shared" si="5"/>
        <v>143</v>
      </c>
      <c r="G17" s="658">
        <f t="shared" ref="G17" si="6">G14-G15-G10</f>
        <v>250</v>
      </c>
      <c r="I17" s="474" t="s">
        <v>22</v>
      </c>
      <c r="J17" s="689">
        <f>C18/AVERAGE(C24:C24)</f>
        <v>2.9090237006687654E-3</v>
      </c>
      <c r="K17" s="689">
        <f>D18/AVERAGE(C24:D24)</f>
        <v>-6.9425104249604347E-4</v>
      </c>
      <c r="L17" s="689">
        <f>E18/AVERAGE(D24:E24)</f>
        <v>2.0630710285882699E-3</v>
      </c>
      <c r="M17" s="689">
        <f>F18/AVERAGE(E24:F24)</f>
        <v>3.6529680365296802E-3</v>
      </c>
      <c r="N17" s="689">
        <f>G18/AVERAGE(F24:G24)</f>
        <v>2.0432803937958577E-3</v>
      </c>
    </row>
    <row r="18" spans="2:14" ht="15" customHeight="1" x14ac:dyDescent="0.25">
      <c r="B18" s="473" t="s">
        <v>27</v>
      </c>
      <c r="C18" s="655">
        <v>7.2685000000000004</v>
      </c>
      <c r="D18" s="655">
        <v>-2</v>
      </c>
      <c r="E18" s="655">
        <v>7</v>
      </c>
      <c r="F18" s="655">
        <v>14</v>
      </c>
      <c r="G18" s="655">
        <v>11</v>
      </c>
      <c r="I18" s="475" t="s">
        <v>30</v>
      </c>
      <c r="J18" s="18"/>
      <c r="K18" s="18"/>
      <c r="L18" s="18"/>
      <c r="M18" s="18"/>
      <c r="N18" s="18"/>
    </row>
    <row r="19" spans="2:14" ht="15" customHeight="1" x14ac:dyDescent="0.25">
      <c r="B19" s="473" t="s">
        <v>55</v>
      </c>
      <c r="C19" s="658">
        <v>46.293999999999997</v>
      </c>
      <c r="D19" s="658">
        <v>67</v>
      </c>
      <c r="E19" s="658">
        <v>78</v>
      </c>
      <c r="F19" s="658">
        <v>94</v>
      </c>
      <c r="G19" s="658">
        <v>177</v>
      </c>
      <c r="I19" s="476" t="s">
        <v>95</v>
      </c>
      <c r="J19" s="552">
        <f>C17/AVERAGE(C23:C23)</f>
        <v>2.0643323137208163E-2</v>
      </c>
      <c r="K19" s="552">
        <f>D17/AVERAGE(C23:D23)</f>
        <v>2.2570807974971796E-2</v>
      </c>
      <c r="L19" s="552">
        <f>E17/AVERAGE(D23:E23)</f>
        <v>2.8627355028137999E-2</v>
      </c>
      <c r="M19" s="552">
        <f>F17/AVERAGE(E23:F23)</f>
        <v>3.0832255282449331E-2</v>
      </c>
      <c r="N19" s="552">
        <f>G17/AVERAGE(F23:G23)</f>
        <v>4.0150967638320087E-2</v>
      </c>
    </row>
    <row r="20" spans="2:14" ht="15" customHeight="1" x14ac:dyDescent="0.25">
      <c r="B20" s="473" t="s">
        <v>28</v>
      </c>
      <c r="C20" s="655">
        <v>557.70150000000001</v>
      </c>
      <c r="D20" s="655">
        <v>622</v>
      </c>
      <c r="E20" s="655">
        <v>701</v>
      </c>
      <c r="F20" s="655">
        <v>797</v>
      </c>
      <c r="G20" s="655">
        <v>1159</v>
      </c>
      <c r="I20" s="474" t="s">
        <v>31</v>
      </c>
      <c r="J20" s="689">
        <f>C19/AVERAGE(C23:C23)</f>
        <v>1.4328947684050632E-2</v>
      </c>
      <c r="K20" s="689">
        <f>D19/AVERAGE(C23:D23)</f>
        <v>1.8903051679038878E-2</v>
      </c>
      <c r="L20" s="689">
        <f>E19/AVERAGE(D23:E23)</f>
        <v>1.9084903352091998E-2</v>
      </c>
      <c r="M20" s="689">
        <f>F19/AVERAGE(E23:F23)</f>
        <v>2.0267356619232429E-2</v>
      </c>
      <c r="N20" s="689">
        <f>G19/AVERAGE(F23:G23)</f>
        <v>2.842688508793062E-2</v>
      </c>
    </row>
    <row r="21" spans="2:14" ht="15" customHeight="1" x14ac:dyDescent="0.25">
      <c r="B21" s="473" t="s">
        <v>56</v>
      </c>
      <c r="C21" s="658">
        <v>557.70150000000001</v>
      </c>
      <c r="D21" s="658">
        <v>622</v>
      </c>
      <c r="E21" s="658">
        <v>701</v>
      </c>
      <c r="F21" s="658">
        <v>797</v>
      </c>
      <c r="G21" s="655">
        <v>1159</v>
      </c>
      <c r="I21" s="474" t="s">
        <v>32</v>
      </c>
      <c r="J21" s="689">
        <f>C19/AVERAGE(C20:C20)</f>
        <v>8.3008562824378268E-2</v>
      </c>
      <c r="K21" s="689">
        <f>D19/AVERAGE(C20:D20)</f>
        <v>0.113588055961614</v>
      </c>
      <c r="L21" s="689">
        <f>E19/AVERAGE(D20:E20)</f>
        <v>0.11791383219954649</v>
      </c>
      <c r="M21" s="689">
        <f>F19/AVERAGE(E20:F20)</f>
        <v>0.12550066755674233</v>
      </c>
      <c r="N21" s="689">
        <f>G19/AVERAGE(F20:G20)</f>
        <v>0.18098159509202455</v>
      </c>
    </row>
    <row r="22" spans="2:14" ht="15" customHeight="1" x14ac:dyDescent="0.25">
      <c r="B22" s="473" t="s">
        <v>57</v>
      </c>
      <c r="C22" s="655">
        <v>2650.7129000000004</v>
      </c>
      <c r="D22" s="655">
        <v>3207</v>
      </c>
      <c r="E22" s="655">
        <v>3581</v>
      </c>
      <c r="F22" s="655">
        <v>4119</v>
      </c>
      <c r="G22" s="655">
        <v>6261</v>
      </c>
      <c r="I22" s="475" t="s">
        <v>33</v>
      </c>
      <c r="J22" s="18"/>
      <c r="K22" s="18"/>
      <c r="L22" s="18"/>
      <c r="M22" s="18"/>
      <c r="N22" s="18"/>
    </row>
    <row r="23" spans="2:14" ht="15" customHeight="1" x14ac:dyDescent="0.25">
      <c r="B23" s="473" t="s">
        <v>29</v>
      </c>
      <c r="C23" s="655">
        <v>3230.8025000000002</v>
      </c>
      <c r="D23" s="655">
        <v>3858</v>
      </c>
      <c r="E23" s="655">
        <v>4316</v>
      </c>
      <c r="F23" s="655">
        <v>4960</v>
      </c>
      <c r="G23" s="655">
        <v>7493</v>
      </c>
      <c r="I23" s="474" t="s">
        <v>34</v>
      </c>
      <c r="J23" s="689">
        <f>C7/AVERAGE(C24:C24)</f>
        <v>0.1652999438166407</v>
      </c>
      <c r="K23" s="689">
        <f>D7/AVERAGE(C24:D24)</f>
        <v>0.18015814552772327</v>
      </c>
      <c r="L23" s="689">
        <f>E7/AVERAGE(D24:E24)</f>
        <v>0.18479221927497791</v>
      </c>
      <c r="M23" s="689">
        <f>F7/AVERAGE(E24:F24)</f>
        <v>0.19412915851272017</v>
      </c>
      <c r="N23" s="689">
        <f>G7/AVERAGE(F24:G24)</f>
        <v>0.19429739017367884</v>
      </c>
    </row>
    <row r="24" spans="2:14" ht="15" customHeight="1" x14ac:dyDescent="0.25">
      <c r="B24" s="473" t="s">
        <v>58</v>
      </c>
      <c r="C24" s="655">
        <v>2498.6046000000001</v>
      </c>
      <c r="D24" s="655">
        <v>3263</v>
      </c>
      <c r="E24" s="655">
        <v>3523</v>
      </c>
      <c r="F24" s="655">
        <v>4142</v>
      </c>
      <c r="G24" s="655">
        <v>6625</v>
      </c>
      <c r="I24" s="474" t="s">
        <v>35</v>
      </c>
      <c r="J24" s="689">
        <f>C10/AVERAGE(C22:C22)</f>
        <v>8.4374999646321544E-2</v>
      </c>
      <c r="K24" s="689">
        <f>D10/AVERAGE(C22:D22)</f>
        <v>9.6624742397327115E-2</v>
      </c>
      <c r="L24" s="689">
        <f>E10/AVERAGE(D22:E22)</f>
        <v>0.10164997053624042</v>
      </c>
      <c r="M24" s="689">
        <f>F10/AVERAGE(E22:F22)</f>
        <v>0.10337662337662337</v>
      </c>
      <c r="N24" s="689">
        <f>G10/AVERAGE(F22:G22)</f>
        <v>0.10211946050096339</v>
      </c>
    </row>
    <row r="25" spans="2:14" ht="15" customHeight="1" x14ac:dyDescent="0.25">
      <c r="B25" s="473" t="s">
        <v>59</v>
      </c>
      <c r="C25" s="658">
        <v>15.263599999999999</v>
      </c>
      <c r="D25" s="658">
        <v>14</v>
      </c>
      <c r="E25" s="658">
        <v>31</v>
      </c>
      <c r="F25" s="658">
        <v>35</v>
      </c>
      <c r="G25" s="658">
        <v>41</v>
      </c>
      <c r="I25" s="474" t="s">
        <v>36</v>
      </c>
      <c r="J25" s="48">
        <f>J23-J24</f>
        <v>8.092494417031916E-2</v>
      </c>
      <c r="K25" s="48">
        <f t="shared" ref="K25:N25" si="7">K23-K24</f>
        <v>8.3533403130396158E-2</v>
      </c>
      <c r="L25" s="48">
        <f t="shared" si="7"/>
        <v>8.314224873873749E-2</v>
      </c>
      <c r="M25" s="48">
        <f t="shared" si="7"/>
        <v>9.0752535136096796E-2</v>
      </c>
      <c r="N25" s="48">
        <f t="shared" si="7"/>
        <v>9.2177929672715445E-2</v>
      </c>
    </row>
    <row r="26" spans="2:14" ht="15" customHeight="1" x14ac:dyDescent="0.25">
      <c r="B26" s="473" t="s">
        <v>60</v>
      </c>
      <c r="C26" s="658">
        <v>12.988900000000001</v>
      </c>
      <c r="D26" s="658">
        <v>12</v>
      </c>
      <c r="E26" s="658">
        <v>25</v>
      </c>
      <c r="F26" s="658">
        <v>21</v>
      </c>
      <c r="G26" s="658">
        <v>17</v>
      </c>
    </row>
    <row r="28" spans="2:14" x14ac:dyDescent="0.25">
      <c r="B28" s="739" t="s">
        <v>270</v>
      </c>
      <c r="C28" s="739"/>
      <c r="D28" s="739"/>
      <c r="E28" s="739"/>
      <c r="F28" s="739"/>
      <c r="G28" s="739"/>
      <c r="H28" s="739"/>
      <c r="I28" s="739"/>
    </row>
    <row r="29" spans="2:14" x14ac:dyDescent="0.25">
      <c r="B29" s="739"/>
      <c r="C29" s="739"/>
      <c r="D29" s="739"/>
      <c r="E29" s="739"/>
      <c r="F29" s="739"/>
      <c r="G29" s="739"/>
      <c r="H29" s="739"/>
      <c r="I29" s="739"/>
    </row>
    <row r="30" spans="2:14" x14ac:dyDescent="0.25">
      <c r="B30" s="739"/>
      <c r="C30" s="739"/>
      <c r="D30" s="739"/>
      <c r="E30" s="739"/>
      <c r="F30" s="739"/>
      <c r="G30" s="739"/>
      <c r="H30" s="739"/>
      <c r="I30" s="739"/>
    </row>
    <row r="31" spans="2:14" x14ac:dyDescent="0.25">
      <c r="B31" s="739"/>
      <c r="C31" s="739"/>
      <c r="D31" s="739"/>
      <c r="E31" s="739"/>
      <c r="F31" s="739"/>
      <c r="G31" s="739"/>
      <c r="H31" s="739"/>
      <c r="I31" s="739"/>
    </row>
    <row r="32" spans="2:14" x14ac:dyDescent="0.25">
      <c r="B32" s="739"/>
      <c r="C32" s="739"/>
      <c r="D32" s="739"/>
      <c r="E32" s="739"/>
      <c r="F32" s="739"/>
      <c r="G32" s="739"/>
      <c r="H32" s="739"/>
      <c r="I32" s="739"/>
    </row>
    <row r="33" spans="2:9" x14ac:dyDescent="0.25">
      <c r="B33" s="739"/>
      <c r="C33" s="739"/>
      <c r="D33" s="739"/>
      <c r="E33" s="739"/>
      <c r="F33" s="739"/>
      <c r="G33" s="739"/>
      <c r="H33" s="739"/>
      <c r="I33" s="739"/>
    </row>
    <row r="34" spans="2:9" x14ac:dyDescent="0.25">
      <c r="B34" s="739"/>
      <c r="C34" s="739"/>
      <c r="D34" s="739"/>
      <c r="E34" s="739"/>
      <c r="F34" s="739"/>
      <c r="G34" s="739"/>
      <c r="H34" s="739"/>
      <c r="I34" s="739"/>
    </row>
    <row r="35" spans="2:9" x14ac:dyDescent="0.25">
      <c r="B35" s="739"/>
      <c r="C35" s="739"/>
      <c r="D35" s="739"/>
      <c r="E35" s="739"/>
      <c r="F35" s="739"/>
      <c r="G35" s="739"/>
      <c r="H35" s="739"/>
      <c r="I35" s="739"/>
    </row>
    <row r="36" spans="2:9" x14ac:dyDescent="0.25">
      <c r="B36" s="739"/>
      <c r="C36" s="739"/>
      <c r="D36" s="739"/>
      <c r="E36" s="739"/>
      <c r="F36" s="739"/>
      <c r="G36" s="739"/>
      <c r="H36" s="739"/>
      <c r="I36" s="739"/>
    </row>
    <row r="37" spans="2:9" x14ac:dyDescent="0.25">
      <c r="B37" s="739"/>
      <c r="C37" s="739"/>
      <c r="D37" s="739"/>
      <c r="E37" s="739"/>
      <c r="F37" s="739"/>
      <c r="G37" s="739"/>
      <c r="H37" s="739"/>
      <c r="I37" s="739"/>
    </row>
    <row r="38" spans="2:9" x14ac:dyDescent="0.25">
      <c r="B38" s="732" t="s">
        <v>271</v>
      </c>
      <c r="C38" s="732"/>
      <c r="D38" s="732"/>
      <c r="E38" s="732"/>
      <c r="F38" s="732"/>
      <c r="G38" s="732"/>
      <c r="H38" s="732"/>
      <c r="I38" s="732"/>
    </row>
    <row r="39" spans="2:9" x14ac:dyDescent="0.25">
      <c r="B39" s="732"/>
      <c r="C39" s="732"/>
      <c r="D39" s="732"/>
      <c r="E39" s="732"/>
      <c r="F39" s="732"/>
      <c r="G39" s="732"/>
      <c r="H39" s="732"/>
      <c r="I39" s="732"/>
    </row>
  </sheetData>
  <mergeCells count="3">
    <mergeCell ref="B28:I37"/>
    <mergeCell ref="B38:I39"/>
    <mergeCell ref="F2:G2"/>
  </mergeCells>
  <pageMargins left="0.7" right="0.7" top="0.75" bottom="0.75" header="0.3" footer="0.3"/>
  <ignoredErrors>
    <ignoredError sqref="D12:G12" formulaRange="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2:N31"/>
  <sheetViews>
    <sheetView showGridLines="0" topLeftCell="A2" zoomScaleNormal="100" workbookViewId="0">
      <selection activeCell="B11" sqref="B11"/>
    </sheetView>
  </sheetViews>
  <sheetFormatPr defaultRowHeight="15" x14ac:dyDescent="0.25"/>
  <cols>
    <col min="1" max="1" width="1.85546875" customWidth="1"/>
    <col min="2" max="2" width="30.28515625" customWidth="1"/>
    <col min="3" max="3" width="11.28515625" bestFit="1" customWidth="1"/>
    <col min="4" max="7" width="11.28515625" customWidth="1"/>
    <col min="9" max="9" width="29.85546875" customWidth="1"/>
    <col min="10" max="14" width="15.7109375" customWidth="1"/>
  </cols>
  <sheetData>
    <row r="2" spans="2:14" x14ac:dyDescent="0.25">
      <c r="B2" s="414" t="s">
        <v>125</v>
      </c>
      <c r="F2" s="738" t="s">
        <v>111</v>
      </c>
      <c r="G2" s="738"/>
    </row>
    <row r="3" spans="2:14" ht="15" customHeight="1" x14ac:dyDescent="0.25">
      <c r="B3" s="471" t="s">
        <v>4</v>
      </c>
      <c r="C3" s="471" t="s">
        <v>42</v>
      </c>
      <c r="D3" s="471" t="s">
        <v>366</v>
      </c>
      <c r="E3" s="471" t="s">
        <v>367</v>
      </c>
      <c r="F3" s="471" t="s">
        <v>368</v>
      </c>
      <c r="G3" s="471" t="s">
        <v>693</v>
      </c>
      <c r="I3" s="475" t="s">
        <v>6</v>
      </c>
      <c r="J3" s="475" t="s">
        <v>90</v>
      </c>
      <c r="K3" s="475" t="s">
        <v>492</v>
      </c>
      <c r="L3" s="475" t="s">
        <v>623</v>
      </c>
      <c r="M3" s="475" t="s">
        <v>700</v>
      </c>
      <c r="N3" s="475" t="s">
        <v>701</v>
      </c>
    </row>
    <row r="4" spans="2:14" ht="15" customHeight="1" x14ac:dyDescent="0.25">
      <c r="B4" s="471"/>
      <c r="C4" s="472" t="s">
        <v>46</v>
      </c>
      <c r="D4" s="472" t="s">
        <v>46</v>
      </c>
      <c r="E4" s="472" t="s">
        <v>46</v>
      </c>
      <c r="F4" s="472" t="s">
        <v>46</v>
      </c>
      <c r="G4" s="472" t="s">
        <v>46</v>
      </c>
      <c r="I4" s="474" t="s">
        <v>11</v>
      </c>
      <c r="J4" s="484">
        <f>C11/AVERAGE(C24:C24)</f>
        <v>8.8817429792311206E-2</v>
      </c>
      <c r="K4" s="484">
        <f>D11/AVERAGE(C24:D24)</f>
        <v>9.9315909733262583E-2</v>
      </c>
      <c r="L4" s="484">
        <f>E11/AVERAGE(D24:E24)</f>
        <v>9.7946754493008659E-2</v>
      </c>
      <c r="M4" s="484">
        <f>F11/AVERAGE(E24:F24)</f>
        <v>0.11122182882099774</v>
      </c>
      <c r="N4" s="484">
        <f>G11/AVERAGE(F24:G24)</f>
        <v>0.12951560219612204</v>
      </c>
    </row>
    <row r="5" spans="2:14" ht="15" customHeight="1" x14ac:dyDescent="0.25">
      <c r="B5" s="471"/>
      <c r="C5" s="480" t="s">
        <v>49</v>
      </c>
      <c r="D5" s="480" t="s">
        <v>49</v>
      </c>
      <c r="E5" s="480" t="s">
        <v>49</v>
      </c>
      <c r="F5" s="480" t="s">
        <v>49</v>
      </c>
      <c r="G5" s="480" t="s">
        <v>49</v>
      </c>
      <c r="I5" s="475" t="s">
        <v>12</v>
      </c>
      <c r="J5" s="81"/>
      <c r="K5" s="82"/>
    </row>
    <row r="6" spans="2:14" ht="15" customHeight="1" x14ac:dyDescent="0.25">
      <c r="B6" s="473" t="s">
        <v>23</v>
      </c>
      <c r="C6" s="686">
        <v>3326.3359999999998</v>
      </c>
      <c r="D6" s="686">
        <v>3469.8253000000004</v>
      </c>
      <c r="E6" s="686">
        <v>4011</v>
      </c>
      <c r="F6" s="686">
        <v>5540</v>
      </c>
      <c r="G6" s="686">
        <v>8364</v>
      </c>
      <c r="I6" s="474" t="s">
        <v>13</v>
      </c>
      <c r="J6" s="84">
        <f>C22/C21</f>
        <v>5.1354576917137367</v>
      </c>
      <c r="K6" s="488">
        <f>D22/D21</f>
        <v>4.5782216160683902</v>
      </c>
      <c r="L6" s="488">
        <f>E22/E21</f>
        <v>4.7842044134727058</v>
      </c>
      <c r="M6" s="488">
        <f>F22/F21</f>
        <v>5.375259875259875</v>
      </c>
      <c r="N6" s="488">
        <f>G22/G21</f>
        <v>6.5292708489294808</v>
      </c>
    </row>
    <row r="7" spans="2:14" ht="15" customHeight="1" x14ac:dyDescent="0.25">
      <c r="B7" s="473" t="s">
        <v>50</v>
      </c>
      <c r="C7" s="655">
        <v>3174.0742</v>
      </c>
      <c r="D7" s="655">
        <v>3304.8309000000004</v>
      </c>
      <c r="E7" s="655">
        <v>3715</v>
      </c>
      <c r="F7" s="655">
        <v>4936</v>
      </c>
      <c r="G7" s="655">
        <v>7728</v>
      </c>
      <c r="I7" s="474" t="s">
        <v>14</v>
      </c>
      <c r="J7" s="82">
        <v>0.19420000000000001</v>
      </c>
      <c r="K7" s="82">
        <v>0.21340000000000001</v>
      </c>
      <c r="L7" s="82"/>
      <c r="M7" s="82"/>
      <c r="N7" s="82"/>
    </row>
    <row r="8" spans="2:14" ht="15" customHeight="1" x14ac:dyDescent="0.25">
      <c r="B8" s="473" t="s">
        <v>51</v>
      </c>
      <c r="C8" s="655">
        <v>0</v>
      </c>
      <c r="D8" s="655">
        <v>0</v>
      </c>
      <c r="E8" s="655">
        <v>0</v>
      </c>
      <c r="F8" s="655">
        <v>0</v>
      </c>
      <c r="G8" s="655">
        <v>0</v>
      </c>
      <c r="I8" s="474" t="s">
        <v>15</v>
      </c>
      <c r="J8" s="484">
        <f>C21/C24</f>
        <v>0.19912639136841673</v>
      </c>
      <c r="K8" s="484">
        <f>D21/D24</f>
        <v>0.22137397951793078</v>
      </c>
      <c r="L8" s="484">
        <f>E21/E24</f>
        <v>0.20102731730095727</v>
      </c>
      <c r="M8" s="484">
        <f>F21/F24</f>
        <v>0.18678160919540229</v>
      </c>
      <c r="N8" s="484">
        <f>G21/G24</f>
        <v>0.14458900699240146</v>
      </c>
    </row>
    <row r="9" spans="2:14" ht="15" customHeight="1" x14ac:dyDescent="0.25">
      <c r="B9" s="473" t="s">
        <v>52</v>
      </c>
      <c r="C9" s="655">
        <v>152.26179999999977</v>
      </c>
      <c r="D9" s="655">
        <v>164.99440000000004</v>
      </c>
      <c r="E9" s="655">
        <v>177</v>
      </c>
      <c r="F9" s="655">
        <v>273</v>
      </c>
      <c r="G9" s="655">
        <v>462</v>
      </c>
      <c r="I9" s="475" t="s">
        <v>16</v>
      </c>
      <c r="J9" s="81"/>
      <c r="K9" s="82"/>
      <c r="L9" s="82"/>
      <c r="M9" s="82"/>
      <c r="N9" s="82"/>
    </row>
    <row r="10" spans="2:14" ht="15" customHeight="1" x14ac:dyDescent="0.25">
      <c r="B10" s="473" t="s">
        <v>24</v>
      </c>
      <c r="C10" s="655">
        <v>1635.4779000000001</v>
      </c>
      <c r="D10" s="655">
        <v>1571.3254999999999</v>
      </c>
      <c r="E10" s="655">
        <v>1805</v>
      </c>
      <c r="F10" s="655">
        <v>2313</v>
      </c>
      <c r="G10" s="655">
        <v>3069</v>
      </c>
      <c r="I10" s="476" t="s">
        <v>93</v>
      </c>
      <c r="J10" s="483">
        <f>C15/(C12-C10)</f>
        <v>0.68040127081036539</v>
      </c>
      <c r="K10" s="483">
        <f>D15/(D12-D10)</f>
        <v>0.64652996012957153</v>
      </c>
      <c r="L10" s="483">
        <f>E15/(E12-E10)</f>
        <v>0.66890273119310018</v>
      </c>
      <c r="M10" s="483">
        <f>F15/(F12-F10)</f>
        <v>0.68059392265193375</v>
      </c>
      <c r="N10" s="483">
        <f>G15/(G12-G10)</f>
        <v>0.55711775043936729</v>
      </c>
    </row>
    <row r="11" spans="2:14" ht="15" customHeight="1" x14ac:dyDescent="0.25">
      <c r="B11" s="473" t="s">
        <v>53</v>
      </c>
      <c r="C11" s="658">
        <v>1538.5962999999999</v>
      </c>
      <c r="D11" s="658">
        <v>1733.5054000000005</v>
      </c>
      <c r="E11" s="658">
        <v>1910</v>
      </c>
      <c r="F11" s="658">
        <v>2623</v>
      </c>
      <c r="G11" s="658">
        <v>4659</v>
      </c>
      <c r="I11" s="474" t="s">
        <v>92</v>
      </c>
      <c r="J11" s="484">
        <f>C15/C12</f>
        <v>0.34586463905029435</v>
      </c>
      <c r="K11" s="484">
        <f>D15/D12</f>
        <v>0.35374605171044193</v>
      </c>
      <c r="L11" s="484">
        <f>E15/E12</f>
        <v>0.35868448098663924</v>
      </c>
      <c r="M11" s="484">
        <f>F15/F12</f>
        <v>0.37838356690343639</v>
      </c>
      <c r="N11" s="484">
        <f>G15/G12</f>
        <v>0.34835164835164834</v>
      </c>
    </row>
    <row r="12" spans="2:14" ht="15" customHeight="1" x14ac:dyDescent="0.25">
      <c r="B12" s="473" t="s">
        <v>1</v>
      </c>
      <c r="C12" s="658">
        <v>3326.3359999999998</v>
      </c>
      <c r="D12" s="658">
        <v>3469.8253000000004</v>
      </c>
      <c r="E12" s="658">
        <f>E7+E9</f>
        <v>3892</v>
      </c>
      <c r="F12" s="658">
        <f t="shared" ref="F12:G12" si="0">F7+F9</f>
        <v>5209</v>
      </c>
      <c r="G12" s="658">
        <f t="shared" si="0"/>
        <v>8190</v>
      </c>
      <c r="I12" s="474" t="s">
        <v>17</v>
      </c>
      <c r="J12" s="484">
        <f>C15/AVERAGE(C23:C23)</f>
        <v>5.0230244183197978E-2</v>
      </c>
      <c r="K12" s="484">
        <f>D15/AVERAGE(C23:D23)</f>
        <v>5.2676566106410999E-2</v>
      </c>
      <c r="L12" s="484">
        <f>E15/AVERAGE(D23:E23)</f>
        <v>5.5495923939671864E-2</v>
      </c>
      <c r="M12" s="484">
        <f>F15/AVERAGE(E23:F23)</f>
        <v>6.6339066339066333E-2</v>
      </c>
      <c r="N12" s="484">
        <f>G15/AVERAGE(F23:G23)</f>
        <v>6.6750894925247425E-2</v>
      </c>
    </row>
    <row r="13" spans="2:14" ht="15" customHeight="1" x14ac:dyDescent="0.25">
      <c r="B13" s="473" t="s">
        <v>91</v>
      </c>
      <c r="C13" s="658">
        <v>1.5805000000000002</v>
      </c>
      <c r="D13" s="658">
        <v>21.438299999999998</v>
      </c>
      <c r="E13" s="658">
        <v>119</v>
      </c>
      <c r="F13" s="658">
        <v>331</v>
      </c>
      <c r="G13" s="658">
        <v>174</v>
      </c>
      <c r="I13" s="475" t="s">
        <v>18</v>
      </c>
      <c r="J13" s="81"/>
      <c r="K13" s="82"/>
      <c r="L13" s="82"/>
      <c r="M13" s="82"/>
      <c r="N13" s="82"/>
    </row>
    <row r="14" spans="2:14" ht="15" customHeight="1" x14ac:dyDescent="0.25">
      <c r="B14" s="473" t="s">
        <v>25</v>
      </c>
      <c r="C14" s="656">
        <v>3327.9164999999998</v>
      </c>
      <c r="D14" s="656">
        <v>3491.2636000000002</v>
      </c>
      <c r="E14" s="656">
        <f>E12+E13</f>
        <v>4011</v>
      </c>
      <c r="F14" s="656">
        <f t="shared" ref="F14:G14" si="1">F12+F13</f>
        <v>5540</v>
      </c>
      <c r="G14" s="656">
        <f t="shared" si="1"/>
        <v>8364</v>
      </c>
      <c r="I14" s="474" t="s">
        <v>19</v>
      </c>
      <c r="J14" s="484">
        <f>C25/C24</f>
        <v>2.883963605039682E-2</v>
      </c>
      <c r="K14" s="484">
        <f>D25/D24</f>
        <v>2.1131349417743826E-2</v>
      </c>
      <c r="L14" s="484">
        <f>E25/E24</f>
        <v>1.6390380574363764E-2</v>
      </c>
      <c r="M14" s="484">
        <f>F25/F24</f>
        <v>2.0037278657968314E-2</v>
      </c>
      <c r="N14" s="484">
        <f>G25/G24</f>
        <v>1.0304591604788605E-2</v>
      </c>
    </row>
    <row r="15" spans="2:14" ht="15" customHeight="1" x14ac:dyDescent="0.25">
      <c r="B15" s="473" t="s">
        <v>26</v>
      </c>
      <c r="C15" s="655">
        <v>1150.4619999999998</v>
      </c>
      <c r="D15" s="655">
        <v>1227.4369999999999</v>
      </c>
      <c r="E15" s="655">
        <v>1396</v>
      </c>
      <c r="F15" s="655">
        <v>1971</v>
      </c>
      <c r="G15" s="655">
        <v>2853</v>
      </c>
      <c r="I15" s="474" t="s">
        <v>20</v>
      </c>
      <c r="J15" s="484">
        <f>C26/C24</f>
        <v>1.5695998715521159E-2</v>
      </c>
      <c r="K15" s="484">
        <f>D26/D24</f>
        <v>5.8123204963227738E-3</v>
      </c>
      <c r="L15" s="484">
        <f>E26/E24</f>
        <v>6.4907774924118609E-3</v>
      </c>
      <c r="M15" s="484">
        <f>F26/F24</f>
        <v>1.2892202547374962E-2</v>
      </c>
      <c r="N15" s="484">
        <f>G26/G24</f>
        <v>5.6935033446626109E-3</v>
      </c>
    </row>
    <row r="16" spans="2:14" ht="15" customHeight="1" x14ac:dyDescent="0.25">
      <c r="B16" s="473" t="s">
        <v>54</v>
      </c>
      <c r="C16" s="658">
        <v>2175.8739999999998</v>
      </c>
      <c r="D16" s="658">
        <v>2242.3883000000005</v>
      </c>
      <c r="E16" s="658">
        <f t="shared" ref="E16:G16" si="2">E12-E15</f>
        <v>2496</v>
      </c>
      <c r="F16" s="658">
        <f t="shared" si="2"/>
        <v>3238</v>
      </c>
      <c r="G16" s="658">
        <f t="shared" si="2"/>
        <v>5337</v>
      </c>
      <c r="I16" s="474" t="s">
        <v>21</v>
      </c>
      <c r="J16" s="484">
        <f t="shared" ref="J16:K16" si="3">(J14-J15)/J14</f>
        <v>0.45574907089352157</v>
      </c>
      <c r="K16" s="484">
        <f t="shared" si="3"/>
        <v>0.72494324042352853</v>
      </c>
      <c r="L16" s="484">
        <f t="shared" ref="L16:N16" si="4">(L14-L15)/L14</f>
        <v>0.60398860398860399</v>
      </c>
      <c r="M16" s="484">
        <f t="shared" si="4"/>
        <v>0.35658914728682173</v>
      </c>
      <c r="N16" s="484">
        <f t="shared" si="4"/>
        <v>0.44747899159663873</v>
      </c>
    </row>
    <row r="17" spans="2:14" ht="15" customHeight="1" x14ac:dyDescent="0.25">
      <c r="B17" s="473" t="s">
        <v>94</v>
      </c>
      <c r="C17" s="658">
        <v>541.97659999999973</v>
      </c>
      <c r="D17" s="658">
        <v>692.50110000000041</v>
      </c>
      <c r="E17" s="658">
        <f t="shared" ref="E17:G17" si="5">E14-E15-E10</f>
        <v>810</v>
      </c>
      <c r="F17" s="658">
        <f t="shared" si="5"/>
        <v>1256</v>
      </c>
      <c r="G17" s="658">
        <f t="shared" si="5"/>
        <v>2442</v>
      </c>
      <c r="I17" s="474" t="s">
        <v>22</v>
      </c>
      <c r="J17" s="484">
        <f>C18/AVERAGE(C24:C24)</f>
        <v>4.1290102073731497E-3</v>
      </c>
      <c r="K17" s="484">
        <f>D18/AVERAGE(C24:D24)</f>
        <v>3.8483119348605398E-3</v>
      </c>
      <c r="L17" s="484">
        <f>E18/AVERAGE(D24:E24)</f>
        <v>1.538430698843068E-3</v>
      </c>
      <c r="M17" s="484">
        <f>F18/AVERAGE(E24:F24)</f>
        <v>4.7066805181588825E-3</v>
      </c>
      <c r="N17" s="484">
        <f>G18/AVERAGE(F24:G24)</f>
        <v>7.1999444019737301E-3</v>
      </c>
    </row>
    <row r="18" spans="2:14" ht="15" customHeight="1" x14ac:dyDescent="0.25">
      <c r="B18" s="473" t="s">
        <v>27</v>
      </c>
      <c r="C18" s="655">
        <v>71.5274</v>
      </c>
      <c r="D18" s="655">
        <v>67.170200000000008</v>
      </c>
      <c r="E18" s="655">
        <v>30</v>
      </c>
      <c r="F18" s="655">
        <v>111</v>
      </c>
      <c r="G18" s="655">
        <v>259</v>
      </c>
      <c r="I18" s="81"/>
      <c r="J18" s="81"/>
      <c r="K18" s="82"/>
      <c r="L18" s="82"/>
      <c r="M18" s="82"/>
      <c r="N18" s="82"/>
    </row>
    <row r="19" spans="2:14" ht="15" customHeight="1" x14ac:dyDescent="0.25">
      <c r="B19" s="473" t="s">
        <v>55</v>
      </c>
      <c r="C19" s="658">
        <v>346.85129999999998</v>
      </c>
      <c r="D19" s="658">
        <v>459.81080000000003</v>
      </c>
      <c r="E19" s="658">
        <v>563</v>
      </c>
      <c r="F19" s="658">
        <v>787</v>
      </c>
      <c r="G19" s="658">
        <v>1640</v>
      </c>
      <c r="I19" s="475" t="s">
        <v>30</v>
      </c>
      <c r="J19" s="81"/>
      <c r="K19" s="82"/>
      <c r="L19" s="82"/>
      <c r="M19" s="82"/>
      <c r="N19" s="82"/>
    </row>
    <row r="20" spans="2:14" ht="15" customHeight="1" x14ac:dyDescent="0.25">
      <c r="B20" s="473" t="s">
        <v>28</v>
      </c>
      <c r="C20" s="655">
        <v>3449.4933000000001</v>
      </c>
      <c r="D20" s="655">
        <v>3893.0345000000002</v>
      </c>
      <c r="E20" s="655">
        <v>4305</v>
      </c>
      <c r="F20" s="655">
        <v>4810</v>
      </c>
      <c r="G20" s="655">
        <v>6679</v>
      </c>
      <c r="I20" s="477" t="s">
        <v>95</v>
      </c>
      <c r="J20" s="487">
        <f>C17/AVERAGE(C23:C23)</f>
        <v>2.3663203964650208E-2</v>
      </c>
      <c r="K20" s="487">
        <f>D17/AVERAGE(C23:D23)</f>
        <v>2.971930940073695E-2</v>
      </c>
      <c r="L20" s="487">
        <f>E17/AVERAGE(D23:E23)</f>
        <v>3.2200357013706452E-2</v>
      </c>
      <c r="M20" s="487">
        <f>F17/AVERAGE(E23:F23)</f>
        <v>4.227390528760392E-2</v>
      </c>
      <c r="N20" s="487">
        <f>G17/AVERAGE(F23:G23)</f>
        <v>5.7134835403944692E-2</v>
      </c>
    </row>
    <row r="21" spans="2:14" ht="15" customHeight="1" x14ac:dyDescent="0.25">
      <c r="B21" s="473" t="s">
        <v>56</v>
      </c>
      <c r="C21" s="658">
        <v>3449.4933000000001</v>
      </c>
      <c r="D21" s="658">
        <v>3893.0345000000002</v>
      </c>
      <c r="E21" s="655">
        <v>4305</v>
      </c>
      <c r="F21" s="655">
        <v>4810</v>
      </c>
      <c r="G21" s="655">
        <v>6679</v>
      </c>
      <c r="I21" s="474" t="s">
        <v>31</v>
      </c>
      <c r="J21" s="484">
        <f>C19/AVERAGE(C23:C23)</f>
        <v>1.5143851334733054E-2</v>
      </c>
      <c r="K21" s="484">
        <f>D19/AVERAGE(C23:D23)</f>
        <v>1.9733195270015269E-2</v>
      </c>
      <c r="L21" s="484">
        <f>E19/AVERAGE(D23:E23)</f>
        <v>2.2381235800884854E-2</v>
      </c>
      <c r="M21" s="484">
        <f>F19/AVERAGE(E23:F23)</f>
        <v>2.6488505940560736E-2</v>
      </c>
      <c r="N21" s="484">
        <f>G19/AVERAGE(F23:G23)</f>
        <v>3.8370651131232308E-2</v>
      </c>
    </row>
    <row r="22" spans="2:14" ht="15" customHeight="1" x14ac:dyDescent="0.25">
      <c r="B22" s="473" t="s">
        <v>57</v>
      </c>
      <c r="C22" s="655">
        <v>17714.726900000001</v>
      </c>
      <c r="D22" s="655">
        <v>17823.1747</v>
      </c>
      <c r="E22" s="655">
        <v>20596</v>
      </c>
      <c r="F22" s="655">
        <v>25855</v>
      </c>
      <c r="G22" s="655">
        <v>43609</v>
      </c>
      <c r="I22" s="474" t="s">
        <v>32</v>
      </c>
      <c r="J22" s="484">
        <f>C19/AVERAGE(C20:C20)</f>
        <v>0.1005513766326202</v>
      </c>
      <c r="K22" s="484">
        <f>D19/AVERAGE(C20:D20)</f>
        <v>0.12524591326709039</v>
      </c>
      <c r="L22" s="484">
        <f>E19/AVERAGE(D20:E20)</f>
        <v>0.13734999529460384</v>
      </c>
      <c r="M22" s="484">
        <f>F19/AVERAGE(E20:F20)</f>
        <v>0.17268239166209545</v>
      </c>
      <c r="N22" s="484">
        <f>G19/AVERAGE(F20:G20)</f>
        <v>0.28549046914439902</v>
      </c>
    </row>
    <row r="23" spans="2:14" ht="15" customHeight="1" x14ac:dyDescent="0.25">
      <c r="B23" s="473" t="s">
        <v>29</v>
      </c>
      <c r="C23" s="655">
        <v>22903.770800000002</v>
      </c>
      <c r="D23" s="655">
        <v>23699.001200000002</v>
      </c>
      <c r="E23" s="655">
        <v>26611</v>
      </c>
      <c r="F23" s="655">
        <v>32811</v>
      </c>
      <c r="G23" s="655">
        <v>52671</v>
      </c>
      <c r="I23" s="475" t="s">
        <v>33</v>
      </c>
      <c r="J23" s="81"/>
      <c r="K23" s="82"/>
      <c r="L23" s="82"/>
      <c r="M23" s="82"/>
      <c r="N23" s="82"/>
    </row>
    <row r="24" spans="2:14" ht="15" customHeight="1" x14ac:dyDescent="0.25">
      <c r="B24" s="473" t="s">
        <v>58</v>
      </c>
      <c r="C24" s="655">
        <v>17323.134699999999</v>
      </c>
      <c r="D24" s="655">
        <v>17585.781800000001</v>
      </c>
      <c r="E24" s="655">
        <v>21415</v>
      </c>
      <c r="F24" s="655">
        <v>25752</v>
      </c>
      <c r="G24" s="655">
        <v>46193</v>
      </c>
      <c r="I24" s="474" t="s">
        <v>34</v>
      </c>
      <c r="J24" s="484">
        <f>C7/AVERAGE(C24:C24)</f>
        <v>0.18322747325863606</v>
      </c>
      <c r="K24" s="484">
        <f>D7/AVERAGE(C24:D24)</f>
        <v>0.18934021627397118</v>
      </c>
      <c r="L24" s="484">
        <f>E7/AVERAGE(D24:E24)</f>
        <v>0.19050900154006659</v>
      </c>
      <c r="M24" s="484">
        <f>F7/AVERAGE(E24:F24)</f>
        <v>0.20929887421290308</v>
      </c>
      <c r="N24" s="484">
        <f>G7/AVERAGE(F24:G24)</f>
        <v>0.21483077350754048</v>
      </c>
    </row>
    <row r="25" spans="2:14" ht="15" customHeight="1" x14ac:dyDescent="0.25">
      <c r="B25" s="473" t="s">
        <v>59</v>
      </c>
      <c r="C25" s="658">
        <v>499.59290000000004</v>
      </c>
      <c r="D25" s="658">
        <v>371.61129999999997</v>
      </c>
      <c r="E25" s="658">
        <v>351</v>
      </c>
      <c r="F25" s="658">
        <v>516</v>
      </c>
      <c r="G25" s="658">
        <v>476</v>
      </c>
      <c r="I25" s="474" t="s">
        <v>35</v>
      </c>
      <c r="J25" s="484">
        <f>C10/AVERAGE(C22:C22)</f>
        <v>9.2323065957059719E-2</v>
      </c>
      <c r="K25" s="484">
        <f>D10/AVERAGE(C22:D22)</f>
        <v>8.8430966897606586E-2</v>
      </c>
      <c r="L25" s="484">
        <f>E10/AVERAGE(D22:E22)</f>
        <v>9.3963496826494811E-2</v>
      </c>
      <c r="M25" s="484">
        <f>F10/AVERAGE(E22:F22)</f>
        <v>9.9588814019073865E-2</v>
      </c>
      <c r="N25" s="484">
        <f>G10/AVERAGE(F22:G22)</f>
        <v>8.8362317171484517E-2</v>
      </c>
    </row>
    <row r="26" spans="2:14" ht="15" customHeight="1" x14ac:dyDescent="0.25">
      <c r="B26" s="473" t="s">
        <v>60</v>
      </c>
      <c r="C26" s="658">
        <v>271.90390000000002</v>
      </c>
      <c r="D26" s="658">
        <v>102.21420000000001</v>
      </c>
      <c r="E26" s="658">
        <v>139</v>
      </c>
      <c r="F26" s="658">
        <v>332</v>
      </c>
      <c r="G26" s="658">
        <v>263</v>
      </c>
      <c r="I26" s="474" t="s">
        <v>36</v>
      </c>
      <c r="J26" s="82">
        <f>J24-J25</f>
        <v>9.090440730157634E-2</v>
      </c>
      <c r="K26" s="82">
        <f>K24-K25</f>
        <v>0.1009092493763646</v>
      </c>
      <c r="L26" s="82">
        <f t="shared" ref="L26:N26" si="6">L24-L25</f>
        <v>9.6545504713571775E-2</v>
      </c>
      <c r="M26" s="82">
        <f t="shared" si="6"/>
        <v>0.10971006019382921</v>
      </c>
      <c r="N26" s="82">
        <f t="shared" si="6"/>
        <v>0.12646845633605597</v>
      </c>
    </row>
    <row r="28" spans="2:14" x14ac:dyDescent="0.25">
      <c r="B28" s="732" t="s">
        <v>269</v>
      </c>
      <c r="C28" s="732"/>
      <c r="D28" s="732"/>
      <c r="E28" s="732"/>
      <c r="F28" s="732"/>
      <c r="G28" s="732"/>
      <c r="H28" s="732"/>
    </row>
    <row r="29" spans="2:14" x14ac:dyDescent="0.25">
      <c r="B29" s="732"/>
      <c r="C29" s="732"/>
      <c r="D29" s="732"/>
      <c r="E29" s="732"/>
      <c r="F29" s="732"/>
      <c r="G29" s="732"/>
      <c r="H29" s="732"/>
    </row>
    <row r="30" spans="2:14" x14ac:dyDescent="0.25">
      <c r="B30" s="732"/>
      <c r="C30" s="732"/>
      <c r="D30" s="732"/>
      <c r="E30" s="732"/>
      <c r="F30" s="732"/>
      <c r="G30" s="732"/>
      <c r="H30" s="732"/>
    </row>
    <row r="31" spans="2:14" x14ac:dyDescent="0.25">
      <c r="B31" s="732"/>
      <c r="C31" s="732"/>
      <c r="D31" s="732"/>
      <c r="E31" s="732"/>
      <c r="F31" s="732"/>
      <c r="G31" s="732"/>
      <c r="H31" s="732"/>
    </row>
  </sheetData>
  <mergeCells count="2">
    <mergeCell ref="B28:H31"/>
    <mergeCell ref="F2:G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C35"/>
  <sheetViews>
    <sheetView showGridLines="0" topLeftCell="K7" zoomScale="95" zoomScaleNormal="95" workbookViewId="0">
      <selection activeCell="P21" sqref="P21"/>
    </sheetView>
  </sheetViews>
  <sheetFormatPr defaultRowHeight="15" x14ac:dyDescent="0.25"/>
  <cols>
    <col min="1" max="1" width="1.85546875" style="129" customWidth="1"/>
    <col min="2" max="2" width="28" customWidth="1"/>
    <col min="3" max="4" width="0" hidden="1" customWidth="1"/>
    <col min="5" max="5" width="13" customWidth="1"/>
    <col min="6" max="6" width="12.85546875" customWidth="1"/>
    <col min="7" max="7" width="11.7109375" customWidth="1"/>
    <col min="8" max="8" width="11.85546875" customWidth="1"/>
    <col min="9" max="12" width="11.85546875" style="145" customWidth="1"/>
    <col min="14" max="14" width="25.42578125" customWidth="1"/>
    <col min="15" max="19" width="15.7109375" customWidth="1"/>
    <col min="21" max="21" width="5.7109375" bestFit="1" customWidth="1"/>
    <col min="22" max="22" width="36.7109375" bestFit="1" customWidth="1"/>
    <col min="23" max="23" width="27.5703125" bestFit="1" customWidth="1"/>
    <col min="24" max="24" width="34.140625" bestFit="1" customWidth="1"/>
    <col min="25" max="26" width="12.140625" bestFit="1" customWidth="1"/>
    <col min="27" max="27" width="23.140625" bestFit="1" customWidth="1"/>
    <col min="28" max="28" width="22.85546875" bestFit="1" customWidth="1"/>
    <col min="29" max="29" width="25.140625" bestFit="1" customWidth="1"/>
  </cols>
  <sheetData>
    <row r="2" spans="2:29" x14ac:dyDescent="0.25">
      <c r="B2" s="414" t="s">
        <v>770</v>
      </c>
      <c r="I2" s="676"/>
      <c r="J2" s="676"/>
      <c r="K2" s="740" t="s">
        <v>111</v>
      </c>
      <c r="L2" s="740"/>
    </row>
    <row r="3" spans="2:29" ht="15" customHeight="1" x14ac:dyDescent="0.25">
      <c r="B3" s="729" t="s">
        <v>4</v>
      </c>
      <c r="C3" s="472" t="s">
        <v>43</v>
      </c>
      <c r="D3" s="472" t="s">
        <v>41</v>
      </c>
      <c r="E3" s="651" t="s">
        <v>44</v>
      </c>
      <c r="F3" s="651" t="s">
        <v>0</v>
      </c>
      <c r="G3" s="471" t="s">
        <v>45</v>
      </c>
      <c r="H3" s="471" t="s">
        <v>42</v>
      </c>
      <c r="I3" s="471" t="s">
        <v>366</v>
      </c>
      <c r="J3" s="471" t="s">
        <v>367</v>
      </c>
      <c r="K3" s="471" t="s">
        <v>368</v>
      </c>
      <c r="L3" s="471" t="s">
        <v>693</v>
      </c>
      <c r="O3" s="666" t="s">
        <v>90</v>
      </c>
      <c r="P3" s="666" t="s">
        <v>492</v>
      </c>
      <c r="Q3" s="666" t="s">
        <v>623</v>
      </c>
      <c r="R3" s="666" t="s">
        <v>700</v>
      </c>
      <c r="S3" s="666" t="s">
        <v>701</v>
      </c>
      <c r="W3" s="403"/>
      <c r="X3" s="403"/>
      <c r="Y3" s="403"/>
      <c r="Z3" s="403"/>
      <c r="AA3" s="403"/>
    </row>
    <row r="4" spans="2:29" ht="15" customHeight="1" x14ac:dyDescent="0.25">
      <c r="B4" s="729"/>
      <c r="C4" s="472" t="s">
        <v>46</v>
      </c>
      <c r="D4" s="652" t="s">
        <v>47</v>
      </c>
      <c r="E4" s="480" t="s">
        <v>47</v>
      </c>
      <c r="F4" s="480" t="s">
        <v>47</v>
      </c>
      <c r="G4" s="472" t="s">
        <v>46</v>
      </c>
      <c r="H4" s="472" t="s">
        <v>46</v>
      </c>
      <c r="I4" s="471" t="s">
        <v>46</v>
      </c>
      <c r="J4" s="471" t="s">
        <v>46</v>
      </c>
      <c r="K4" s="471" t="s">
        <v>46</v>
      </c>
      <c r="L4" s="471" t="s">
        <v>46</v>
      </c>
      <c r="N4" s="475" t="s">
        <v>6</v>
      </c>
      <c r="U4" s="741" t="s">
        <v>624</v>
      </c>
      <c r="V4" s="742"/>
      <c r="W4" s="404" t="s">
        <v>625</v>
      </c>
      <c r="X4" s="404" t="s">
        <v>626</v>
      </c>
      <c r="Y4" s="404" t="s">
        <v>627</v>
      </c>
      <c r="Z4" s="404" t="s">
        <v>628</v>
      </c>
      <c r="AA4" s="404" t="s">
        <v>629</v>
      </c>
      <c r="AB4" s="404" t="s">
        <v>630</v>
      </c>
      <c r="AC4" s="404" t="s">
        <v>631</v>
      </c>
    </row>
    <row r="5" spans="2:29" ht="15" customHeight="1" x14ac:dyDescent="0.25">
      <c r="B5" s="729"/>
      <c r="C5" s="472" t="s">
        <v>48</v>
      </c>
      <c r="D5" s="472" t="s">
        <v>48</v>
      </c>
      <c r="E5" s="480" t="s">
        <v>49</v>
      </c>
      <c r="F5" s="480" t="s">
        <v>49</v>
      </c>
      <c r="G5" s="480" t="s">
        <v>49</v>
      </c>
      <c r="H5" s="480" t="s">
        <v>49</v>
      </c>
      <c r="I5" s="621" t="s">
        <v>49</v>
      </c>
      <c r="J5" s="621" t="s">
        <v>49</v>
      </c>
      <c r="K5" s="621" t="s">
        <v>49</v>
      </c>
      <c r="L5" s="621" t="s">
        <v>49</v>
      </c>
      <c r="N5" s="474" t="s">
        <v>11</v>
      </c>
      <c r="O5" s="595">
        <f>H11/AVERAGE(G24:H24)</f>
        <v>0.12143213398218121</v>
      </c>
      <c r="P5" s="595">
        <f>I11/AVERAGE(I24,60160)</f>
        <v>0.10303727014995259</v>
      </c>
      <c r="Q5" s="595">
        <f>J11/AVERAGE(I24:J24)</f>
        <v>0.10535324736801191</v>
      </c>
      <c r="R5" s="595">
        <f t="shared" ref="R5:S5" si="0">K11/AVERAGE(J24:K24)</f>
        <v>0.10730644561347574</v>
      </c>
      <c r="S5" s="595">
        <f t="shared" si="0"/>
        <v>0.125158046292033</v>
      </c>
      <c r="U5" s="743"/>
      <c r="V5" s="744"/>
      <c r="W5" s="405"/>
      <c r="X5" s="405"/>
      <c r="Y5" s="405"/>
      <c r="Z5" s="405"/>
      <c r="AA5" s="405"/>
      <c r="AB5" s="405"/>
      <c r="AC5" s="405"/>
    </row>
    <row r="6" spans="2:29" x14ac:dyDescent="0.25">
      <c r="B6" s="473" t="s">
        <v>23</v>
      </c>
      <c r="C6" s="653"/>
      <c r="D6" s="654"/>
      <c r="E6" s="677">
        <v>68782.080000000002</v>
      </c>
      <c r="F6" s="678">
        <v>87146.42</v>
      </c>
      <c r="G6" s="678">
        <v>105572.12</v>
      </c>
      <c r="H6" s="678">
        <v>110823.24</v>
      </c>
      <c r="I6" s="679">
        <v>10514.849</v>
      </c>
      <c r="J6" s="679">
        <v>12694</v>
      </c>
      <c r="K6" s="679">
        <v>17156</v>
      </c>
      <c r="L6" s="679">
        <v>27600</v>
      </c>
      <c r="N6" s="475" t="s">
        <v>12</v>
      </c>
      <c r="O6" s="81"/>
      <c r="P6" s="81"/>
      <c r="Q6" s="81"/>
      <c r="R6" s="81"/>
      <c r="S6" s="81"/>
      <c r="U6" s="406" t="s">
        <v>632</v>
      </c>
      <c r="V6" s="406" t="s">
        <v>557</v>
      </c>
      <c r="W6" s="745" t="s">
        <v>633</v>
      </c>
      <c r="X6" s="745"/>
      <c r="Y6" s="745"/>
      <c r="Z6" s="745"/>
      <c r="AA6" s="745"/>
      <c r="AB6" s="745"/>
      <c r="AC6" s="745"/>
    </row>
    <row r="7" spans="2:29" x14ac:dyDescent="0.25">
      <c r="B7" s="473" t="s">
        <v>50</v>
      </c>
      <c r="C7" s="653"/>
      <c r="D7" s="654"/>
      <c r="E7" s="680">
        <f>66960.14+130.25+0.91+2.64+3.97+260.07+32.91</f>
        <v>67390.890000000014</v>
      </c>
      <c r="F7" s="677">
        <f>84443.28+399.39+35.29+75.17+4+326.87+22.69</f>
        <v>85306.689999999988</v>
      </c>
      <c r="G7" s="677">
        <v>102408.56</v>
      </c>
      <c r="H7" s="677">
        <v>108056.79</v>
      </c>
      <c r="I7" s="681">
        <v>10148.790999999999</v>
      </c>
      <c r="J7" s="681">
        <v>12186</v>
      </c>
      <c r="K7" s="681">
        <v>16525</v>
      </c>
      <c r="L7" s="681">
        <v>27066</v>
      </c>
      <c r="N7" s="474" t="s">
        <v>13</v>
      </c>
      <c r="O7" s="84">
        <f>H22/H21</f>
        <v>2.7153127366503838</v>
      </c>
      <c r="P7" s="84">
        <f>I22/I21</f>
        <v>2.3613368633678742</v>
      </c>
      <c r="Q7" s="84">
        <f t="shared" ref="Q7:S7" si="1">J22/J21</f>
        <v>2.4237413928173832</v>
      </c>
      <c r="R7" s="84">
        <f t="shared" si="1"/>
        <v>3.3610237988325102</v>
      </c>
      <c r="S7" s="84">
        <f t="shared" si="1"/>
        <v>4.0621754056512422</v>
      </c>
      <c r="U7" s="392">
        <v>1</v>
      </c>
      <c r="V7" s="108" t="s">
        <v>646</v>
      </c>
      <c r="W7" s="418">
        <v>0.1109</v>
      </c>
      <c r="X7" s="418">
        <v>0.1056</v>
      </c>
      <c r="Y7" s="81"/>
      <c r="Z7" s="81"/>
      <c r="AA7" s="417">
        <v>0.114</v>
      </c>
      <c r="AB7" s="417">
        <v>0.10970000000000001</v>
      </c>
      <c r="AC7" s="417">
        <v>0.1031</v>
      </c>
    </row>
    <row r="8" spans="2:29" x14ac:dyDescent="0.25">
      <c r="B8" s="473" t="s">
        <v>51</v>
      </c>
      <c r="C8" s="653"/>
      <c r="D8" s="654"/>
      <c r="E8" s="680"/>
      <c r="F8" s="677"/>
      <c r="G8" s="677">
        <v>0</v>
      </c>
      <c r="H8" s="677">
        <v>0</v>
      </c>
      <c r="I8" s="681">
        <v>0</v>
      </c>
      <c r="J8" s="681">
        <v>0</v>
      </c>
      <c r="K8" s="681">
        <v>0</v>
      </c>
      <c r="L8" s="681">
        <v>0</v>
      </c>
      <c r="N8" s="474" t="s">
        <v>14</v>
      </c>
      <c r="O8" s="82">
        <v>0.29970000000000002</v>
      </c>
      <c r="P8" s="82">
        <v>0.31769999999999998</v>
      </c>
      <c r="Q8" s="82"/>
      <c r="R8" s="82"/>
      <c r="S8" s="82"/>
      <c r="U8" s="392">
        <v>2</v>
      </c>
      <c r="V8" s="108" t="s">
        <v>634</v>
      </c>
      <c r="W8" s="410">
        <v>1056.29</v>
      </c>
      <c r="X8" s="410">
        <v>1027.3</v>
      </c>
      <c r="Y8" s="410">
        <v>991</v>
      </c>
      <c r="Z8" s="410">
        <v>975.1</v>
      </c>
      <c r="AA8" s="81"/>
      <c r="AB8" s="411">
        <v>4049.7</v>
      </c>
      <c r="AC8" s="412">
        <v>3473.5</v>
      </c>
    </row>
    <row r="9" spans="2:29" x14ac:dyDescent="0.25">
      <c r="B9" s="473" t="s">
        <v>52</v>
      </c>
      <c r="C9" s="653"/>
      <c r="D9" s="654"/>
      <c r="E9" s="677">
        <f t="shared" ref="E9:L9" si="2">E6-E7-E8</f>
        <v>1391.1899999999878</v>
      </c>
      <c r="F9" s="677">
        <f t="shared" si="2"/>
        <v>1839.7300000000105</v>
      </c>
      <c r="G9" s="677">
        <f t="shared" si="2"/>
        <v>3163.5599999999977</v>
      </c>
      <c r="H9" s="677">
        <f t="shared" si="2"/>
        <v>2766.4500000000116</v>
      </c>
      <c r="I9" s="681">
        <f t="shared" si="2"/>
        <v>366.0580000000009</v>
      </c>
      <c r="J9" s="681">
        <f t="shared" si="2"/>
        <v>508</v>
      </c>
      <c r="K9" s="681">
        <f t="shared" si="2"/>
        <v>631</v>
      </c>
      <c r="L9" s="681">
        <f t="shared" si="2"/>
        <v>534</v>
      </c>
      <c r="N9" s="474" t="s">
        <v>15</v>
      </c>
      <c r="O9" s="595">
        <f>H21/H24</f>
        <v>0.30520303879180366</v>
      </c>
      <c r="P9" s="595">
        <f>I21/I24</f>
        <v>0.32387698094692036</v>
      </c>
      <c r="Q9" s="595">
        <f t="shared" ref="Q9:S9" si="3">J21/J24</f>
        <v>0.31119123383288855</v>
      </c>
      <c r="R9" s="595">
        <f t="shared" si="3"/>
        <v>0.2423857637818129</v>
      </c>
      <c r="S9" s="595">
        <f t="shared" si="3"/>
        <v>0.20857405140758875</v>
      </c>
      <c r="U9" s="392">
        <v>3</v>
      </c>
      <c r="V9" s="108" t="s">
        <v>635</v>
      </c>
      <c r="W9" s="417">
        <v>3.2800000000000003E-2</v>
      </c>
      <c r="X9" s="417">
        <v>3.6200000000000003E-2</v>
      </c>
      <c r="Y9" s="81"/>
      <c r="Z9" s="81"/>
      <c r="AA9" s="417">
        <v>3.7900000000000003E-2</v>
      </c>
      <c r="AB9" s="417">
        <v>3.2800000000000003E-2</v>
      </c>
      <c r="AC9" s="417">
        <v>3.7900000000000003E-2</v>
      </c>
    </row>
    <row r="10" spans="2:29" x14ac:dyDescent="0.25">
      <c r="B10" s="473" t="s">
        <v>24</v>
      </c>
      <c r="C10" s="653"/>
      <c r="D10" s="653"/>
      <c r="E10" s="681">
        <v>22368.44</v>
      </c>
      <c r="F10" s="677">
        <v>27909.4</v>
      </c>
      <c r="G10" s="677">
        <v>36924.410000000003</v>
      </c>
      <c r="H10" s="677">
        <v>38357.620000000003</v>
      </c>
      <c r="I10" s="681">
        <v>3699.14</v>
      </c>
      <c r="J10" s="681">
        <v>4655</v>
      </c>
      <c r="K10" s="681">
        <v>6429</v>
      </c>
      <c r="L10" s="681">
        <v>9941</v>
      </c>
      <c r="N10" s="475" t="s">
        <v>16</v>
      </c>
      <c r="O10" s="81"/>
      <c r="P10" s="81"/>
      <c r="Q10" s="81"/>
      <c r="R10" s="81"/>
      <c r="S10" s="81"/>
      <c r="U10" s="392">
        <v>4</v>
      </c>
      <c r="V10" s="108" t="s">
        <v>636</v>
      </c>
      <c r="W10" s="417">
        <v>2.9000000000000001E-2</v>
      </c>
      <c r="X10" s="417">
        <v>3.2300000000000002E-2</v>
      </c>
      <c r="Y10" s="81"/>
      <c r="Z10" s="81"/>
      <c r="AA10" s="417">
        <v>3.4000000000000002E-2</v>
      </c>
      <c r="AB10" s="417">
        <v>2.9000000000000001E-2</v>
      </c>
      <c r="AC10" s="417">
        <v>3.4000000000000002E-2</v>
      </c>
    </row>
    <row r="11" spans="2:29" ht="45" x14ac:dyDescent="0.25">
      <c r="B11" s="473" t="s">
        <v>53</v>
      </c>
      <c r="C11" s="657">
        <f t="shared" ref="C11:H11" si="4">C7-C10</f>
        <v>0</v>
      </c>
      <c r="D11" s="657">
        <f t="shared" si="4"/>
        <v>0</v>
      </c>
      <c r="E11" s="682">
        <f t="shared" si="4"/>
        <v>45022.450000000012</v>
      </c>
      <c r="F11" s="682">
        <f t="shared" si="4"/>
        <v>57397.289999999986</v>
      </c>
      <c r="G11" s="682">
        <f t="shared" si="4"/>
        <v>65484.149999999994</v>
      </c>
      <c r="H11" s="682">
        <f t="shared" si="4"/>
        <v>69699.169999999984</v>
      </c>
      <c r="I11" s="681">
        <f>I7-I10</f>
        <v>6449.6509999999998</v>
      </c>
      <c r="J11" s="681">
        <v>7531</v>
      </c>
      <c r="K11" s="681">
        <v>10097</v>
      </c>
      <c r="L11" s="681">
        <v>17125</v>
      </c>
      <c r="N11" s="476" t="s">
        <v>93</v>
      </c>
      <c r="O11" s="483">
        <f>H15/(H12-H10)</f>
        <v>0.25201329954811674</v>
      </c>
      <c r="P11" s="483">
        <f>I15/(I12-I10)</f>
        <v>0.31070208543234462</v>
      </c>
      <c r="Q11" s="483">
        <f t="shared" ref="Q11:S11" si="5">J15/(J12-J10)</f>
        <v>0.29767384002985448</v>
      </c>
      <c r="R11" s="483">
        <f t="shared" si="5"/>
        <v>0.26941362916006339</v>
      </c>
      <c r="S11" s="483">
        <f t="shared" si="5"/>
        <v>0.20069086584744322</v>
      </c>
      <c r="U11" s="392">
        <v>5</v>
      </c>
      <c r="V11" s="108" t="s">
        <v>637</v>
      </c>
      <c r="W11" s="417">
        <v>4.4999999999999997E-3</v>
      </c>
      <c r="X11" s="417">
        <v>8.0000000000000004E-4</v>
      </c>
      <c r="Y11" s="81"/>
      <c r="Z11" s="81"/>
      <c r="AA11" s="417">
        <v>4.5999999999999999E-3</v>
      </c>
      <c r="AB11" s="417">
        <v>2.8E-3</v>
      </c>
      <c r="AC11" s="417">
        <v>1E-3</v>
      </c>
    </row>
    <row r="12" spans="2:29" ht="30" x14ac:dyDescent="0.25">
      <c r="B12" s="473" t="s">
        <v>1</v>
      </c>
      <c r="C12" s="657">
        <f>C6-C10</f>
        <v>0</v>
      </c>
      <c r="D12" s="657">
        <f t="shared" ref="D12:F12" si="6">SUM(D7:D9)</f>
        <v>0</v>
      </c>
      <c r="E12" s="682">
        <f t="shared" si="6"/>
        <v>68782.080000000002</v>
      </c>
      <c r="F12" s="682">
        <f t="shared" si="6"/>
        <v>87146.42</v>
      </c>
      <c r="G12" s="682">
        <f>SUM(G7:G9)</f>
        <v>105572.12</v>
      </c>
      <c r="H12" s="682">
        <f>SUM(H7:H9)</f>
        <v>110823.24</v>
      </c>
      <c r="I12" s="681">
        <f>SUM(I7:I9)</f>
        <v>10514.849</v>
      </c>
      <c r="J12" s="681">
        <f>SUM(J7:J9)</f>
        <v>12694</v>
      </c>
      <c r="K12" s="681">
        <f t="shared" ref="K12:L12" si="7">SUM(K7:K9)</f>
        <v>17156</v>
      </c>
      <c r="L12" s="681">
        <f t="shared" si="7"/>
        <v>27600</v>
      </c>
      <c r="N12" s="474" t="s">
        <v>92</v>
      </c>
      <c r="O12" s="595">
        <f>H15/H12</f>
        <v>0.16478763840508542</v>
      </c>
      <c r="P12" s="595">
        <f>I15/I12</f>
        <v>0.20139661539599857</v>
      </c>
      <c r="Q12" s="595">
        <f t="shared" ref="Q12:S12" si="8">J15/J12</f>
        <v>0.18851425870489996</v>
      </c>
      <c r="R12" s="595">
        <f t="shared" si="8"/>
        <v>0.1684541851247377</v>
      </c>
      <c r="S12" s="595">
        <f t="shared" si="8"/>
        <v>0.12840579710144928</v>
      </c>
      <c r="U12" s="392">
        <v>6</v>
      </c>
      <c r="V12" s="413" t="s">
        <v>638</v>
      </c>
      <c r="W12" s="410"/>
      <c r="X12" s="81"/>
      <c r="Y12" s="81"/>
      <c r="Z12" s="81"/>
      <c r="AA12" s="81"/>
      <c r="AB12" s="408"/>
      <c r="AC12" s="408"/>
    </row>
    <row r="13" spans="2:29" ht="30" x14ac:dyDescent="0.25">
      <c r="B13" s="473" t="s">
        <v>91</v>
      </c>
      <c r="C13" s="657"/>
      <c r="D13" s="657"/>
      <c r="E13" s="682">
        <v>24.22</v>
      </c>
      <c r="F13" s="682">
        <v>81.489999999999995</v>
      </c>
      <c r="G13" s="682">
        <v>171.47</v>
      </c>
      <c r="H13" s="682">
        <v>160.69</v>
      </c>
      <c r="I13" s="681">
        <v>28.899000000000001</v>
      </c>
      <c r="J13" s="681">
        <v>59</v>
      </c>
      <c r="K13" s="681">
        <v>57</v>
      </c>
      <c r="L13" s="681">
        <v>42</v>
      </c>
      <c r="N13" s="474" t="s">
        <v>17</v>
      </c>
      <c r="O13" s="595">
        <f>H15/AVERAGE(G23:H23)</f>
        <v>2.7253175453156808E-2</v>
      </c>
      <c r="P13" s="595">
        <f>I15/AVERAGE(I23,70555)</f>
        <v>2.9581389922392357E-2</v>
      </c>
      <c r="Q13" s="595">
        <f>J15/AVERAGE(I23:J23)</f>
        <v>3.0358809796119341E-2</v>
      </c>
      <c r="R13" s="595">
        <f t="shared" ref="R13:S13" si="9">K15/AVERAGE(J23:K23)</f>
        <v>2.8020574276337157E-2</v>
      </c>
      <c r="S13" s="595">
        <f t="shared" si="9"/>
        <v>2.3533005305550577E-2</v>
      </c>
      <c r="U13" s="392">
        <v>7</v>
      </c>
      <c r="V13" s="413" t="s">
        <v>639</v>
      </c>
      <c r="W13" s="410"/>
      <c r="X13" s="81"/>
      <c r="Y13" s="81"/>
      <c r="Z13" s="81"/>
      <c r="AA13" s="81"/>
      <c r="AB13" s="408"/>
      <c r="AC13" s="408"/>
    </row>
    <row r="14" spans="2:29" x14ac:dyDescent="0.25">
      <c r="B14" s="473" t="s">
        <v>25</v>
      </c>
      <c r="C14" s="653"/>
      <c r="D14" s="653"/>
      <c r="E14" s="681">
        <f t="shared" ref="E14:L14" si="10">E12+E13</f>
        <v>68806.3</v>
      </c>
      <c r="F14" s="681">
        <f t="shared" si="10"/>
        <v>87227.91</v>
      </c>
      <c r="G14" s="681">
        <f t="shared" si="10"/>
        <v>105743.59</v>
      </c>
      <c r="H14" s="681">
        <f t="shared" si="10"/>
        <v>110983.93000000001</v>
      </c>
      <c r="I14" s="681">
        <f t="shared" si="10"/>
        <v>10543.748</v>
      </c>
      <c r="J14" s="681">
        <f t="shared" si="10"/>
        <v>12753</v>
      </c>
      <c r="K14" s="681">
        <f t="shared" si="10"/>
        <v>17213</v>
      </c>
      <c r="L14" s="681">
        <f t="shared" si="10"/>
        <v>27642</v>
      </c>
      <c r="N14" s="475" t="s">
        <v>18</v>
      </c>
      <c r="O14" s="81"/>
      <c r="P14" s="81"/>
      <c r="Q14" s="81"/>
      <c r="R14" s="81"/>
      <c r="S14" s="81"/>
      <c r="U14" s="392">
        <v>8</v>
      </c>
      <c r="V14" s="108" t="s">
        <v>640</v>
      </c>
      <c r="W14" s="95" t="e">
        <f>W12/W13</f>
        <v>#DIV/0!</v>
      </c>
      <c r="X14" s="81"/>
      <c r="Y14" s="81"/>
      <c r="Z14" s="81"/>
      <c r="AA14" s="81"/>
      <c r="AB14" s="81"/>
      <c r="AC14" s="81"/>
    </row>
    <row r="15" spans="2:29" x14ac:dyDescent="0.25">
      <c r="B15" s="473" t="s">
        <v>26</v>
      </c>
      <c r="C15" s="653"/>
      <c r="D15" s="653"/>
      <c r="E15" s="677">
        <f>8975.53+420.86+5997.83</f>
        <v>15394.220000000001</v>
      </c>
      <c r="F15" s="677">
        <f>10289.55+430.89+7066.69</f>
        <v>17787.129999999997</v>
      </c>
      <c r="G15" s="677">
        <f>10062.5+507.12+7234.66</f>
        <v>17804.28</v>
      </c>
      <c r="H15" s="677">
        <f>10302.16+539.14+7421</f>
        <v>18262.3</v>
      </c>
      <c r="I15" s="681">
        <v>2117.6550000000002</v>
      </c>
      <c r="J15" s="681">
        <v>2393</v>
      </c>
      <c r="K15" s="681">
        <v>2890</v>
      </c>
      <c r="L15" s="681">
        <v>3544</v>
      </c>
      <c r="N15" s="474" t="s">
        <v>19</v>
      </c>
      <c r="O15" s="595">
        <f>H25/H24</f>
        <v>2.8902611838643736E-2</v>
      </c>
      <c r="P15" s="595">
        <f>I25/I24</f>
        <v>3.6884089195982413E-2</v>
      </c>
      <c r="Q15" s="595">
        <f t="shared" ref="Q15:S15" si="11">J25/J24</f>
        <v>3.188513652227469E-2</v>
      </c>
      <c r="R15" s="595">
        <f t="shared" si="11"/>
        <v>3.3558873147459506E-2</v>
      </c>
      <c r="S15" s="595">
        <f t="shared" si="11"/>
        <v>2.3402692778457773E-2</v>
      </c>
      <c r="U15" s="392">
        <v>9</v>
      </c>
      <c r="V15" s="108" t="s">
        <v>641</v>
      </c>
      <c r="W15" s="417"/>
      <c r="X15" s="81"/>
      <c r="Y15" s="81"/>
      <c r="Z15" s="81"/>
      <c r="AA15" s="81"/>
      <c r="AB15" s="408"/>
      <c r="AC15" s="408"/>
    </row>
    <row r="16" spans="2:29" x14ac:dyDescent="0.25">
      <c r="B16" s="473" t="s">
        <v>54</v>
      </c>
      <c r="C16" s="657"/>
      <c r="D16" s="657"/>
      <c r="E16" s="682">
        <f t="shared" ref="E16:H16" si="12">E12-E15</f>
        <v>53387.86</v>
      </c>
      <c r="F16" s="682">
        <f t="shared" si="12"/>
        <v>69359.290000000008</v>
      </c>
      <c r="G16" s="682">
        <f t="shared" si="12"/>
        <v>87767.84</v>
      </c>
      <c r="H16" s="682">
        <f t="shared" si="12"/>
        <v>92560.94</v>
      </c>
      <c r="I16" s="681">
        <f>I12-I15</f>
        <v>8397.1939999999995</v>
      </c>
      <c r="J16" s="681">
        <f>J12-J15</f>
        <v>10301</v>
      </c>
      <c r="K16" s="681">
        <f t="shared" ref="K16:L16" si="13">K12-K15</f>
        <v>14266</v>
      </c>
      <c r="L16" s="681">
        <f t="shared" si="13"/>
        <v>24056</v>
      </c>
      <c r="N16" s="474" t="s">
        <v>20</v>
      </c>
      <c r="O16" s="595">
        <f>H26/H24</f>
        <v>2.5842341358721762E-2</v>
      </c>
      <c r="P16" s="595">
        <f>I26/I24</f>
        <v>3.3093998979742502E-2</v>
      </c>
      <c r="Q16" s="595">
        <f t="shared" ref="Q16:S16" si="14">J26/J24</f>
        <v>2.8189796756312873E-2</v>
      </c>
      <c r="R16" s="595">
        <f t="shared" si="14"/>
        <v>2.754548587806338E-2</v>
      </c>
      <c r="S16" s="595">
        <f t="shared" si="14"/>
        <v>2.0342717258261932E-2</v>
      </c>
      <c r="U16" s="392">
        <v>10</v>
      </c>
      <c r="V16" s="108" t="s">
        <v>642</v>
      </c>
      <c r="W16" s="417">
        <v>0.30370000000000003</v>
      </c>
      <c r="X16" s="81"/>
      <c r="Y16" s="81"/>
      <c r="Z16" s="81"/>
      <c r="AA16" s="81"/>
      <c r="AB16" s="408"/>
      <c r="AC16" s="408"/>
    </row>
    <row r="17" spans="2:22" x14ac:dyDescent="0.25">
      <c r="B17" s="473" t="s">
        <v>94</v>
      </c>
      <c r="C17" s="657"/>
      <c r="D17" s="657"/>
      <c r="E17" s="682">
        <f t="shared" ref="E17:H17" si="15">E14-E15-E10</f>
        <v>31043.640000000003</v>
      </c>
      <c r="F17" s="682">
        <f t="shared" si="15"/>
        <v>41531.379999999997</v>
      </c>
      <c r="G17" s="682">
        <f t="shared" si="15"/>
        <v>51014.899999999994</v>
      </c>
      <c r="H17" s="682">
        <f t="shared" si="15"/>
        <v>54364.01</v>
      </c>
      <c r="I17" s="681">
        <f>I14-I15-I10</f>
        <v>4726.9529999999995</v>
      </c>
      <c r="J17" s="681">
        <f>J14-J15-J10</f>
        <v>5705</v>
      </c>
      <c r="K17" s="681">
        <f t="shared" ref="K17:L17" si="16">K14-K15-K10</f>
        <v>7894</v>
      </c>
      <c r="L17" s="681">
        <f t="shared" si="16"/>
        <v>14157</v>
      </c>
      <c r="N17" s="474" t="s">
        <v>21</v>
      </c>
      <c r="O17" s="595">
        <f t="shared" ref="O17" si="17">(O15-O16)/O15</f>
        <v>0.10588214300516234</v>
      </c>
      <c r="P17" s="595">
        <f>(P15-P16)/P15</f>
        <v>0.10275677938260558</v>
      </c>
      <c r="Q17" s="595">
        <f t="shared" ref="Q17:S17" si="18">(Q15-Q16)/Q15</f>
        <v>0.11589537223340046</v>
      </c>
      <c r="R17" s="595">
        <f t="shared" si="18"/>
        <v>0.17918918918918927</v>
      </c>
      <c r="S17" s="595">
        <f t="shared" si="18"/>
        <v>0.13075313807531391</v>
      </c>
      <c r="V17" s="414"/>
    </row>
    <row r="18" spans="2:22" x14ac:dyDescent="0.25">
      <c r="B18" s="473" t="s">
        <v>27</v>
      </c>
      <c r="C18" s="653"/>
      <c r="D18" s="653"/>
      <c r="E18" s="681">
        <v>275.48</v>
      </c>
      <c r="F18" s="677">
        <v>957.28</v>
      </c>
      <c r="G18" s="677">
        <v>949.77</v>
      </c>
      <c r="H18" s="677">
        <v>1270.47</v>
      </c>
      <c r="I18" s="681">
        <v>60.527000000000001</v>
      </c>
      <c r="J18" s="681">
        <v>198</v>
      </c>
      <c r="K18" s="681">
        <v>767</v>
      </c>
      <c r="L18" s="681">
        <v>470</v>
      </c>
      <c r="N18" s="474" t="s">
        <v>22</v>
      </c>
      <c r="O18" s="595">
        <f>H18/AVERAGE(G24:H24)</f>
        <v>2.2134536646611688E-3</v>
      </c>
      <c r="P18" s="595">
        <f>I18/AVERAGE(I24,60160)</f>
        <v>9.6695725867433451E-4</v>
      </c>
      <c r="Q18" s="595">
        <f t="shared" ref="Q18:S18" si="19">J18/AVERAGE(I24:J24)</f>
        <v>2.7698769059708349E-3</v>
      </c>
      <c r="R18" s="595">
        <f t="shared" si="19"/>
        <v>8.151336415324938E-3</v>
      </c>
      <c r="S18" s="595">
        <f t="shared" si="19"/>
        <v>3.4349945551682051E-3</v>
      </c>
      <c r="V18" s="415" t="s">
        <v>643</v>
      </c>
    </row>
    <row r="19" spans="2:22" x14ac:dyDescent="0.25">
      <c r="B19" s="473" t="s">
        <v>55</v>
      </c>
      <c r="C19" s="653"/>
      <c r="D19" s="653"/>
      <c r="E19" s="681">
        <v>19721.419999999998</v>
      </c>
      <c r="F19" s="677">
        <v>30183</v>
      </c>
      <c r="G19" s="682">
        <v>37221.78</v>
      </c>
      <c r="H19" s="682">
        <v>39543.040000000001</v>
      </c>
      <c r="I19" s="681">
        <v>3473.5309999999999</v>
      </c>
      <c r="J19" s="681">
        <v>4050</v>
      </c>
      <c r="K19" s="681">
        <v>5201</v>
      </c>
      <c r="L19" s="681">
        <v>10134</v>
      </c>
      <c r="N19" s="81"/>
      <c r="O19" s="81"/>
      <c r="P19" s="81"/>
      <c r="Q19" s="81"/>
      <c r="R19" s="81"/>
      <c r="S19" s="81"/>
      <c r="V19" s="416" t="s">
        <v>644</v>
      </c>
    </row>
    <row r="20" spans="2:22" x14ac:dyDescent="0.25">
      <c r="B20" s="473" t="s">
        <v>28</v>
      </c>
      <c r="C20" s="653"/>
      <c r="D20" s="653"/>
      <c r="E20" s="681">
        <v>97927.19</v>
      </c>
      <c r="F20" s="677">
        <v>115718.13</v>
      </c>
      <c r="G20" s="677">
        <v>152388.93</v>
      </c>
      <c r="H20" s="677">
        <v>183445.72</v>
      </c>
      <c r="I20" s="681">
        <v>21061.928</v>
      </c>
      <c r="J20" s="681">
        <v>24253</v>
      </c>
      <c r="K20" s="681">
        <v>26724</v>
      </c>
      <c r="L20" s="681">
        <v>34081</v>
      </c>
      <c r="N20" s="475" t="s">
        <v>30</v>
      </c>
      <c r="O20" s="81"/>
      <c r="P20" s="81"/>
      <c r="Q20" s="81"/>
      <c r="R20" s="81"/>
      <c r="S20" s="81"/>
    </row>
    <row r="21" spans="2:22" ht="30" x14ac:dyDescent="0.25">
      <c r="B21" s="473" t="s">
        <v>56</v>
      </c>
      <c r="C21" s="653"/>
      <c r="D21" s="653"/>
      <c r="E21" s="681">
        <f t="shared" ref="E21:I21" si="20">E20-E72</f>
        <v>97927.19</v>
      </c>
      <c r="F21" s="682">
        <f t="shared" si="20"/>
        <v>115718.13</v>
      </c>
      <c r="G21" s="682">
        <f t="shared" si="20"/>
        <v>152388.93</v>
      </c>
      <c r="H21" s="682">
        <f t="shared" si="20"/>
        <v>183445.72</v>
      </c>
      <c r="I21" s="681">
        <f t="shared" si="20"/>
        <v>21061.928</v>
      </c>
      <c r="J21" s="681">
        <f>J20</f>
        <v>24253</v>
      </c>
      <c r="K21" s="681">
        <f t="shared" ref="K21:L21" si="21">K20</f>
        <v>26724</v>
      </c>
      <c r="L21" s="681">
        <f t="shared" si="21"/>
        <v>34081</v>
      </c>
      <c r="N21" s="477" t="s">
        <v>95</v>
      </c>
      <c r="O21" s="675">
        <f>H17/AVERAGE(G23:H23)</f>
        <v>8.1128439619717746E-2</v>
      </c>
      <c r="P21" s="675">
        <f>I17/AVERAGE(I23,70555)</f>
        <v>6.6030510086781027E-2</v>
      </c>
      <c r="Q21" s="675">
        <f t="shared" ref="Q21:S21" si="22">J17/AVERAGE(I23:J23)</f>
        <v>7.2376518966511011E-2</v>
      </c>
      <c r="R21" s="675">
        <f t="shared" si="22"/>
        <v>7.6537859286299484E-2</v>
      </c>
      <c r="S21" s="675">
        <f t="shared" si="22"/>
        <v>9.4005856690372314E-2</v>
      </c>
    </row>
    <row r="22" spans="2:22" x14ac:dyDescent="0.25">
      <c r="B22" s="473" t="s">
        <v>57</v>
      </c>
      <c r="C22" s="659"/>
      <c r="D22" s="659"/>
      <c r="E22" s="677">
        <f>79869.53+184174.79+4287.2</f>
        <v>268331.52000000002</v>
      </c>
      <c r="F22" s="677">
        <f>99618.81+268705.85+2975.76</f>
        <v>371300.42</v>
      </c>
      <c r="G22" s="677">
        <f>137960.58+319405.81+2096.37</f>
        <v>459462.76</v>
      </c>
      <c r="H22" s="677">
        <f>124978.88+371709.88+1423.74</f>
        <v>498112.5</v>
      </c>
      <c r="I22" s="681">
        <v>49734.307000000001</v>
      </c>
      <c r="J22" s="681">
        <v>58783</v>
      </c>
      <c r="K22" s="681">
        <v>89820</v>
      </c>
      <c r="L22" s="681">
        <v>138443</v>
      </c>
      <c r="N22" s="474" t="s">
        <v>31</v>
      </c>
      <c r="O22" s="595">
        <f>H19/AVERAGE(G23:H23)</f>
        <v>5.9010825967769548E-2</v>
      </c>
      <c r="P22" s="595">
        <f>I19/AVERAGE(I23,70555)</f>
        <v>4.8521536755759286E-2</v>
      </c>
      <c r="Q22" s="595">
        <f t="shared" ref="Q22:S22" si="23">J19/AVERAGE(I23:J23)</f>
        <v>5.1380350887707198E-2</v>
      </c>
      <c r="R22" s="595">
        <f t="shared" si="23"/>
        <v>5.0427337996965249E-2</v>
      </c>
      <c r="S22" s="595">
        <f t="shared" si="23"/>
        <v>6.7292177135002684E-2</v>
      </c>
    </row>
    <row r="23" spans="2:22" x14ac:dyDescent="0.25">
      <c r="B23" s="473" t="s">
        <v>29</v>
      </c>
      <c r="C23" s="653"/>
      <c r="D23" s="653"/>
      <c r="E23" s="681">
        <v>380687</v>
      </c>
      <c r="F23" s="677">
        <v>504596.54</v>
      </c>
      <c r="G23" s="677">
        <v>634649.24</v>
      </c>
      <c r="H23" s="677">
        <v>705546.88</v>
      </c>
      <c r="I23" s="681">
        <v>72619.813999999998</v>
      </c>
      <c r="J23" s="681">
        <v>85028</v>
      </c>
      <c r="K23" s="681">
        <v>121249</v>
      </c>
      <c r="L23" s="681">
        <v>179945</v>
      </c>
      <c r="N23" s="474" t="s">
        <v>32</v>
      </c>
      <c r="O23" s="595">
        <f>H19/AVERAGE(G20:H20)</f>
        <v>0.23549112636233335</v>
      </c>
      <c r="P23" s="595">
        <f>I19/AVERAGE(I20,18347)</f>
        <v>0.17628142536635352</v>
      </c>
      <c r="Q23" s="595">
        <f t="shared" ref="Q23:S23" si="24">J19/AVERAGE(I20:J20)</f>
        <v>0.17874904269957131</v>
      </c>
      <c r="R23" s="595">
        <f t="shared" si="24"/>
        <v>0.2040528081291563</v>
      </c>
      <c r="S23" s="595">
        <f t="shared" si="24"/>
        <v>0.33332785132801579</v>
      </c>
    </row>
    <row r="24" spans="2:22" x14ac:dyDescent="0.25">
      <c r="B24" s="473" t="s">
        <v>58</v>
      </c>
      <c r="C24" s="653"/>
      <c r="D24" s="653"/>
      <c r="E24" s="681">
        <v>355688.41</v>
      </c>
      <c r="F24" s="677">
        <v>431468.92</v>
      </c>
      <c r="G24" s="677">
        <v>546891.4</v>
      </c>
      <c r="H24" s="677">
        <v>601061.25</v>
      </c>
      <c r="I24" s="681">
        <v>65030.642</v>
      </c>
      <c r="J24" s="681">
        <v>77936</v>
      </c>
      <c r="K24" s="681">
        <v>110254</v>
      </c>
      <c r="L24" s="681">
        <v>163400</v>
      </c>
      <c r="N24" s="475" t="s">
        <v>33</v>
      </c>
      <c r="O24" s="81"/>
      <c r="P24" s="81"/>
      <c r="Q24" s="81"/>
      <c r="R24" s="81"/>
      <c r="S24" s="81"/>
    </row>
    <row r="25" spans="2:22" x14ac:dyDescent="0.25">
      <c r="B25" s="473" t="s">
        <v>59</v>
      </c>
      <c r="C25" s="657"/>
      <c r="D25" s="657"/>
      <c r="E25" s="682">
        <v>9326</v>
      </c>
      <c r="F25" s="682">
        <v>8991.5400000000009</v>
      </c>
      <c r="G25" s="682">
        <v>4641.3900000000003</v>
      </c>
      <c r="H25" s="682">
        <v>17372.240000000002</v>
      </c>
      <c r="I25" s="681">
        <v>2398.596</v>
      </c>
      <c r="J25" s="681">
        <v>2485</v>
      </c>
      <c r="K25" s="681">
        <v>3700</v>
      </c>
      <c r="L25" s="681">
        <v>3824</v>
      </c>
      <c r="N25" s="474" t="s">
        <v>34</v>
      </c>
      <c r="O25" s="595">
        <f>H7/AVERAGE(G24:H24)</f>
        <v>0.18826001229231887</v>
      </c>
      <c r="P25" s="595">
        <f>I7/AVERAGE(I24,60160)</f>
        <v>0.16213338054452983</v>
      </c>
      <c r="Q25" s="595">
        <f t="shared" ref="Q25:S25" si="25">J7/AVERAGE(I24:J24)</f>
        <v>0.17047333321293229</v>
      </c>
      <c r="R25" s="595">
        <f t="shared" si="25"/>
        <v>0.17562038365481694</v>
      </c>
      <c r="S25" s="595">
        <f t="shared" si="25"/>
        <v>0.19781183538336733</v>
      </c>
    </row>
    <row r="26" spans="2:22" x14ac:dyDescent="0.25">
      <c r="B26" s="473" t="s">
        <v>60</v>
      </c>
      <c r="C26" s="657"/>
      <c r="D26" s="657"/>
      <c r="E26" s="682">
        <v>8031.04</v>
      </c>
      <c r="F26" s="682">
        <v>8035.94</v>
      </c>
      <c r="G26" s="682">
        <v>4035.88</v>
      </c>
      <c r="H26" s="682">
        <v>15532.83</v>
      </c>
      <c r="I26" s="681">
        <v>2152.1239999999998</v>
      </c>
      <c r="J26" s="681">
        <v>2197</v>
      </c>
      <c r="K26" s="681">
        <v>3037</v>
      </c>
      <c r="L26" s="681">
        <v>3324</v>
      </c>
      <c r="N26" s="474" t="s">
        <v>35</v>
      </c>
      <c r="O26" s="595">
        <f>H10/AVERAGE(G22:H22)</f>
        <v>8.0114058084583356E-2</v>
      </c>
      <c r="P26" s="595">
        <f>I10/AVERAGE(I22,49811)</f>
        <v>7.4320731162143078E-2</v>
      </c>
      <c r="Q26" s="595">
        <f t="shared" ref="Q26:S26" si="26">J10/AVERAGE(I22:J22)</f>
        <v>8.5792766678222124E-2</v>
      </c>
      <c r="R26" s="595">
        <f t="shared" si="26"/>
        <v>8.6525844027374954E-2</v>
      </c>
      <c r="S26" s="595">
        <f t="shared" si="26"/>
        <v>8.7101282292793833E-2</v>
      </c>
    </row>
    <row r="27" spans="2:22" x14ac:dyDescent="0.25">
      <c r="N27" s="474" t="s">
        <v>36</v>
      </c>
      <c r="O27" s="82">
        <f t="shared" ref="O27:S27" si="27">O25-O26</f>
        <v>0.10814595420773551</v>
      </c>
      <c r="P27" s="82">
        <f t="shared" si="27"/>
        <v>8.7812649382386754E-2</v>
      </c>
      <c r="Q27" s="82">
        <f t="shared" si="27"/>
        <v>8.4680566534710164E-2</v>
      </c>
      <c r="R27" s="82">
        <f t="shared" si="27"/>
        <v>8.9094539627441988E-2</v>
      </c>
      <c r="S27" s="82">
        <f t="shared" si="27"/>
        <v>0.1107105530905735</v>
      </c>
    </row>
    <row r="28" spans="2:22" ht="15" customHeight="1" x14ac:dyDescent="0.25"/>
    <row r="29" spans="2:22" ht="117" customHeight="1" x14ac:dyDescent="0.25">
      <c r="B29" s="739" t="s">
        <v>208</v>
      </c>
      <c r="C29" s="739"/>
      <c r="D29" s="739"/>
      <c r="E29" s="739"/>
      <c r="F29" s="739"/>
      <c r="G29" s="739"/>
      <c r="H29" s="739"/>
      <c r="I29" s="739"/>
      <c r="J29" s="739"/>
      <c r="K29" s="739"/>
      <c r="L29" s="739"/>
    </row>
    <row r="30" spans="2:22" x14ac:dyDescent="0.25">
      <c r="B30" s="442"/>
      <c r="C30" s="442"/>
      <c r="D30" s="442"/>
      <c r="E30" s="442"/>
      <c r="F30" s="442"/>
      <c r="G30" s="442"/>
      <c r="H30" s="442"/>
      <c r="I30" s="647"/>
      <c r="J30" s="647"/>
      <c r="K30" s="647"/>
      <c r="L30" s="647"/>
    </row>
    <row r="31" spans="2:22" x14ac:dyDescent="0.25">
      <c r="B31" s="442"/>
      <c r="C31" s="442"/>
      <c r="D31" s="442"/>
      <c r="E31" s="442"/>
      <c r="F31" s="442"/>
      <c r="G31" s="442"/>
      <c r="H31" s="442"/>
      <c r="I31" s="647"/>
      <c r="J31" s="647"/>
      <c r="K31" s="647"/>
      <c r="L31" s="647"/>
    </row>
    <row r="32" spans="2:22" x14ac:dyDescent="0.25">
      <c r="B32" s="442"/>
      <c r="C32" s="442"/>
      <c r="D32" s="442"/>
      <c r="E32" s="442"/>
      <c r="F32" s="442"/>
      <c r="G32" s="442"/>
      <c r="H32" s="442"/>
      <c r="I32" s="647"/>
      <c r="J32" s="647"/>
      <c r="K32" s="647"/>
      <c r="L32" s="647"/>
    </row>
    <row r="33" spans="2:12" x14ac:dyDescent="0.25">
      <c r="B33" s="442"/>
      <c r="C33" s="442"/>
      <c r="D33" s="442"/>
      <c r="E33" s="442"/>
      <c r="F33" s="442"/>
      <c r="G33" s="442"/>
      <c r="H33" s="442"/>
      <c r="I33" s="647"/>
      <c r="J33" s="647"/>
      <c r="K33" s="647"/>
      <c r="L33" s="647"/>
    </row>
    <row r="34" spans="2:12" x14ac:dyDescent="0.25">
      <c r="B34" s="442"/>
      <c r="C34" s="442"/>
      <c r="D34" s="442"/>
      <c r="E34" s="442"/>
      <c r="F34" s="442"/>
      <c r="G34" s="442"/>
      <c r="H34" s="442"/>
      <c r="I34" s="647"/>
      <c r="J34" s="647"/>
      <c r="K34" s="647"/>
      <c r="L34" s="647"/>
    </row>
    <row r="35" spans="2:12" x14ac:dyDescent="0.25">
      <c r="B35" s="442"/>
      <c r="C35" s="442"/>
      <c r="D35" s="442"/>
      <c r="E35" s="442"/>
      <c r="F35" s="442"/>
      <c r="G35" s="442"/>
      <c r="H35" s="442"/>
      <c r="I35" s="647"/>
      <c r="J35" s="647"/>
      <c r="K35" s="647"/>
      <c r="L35" s="647"/>
    </row>
  </sheetData>
  <mergeCells count="5">
    <mergeCell ref="B29:L29"/>
    <mergeCell ref="K2:L2"/>
    <mergeCell ref="B3:B5"/>
    <mergeCell ref="U4:V5"/>
    <mergeCell ref="W6:AC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A35"/>
  <sheetViews>
    <sheetView showGridLines="0" zoomScale="85" workbookViewId="0">
      <selection activeCell="H7" sqref="H7"/>
    </sheetView>
  </sheetViews>
  <sheetFormatPr defaultRowHeight="15" x14ac:dyDescent="0.25"/>
  <cols>
    <col min="1" max="1" width="1.85546875" customWidth="1"/>
    <col min="2" max="2" width="31.140625" bestFit="1" customWidth="1"/>
    <col min="3" max="4" width="0" hidden="1" customWidth="1"/>
    <col min="5" max="11" width="15.7109375" customWidth="1"/>
    <col min="13" max="13" width="31.28515625" customWidth="1"/>
    <col min="14" max="18" width="16.140625" customWidth="1"/>
    <col min="19" max="19" width="5.7109375" bestFit="1" customWidth="1"/>
    <col min="20" max="20" width="37.140625" bestFit="1" customWidth="1"/>
    <col min="21" max="21" width="27.85546875" bestFit="1" customWidth="1"/>
    <col min="22" max="22" width="34.42578125" bestFit="1" customWidth="1"/>
    <col min="23" max="24" width="12.28515625" bestFit="1" customWidth="1"/>
    <col min="25" max="25" width="23.42578125" bestFit="1" customWidth="1"/>
    <col min="26" max="26" width="23.140625" bestFit="1" customWidth="1"/>
    <col min="27" max="27" width="25.42578125" bestFit="1" customWidth="1"/>
  </cols>
  <sheetData>
    <row r="2" spans="2:27" x14ac:dyDescent="0.25">
      <c r="B2" s="414" t="s">
        <v>769</v>
      </c>
      <c r="H2" s="660"/>
      <c r="I2" s="660"/>
      <c r="J2" s="660"/>
      <c r="K2" s="665" t="s">
        <v>111</v>
      </c>
      <c r="N2" s="666" t="s">
        <v>492</v>
      </c>
      <c r="O2" s="666" t="s">
        <v>623</v>
      </c>
      <c r="P2" s="666" t="s">
        <v>700</v>
      </c>
      <c r="Q2" s="666" t="s">
        <v>701</v>
      </c>
    </row>
    <row r="3" spans="2:27" x14ac:dyDescent="0.25">
      <c r="B3" s="729" t="s">
        <v>4</v>
      </c>
      <c r="C3" s="472" t="s">
        <v>43</v>
      </c>
      <c r="D3" s="472" t="s">
        <v>41</v>
      </c>
      <c r="E3" s="471" t="s">
        <v>42</v>
      </c>
      <c r="F3" s="471" t="s">
        <v>495</v>
      </c>
      <c r="G3" s="471" t="s">
        <v>556</v>
      </c>
      <c r="H3" s="471" t="s">
        <v>495</v>
      </c>
      <c r="I3" s="471" t="s">
        <v>556</v>
      </c>
      <c r="J3" s="471" t="s">
        <v>571</v>
      </c>
      <c r="K3" s="471" t="s">
        <v>572</v>
      </c>
      <c r="M3" s="475" t="s">
        <v>6</v>
      </c>
      <c r="N3" s="81"/>
      <c r="O3" s="81"/>
      <c r="P3" s="81"/>
      <c r="Q3" s="81"/>
      <c r="R3" s="667"/>
      <c r="U3" s="403"/>
      <c r="V3" s="403"/>
      <c r="W3" s="403"/>
      <c r="X3" s="403"/>
      <c r="Y3" s="403"/>
    </row>
    <row r="4" spans="2:27" x14ac:dyDescent="0.25">
      <c r="B4" s="729"/>
      <c r="C4" s="472" t="s">
        <v>46</v>
      </c>
      <c r="D4" s="652" t="s">
        <v>47</v>
      </c>
      <c r="E4" s="472" t="s">
        <v>46</v>
      </c>
      <c r="F4" s="472" t="s">
        <v>46</v>
      </c>
      <c r="G4" s="472" t="s">
        <v>46</v>
      </c>
      <c r="H4" s="471" t="s">
        <v>46</v>
      </c>
      <c r="I4" s="471" t="s">
        <v>46</v>
      </c>
      <c r="J4" s="471" t="s">
        <v>46</v>
      </c>
      <c r="K4" s="471" t="s">
        <v>46</v>
      </c>
      <c r="M4" s="474" t="s">
        <v>11</v>
      </c>
      <c r="N4" s="573">
        <v>0.13312948640508265</v>
      </c>
      <c r="O4" s="573">
        <v>0.14114776515000027</v>
      </c>
      <c r="P4" s="573">
        <f>J11/AVERAGE(I24:J24)</f>
        <v>0.13872079541303348</v>
      </c>
      <c r="Q4" s="573">
        <f>K11/AVERAGE(J24:K24)</f>
        <v>9.9735314397562225E-2</v>
      </c>
      <c r="R4" s="668"/>
      <c r="S4" s="746" t="s">
        <v>624</v>
      </c>
      <c r="T4" s="746"/>
      <c r="U4" s="404" t="s">
        <v>625</v>
      </c>
      <c r="V4" s="404" t="s">
        <v>626</v>
      </c>
      <c r="W4" s="404" t="s">
        <v>627</v>
      </c>
      <c r="X4" s="404" t="s">
        <v>628</v>
      </c>
      <c r="Y4" s="404" t="s">
        <v>629</v>
      </c>
      <c r="Z4" s="404" t="s">
        <v>630</v>
      </c>
      <c r="AA4" s="404" t="s">
        <v>631</v>
      </c>
    </row>
    <row r="5" spans="2:27" x14ac:dyDescent="0.25">
      <c r="B5" s="729"/>
      <c r="C5" s="472" t="s">
        <v>48</v>
      </c>
      <c r="D5" s="472" t="s">
        <v>48</v>
      </c>
      <c r="E5" s="480" t="s">
        <v>49</v>
      </c>
      <c r="F5" s="480" t="s">
        <v>49</v>
      </c>
      <c r="G5" s="480" t="s">
        <v>49</v>
      </c>
      <c r="H5" s="621" t="s">
        <v>49</v>
      </c>
      <c r="I5" s="621" t="s">
        <v>49</v>
      </c>
      <c r="J5" s="621" t="s">
        <v>49</v>
      </c>
      <c r="K5" s="621" t="s">
        <v>49</v>
      </c>
      <c r="M5" s="475" t="s">
        <v>12</v>
      </c>
      <c r="N5" s="575"/>
      <c r="O5" s="575"/>
      <c r="P5" s="575"/>
      <c r="Q5" s="575"/>
      <c r="S5" s="746"/>
      <c r="T5" s="746"/>
      <c r="U5" s="405"/>
      <c r="V5" s="405"/>
      <c r="W5" s="405"/>
      <c r="X5" s="405"/>
      <c r="Y5" s="405"/>
      <c r="Z5" s="405"/>
      <c r="AA5" s="405"/>
    </row>
    <row r="6" spans="2:27" x14ac:dyDescent="0.25">
      <c r="B6" s="473" t="s">
        <v>23</v>
      </c>
      <c r="C6" s="653"/>
      <c r="D6" s="654"/>
      <c r="E6" s="81">
        <v>45627.99</v>
      </c>
      <c r="F6" s="81">
        <v>48017.82</v>
      </c>
      <c r="G6" s="81">
        <v>58299.1</v>
      </c>
      <c r="H6" s="663">
        <v>4827</v>
      </c>
      <c r="I6" s="663">
        <v>5855</v>
      </c>
      <c r="J6" s="663">
        <v>6914</v>
      </c>
      <c r="K6" s="663">
        <v>7653</v>
      </c>
      <c r="M6" s="474" t="s">
        <v>13</v>
      </c>
      <c r="N6" s="579">
        <v>2.1413701565762149</v>
      </c>
      <c r="O6" s="579">
        <v>2.1928271648317326</v>
      </c>
      <c r="P6" s="579">
        <f>J22/J21</f>
        <v>2.3852191551283184</v>
      </c>
      <c r="Q6" s="579">
        <f>K22/K21</f>
        <v>3.196753410813542</v>
      </c>
      <c r="R6" s="220"/>
      <c r="S6" s="639" t="s">
        <v>632</v>
      </c>
      <c r="T6" s="639" t="s">
        <v>557</v>
      </c>
      <c r="U6" s="745" t="s">
        <v>633</v>
      </c>
      <c r="V6" s="745"/>
      <c r="W6" s="745"/>
      <c r="X6" s="745"/>
      <c r="Y6" s="745"/>
      <c r="Z6" s="745"/>
      <c r="AA6" s="745"/>
    </row>
    <row r="7" spans="2:27" x14ac:dyDescent="0.25">
      <c r="B7" s="473" t="s">
        <v>50</v>
      </c>
      <c r="C7" s="653"/>
      <c r="D7" s="654"/>
      <c r="E7" s="655">
        <v>45166.96</v>
      </c>
      <c r="F7" s="655">
        <f>47409.14-1.25-743.46</f>
        <v>46664.43</v>
      </c>
      <c r="G7" s="661">
        <f>57205.6-148.41-605.92</f>
        <v>56451.27</v>
      </c>
      <c r="H7" s="662">
        <v>4666</v>
      </c>
      <c r="I7" s="662">
        <v>5664</v>
      </c>
      <c r="J7" s="662">
        <v>6694</v>
      </c>
      <c r="K7" s="664">
        <v>7437</v>
      </c>
      <c r="M7" s="474" t="s">
        <v>14</v>
      </c>
      <c r="N7" s="575">
        <v>0.317</v>
      </c>
      <c r="O7" s="575">
        <v>0.30580000000000002</v>
      </c>
      <c r="P7" s="575">
        <v>0.30909999999999999</v>
      </c>
      <c r="Q7" s="575">
        <v>0.21299999999999999</v>
      </c>
      <c r="R7" s="80"/>
      <c r="S7" s="392">
        <v>1</v>
      </c>
      <c r="T7" s="108" t="s">
        <v>646</v>
      </c>
      <c r="U7" s="418">
        <v>0.13919999999999999</v>
      </c>
      <c r="V7" s="418">
        <v>0.15240000000000001</v>
      </c>
      <c r="W7" s="81"/>
      <c r="X7" s="81"/>
      <c r="Y7" s="417">
        <v>0.12859999999999999</v>
      </c>
      <c r="Z7" s="417">
        <v>0.14449999999999999</v>
      </c>
      <c r="AA7" s="417">
        <v>0.1331</v>
      </c>
    </row>
    <row r="8" spans="2:27" x14ac:dyDescent="0.25">
      <c r="B8" s="473" t="s">
        <v>51</v>
      </c>
      <c r="C8" s="653"/>
      <c r="D8" s="654"/>
      <c r="E8" s="655">
        <v>0</v>
      </c>
      <c r="F8" s="655"/>
      <c r="G8" s="655"/>
      <c r="H8" s="662">
        <v>0</v>
      </c>
      <c r="I8" s="662">
        <v>0</v>
      </c>
      <c r="J8" s="662">
        <v>0</v>
      </c>
      <c r="K8" s="662">
        <v>0</v>
      </c>
      <c r="M8" s="474" t="s">
        <v>15</v>
      </c>
      <c r="N8" s="573">
        <v>0.36305093341432115</v>
      </c>
      <c r="O8" s="573">
        <v>0.34907520929231828</v>
      </c>
      <c r="P8" s="573">
        <f>J21/J24</f>
        <v>0.336568714752152</v>
      </c>
      <c r="Q8" s="573">
        <f>K21/K24</f>
        <v>0.28156790211282634</v>
      </c>
      <c r="R8" s="668"/>
      <c r="S8" s="392">
        <v>2</v>
      </c>
      <c r="T8" s="108" t="s">
        <v>634</v>
      </c>
      <c r="U8" s="410">
        <v>428.33</v>
      </c>
      <c r="V8" s="410">
        <v>318.33</v>
      </c>
      <c r="W8" s="410">
        <v>564.4</v>
      </c>
      <c r="X8" s="410">
        <v>380.9</v>
      </c>
      <c r="Y8" s="81"/>
      <c r="Z8" s="411">
        <v>1657.8</v>
      </c>
      <c r="AA8" s="412">
        <v>1266.3</v>
      </c>
    </row>
    <row r="9" spans="2:27" x14ac:dyDescent="0.25">
      <c r="B9" s="473" t="s">
        <v>52</v>
      </c>
      <c r="C9" s="653"/>
      <c r="D9" s="654"/>
      <c r="E9" s="655">
        <f t="shared" ref="E9:G9" si="0">E6-E7-E8</f>
        <v>461.02999999999884</v>
      </c>
      <c r="F9" s="655">
        <f t="shared" si="0"/>
        <v>1353.3899999999994</v>
      </c>
      <c r="G9" s="655">
        <f t="shared" si="0"/>
        <v>1847.8300000000017</v>
      </c>
      <c r="H9" s="662">
        <f>H6-H7</f>
        <v>161</v>
      </c>
      <c r="I9" s="662">
        <f t="shared" ref="I9" si="1">I6-I7</f>
        <v>191</v>
      </c>
      <c r="J9" s="662">
        <v>214</v>
      </c>
      <c r="K9" s="662">
        <v>206</v>
      </c>
      <c r="M9" s="475" t="s">
        <v>16</v>
      </c>
      <c r="N9" s="575"/>
      <c r="O9" s="575"/>
      <c r="P9" s="575"/>
      <c r="Q9" s="575"/>
      <c r="S9" s="392">
        <v>3</v>
      </c>
      <c r="T9" s="108" t="s">
        <v>635</v>
      </c>
      <c r="U9" s="417">
        <v>1.9300000000000001E-2</v>
      </c>
      <c r="V9" s="417">
        <v>1.9900000000000001E-2</v>
      </c>
      <c r="W9" s="81"/>
      <c r="X9" s="81"/>
      <c r="Y9" s="417">
        <v>1.3299999999999999E-2</v>
      </c>
      <c r="Z9" s="417">
        <v>1.9300000000000001E-2</v>
      </c>
      <c r="AA9" s="417">
        <v>1.3299999999999999E-2</v>
      </c>
    </row>
    <row r="10" spans="2:27" ht="47.25" customHeight="1" x14ac:dyDescent="0.25">
      <c r="B10" s="473" t="s">
        <v>24</v>
      </c>
      <c r="C10" s="653"/>
      <c r="D10" s="653"/>
      <c r="E10" s="655">
        <v>13918.02</v>
      </c>
      <c r="F10" s="655">
        <v>14984.12</v>
      </c>
      <c r="G10" s="655">
        <v>18281.2</v>
      </c>
      <c r="H10" s="662">
        <v>1498</v>
      </c>
      <c r="I10" s="662">
        <v>1776</v>
      </c>
      <c r="J10" s="662">
        <v>2327</v>
      </c>
      <c r="K10" s="662">
        <v>2953</v>
      </c>
      <c r="M10" s="474" t="s">
        <v>93</v>
      </c>
      <c r="N10" s="576">
        <v>0.47740882795448286</v>
      </c>
      <c r="O10" s="576">
        <v>0.42393528895819127</v>
      </c>
      <c r="P10" s="576">
        <f>J15/(J12-J10)</f>
        <v>0.4254529578694608</v>
      </c>
      <c r="Q10" s="576">
        <f>K15/(K12-K10)</f>
        <v>0.45330490405117269</v>
      </c>
      <c r="R10" s="669"/>
      <c r="S10" s="392">
        <v>4</v>
      </c>
      <c r="T10" s="108" t="s">
        <v>636</v>
      </c>
      <c r="U10" s="417">
        <v>1.7000000000000001E-2</v>
      </c>
      <c r="V10" s="417">
        <v>1.7500000000000002E-2</v>
      </c>
      <c r="W10" s="81"/>
      <c r="X10" s="81"/>
      <c r="Y10" s="417">
        <v>1.15E-2</v>
      </c>
      <c r="Z10" s="417">
        <v>1.7000000000000001E-2</v>
      </c>
      <c r="AA10" s="417">
        <v>1.15E-2</v>
      </c>
    </row>
    <row r="11" spans="2:27" ht="30" x14ac:dyDescent="0.25">
      <c r="B11" s="473" t="s">
        <v>53</v>
      </c>
      <c r="C11" s="657">
        <f t="shared" ref="C11:E11" si="2">C7-C10</f>
        <v>0</v>
      </c>
      <c r="D11" s="657">
        <f t="shared" si="2"/>
        <v>0</v>
      </c>
      <c r="E11" s="658">
        <f t="shared" si="2"/>
        <v>31248.94</v>
      </c>
      <c r="F11" s="658">
        <f>F7-F10</f>
        <v>31680.309999999998</v>
      </c>
      <c r="G11" s="658">
        <f>G7-G10</f>
        <v>38170.069999999992</v>
      </c>
      <c r="H11" s="662">
        <v>3168</v>
      </c>
      <c r="I11" s="662">
        <v>3888</v>
      </c>
      <c r="J11" s="662">
        <v>4367</v>
      </c>
      <c r="K11" s="662">
        <f>K7-K10</f>
        <v>4484</v>
      </c>
      <c r="M11" s="474" t="s">
        <v>92</v>
      </c>
      <c r="N11" s="573">
        <v>0.32843181968694124</v>
      </c>
      <c r="O11" s="573">
        <v>0.29099934647361625</v>
      </c>
      <c r="P11" s="573">
        <f>J15/J12</f>
        <v>0.28213665315576142</v>
      </c>
      <c r="Q11" s="573">
        <f>K15/K12</f>
        <v>0.27816302499018708</v>
      </c>
      <c r="R11" s="668"/>
      <c r="S11" s="392">
        <v>5</v>
      </c>
      <c r="T11" s="108" t="s">
        <v>637</v>
      </c>
      <c r="U11" s="417">
        <v>3.8999999999999998E-3</v>
      </c>
      <c r="V11" s="417">
        <v>4.3E-3</v>
      </c>
      <c r="W11" s="81"/>
      <c r="X11" s="81"/>
      <c r="Y11" s="417">
        <v>6.9999999999999999E-4</v>
      </c>
      <c r="Z11" s="417">
        <v>4.0000000000000001E-3</v>
      </c>
      <c r="AA11" s="417">
        <v>1.9E-3</v>
      </c>
    </row>
    <row r="12" spans="2:27" ht="30" x14ac:dyDescent="0.25">
      <c r="B12" s="473" t="s">
        <v>1</v>
      </c>
      <c r="C12" s="657">
        <f>C6-C10</f>
        <v>0</v>
      </c>
      <c r="D12" s="657">
        <f t="shared" ref="D12" si="3">SUM(D7:D9)</f>
        <v>0</v>
      </c>
      <c r="E12" s="658">
        <f>SUM(E7:E9)</f>
        <v>45627.99</v>
      </c>
      <c r="F12" s="658">
        <f>SUM(F7:F9)</f>
        <v>48017.82</v>
      </c>
      <c r="G12" s="658">
        <f>SUM(G7:G9)</f>
        <v>58299.1</v>
      </c>
      <c r="H12" s="662">
        <f t="shared" ref="H12:K12" si="4">SUM(H7:H9)</f>
        <v>4827</v>
      </c>
      <c r="I12" s="662">
        <f t="shared" si="4"/>
        <v>5855</v>
      </c>
      <c r="J12" s="662">
        <f t="shared" si="4"/>
        <v>6908</v>
      </c>
      <c r="K12" s="662">
        <f t="shared" si="4"/>
        <v>7643</v>
      </c>
      <c r="M12" s="474" t="s">
        <v>17</v>
      </c>
      <c r="N12" s="573">
        <v>5.6015315736101912E-2</v>
      </c>
      <c r="O12" s="573">
        <v>5.3593322496309673E-2</v>
      </c>
      <c r="P12" s="573">
        <f>J15/AVERAGE(I23:J23)</f>
        <v>5.286929159489482E-2</v>
      </c>
      <c r="Q12" s="573">
        <f>K15/AVERAGE(J23:K23)</f>
        <v>3.9594003166030359E-2</v>
      </c>
      <c r="R12" s="668"/>
      <c r="S12" s="392">
        <v>6</v>
      </c>
      <c r="T12" s="413" t="s">
        <v>638</v>
      </c>
      <c r="U12" s="410"/>
      <c r="V12" s="81"/>
      <c r="W12" s="81"/>
      <c r="X12" s="81"/>
      <c r="Y12" s="81"/>
      <c r="Z12" s="408"/>
      <c r="AA12" s="408"/>
    </row>
    <row r="13" spans="2:27" ht="30" x14ac:dyDescent="0.25">
      <c r="B13" s="473" t="s">
        <v>91</v>
      </c>
      <c r="C13" s="657"/>
      <c r="D13" s="657"/>
      <c r="E13" s="658">
        <v>241.98</v>
      </c>
      <c r="F13" s="658">
        <v>250.76</v>
      </c>
      <c r="G13" s="658">
        <v>247.3</v>
      </c>
      <c r="H13" s="662">
        <v>0</v>
      </c>
      <c r="I13" s="662">
        <v>0</v>
      </c>
      <c r="J13" s="662">
        <v>6</v>
      </c>
      <c r="K13" s="662">
        <v>11</v>
      </c>
      <c r="M13" s="475" t="s">
        <v>18</v>
      </c>
      <c r="N13" s="575"/>
      <c r="O13" s="575"/>
      <c r="P13" s="575"/>
      <c r="Q13" s="575"/>
      <c r="S13" s="392">
        <v>7</v>
      </c>
      <c r="T13" s="413" t="s">
        <v>639</v>
      </c>
      <c r="U13" s="410"/>
      <c r="V13" s="81"/>
      <c r="W13" s="81"/>
      <c r="X13" s="81"/>
      <c r="Y13" s="81"/>
      <c r="Z13" s="408"/>
      <c r="AA13" s="408"/>
    </row>
    <row r="14" spans="2:27" x14ac:dyDescent="0.25">
      <c r="B14" s="473" t="s">
        <v>25</v>
      </c>
      <c r="C14" s="653"/>
      <c r="D14" s="653"/>
      <c r="E14" s="656">
        <f t="shared" ref="E14:K14" si="5">E12+E13</f>
        <v>45869.97</v>
      </c>
      <c r="F14" s="656">
        <f t="shared" si="5"/>
        <v>48268.58</v>
      </c>
      <c r="G14" s="656">
        <f t="shared" si="5"/>
        <v>58546.400000000001</v>
      </c>
      <c r="H14" s="662">
        <f t="shared" si="5"/>
        <v>4827</v>
      </c>
      <c r="I14" s="662">
        <f t="shared" si="5"/>
        <v>5855</v>
      </c>
      <c r="J14" s="662">
        <f t="shared" si="5"/>
        <v>6914</v>
      </c>
      <c r="K14" s="662">
        <f t="shared" si="5"/>
        <v>7654</v>
      </c>
      <c r="M14" s="474" t="s">
        <v>19</v>
      </c>
      <c r="N14" s="573">
        <v>1.2981548737782685E-2</v>
      </c>
      <c r="O14" s="573">
        <v>1.862504448361444E-2</v>
      </c>
      <c r="P14" s="573">
        <f>J25/J24</f>
        <v>2.6447016918967052E-2</v>
      </c>
      <c r="Q14" s="573">
        <f>K25/K24</f>
        <v>1.7624670982428682E-2</v>
      </c>
      <c r="R14" s="668"/>
      <c r="S14" s="392">
        <v>8</v>
      </c>
      <c r="T14" s="108" t="s">
        <v>640</v>
      </c>
      <c r="U14" s="95" t="e">
        <f>U12/U13</f>
        <v>#DIV/0!</v>
      </c>
      <c r="V14" s="81"/>
      <c r="W14" s="81"/>
      <c r="X14" s="81"/>
      <c r="Y14" s="81"/>
      <c r="Z14" s="81"/>
      <c r="AA14" s="81"/>
    </row>
    <row r="15" spans="2:27" x14ac:dyDescent="0.25">
      <c r="B15" s="473" t="s">
        <v>26</v>
      </c>
      <c r="C15" s="653"/>
      <c r="D15" s="653"/>
      <c r="E15" s="655">
        <f>260.16+8083.81+1574.6+3728.58</f>
        <v>13647.150000000001</v>
      </c>
      <c r="F15" s="655">
        <f>254.3+10025.7+1626.15+3864.43</f>
        <v>15770.58</v>
      </c>
      <c r="G15" s="655">
        <f>505.5+10221.7+1878.3+4359.5</f>
        <v>16965</v>
      </c>
      <c r="H15" s="662">
        <v>1577</v>
      </c>
      <c r="I15" s="662">
        <v>1749</v>
      </c>
      <c r="J15" s="662">
        <v>1949</v>
      </c>
      <c r="K15" s="662">
        <v>2126</v>
      </c>
      <c r="M15" s="474" t="s">
        <v>20</v>
      </c>
      <c r="N15" s="573">
        <v>1.0327085558963472E-2</v>
      </c>
      <c r="O15" s="573">
        <v>1.5513056845843001E-2</v>
      </c>
      <c r="P15" s="573">
        <f>J26/J24</f>
        <v>2.2350845948352627E-2</v>
      </c>
      <c r="Q15" s="573">
        <f>K26/K24</f>
        <v>1.4974745678309739E-2</v>
      </c>
      <c r="R15" s="668"/>
      <c r="S15" s="392">
        <v>9</v>
      </c>
      <c r="T15" s="108" t="s">
        <v>641</v>
      </c>
      <c r="U15" s="417">
        <v>2.0278</v>
      </c>
      <c r="V15" s="81"/>
      <c r="W15" s="81"/>
      <c r="X15" s="81"/>
      <c r="Y15" s="81"/>
      <c r="Z15" s="408"/>
      <c r="AA15" s="408"/>
    </row>
    <row r="16" spans="2:27" x14ac:dyDescent="0.25">
      <c r="B16" s="473" t="s">
        <v>54</v>
      </c>
      <c r="C16" s="657"/>
      <c r="D16" s="657"/>
      <c r="E16" s="658">
        <f t="shared" ref="E16" si="6">E12-E15</f>
        <v>31980.839999999997</v>
      </c>
      <c r="F16" s="658">
        <f>F12-F15</f>
        <v>32247.239999999998</v>
      </c>
      <c r="G16" s="658">
        <f>G12-G15</f>
        <v>41334.1</v>
      </c>
      <c r="H16" s="662">
        <f t="shared" ref="H16:K16" si="7">H12-H15</f>
        <v>3250</v>
      </c>
      <c r="I16" s="662">
        <f t="shared" si="7"/>
        <v>4106</v>
      </c>
      <c r="J16" s="662">
        <f t="shared" si="7"/>
        <v>4959</v>
      </c>
      <c r="K16" s="662">
        <f t="shared" si="7"/>
        <v>5517</v>
      </c>
      <c r="M16" s="474" t="s">
        <v>21</v>
      </c>
      <c r="N16" s="573">
        <v>0.20447969902800736</v>
      </c>
      <c r="O16" s="573">
        <v>0.16708618551269719</v>
      </c>
      <c r="P16" s="573">
        <f t="shared" ref="P16" si="8">(P14-P15)/P14</f>
        <v>0.15488215488215487</v>
      </c>
      <c r="Q16" s="573">
        <f t="shared" ref="Q16" si="9">(Q14-Q15)/Q14</f>
        <v>0.15035317860746714</v>
      </c>
      <c r="R16" s="668"/>
      <c r="S16" s="392">
        <v>10</v>
      </c>
      <c r="T16" s="108" t="s">
        <v>642</v>
      </c>
      <c r="U16" s="417">
        <v>0.30580000000000002</v>
      </c>
      <c r="V16" s="81"/>
      <c r="W16" s="81"/>
      <c r="X16" s="81"/>
      <c r="Y16" s="81"/>
      <c r="Z16" s="408"/>
      <c r="AA16" s="408"/>
    </row>
    <row r="17" spans="2:20" x14ac:dyDescent="0.25">
      <c r="B17" s="473" t="s">
        <v>94</v>
      </c>
      <c r="C17" s="657"/>
      <c r="D17" s="657"/>
      <c r="E17" s="658">
        <f t="shared" ref="E17" si="10">E14-E15-E10</f>
        <v>18304.8</v>
      </c>
      <c r="F17" s="658">
        <f>F14-F15-F10</f>
        <v>17513.879999999997</v>
      </c>
      <c r="G17" s="658">
        <f>G14-G15-G10</f>
        <v>23300.2</v>
      </c>
      <c r="H17" s="662">
        <f t="shared" ref="H17:K17" si="11">H14-H15-H10</f>
        <v>1752</v>
      </c>
      <c r="I17" s="662">
        <f t="shared" si="11"/>
        <v>2330</v>
      </c>
      <c r="J17" s="662">
        <f t="shared" si="11"/>
        <v>2638</v>
      </c>
      <c r="K17" s="662">
        <f t="shared" si="11"/>
        <v>2575</v>
      </c>
      <c r="M17" s="474" t="s">
        <v>22</v>
      </c>
      <c r="N17" s="573">
        <v>1.8935467037453312E-3</v>
      </c>
      <c r="O17" s="573">
        <v>4.0084856386849782E-3</v>
      </c>
      <c r="P17" s="573">
        <f>J18/AVERAGE(I24:J24)</f>
        <v>8.3543781070821617E-3</v>
      </c>
      <c r="Q17" s="573">
        <f>K18/AVERAGE(J24:K24)</f>
        <v>1.1899730865900042E-2</v>
      </c>
      <c r="R17" s="668"/>
      <c r="T17" s="414"/>
    </row>
    <row r="18" spans="2:20" x14ac:dyDescent="0.25">
      <c r="B18" s="473" t="s">
        <v>27</v>
      </c>
      <c r="C18" s="653"/>
      <c r="D18" s="653"/>
      <c r="E18" s="655">
        <v>807.01</v>
      </c>
      <c r="F18" s="655">
        <v>450.6</v>
      </c>
      <c r="G18" s="655">
        <v>1084</v>
      </c>
      <c r="H18" s="662">
        <v>45</v>
      </c>
      <c r="I18" s="662">
        <v>108</v>
      </c>
      <c r="J18" s="662">
        <v>263</v>
      </c>
      <c r="K18" s="662">
        <v>535</v>
      </c>
      <c r="M18" s="475" t="s">
        <v>30</v>
      </c>
      <c r="N18" s="575"/>
      <c r="O18" s="575"/>
      <c r="P18" s="575"/>
      <c r="Q18" s="575"/>
      <c r="T18" s="415" t="s">
        <v>643</v>
      </c>
    </row>
    <row r="19" spans="2:20" ht="30" x14ac:dyDescent="0.25">
      <c r="B19" s="473" t="s">
        <v>55</v>
      </c>
      <c r="C19" s="653"/>
      <c r="D19" s="653"/>
      <c r="E19" s="658">
        <v>13045.17</v>
      </c>
      <c r="F19" s="658">
        <v>12662.63</v>
      </c>
      <c r="G19" s="658">
        <v>16577.7</v>
      </c>
      <c r="H19" s="662">
        <v>1266</v>
      </c>
      <c r="I19" s="662">
        <v>1658</v>
      </c>
      <c r="J19" s="662">
        <v>1783</v>
      </c>
      <c r="K19" s="662">
        <v>1525</v>
      </c>
      <c r="M19" s="476" t="s">
        <v>95</v>
      </c>
      <c r="N19" s="578">
        <v>6.2207320083611406E-2</v>
      </c>
      <c r="O19" s="578">
        <v>7.3606550711966673E-2</v>
      </c>
      <c r="P19" s="578">
        <f>J17/AVERAGE(I23:J23)</f>
        <v>7.1559359275183448E-2</v>
      </c>
      <c r="Q19" s="578">
        <f>K17/AVERAGE(J23:K23)</f>
        <v>4.7956048049166589E-2</v>
      </c>
      <c r="R19" s="670"/>
      <c r="T19" s="416" t="s">
        <v>644</v>
      </c>
    </row>
    <row r="20" spans="2:20" x14ac:dyDescent="0.25">
      <c r="B20" s="473" t="s">
        <v>28</v>
      </c>
      <c r="C20" s="653"/>
      <c r="D20" s="653"/>
      <c r="E20" s="655">
        <f>1692.79+77735.99</f>
        <v>79428.78</v>
      </c>
      <c r="F20" s="655">
        <f>1692.79+88106.29</f>
        <v>89799.079999999987</v>
      </c>
      <c r="G20" s="655">
        <v>102456</v>
      </c>
      <c r="H20" s="662">
        <v>8885</v>
      </c>
      <c r="I20" s="662">
        <v>10246</v>
      </c>
      <c r="J20" s="662">
        <v>11682</v>
      </c>
      <c r="K20" s="662">
        <v>15832</v>
      </c>
      <c r="M20" s="474" t="s">
        <v>31</v>
      </c>
      <c r="N20" s="573">
        <v>4.4976228997249061E-2</v>
      </c>
      <c r="O20" s="573">
        <v>5.2369821535341754E-2</v>
      </c>
      <c r="P20" s="573">
        <f>J19/AVERAGE(I23:J23)</f>
        <v>4.8366314475986383E-2</v>
      </c>
      <c r="Q20" s="573">
        <f>K19/AVERAGE(J23:K23)</f>
        <v>2.8401154669894776E-2</v>
      </c>
      <c r="R20" s="668"/>
    </row>
    <row r="21" spans="2:20" x14ac:dyDescent="0.25">
      <c r="B21" s="473" t="s">
        <v>56</v>
      </c>
      <c r="C21" s="653"/>
      <c r="D21" s="653"/>
      <c r="E21" s="658">
        <f t="shared" ref="E21:F21" si="12">E20-E72</f>
        <v>79428.78</v>
      </c>
      <c r="F21" s="658">
        <f t="shared" si="12"/>
        <v>89799.079999999987</v>
      </c>
      <c r="G21" s="658">
        <v>102456</v>
      </c>
      <c r="H21" s="662">
        <v>8627</v>
      </c>
      <c r="I21" s="662">
        <v>9812</v>
      </c>
      <c r="J21" s="662">
        <v>11339</v>
      </c>
      <c r="K21" s="662">
        <f>K20</f>
        <v>15832</v>
      </c>
      <c r="M21" s="474" t="s">
        <v>32</v>
      </c>
      <c r="N21" s="573">
        <v>0.14965183628747655</v>
      </c>
      <c r="O21" s="573">
        <v>0.17245526100012548</v>
      </c>
      <c r="P21" s="573">
        <f>J19/AVERAGE(I20:J20)</f>
        <v>0.16262313024443634</v>
      </c>
      <c r="Q21" s="573">
        <f>K19/AVERAGE(J20:K20)</f>
        <v>0.11085265682925056</v>
      </c>
      <c r="R21" s="668"/>
    </row>
    <row r="22" spans="2:20" x14ac:dyDescent="0.25">
      <c r="B22" s="473" t="s">
        <v>57</v>
      </c>
      <c r="C22" s="659"/>
      <c r="D22" s="659"/>
      <c r="E22" s="655">
        <f>78032.83+101220.85+6</f>
        <v>179259.68</v>
      </c>
      <c r="F22" s="655">
        <f>49608.07+142685</f>
        <v>192293.07</v>
      </c>
      <c r="G22" s="655">
        <v>224668.3</v>
      </c>
      <c r="H22" s="662">
        <v>19229</v>
      </c>
      <c r="I22" s="662">
        <v>22467</v>
      </c>
      <c r="J22" s="662">
        <v>27046</v>
      </c>
      <c r="K22" s="662">
        <v>50611</v>
      </c>
      <c r="M22" s="475" t="s">
        <v>33</v>
      </c>
      <c r="N22" s="575"/>
      <c r="O22" s="575"/>
      <c r="P22" s="575"/>
      <c r="Q22" s="575"/>
    </row>
    <row r="23" spans="2:20" x14ac:dyDescent="0.25">
      <c r="B23" s="473" t="s">
        <v>29</v>
      </c>
      <c r="C23" s="653"/>
      <c r="D23" s="653"/>
      <c r="E23" s="655">
        <v>269705.94</v>
      </c>
      <c r="F23" s="655">
        <v>293375.06</v>
      </c>
      <c r="G23" s="655">
        <v>339726.2</v>
      </c>
      <c r="H23" s="662">
        <v>29338</v>
      </c>
      <c r="I23" s="662">
        <v>33893</v>
      </c>
      <c r="J23" s="662">
        <v>39836</v>
      </c>
      <c r="K23" s="662">
        <v>67554</v>
      </c>
      <c r="M23" s="474" t="s">
        <v>34</v>
      </c>
      <c r="N23" s="573">
        <v>0.19609693210975307</v>
      </c>
      <c r="O23" s="573">
        <v>0.20874917442853147</v>
      </c>
      <c r="P23" s="573">
        <f>J7/AVERAGE(I24:J24)</f>
        <v>0.21263957052778704</v>
      </c>
      <c r="Q23" s="573">
        <f>K7/AVERAGE(J24:K24)</f>
        <v>0.16541738027981048</v>
      </c>
      <c r="R23" s="668"/>
    </row>
    <row r="24" spans="2:20" x14ac:dyDescent="0.25">
      <c r="B24" s="473" t="s">
        <v>58</v>
      </c>
      <c r="C24" s="653"/>
      <c r="D24" s="653"/>
      <c r="E24" s="655">
        <v>228586.6</v>
      </c>
      <c r="F24" s="655">
        <v>247345.68</v>
      </c>
      <c r="G24" s="655">
        <v>293506.95</v>
      </c>
      <c r="H24" s="662">
        <v>24735</v>
      </c>
      <c r="I24" s="662">
        <v>29271</v>
      </c>
      <c r="J24" s="662">
        <v>33690</v>
      </c>
      <c r="K24" s="662">
        <v>56228</v>
      </c>
      <c r="M24" s="474" t="s">
        <v>35</v>
      </c>
      <c r="N24" s="573">
        <v>8.0656757351412423E-2</v>
      </c>
      <c r="O24" s="573">
        <v>8.7687739514094559E-2</v>
      </c>
      <c r="P24" s="573">
        <f>J10/AVERAGE(I22:J22)</f>
        <v>9.3995516329044904E-2</v>
      </c>
      <c r="Q24" s="573">
        <f>K10/AVERAGE(J22:K22)</f>
        <v>7.6052384202325615E-2</v>
      </c>
      <c r="R24" s="668"/>
    </row>
    <row r="25" spans="2:20" x14ac:dyDescent="0.25">
      <c r="B25" s="473" t="s">
        <v>59</v>
      </c>
      <c r="C25" s="657"/>
      <c r="D25" s="657"/>
      <c r="E25" s="658">
        <v>6622.94</v>
      </c>
      <c r="F25" s="658">
        <v>3210.93</v>
      </c>
      <c r="G25" s="658">
        <v>5466.58</v>
      </c>
      <c r="H25" s="662">
        <v>321</v>
      </c>
      <c r="I25" s="662">
        <v>547</v>
      </c>
      <c r="J25" s="662">
        <v>891</v>
      </c>
      <c r="K25" s="662">
        <v>991</v>
      </c>
      <c r="M25" s="474" t="s">
        <v>36</v>
      </c>
      <c r="N25" s="575">
        <v>0.11544017475834065</v>
      </c>
      <c r="O25" s="575">
        <v>0.12106143491443691</v>
      </c>
      <c r="P25" s="575">
        <f t="shared" ref="P25" si="13">P23-P24</f>
        <v>0.11864405419874213</v>
      </c>
      <c r="Q25" s="575">
        <f t="shared" ref="Q25" si="14">Q23-Q24</f>
        <v>8.9364996077484868E-2</v>
      </c>
      <c r="R25" s="80"/>
    </row>
    <row r="26" spans="2:20" x14ac:dyDescent="0.25">
      <c r="B26" s="473" t="s">
        <v>60</v>
      </c>
      <c r="C26" s="657"/>
      <c r="D26" s="657"/>
      <c r="E26" s="658">
        <v>5673.93</v>
      </c>
      <c r="F26" s="658">
        <v>2554.36</v>
      </c>
      <c r="G26" s="658">
        <v>4553.1899999999996</v>
      </c>
      <c r="H26" s="662">
        <v>255</v>
      </c>
      <c r="I26" s="662">
        <v>456</v>
      </c>
      <c r="J26" s="662">
        <v>753</v>
      </c>
      <c r="K26" s="662">
        <v>842</v>
      </c>
      <c r="M26" s="671"/>
    </row>
    <row r="32" spans="2:20" x14ac:dyDescent="0.25">
      <c r="B32" s="732" t="s">
        <v>209</v>
      </c>
      <c r="C32" s="732"/>
      <c r="D32" s="732"/>
      <c r="E32" s="732"/>
      <c r="F32" s="732"/>
      <c r="G32" s="732"/>
      <c r="H32" s="732"/>
      <c r="I32" s="732"/>
      <c r="J32" s="732"/>
      <c r="K32" s="732"/>
    </row>
    <row r="33" spans="2:11" x14ac:dyDescent="0.25">
      <c r="B33" s="732"/>
      <c r="C33" s="732"/>
      <c r="D33" s="732"/>
      <c r="E33" s="732"/>
      <c r="F33" s="732"/>
      <c r="G33" s="732"/>
      <c r="H33" s="732"/>
      <c r="I33" s="732"/>
      <c r="J33" s="732"/>
      <c r="K33" s="732"/>
    </row>
    <row r="34" spans="2:11" x14ac:dyDescent="0.25">
      <c r="B34" s="732"/>
      <c r="C34" s="732"/>
      <c r="D34" s="732"/>
      <c r="E34" s="732"/>
      <c r="F34" s="732"/>
      <c r="G34" s="732"/>
      <c r="H34" s="732"/>
      <c r="I34" s="732"/>
      <c r="J34" s="732"/>
      <c r="K34" s="732"/>
    </row>
    <row r="35" spans="2:11" x14ac:dyDescent="0.25">
      <c r="B35" s="732"/>
      <c r="C35" s="732"/>
      <c r="D35" s="732"/>
      <c r="E35" s="732"/>
      <c r="F35" s="732"/>
      <c r="G35" s="732"/>
      <c r="H35" s="732"/>
      <c r="I35" s="732"/>
      <c r="J35" s="732"/>
      <c r="K35" s="732"/>
    </row>
  </sheetData>
  <mergeCells count="4">
    <mergeCell ref="B3:B5"/>
    <mergeCell ref="B32:K35"/>
    <mergeCell ref="S4:T5"/>
    <mergeCell ref="U6:AA6"/>
  </mergeCells>
  <pageMargins left="0.7" right="0.7" top="0.75" bottom="0.75" header="0.3" footer="0.3"/>
  <ignoredErrors>
    <ignoredError sqref="J12:K12"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X49"/>
  <sheetViews>
    <sheetView showGridLines="0" zoomScale="86" workbookViewId="0">
      <selection activeCell="J14" sqref="J14"/>
    </sheetView>
  </sheetViews>
  <sheetFormatPr defaultRowHeight="15" x14ac:dyDescent="0.25"/>
  <cols>
    <col min="1" max="1" width="1.85546875" customWidth="1"/>
    <col min="2" max="2" width="33.85546875" customWidth="1"/>
    <col min="3" max="6" width="11" customWidth="1"/>
    <col min="7" max="7" width="10.28515625" bestFit="1" customWidth="1"/>
    <col min="9" max="9" width="32.140625" customWidth="1"/>
    <col min="10" max="13" width="12.42578125" customWidth="1"/>
    <col min="16" max="16" width="5.7109375" bestFit="1" customWidth="1"/>
    <col min="17" max="17" width="36.7109375" bestFit="1" customWidth="1"/>
    <col min="18" max="18" width="27.5703125" bestFit="1" customWidth="1"/>
    <col min="19" max="19" width="34.140625" bestFit="1" customWidth="1"/>
    <col min="20" max="21" width="12.140625" bestFit="1" customWidth="1"/>
    <col min="22" max="22" width="23.140625" bestFit="1" customWidth="1"/>
    <col min="23" max="23" width="22.85546875" bestFit="1" customWidth="1"/>
    <col min="24" max="24" width="25.140625" bestFit="1" customWidth="1"/>
  </cols>
  <sheetData>
    <row r="1" spans="2:24" x14ac:dyDescent="0.25">
      <c r="F1" s="713" t="s">
        <v>111</v>
      </c>
      <c r="G1" s="713"/>
    </row>
    <row r="2" spans="2:24" ht="20.25" customHeight="1" x14ac:dyDescent="0.25">
      <c r="B2" s="758" t="s">
        <v>749</v>
      </c>
      <c r="C2" s="758"/>
      <c r="D2" s="758"/>
      <c r="E2" s="758"/>
      <c r="F2" s="758"/>
      <c r="G2" s="758"/>
      <c r="I2" s="92" t="s">
        <v>4</v>
      </c>
      <c r="J2" s="565" t="s">
        <v>492</v>
      </c>
      <c r="K2" s="565" t="s">
        <v>623</v>
      </c>
      <c r="L2" s="565" t="s">
        <v>700</v>
      </c>
      <c r="M2" s="565" t="s">
        <v>701</v>
      </c>
      <c r="N2" s="565" t="s">
        <v>721</v>
      </c>
    </row>
    <row r="3" spans="2:24" ht="15" customHeight="1" x14ac:dyDescent="0.25">
      <c r="B3" s="729" t="s">
        <v>4</v>
      </c>
      <c r="C3" s="471" t="s">
        <v>495</v>
      </c>
      <c r="D3" s="471" t="s">
        <v>556</v>
      </c>
      <c r="E3" s="471" t="s">
        <v>571</v>
      </c>
      <c r="F3" s="471" t="s">
        <v>572</v>
      </c>
      <c r="G3" s="471" t="s">
        <v>721</v>
      </c>
      <c r="I3" s="475" t="s">
        <v>6</v>
      </c>
      <c r="J3" s="81"/>
      <c r="K3" s="81"/>
      <c r="L3" s="81"/>
      <c r="M3" s="81"/>
      <c r="N3" s="81"/>
      <c r="R3" s="403"/>
      <c r="S3" s="403"/>
      <c r="T3" s="403"/>
      <c r="U3" s="403"/>
      <c r="V3" s="403"/>
    </row>
    <row r="4" spans="2:24" ht="15" customHeight="1" x14ac:dyDescent="0.25">
      <c r="B4" s="729"/>
      <c r="C4" s="472" t="s">
        <v>46</v>
      </c>
      <c r="D4" s="472" t="s">
        <v>46</v>
      </c>
      <c r="E4" s="472" t="s">
        <v>46</v>
      </c>
      <c r="F4" s="472" t="s">
        <v>46</v>
      </c>
      <c r="G4" s="472" t="s">
        <v>96</v>
      </c>
      <c r="I4" s="474" t="s">
        <v>11</v>
      </c>
      <c r="J4" s="599">
        <f>C11/AVERAGE(C24:C24)</f>
        <v>6.0310266689907618E-2</v>
      </c>
      <c r="K4" s="599">
        <f>D11/AVERAGE(C24:D24)</f>
        <v>4.9023680930619026E-2</v>
      </c>
      <c r="L4" s="599">
        <f t="shared" ref="L4:M4" si="0">E11/AVERAGE(D24:E24)</f>
        <v>5.9875018165964251E-2</v>
      </c>
      <c r="M4" s="599">
        <f t="shared" si="0"/>
        <v>8.3760265008038515E-2</v>
      </c>
      <c r="N4" s="595"/>
      <c r="P4" s="741" t="s">
        <v>624</v>
      </c>
      <c r="Q4" s="742"/>
      <c r="R4" s="404" t="s">
        <v>625</v>
      </c>
      <c r="S4" s="404" t="s">
        <v>626</v>
      </c>
      <c r="T4" s="404" t="s">
        <v>627</v>
      </c>
      <c r="U4" s="404" t="s">
        <v>628</v>
      </c>
      <c r="V4" s="404" t="s">
        <v>629</v>
      </c>
      <c r="W4" s="404" t="s">
        <v>630</v>
      </c>
      <c r="X4" s="404" t="s">
        <v>631</v>
      </c>
    </row>
    <row r="5" spans="2:24" ht="15" customHeight="1" x14ac:dyDescent="0.25">
      <c r="B5" s="729"/>
      <c r="C5" s="480" t="s">
        <v>49</v>
      </c>
      <c r="D5" s="480" t="s">
        <v>49</v>
      </c>
      <c r="E5" s="480" t="s">
        <v>49</v>
      </c>
      <c r="F5" s="480" t="s">
        <v>49</v>
      </c>
      <c r="G5" s="480"/>
      <c r="I5" s="475" t="s">
        <v>12</v>
      </c>
      <c r="J5" s="600"/>
      <c r="K5" s="600"/>
      <c r="L5" s="600"/>
      <c r="M5" s="600"/>
      <c r="N5" s="81"/>
      <c r="P5" s="743"/>
      <c r="Q5" s="744"/>
      <c r="R5" s="405"/>
      <c r="S5" s="405"/>
      <c r="T5" s="405"/>
      <c r="U5" s="405"/>
      <c r="V5" s="405"/>
      <c r="W5" s="405"/>
      <c r="X5" s="405"/>
    </row>
    <row r="6" spans="2:24" ht="15" customHeight="1" x14ac:dyDescent="0.25">
      <c r="B6" s="473" t="s">
        <v>23</v>
      </c>
      <c r="C6" s="596">
        <v>969</v>
      </c>
      <c r="D6" s="596">
        <v>1104</v>
      </c>
      <c r="E6" s="597">
        <v>1404</v>
      </c>
      <c r="F6" s="597">
        <v>1392.8917000000001</v>
      </c>
      <c r="G6" s="521"/>
      <c r="I6" s="474" t="s">
        <v>13</v>
      </c>
      <c r="J6" s="601">
        <f>C22/C21</f>
        <v>2.2159300184162061</v>
      </c>
      <c r="K6" s="601">
        <f t="shared" ref="K6:M6" si="1">D22/D21</f>
        <v>2.6647577092511012</v>
      </c>
      <c r="L6" s="601">
        <f t="shared" si="1"/>
        <v>2.4664764621968618</v>
      </c>
      <c r="M6" s="601">
        <f t="shared" si="1"/>
        <v>1.7353724651457543</v>
      </c>
      <c r="N6" s="84"/>
      <c r="P6" s="406" t="s">
        <v>632</v>
      </c>
      <c r="Q6" s="406" t="s">
        <v>557</v>
      </c>
      <c r="R6" s="745" t="s">
        <v>633</v>
      </c>
      <c r="S6" s="745"/>
      <c r="T6" s="745"/>
      <c r="U6" s="745"/>
      <c r="V6" s="745"/>
      <c r="W6" s="745"/>
      <c r="X6" s="745"/>
    </row>
    <row r="7" spans="2:24" ht="15" customHeight="1" x14ac:dyDescent="0.25">
      <c r="B7" s="473" t="s">
        <v>50</v>
      </c>
      <c r="C7" s="596">
        <v>864</v>
      </c>
      <c r="D7" s="596">
        <v>876</v>
      </c>
      <c r="E7" s="521">
        <v>1153</v>
      </c>
      <c r="F7" s="521">
        <v>1262.5166000000002</v>
      </c>
      <c r="G7" s="521"/>
      <c r="I7" s="474" t="s">
        <v>14</v>
      </c>
      <c r="J7" s="600">
        <v>0.315</v>
      </c>
      <c r="K7" s="600">
        <v>0.28899999999999998</v>
      </c>
      <c r="L7" s="600">
        <v>0.28499999999999998</v>
      </c>
      <c r="M7" s="600">
        <v>0.36099999999999999</v>
      </c>
      <c r="N7" s="82"/>
      <c r="P7" s="392">
        <v>1</v>
      </c>
      <c r="Q7" s="108" t="s">
        <v>646</v>
      </c>
      <c r="R7" s="418">
        <v>5.7799999999999997E-2</v>
      </c>
      <c r="S7" s="418">
        <v>5.79E-2</v>
      </c>
      <c r="T7" s="81"/>
      <c r="U7" s="81"/>
      <c r="V7" s="417">
        <v>5.7200000000000001E-2</v>
      </c>
      <c r="W7" s="417">
        <v>5.6899999999999999E-2</v>
      </c>
      <c r="X7" s="417">
        <v>5.2900000000000003E-2</v>
      </c>
    </row>
    <row r="8" spans="2:24" ht="15" customHeight="1" x14ac:dyDescent="0.25">
      <c r="B8" s="473" t="s">
        <v>51</v>
      </c>
      <c r="C8" s="596">
        <v>26</v>
      </c>
      <c r="D8" s="596">
        <v>39</v>
      </c>
      <c r="E8" s="521">
        <v>44</v>
      </c>
      <c r="F8" s="521" t="s">
        <v>465</v>
      </c>
      <c r="G8" s="521"/>
      <c r="I8" s="474" t="s">
        <v>15</v>
      </c>
      <c r="J8" s="599">
        <f>C21/C24</f>
        <v>0.37859508453895763</v>
      </c>
      <c r="K8" s="599">
        <f t="shared" ref="K8:M8" si="2">D21/D24</f>
        <v>0.36043188313750396</v>
      </c>
      <c r="L8" s="599">
        <f t="shared" si="2"/>
        <v>0.37566988210075025</v>
      </c>
      <c r="M8" s="599">
        <f t="shared" si="2"/>
        <v>0.40203301829919014</v>
      </c>
      <c r="N8" s="81"/>
      <c r="P8" s="392">
        <v>2</v>
      </c>
      <c r="Q8" s="108" t="s">
        <v>634</v>
      </c>
      <c r="R8" s="410">
        <v>19.57</v>
      </c>
      <c r="S8" s="410">
        <v>10.62</v>
      </c>
      <c r="T8" s="410">
        <v>10.51</v>
      </c>
      <c r="U8" s="410">
        <v>30.91</v>
      </c>
      <c r="V8" s="81"/>
      <c r="W8" s="411">
        <v>71.61</v>
      </c>
      <c r="X8" s="412">
        <v>187.27</v>
      </c>
    </row>
    <row r="9" spans="2:24" ht="15" customHeight="1" x14ac:dyDescent="0.25">
      <c r="B9" s="473" t="s">
        <v>52</v>
      </c>
      <c r="C9" s="596">
        <v>79</v>
      </c>
      <c r="D9" s="596">
        <v>189</v>
      </c>
      <c r="E9" s="521">
        <v>207</v>
      </c>
      <c r="F9" s="521">
        <v>130.3751</v>
      </c>
      <c r="G9" s="521"/>
      <c r="I9" s="475" t="s">
        <v>16</v>
      </c>
      <c r="J9" s="600"/>
      <c r="K9" s="600"/>
      <c r="L9" s="600"/>
      <c r="M9" s="600"/>
      <c r="N9" s="81"/>
      <c r="P9" s="392">
        <v>3</v>
      </c>
      <c r="Q9" s="108" t="s">
        <v>635</v>
      </c>
      <c r="R9" s="417">
        <v>4.9700000000000001E-2</v>
      </c>
      <c r="S9" s="417">
        <v>6.4500000000000002E-2</v>
      </c>
      <c r="T9" s="81"/>
      <c r="U9" s="81"/>
      <c r="V9" s="417">
        <v>8.09E-2</v>
      </c>
      <c r="W9" s="417">
        <v>4.9700000000000001E-2</v>
      </c>
      <c r="X9" s="417">
        <v>8.09E-2</v>
      </c>
    </row>
    <row r="10" spans="2:24" ht="30" customHeight="1" x14ac:dyDescent="0.25">
      <c r="B10" s="473" t="s">
        <v>24</v>
      </c>
      <c r="C10" s="596">
        <v>518</v>
      </c>
      <c r="D10" s="596">
        <v>581</v>
      </c>
      <c r="E10" s="521">
        <v>741</v>
      </c>
      <c r="F10" s="521">
        <v>621.16</v>
      </c>
      <c r="G10" s="521"/>
      <c r="I10" s="476" t="s">
        <v>93</v>
      </c>
      <c r="J10" s="483">
        <f>C15/(C12-C10)</f>
        <v>0.72727272727272729</v>
      </c>
      <c r="K10" s="483">
        <f>D15/(D12-D10)</f>
        <v>0.74378585086042071</v>
      </c>
      <c r="L10" s="483">
        <f>E15/(E12-E10)</f>
        <v>0.72549019607843135</v>
      </c>
      <c r="M10" s="483">
        <f>F15/(F12-F10)</f>
        <v>0.65560686440637328</v>
      </c>
      <c r="N10" s="81"/>
      <c r="P10" s="392">
        <v>4</v>
      </c>
      <c r="Q10" s="108" t="s">
        <v>636</v>
      </c>
      <c r="R10" s="417">
        <v>2.0899999999999998E-2</v>
      </c>
      <c r="S10" s="417">
        <v>2.7799999999999998E-2</v>
      </c>
      <c r="T10" s="81"/>
      <c r="U10" s="81"/>
      <c r="V10" s="417">
        <v>3.61E-2</v>
      </c>
      <c r="W10" s="417">
        <v>2.0899999999999998E-2</v>
      </c>
      <c r="X10" s="417">
        <v>3.61E-2</v>
      </c>
    </row>
    <row r="11" spans="2:24" ht="27.75" customHeight="1" x14ac:dyDescent="0.25">
      <c r="B11" s="473" t="s">
        <v>53</v>
      </c>
      <c r="C11" s="596">
        <v>346</v>
      </c>
      <c r="D11" s="596">
        <v>295</v>
      </c>
      <c r="E11" s="521">
        <v>412</v>
      </c>
      <c r="F11" s="521">
        <v>641.35660000000007</v>
      </c>
      <c r="G11" s="521"/>
      <c r="I11" s="474" t="s">
        <v>92</v>
      </c>
      <c r="J11" s="599">
        <f>C15/C12</f>
        <v>0.33849329205366357</v>
      </c>
      <c r="K11" s="599">
        <f t="shared" ref="K11:M11" si="3">D15/D12</f>
        <v>0.35235507246376813</v>
      </c>
      <c r="L11" s="599">
        <f t="shared" si="3"/>
        <v>0.34259259259259262</v>
      </c>
      <c r="M11" s="599">
        <f t="shared" si="3"/>
        <v>0.36323900845988238</v>
      </c>
      <c r="N11" s="81"/>
      <c r="P11" s="392">
        <v>5</v>
      </c>
      <c r="Q11" s="108" t="s">
        <v>637</v>
      </c>
      <c r="R11" s="417">
        <v>6.83E-2</v>
      </c>
      <c r="S11" s="417">
        <v>-3.7000000000000002E-3</v>
      </c>
      <c r="T11" s="81"/>
      <c r="U11" s="81"/>
      <c r="V11" s="417">
        <v>-8.9999999999999998E-4</v>
      </c>
      <c r="W11" s="417">
        <v>1.4200000000000001E-2</v>
      </c>
      <c r="X11" s="417">
        <v>-6.0000000000000001E-3</v>
      </c>
    </row>
    <row r="12" spans="2:24" ht="15" customHeight="1" x14ac:dyDescent="0.25">
      <c r="B12" s="473" t="s">
        <v>1</v>
      </c>
      <c r="C12" s="596">
        <f>C7+C8+C9</f>
        <v>969</v>
      </c>
      <c r="D12" s="596">
        <f t="shared" ref="D12:E12" si="4">D7+D8+D9</f>
        <v>1104</v>
      </c>
      <c r="E12" s="596">
        <f t="shared" si="4"/>
        <v>1404</v>
      </c>
      <c r="F12" s="521">
        <v>1392.8917000000001</v>
      </c>
      <c r="G12" s="521"/>
      <c r="I12" s="474" t="s">
        <v>17</v>
      </c>
      <c r="J12" s="599">
        <f>C15/AVERAGE(C23:C23)</f>
        <v>4.0299791129131346E-2</v>
      </c>
      <c r="K12" s="599">
        <f>D15/AVERAGE(D23:D23)</f>
        <v>4.1427050053248135E-2</v>
      </c>
      <c r="L12" s="599">
        <f>E15/AVERAGE(E23:E23)</f>
        <v>4.4694294740754509E-2</v>
      </c>
      <c r="M12" s="599">
        <f>F15/AVERAGE(F23:F23)</f>
        <v>5.3194124375119445E-2</v>
      </c>
      <c r="N12" s="81"/>
      <c r="P12" s="392">
        <v>6</v>
      </c>
      <c r="Q12" s="413" t="s">
        <v>638</v>
      </c>
      <c r="R12" s="410">
        <v>688</v>
      </c>
      <c r="S12" s="81"/>
      <c r="T12" s="81"/>
      <c r="U12" s="81"/>
      <c r="V12" s="81"/>
      <c r="W12" s="408"/>
      <c r="X12" s="408"/>
    </row>
    <row r="13" spans="2:24" ht="15" customHeight="1" x14ac:dyDescent="0.25">
      <c r="B13" s="473" t="s">
        <v>91</v>
      </c>
      <c r="C13" s="596">
        <f>C14-C12</f>
        <v>24</v>
      </c>
      <c r="D13" s="596">
        <f t="shared" ref="D13:E13" si="5">D14-D12</f>
        <v>21</v>
      </c>
      <c r="E13" s="596">
        <f t="shared" si="5"/>
        <v>8</v>
      </c>
      <c r="F13" s="598">
        <v>1</v>
      </c>
      <c r="G13" s="521"/>
      <c r="I13" s="475" t="s">
        <v>18</v>
      </c>
      <c r="J13" s="600"/>
      <c r="K13" s="600"/>
      <c r="L13" s="600"/>
      <c r="M13" s="600"/>
      <c r="N13" s="81"/>
      <c r="P13" s="392">
        <v>7</v>
      </c>
      <c r="Q13" s="413" t="s">
        <v>639</v>
      </c>
      <c r="R13" s="410">
        <v>286</v>
      </c>
      <c r="S13" s="81"/>
      <c r="T13" s="81"/>
      <c r="U13" s="81"/>
      <c r="V13" s="81"/>
      <c r="W13" s="408"/>
      <c r="X13" s="408"/>
    </row>
    <row r="14" spans="2:24" ht="15" customHeight="1" x14ac:dyDescent="0.25">
      <c r="B14" s="473" t="s">
        <v>25</v>
      </c>
      <c r="C14" s="596">
        <v>993</v>
      </c>
      <c r="D14" s="596">
        <v>1125</v>
      </c>
      <c r="E14" s="521">
        <v>1412</v>
      </c>
      <c r="F14" s="521">
        <v>1393.5833</v>
      </c>
      <c r="G14" s="521"/>
      <c r="I14" s="474" t="s">
        <v>19</v>
      </c>
      <c r="J14" s="599">
        <f>C25/C24</f>
        <v>8.0529893672651218E-2</v>
      </c>
      <c r="K14" s="599">
        <f t="shared" ref="K14:M14" si="6">D25/D24</f>
        <v>4.9698316926008256E-2</v>
      </c>
      <c r="L14" s="599">
        <f t="shared" si="6"/>
        <v>4.5150053590568062E-2</v>
      </c>
      <c r="M14" s="599">
        <f t="shared" si="6"/>
        <v>4.7731077107729107E-2</v>
      </c>
      <c r="N14" s="82"/>
      <c r="P14" s="392">
        <v>8</v>
      </c>
      <c r="Q14" s="108" t="s">
        <v>640</v>
      </c>
      <c r="R14" s="419">
        <f>R12/R13</f>
        <v>2.4055944055944054</v>
      </c>
      <c r="S14" s="81"/>
      <c r="T14" s="81"/>
      <c r="U14" s="81"/>
      <c r="V14" s="81"/>
      <c r="W14" s="81"/>
      <c r="X14" s="81"/>
    </row>
    <row r="15" spans="2:24" ht="15" customHeight="1" x14ac:dyDescent="0.25">
      <c r="B15" s="473" t="s">
        <v>26</v>
      </c>
      <c r="C15" s="596">
        <v>328</v>
      </c>
      <c r="D15" s="596">
        <v>389</v>
      </c>
      <c r="E15" s="521">
        <v>481</v>
      </c>
      <c r="F15" s="521">
        <v>505.95260000000002</v>
      </c>
      <c r="G15" s="521"/>
      <c r="I15" s="474" t="s">
        <v>20</v>
      </c>
      <c r="J15" s="599">
        <f>C26/C24</f>
        <v>3.6081575736447623E-2</v>
      </c>
      <c r="K15" s="599">
        <f t="shared" ref="K15:M15" si="7">D26/D24</f>
        <v>2.0323912353127978E-2</v>
      </c>
      <c r="L15" s="599">
        <f t="shared" si="7"/>
        <v>2.4115755627009645E-2</v>
      </c>
      <c r="M15" s="599">
        <f t="shared" si="7"/>
        <v>2.0332565126705688E-2</v>
      </c>
      <c r="N15" s="82"/>
      <c r="P15" s="392">
        <v>9</v>
      </c>
      <c r="Q15" s="108" t="s">
        <v>641</v>
      </c>
      <c r="R15" s="417">
        <v>1.71</v>
      </c>
      <c r="S15" s="81"/>
      <c r="T15" s="81"/>
      <c r="U15" s="81"/>
      <c r="V15" s="81"/>
      <c r="W15" s="408"/>
      <c r="X15" s="408"/>
    </row>
    <row r="16" spans="2:24" ht="15" customHeight="1" x14ac:dyDescent="0.25">
      <c r="B16" s="473" t="s">
        <v>54</v>
      </c>
      <c r="C16" s="596">
        <f>C12-C15</f>
        <v>641</v>
      </c>
      <c r="D16" s="596">
        <f t="shared" ref="D16:E16" si="8">D12-D15</f>
        <v>715</v>
      </c>
      <c r="E16" s="596">
        <f t="shared" si="8"/>
        <v>923</v>
      </c>
      <c r="F16" s="521">
        <v>886.93910000000005</v>
      </c>
      <c r="G16" s="521"/>
      <c r="I16" s="474" t="s">
        <v>21</v>
      </c>
      <c r="J16" s="599">
        <f t="shared" ref="J16" si="9">(J14-J15)/J14</f>
        <v>0.55194805194805197</v>
      </c>
      <c r="K16" s="599">
        <f t="shared" ref="K16:M16" si="10">(K14-K15)/K14</f>
        <v>0.59105431309904155</v>
      </c>
      <c r="L16" s="599">
        <f t="shared" si="10"/>
        <v>0.46587537091988135</v>
      </c>
      <c r="M16" s="599">
        <f t="shared" si="10"/>
        <v>0.57401830508004126</v>
      </c>
      <c r="N16" s="595"/>
      <c r="P16" s="392">
        <v>10</v>
      </c>
      <c r="Q16" s="108" t="s">
        <v>642</v>
      </c>
      <c r="R16" s="417">
        <v>0.28870000000000001</v>
      </c>
      <c r="S16" s="81"/>
      <c r="T16" s="81"/>
      <c r="U16" s="81"/>
      <c r="V16" s="81"/>
      <c r="W16" s="408"/>
      <c r="X16" s="408"/>
    </row>
    <row r="17" spans="2:17" ht="15" customHeight="1" x14ac:dyDescent="0.25">
      <c r="B17" s="473" t="s">
        <v>94</v>
      </c>
      <c r="C17" s="596">
        <f>C16-C10</f>
        <v>123</v>
      </c>
      <c r="D17" s="596">
        <f t="shared" ref="D17:E17" si="11">D16-D10</f>
        <v>134</v>
      </c>
      <c r="E17" s="596">
        <f t="shared" si="11"/>
        <v>182</v>
      </c>
      <c r="F17" s="521">
        <f>F16-F10</f>
        <v>265.77910000000008</v>
      </c>
      <c r="G17" s="521"/>
      <c r="I17" s="474" t="s">
        <v>22</v>
      </c>
      <c r="J17" s="599">
        <f>C18/AVERAGE(C24:C24)</f>
        <v>-6.9722851664633084E-3</v>
      </c>
      <c r="K17" s="599">
        <f>D18/AVERAGE(C24:D24)</f>
        <v>1.3793103448275862E-2</v>
      </c>
      <c r="L17" s="599">
        <f t="shared" ref="L17:M17" si="12">E18/AVERAGE(D24:E24)</f>
        <v>2.0055224531318121E-2</v>
      </c>
      <c r="M17" s="599">
        <f t="shared" si="12"/>
        <v>8.1101721834611062E-2</v>
      </c>
      <c r="N17" s="595"/>
      <c r="Q17" s="414"/>
    </row>
    <row r="18" spans="2:17" ht="15" customHeight="1" x14ac:dyDescent="0.25">
      <c r="B18" s="473" t="s">
        <v>27</v>
      </c>
      <c r="C18" s="596">
        <v>-40</v>
      </c>
      <c r="D18" s="596">
        <v>83</v>
      </c>
      <c r="E18" s="521">
        <v>138</v>
      </c>
      <c r="F18" s="521">
        <v>621</v>
      </c>
      <c r="G18" s="521"/>
      <c r="I18" s="475" t="s">
        <v>30</v>
      </c>
      <c r="J18" s="600"/>
      <c r="K18" s="600"/>
      <c r="L18" s="600"/>
      <c r="M18" s="600"/>
      <c r="N18" s="81"/>
      <c r="Q18" s="415" t="s">
        <v>643</v>
      </c>
    </row>
    <row r="19" spans="2:17" ht="28.5" customHeight="1" x14ac:dyDescent="0.25">
      <c r="B19" s="473" t="s">
        <v>55</v>
      </c>
      <c r="C19" s="596">
        <v>187</v>
      </c>
      <c r="D19" s="596">
        <v>72</v>
      </c>
      <c r="E19" s="521">
        <v>53</v>
      </c>
      <c r="F19" s="521">
        <v>130.20150000000001</v>
      </c>
      <c r="G19" s="521"/>
      <c r="I19" s="476" t="s">
        <v>95</v>
      </c>
      <c r="J19" s="487">
        <f>C17/AVERAGE(C23:C23)</f>
        <v>1.5112421673424253E-2</v>
      </c>
      <c r="K19" s="487">
        <f>D17/AVERAGE(C23:D23)</f>
        <v>1.5288949740430144E-2</v>
      </c>
      <c r="L19" s="487">
        <f t="shared" ref="L19:M19" si="13">E17/AVERAGE(D23:E23)</f>
        <v>1.8062723302897977E-2</v>
      </c>
      <c r="M19" s="487">
        <f t="shared" si="13"/>
        <v>2.6219440820340011E-2</v>
      </c>
      <c r="N19" s="81"/>
      <c r="Q19" s="416" t="s">
        <v>644</v>
      </c>
    </row>
    <row r="20" spans="2:17" ht="15" customHeight="1" x14ac:dyDescent="0.25">
      <c r="B20" s="473" t="s">
        <v>28</v>
      </c>
      <c r="C20" s="596">
        <v>2386</v>
      </c>
      <c r="D20" s="596">
        <v>2475</v>
      </c>
      <c r="E20" s="521">
        <v>2804</v>
      </c>
      <c r="F20" s="521">
        <v>3156</v>
      </c>
      <c r="G20" s="521"/>
      <c r="I20" s="474" t="s">
        <v>31</v>
      </c>
      <c r="J20" s="599">
        <f>C19/AVERAGE(C23:C23)</f>
        <v>2.297579555227915E-2</v>
      </c>
      <c r="K20" s="599">
        <f>D19/AVERAGE(C23:D23)</f>
        <v>8.2149580694848533E-3</v>
      </c>
      <c r="L20" s="599">
        <f t="shared" ref="L20:M20" si="14">E19/AVERAGE(D23:E23)</f>
        <v>5.2600238189757838E-3</v>
      </c>
      <c r="M20" s="599">
        <f t="shared" si="14"/>
        <v>1.2844540913749423E-2</v>
      </c>
      <c r="N20" s="82"/>
    </row>
    <row r="21" spans="2:17" ht="15" customHeight="1" x14ac:dyDescent="0.25">
      <c r="B21" s="473" t="s">
        <v>56</v>
      </c>
      <c r="C21" s="596">
        <v>2172</v>
      </c>
      <c r="D21" s="596">
        <v>2270</v>
      </c>
      <c r="E21" s="521">
        <v>2804</v>
      </c>
      <c r="F21" s="521">
        <v>3156</v>
      </c>
      <c r="G21" s="521"/>
      <c r="I21" s="474" t="s">
        <v>32</v>
      </c>
      <c r="J21" s="599">
        <f>C19/AVERAGE(C20:C20)</f>
        <v>7.837384744341995E-2</v>
      </c>
      <c r="K21" s="599">
        <f>D19/AVERAGE(C20:D20)</f>
        <v>2.9623534252211481E-2</v>
      </c>
      <c r="L21" s="599">
        <f t="shared" ref="L21:M21" si="15">E19/AVERAGE(D20:E20)</f>
        <v>2.0079560522826292E-2</v>
      </c>
      <c r="M21" s="599">
        <f t="shared" si="15"/>
        <v>4.3691778523489939E-2</v>
      </c>
      <c r="N21" s="81"/>
    </row>
    <row r="22" spans="2:17" ht="15" customHeight="1" x14ac:dyDescent="0.25">
      <c r="B22" s="473" t="s">
        <v>57</v>
      </c>
      <c r="C22" s="596">
        <v>4813</v>
      </c>
      <c r="D22" s="596">
        <v>6049</v>
      </c>
      <c r="E22" s="521">
        <v>6916</v>
      </c>
      <c r="F22" s="521">
        <v>5476.8355000000001</v>
      </c>
      <c r="G22" s="521"/>
      <c r="I22" s="475" t="s">
        <v>33</v>
      </c>
      <c r="J22" s="600"/>
      <c r="K22" s="600"/>
      <c r="L22" s="600"/>
      <c r="M22" s="600"/>
      <c r="N22" s="81"/>
    </row>
    <row r="23" spans="2:17" ht="15" customHeight="1" x14ac:dyDescent="0.25">
      <c r="B23" s="473" t="s">
        <v>29</v>
      </c>
      <c r="C23" s="596">
        <v>8139</v>
      </c>
      <c r="D23" s="596">
        <v>9390</v>
      </c>
      <c r="E23" s="521">
        <v>10762</v>
      </c>
      <c r="F23" s="521">
        <v>9511.4377000000004</v>
      </c>
      <c r="G23" s="521"/>
      <c r="I23" s="474" t="s">
        <v>34</v>
      </c>
      <c r="J23" s="599">
        <f>C7/AVERAGE(C24:C24)</f>
        <v>0.15060135959560747</v>
      </c>
      <c r="K23" s="599">
        <f>D7/AVERAGE(C24:D24)</f>
        <v>0.14557540506855007</v>
      </c>
      <c r="L23" s="599">
        <f t="shared" ref="L23:M23" si="16">E7/AVERAGE(D24:E24)</f>
        <v>0.16756285423630285</v>
      </c>
      <c r="M23" s="599">
        <f t="shared" si="16"/>
        <v>0.1648828826163912</v>
      </c>
      <c r="N23" s="81"/>
    </row>
    <row r="24" spans="2:17" ht="15" customHeight="1" x14ac:dyDescent="0.25">
      <c r="B24" s="473" t="s">
        <v>58</v>
      </c>
      <c r="C24" s="596">
        <v>5737</v>
      </c>
      <c r="D24" s="596">
        <v>6298</v>
      </c>
      <c r="E24" s="521">
        <v>7464</v>
      </c>
      <c r="F24" s="521">
        <v>7850.1015000000007</v>
      </c>
      <c r="G24" s="521"/>
      <c r="I24" s="474" t="s">
        <v>35</v>
      </c>
      <c r="J24" s="599">
        <f>C10/AVERAGE(C22:C22)</f>
        <v>0.10762518179929358</v>
      </c>
      <c r="K24" s="599">
        <f>D10/AVERAGE(C22:D22)</f>
        <v>0.10697845700607624</v>
      </c>
      <c r="L24" s="599">
        <f t="shared" ref="L24:M24" si="17">E10/AVERAGE(D22:E22)</f>
        <v>0.11430775163902815</v>
      </c>
      <c r="M24" s="599">
        <f t="shared" si="17"/>
        <v>0.10024501656622488</v>
      </c>
      <c r="N24" s="81"/>
    </row>
    <row r="25" spans="2:17" ht="15" customHeight="1" x14ac:dyDescent="0.25">
      <c r="B25" s="473" t="s">
        <v>59</v>
      </c>
      <c r="C25" s="596">
        <v>462</v>
      </c>
      <c r="D25" s="596">
        <v>313</v>
      </c>
      <c r="E25" s="521">
        <v>337</v>
      </c>
      <c r="F25" s="521">
        <v>374.69379999999995</v>
      </c>
      <c r="G25" s="521"/>
      <c r="I25" s="474" t="s">
        <v>36</v>
      </c>
      <c r="J25" s="600">
        <f t="shared" ref="J25" si="18">J23-J24</f>
        <v>4.2976177796313894E-2</v>
      </c>
      <c r="K25" s="600">
        <f t="shared" ref="K25:M25" si="19">K23-K24</f>
        <v>3.8596948062473838E-2</v>
      </c>
      <c r="L25" s="600">
        <f t="shared" si="19"/>
        <v>5.3255102597274701E-2</v>
      </c>
      <c r="M25" s="600">
        <f t="shared" si="19"/>
        <v>6.4637866050166318E-2</v>
      </c>
      <c r="N25" s="81"/>
    </row>
    <row r="26" spans="2:17" ht="15" customHeight="1" x14ac:dyDescent="0.25">
      <c r="B26" s="473" t="s">
        <v>60</v>
      </c>
      <c r="C26" s="596">
        <v>207</v>
      </c>
      <c r="D26" s="596">
        <v>128</v>
      </c>
      <c r="E26" s="521">
        <v>180</v>
      </c>
      <c r="F26" s="521">
        <v>159.61270000000002</v>
      </c>
      <c r="G26" s="521"/>
    </row>
    <row r="27" spans="2:17" ht="15" customHeight="1" x14ac:dyDescent="0.25"/>
    <row r="30" spans="2:17" x14ac:dyDescent="0.25">
      <c r="L30" s="221"/>
    </row>
    <row r="31" spans="2:17" x14ac:dyDescent="0.25">
      <c r="L31" s="221"/>
    </row>
    <row r="32" spans="2:17" x14ac:dyDescent="0.25">
      <c r="B32" s="739" t="s">
        <v>240</v>
      </c>
      <c r="C32" s="739"/>
      <c r="D32" s="739"/>
      <c r="E32" s="739"/>
      <c r="F32" s="739"/>
      <c r="G32" s="739"/>
      <c r="H32" s="739"/>
      <c r="I32" s="739"/>
      <c r="L32" s="221"/>
    </row>
    <row r="33" spans="2:12" x14ac:dyDescent="0.25">
      <c r="B33" s="739"/>
      <c r="C33" s="739"/>
      <c r="D33" s="739"/>
      <c r="E33" s="739"/>
      <c r="F33" s="739"/>
      <c r="G33" s="739"/>
      <c r="H33" s="739"/>
      <c r="I33" s="739"/>
      <c r="L33" s="221"/>
    </row>
    <row r="34" spans="2:12" x14ac:dyDescent="0.25">
      <c r="B34" s="739"/>
      <c r="C34" s="739"/>
      <c r="D34" s="739"/>
      <c r="E34" s="739"/>
      <c r="F34" s="739"/>
      <c r="G34" s="739"/>
      <c r="H34" s="739"/>
      <c r="I34" s="739"/>
      <c r="L34" s="221"/>
    </row>
    <row r="35" spans="2:12" x14ac:dyDescent="0.25">
      <c r="B35" s="739"/>
      <c r="C35" s="739"/>
      <c r="D35" s="739"/>
      <c r="E35" s="739"/>
      <c r="F35" s="739"/>
      <c r="G35" s="739"/>
      <c r="H35" s="739"/>
      <c r="I35" s="739"/>
      <c r="L35" s="221"/>
    </row>
    <row r="36" spans="2:12" x14ac:dyDescent="0.25">
      <c r="B36" s="739"/>
      <c r="C36" s="739"/>
      <c r="D36" s="739"/>
      <c r="E36" s="739"/>
      <c r="F36" s="739"/>
      <c r="G36" s="739"/>
      <c r="H36" s="739"/>
      <c r="I36" s="739"/>
      <c r="L36" s="221"/>
    </row>
    <row r="37" spans="2:12" x14ac:dyDescent="0.25">
      <c r="L37" s="221"/>
    </row>
    <row r="38" spans="2:12" x14ac:dyDescent="0.25">
      <c r="L38" s="221"/>
    </row>
    <row r="39" spans="2:12" x14ac:dyDescent="0.25">
      <c r="L39" s="221"/>
    </row>
    <row r="40" spans="2:12" x14ac:dyDescent="0.25">
      <c r="L40" s="221"/>
    </row>
    <row r="41" spans="2:12" x14ac:dyDescent="0.25">
      <c r="L41" s="221"/>
    </row>
    <row r="42" spans="2:12" x14ac:dyDescent="0.25">
      <c r="L42" s="221"/>
    </row>
    <row r="43" spans="2:12" x14ac:dyDescent="0.25">
      <c r="L43" s="221"/>
    </row>
    <row r="44" spans="2:12" x14ac:dyDescent="0.25">
      <c r="L44" s="221"/>
    </row>
    <row r="45" spans="2:12" x14ac:dyDescent="0.25">
      <c r="L45" s="221"/>
    </row>
    <row r="46" spans="2:12" x14ac:dyDescent="0.25">
      <c r="L46" s="221"/>
    </row>
    <row r="47" spans="2:12" x14ac:dyDescent="0.25">
      <c r="L47" s="221"/>
    </row>
    <row r="48" spans="2:12" x14ac:dyDescent="0.25">
      <c r="L48" s="221"/>
    </row>
    <row r="49" spans="12:12" x14ac:dyDescent="0.25">
      <c r="L49" s="221"/>
    </row>
  </sheetData>
  <mergeCells count="6">
    <mergeCell ref="R6:X6"/>
    <mergeCell ref="B2:G2"/>
    <mergeCell ref="F1:G1"/>
    <mergeCell ref="B3:B5"/>
    <mergeCell ref="B32:I36"/>
    <mergeCell ref="P4:Q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U34"/>
  <sheetViews>
    <sheetView showGridLines="0" topLeftCell="A2" zoomScale="94" workbookViewId="0">
      <selection activeCell="D12" sqref="D12"/>
    </sheetView>
  </sheetViews>
  <sheetFormatPr defaultRowHeight="15" x14ac:dyDescent="0.25"/>
  <cols>
    <col min="1" max="1" width="1.85546875" customWidth="1"/>
    <col min="2" max="2" width="30.85546875" bestFit="1" customWidth="1"/>
    <col min="3" max="7" width="10.42578125" customWidth="1"/>
    <col min="9" max="9" width="31.7109375" bestFit="1" customWidth="1"/>
    <col min="10" max="13" width="12" customWidth="1"/>
    <col min="14" max="14" width="13.42578125" bestFit="1" customWidth="1"/>
    <col min="16" max="16" width="24.140625" bestFit="1" customWidth="1"/>
    <col min="17" max="17" width="8.140625" bestFit="1" customWidth="1"/>
    <col min="18" max="20" width="12.7109375" bestFit="1" customWidth="1"/>
  </cols>
  <sheetData>
    <row r="1" spans="1:21" x14ac:dyDescent="0.25">
      <c r="E1" s="713" t="s">
        <v>111</v>
      </c>
      <c r="F1" s="713"/>
      <c r="G1" s="393"/>
    </row>
    <row r="2" spans="1:21" ht="18.75" x14ac:dyDescent="0.25">
      <c r="A2" t="s">
        <v>704</v>
      </c>
      <c r="B2" s="759" t="s">
        <v>697</v>
      </c>
      <c r="C2" s="759"/>
      <c r="D2" s="759"/>
      <c r="E2" s="759"/>
      <c r="F2" s="759"/>
      <c r="G2" s="760"/>
    </row>
    <row r="3" spans="1:21" ht="15" customHeight="1" x14ac:dyDescent="0.25">
      <c r="B3" s="467"/>
      <c r="C3" s="529" t="s">
        <v>495</v>
      </c>
      <c r="D3" s="3" t="s">
        <v>556</v>
      </c>
      <c r="E3" s="3" t="s">
        <v>571</v>
      </c>
      <c r="F3" s="3" t="s">
        <v>572</v>
      </c>
      <c r="G3" s="3" t="s">
        <v>721</v>
      </c>
      <c r="H3" s="11"/>
      <c r="I3" s="92" t="s">
        <v>4</v>
      </c>
      <c r="J3" s="538" t="s">
        <v>496</v>
      </c>
      <c r="K3" s="538" t="s">
        <v>623</v>
      </c>
      <c r="L3" s="538" t="s">
        <v>700</v>
      </c>
      <c r="M3" s="538" t="s">
        <v>701</v>
      </c>
      <c r="N3" s="538" t="s">
        <v>721</v>
      </c>
      <c r="P3" s="539" t="s">
        <v>709</v>
      </c>
      <c r="Q3" s="540" t="s">
        <v>734</v>
      </c>
      <c r="R3" s="761" t="s">
        <v>572</v>
      </c>
      <c r="S3" s="762"/>
      <c r="T3" s="762"/>
      <c r="U3" s="763"/>
    </row>
    <row r="4" spans="1:21" ht="15" customHeight="1" x14ac:dyDescent="0.25">
      <c r="B4" s="468" t="s">
        <v>4</v>
      </c>
      <c r="C4" s="530" t="s">
        <v>46</v>
      </c>
      <c r="D4" s="1" t="s">
        <v>46</v>
      </c>
      <c r="E4" s="1" t="s">
        <v>46</v>
      </c>
      <c r="F4" s="1" t="s">
        <v>46</v>
      </c>
      <c r="G4" s="1" t="s">
        <v>96</v>
      </c>
      <c r="H4" s="11"/>
      <c r="I4" s="543" t="s">
        <v>6</v>
      </c>
      <c r="J4" s="109"/>
      <c r="K4" s="109"/>
      <c r="L4" s="109"/>
      <c r="M4" s="109"/>
      <c r="N4" s="109"/>
      <c r="P4" s="541" t="s">
        <v>735</v>
      </c>
      <c r="Q4" s="542" t="s">
        <v>736</v>
      </c>
      <c r="R4" s="540" t="s">
        <v>723</v>
      </c>
      <c r="S4" s="540" t="s">
        <v>724</v>
      </c>
      <c r="T4" s="540" t="s">
        <v>725</v>
      </c>
      <c r="U4" s="540" t="s">
        <v>68</v>
      </c>
    </row>
    <row r="5" spans="1:21" ht="15" customHeight="1" x14ac:dyDescent="0.25">
      <c r="B5" s="469"/>
      <c r="C5" s="466" t="s">
        <v>49</v>
      </c>
      <c r="D5" s="5" t="s">
        <v>49</v>
      </c>
      <c r="E5" s="5" t="s">
        <v>49</v>
      </c>
      <c r="F5" s="5" t="s">
        <v>49</v>
      </c>
      <c r="G5" s="5" t="s">
        <v>49</v>
      </c>
      <c r="H5" s="11"/>
      <c r="I5" s="42" t="s">
        <v>11</v>
      </c>
      <c r="J5" s="44">
        <f>C11/AVERAGE(C24:C24)</f>
        <v>6.0832943378568087E-2</v>
      </c>
      <c r="K5" s="44">
        <f>D11/AVERAGE(C24:D24)</f>
        <v>7.4060427413411942E-2</v>
      </c>
      <c r="L5" s="44">
        <f>E11/AVERAGE(D24:E24)</f>
        <v>7.2727272727272724E-2</v>
      </c>
      <c r="M5" s="44">
        <f>F11/AVERAGE(E24:F24)</f>
        <v>8.3851823489997132E-2</v>
      </c>
      <c r="N5" s="44">
        <f>G11/AVERAGE(F24:G24)</f>
        <v>2.3667631534139283E-2</v>
      </c>
      <c r="P5" s="536" t="s">
        <v>737</v>
      </c>
      <c r="Q5" s="535">
        <v>0.16539999999999999</v>
      </c>
      <c r="R5" s="537">
        <v>74.47</v>
      </c>
      <c r="S5" s="537">
        <v>23.04</v>
      </c>
      <c r="T5" s="537">
        <v>2.4900000000000002</v>
      </c>
      <c r="U5" s="537">
        <v>100</v>
      </c>
    </row>
    <row r="6" spans="1:21" ht="15" customHeight="1" x14ac:dyDescent="0.25">
      <c r="A6" t="s">
        <v>704</v>
      </c>
      <c r="B6" s="531" t="s">
        <v>23</v>
      </c>
      <c r="C6" s="528">
        <v>287</v>
      </c>
      <c r="D6" s="528">
        <v>437</v>
      </c>
      <c r="E6" s="528">
        <v>660</v>
      </c>
      <c r="F6" s="528">
        <v>908</v>
      </c>
      <c r="G6" s="528">
        <v>263</v>
      </c>
      <c r="H6" s="11"/>
      <c r="I6" s="543" t="s">
        <v>12</v>
      </c>
      <c r="J6" s="544"/>
      <c r="K6" s="544"/>
      <c r="L6" s="544"/>
      <c r="M6" s="544"/>
      <c r="N6" s="109"/>
      <c r="P6" s="536" t="s">
        <v>738</v>
      </c>
      <c r="Q6" s="535">
        <v>0.33279999999999998</v>
      </c>
      <c r="R6" s="537">
        <v>68.34</v>
      </c>
      <c r="S6" s="537">
        <v>29.28</v>
      </c>
      <c r="T6" s="537">
        <v>2.38</v>
      </c>
      <c r="U6" s="537">
        <v>100</v>
      </c>
    </row>
    <row r="7" spans="1:21" ht="15" customHeight="1" x14ac:dyDescent="0.25">
      <c r="B7" s="6" t="s">
        <v>50</v>
      </c>
      <c r="C7" s="527">
        <v>284</v>
      </c>
      <c r="D7" s="527">
        <v>421</v>
      </c>
      <c r="E7" s="527">
        <v>618</v>
      </c>
      <c r="F7" s="527">
        <v>855</v>
      </c>
      <c r="G7" s="527">
        <v>260</v>
      </c>
      <c r="H7" s="11"/>
      <c r="I7" s="42" t="s">
        <v>13</v>
      </c>
      <c r="J7" s="47">
        <f>C22/C21</f>
        <v>3.1242331288343559</v>
      </c>
      <c r="K7" s="47">
        <f>D22/D21</f>
        <v>3.3533742331288345</v>
      </c>
      <c r="L7" s="47">
        <f>E22/E21</f>
        <v>4.2044967880085657</v>
      </c>
      <c r="M7" s="47">
        <f>F22/F21</f>
        <v>2.8367224880382773</v>
      </c>
      <c r="N7" s="47">
        <v>2.63</v>
      </c>
      <c r="P7" s="536" t="s">
        <v>739</v>
      </c>
      <c r="Q7" s="535">
        <v>0.3745</v>
      </c>
      <c r="R7" s="537">
        <v>90.89</v>
      </c>
      <c r="S7" s="537">
        <v>8.58</v>
      </c>
      <c r="T7" s="537">
        <v>0.53</v>
      </c>
      <c r="U7" s="537">
        <v>100</v>
      </c>
    </row>
    <row r="8" spans="1:21" ht="15" customHeight="1" x14ac:dyDescent="0.25">
      <c r="B8" s="6" t="s">
        <v>51</v>
      </c>
      <c r="C8" s="527">
        <v>0</v>
      </c>
      <c r="D8" s="527">
        <v>0</v>
      </c>
      <c r="E8" s="527">
        <v>0</v>
      </c>
      <c r="F8" s="527">
        <v>0</v>
      </c>
      <c r="G8" s="527" t="s">
        <v>465</v>
      </c>
      <c r="H8" s="11"/>
      <c r="I8" s="42" t="s">
        <v>14</v>
      </c>
      <c r="J8" s="48">
        <v>0.33019999999999999</v>
      </c>
      <c r="K8" s="48">
        <v>0.26500000000000001</v>
      </c>
      <c r="L8" s="48">
        <v>0.20860000000000001</v>
      </c>
      <c r="M8" s="48">
        <v>0.27339999999999998</v>
      </c>
      <c r="N8" s="48"/>
      <c r="P8" s="536" t="s">
        <v>740</v>
      </c>
      <c r="Q8" s="535">
        <v>8.72E-2</v>
      </c>
      <c r="R8" s="537">
        <v>76.16</v>
      </c>
      <c r="S8" s="537">
        <v>17.7</v>
      </c>
      <c r="T8" s="537">
        <v>6.14</v>
      </c>
      <c r="U8" s="537">
        <v>100</v>
      </c>
    </row>
    <row r="9" spans="1:21" ht="15" customHeight="1" x14ac:dyDescent="0.25">
      <c r="B9" s="6" t="s">
        <v>52</v>
      </c>
      <c r="C9" s="527">
        <v>3</v>
      </c>
      <c r="D9" s="527">
        <v>4</v>
      </c>
      <c r="E9" s="527">
        <v>7</v>
      </c>
      <c r="F9" s="527">
        <v>8</v>
      </c>
      <c r="G9" s="527">
        <v>0</v>
      </c>
      <c r="H9" s="11"/>
      <c r="I9" s="42" t="s">
        <v>15</v>
      </c>
      <c r="J9" s="44">
        <f>C21/C24</f>
        <v>0.30510060832943381</v>
      </c>
      <c r="K9" s="44">
        <f>D21/D24</f>
        <v>0.24764509267699789</v>
      </c>
      <c r="L9" s="44">
        <f>E21/E24</f>
        <v>0.20419763882815917</v>
      </c>
      <c r="M9" s="44">
        <f>F21/F24</f>
        <v>0.28469266133151711</v>
      </c>
      <c r="N9" s="44" t="e">
        <f>G21/G24</f>
        <v>#DIV/0!</v>
      </c>
      <c r="P9" s="536" t="s">
        <v>741</v>
      </c>
      <c r="Q9" s="535">
        <v>7.1999999999999998E-3</v>
      </c>
      <c r="R9" s="537">
        <v>77.069999999999993</v>
      </c>
      <c r="S9" s="537">
        <v>19.16</v>
      </c>
      <c r="T9" s="537">
        <v>3.77</v>
      </c>
      <c r="U9" s="537">
        <v>100</v>
      </c>
    </row>
    <row r="10" spans="1:21" ht="15" customHeight="1" x14ac:dyDescent="0.25">
      <c r="B10" s="6" t="s">
        <v>24</v>
      </c>
      <c r="C10" s="527">
        <v>154</v>
      </c>
      <c r="D10" s="527">
        <v>220</v>
      </c>
      <c r="E10" s="527">
        <v>332</v>
      </c>
      <c r="F10" s="527">
        <v>417</v>
      </c>
      <c r="G10" s="527">
        <v>121</v>
      </c>
      <c r="H10" s="11"/>
      <c r="I10" s="543" t="s">
        <v>16</v>
      </c>
      <c r="J10" s="544"/>
      <c r="K10" s="544"/>
      <c r="L10" s="544"/>
      <c r="M10" s="544"/>
      <c r="N10" s="109"/>
      <c r="P10" s="536" t="s">
        <v>742</v>
      </c>
      <c r="Q10" s="535">
        <v>0</v>
      </c>
      <c r="R10" s="537" t="s">
        <v>465</v>
      </c>
      <c r="S10" s="537" t="s">
        <v>465</v>
      </c>
      <c r="T10" s="537" t="s">
        <v>465</v>
      </c>
      <c r="U10" s="537" t="s">
        <v>465</v>
      </c>
    </row>
    <row r="11" spans="1:21" ht="34.5" customHeight="1" x14ac:dyDescent="0.25">
      <c r="B11" s="6" t="s">
        <v>53</v>
      </c>
      <c r="C11" s="527">
        <v>130</v>
      </c>
      <c r="D11" s="527">
        <v>201</v>
      </c>
      <c r="E11" s="527">
        <v>286</v>
      </c>
      <c r="F11" s="527">
        <v>438</v>
      </c>
      <c r="G11" s="527">
        <f>G7-G10</f>
        <v>139</v>
      </c>
      <c r="H11" s="11"/>
      <c r="I11" s="49" t="s">
        <v>93</v>
      </c>
      <c r="J11" s="93">
        <f>C15/(C12-C10)</f>
        <v>0.45112781954887216</v>
      </c>
      <c r="K11" s="93">
        <f>D15/(D12-D10)</f>
        <v>0.47317073170731705</v>
      </c>
      <c r="L11" s="93">
        <f>E15/(E12-E10)</f>
        <v>0.49146757679180886</v>
      </c>
      <c r="M11" s="93">
        <f>F15/(F12-F10)</f>
        <v>0.4170403587443946</v>
      </c>
      <c r="N11" s="93">
        <f>G15/(G12-G10)</f>
        <v>0.38129496402877699</v>
      </c>
      <c r="P11" s="536" t="s">
        <v>743</v>
      </c>
      <c r="Q11" s="535">
        <v>8.9999999999999993E-3</v>
      </c>
      <c r="R11" s="537">
        <v>77.61</v>
      </c>
      <c r="S11" s="537">
        <v>21.03</v>
      </c>
      <c r="T11" s="537">
        <v>1.36</v>
      </c>
      <c r="U11" s="537">
        <v>100</v>
      </c>
    </row>
    <row r="12" spans="1:21" ht="30.75" customHeight="1" x14ac:dyDescent="0.25">
      <c r="B12" s="6" t="s">
        <v>1</v>
      </c>
      <c r="C12" s="527">
        <f>C7+C9</f>
        <v>287</v>
      </c>
      <c r="D12" s="527">
        <f t="shared" ref="D12:G12" si="0">D7+D9</f>
        <v>425</v>
      </c>
      <c r="E12" s="527">
        <f t="shared" si="0"/>
        <v>625</v>
      </c>
      <c r="F12" s="527">
        <f t="shared" si="0"/>
        <v>863</v>
      </c>
      <c r="G12" s="527">
        <f t="shared" si="0"/>
        <v>260</v>
      </c>
      <c r="H12" s="11"/>
      <c r="I12" s="42" t="s">
        <v>92</v>
      </c>
      <c r="J12" s="44">
        <f>C15/C12</f>
        <v>0.20905923344947736</v>
      </c>
      <c r="K12" s="44">
        <f>D15/D12</f>
        <v>0.22823529411764706</v>
      </c>
      <c r="L12" s="44">
        <f>E15/E12</f>
        <v>0.23039999999999999</v>
      </c>
      <c r="M12" s="44">
        <f>F15/F12</f>
        <v>0.21552723059096177</v>
      </c>
      <c r="N12" s="44">
        <f>G15/G12</f>
        <v>0.20384615384615384</v>
      </c>
      <c r="P12" s="536" t="s">
        <v>744</v>
      </c>
      <c r="Q12" s="535">
        <v>8.9999999999999998E-4</v>
      </c>
      <c r="R12" s="537">
        <v>86.51</v>
      </c>
      <c r="S12" s="537">
        <v>13.24</v>
      </c>
      <c r="T12" s="537">
        <v>0.25</v>
      </c>
      <c r="U12" s="537">
        <v>100</v>
      </c>
    </row>
    <row r="13" spans="1:21" ht="15" customHeight="1" x14ac:dyDescent="0.25">
      <c r="B13" s="6" t="s">
        <v>91</v>
      </c>
      <c r="C13" s="527">
        <v>0</v>
      </c>
      <c r="D13" s="527">
        <v>12</v>
      </c>
      <c r="E13" s="527">
        <v>35</v>
      </c>
      <c r="F13" s="527">
        <v>46</v>
      </c>
      <c r="G13" s="527">
        <v>3</v>
      </c>
      <c r="H13" s="11"/>
      <c r="I13" s="42" t="s">
        <v>17</v>
      </c>
      <c r="J13" s="44">
        <f>C15/AVERAGE(C23:C23)</f>
        <v>2.1707670043415339E-2</v>
      </c>
      <c r="K13" s="44">
        <f>D15/AVERAGE(D23:D23)</f>
        <v>2.6387377584330796E-2</v>
      </c>
      <c r="L13" s="44">
        <f>E15/AVERAGE(E23:E23)</f>
        <v>2.8731045490822026E-2</v>
      </c>
      <c r="M13" s="44">
        <f>F15/AVERAGE(F23:F23)</f>
        <v>2.7527009027675003E-2</v>
      </c>
      <c r="N13" s="44" t="e">
        <f>G15/AVERAGE(G23:G23)</f>
        <v>#DIV/0!</v>
      </c>
      <c r="P13" s="536" t="s">
        <v>745</v>
      </c>
      <c r="Q13" s="535">
        <v>2.3099999999999999E-2</v>
      </c>
      <c r="R13" s="537">
        <v>83.64</v>
      </c>
      <c r="S13" s="537">
        <v>3.09</v>
      </c>
      <c r="T13" s="537">
        <v>13.27</v>
      </c>
      <c r="U13" s="537">
        <v>100</v>
      </c>
    </row>
    <row r="14" spans="1:21" ht="15" customHeight="1" x14ac:dyDescent="0.25">
      <c r="B14" s="6" t="s">
        <v>25</v>
      </c>
      <c r="C14" s="527">
        <f>C12+C13</f>
        <v>287</v>
      </c>
      <c r="D14" s="527">
        <f t="shared" ref="D14:G14" si="1">D12+D13</f>
        <v>437</v>
      </c>
      <c r="E14" s="527">
        <f t="shared" si="1"/>
        <v>660</v>
      </c>
      <c r="F14" s="527">
        <f t="shared" si="1"/>
        <v>909</v>
      </c>
      <c r="G14" s="527">
        <f t="shared" si="1"/>
        <v>263</v>
      </c>
      <c r="H14" s="11"/>
      <c r="I14" s="543" t="s">
        <v>18</v>
      </c>
      <c r="J14" s="544"/>
      <c r="K14" s="544"/>
      <c r="L14" s="544"/>
      <c r="M14" s="544"/>
      <c r="N14" s="109"/>
      <c r="Q14" s="80">
        <f>SUM(Q5:Q13)</f>
        <v>1.0001</v>
      </c>
    </row>
    <row r="15" spans="1:21" ht="15" customHeight="1" x14ac:dyDescent="0.25">
      <c r="B15" s="6" t="s">
        <v>26</v>
      </c>
      <c r="C15" s="527">
        <v>60</v>
      </c>
      <c r="D15" s="527">
        <v>97</v>
      </c>
      <c r="E15" s="527">
        <v>144</v>
      </c>
      <c r="F15" s="527">
        <v>186</v>
      </c>
      <c r="G15" s="527">
        <v>53</v>
      </c>
      <c r="H15" s="11"/>
      <c r="I15" s="42" t="s">
        <v>19</v>
      </c>
      <c r="J15" s="44">
        <f>C25/C24</f>
        <v>2.8544688816097334E-2</v>
      </c>
      <c r="K15" s="44">
        <f>D25/D24</f>
        <v>2.3397143725311455E-2</v>
      </c>
      <c r="L15" s="44">
        <f>E25/E24</f>
        <v>2.2518583296895496E-2</v>
      </c>
      <c r="M15" s="44">
        <f>F25/F24</f>
        <v>2.5200068108292183E-2</v>
      </c>
      <c r="N15" s="44" t="e">
        <f>G25/G24</f>
        <v>#DIV/0!</v>
      </c>
    </row>
    <row r="16" spans="1:21" ht="15" customHeight="1" x14ac:dyDescent="0.25">
      <c r="B16" s="6" t="s">
        <v>54</v>
      </c>
      <c r="C16" s="527">
        <f>C12-C15</f>
        <v>227</v>
      </c>
      <c r="D16" s="527">
        <f t="shared" ref="D16:G16" si="2">D12-D15</f>
        <v>328</v>
      </c>
      <c r="E16" s="527">
        <f t="shared" si="2"/>
        <v>481</v>
      </c>
      <c r="F16" s="527">
        <f t="shared" si="2"/>
        <v>677</v>
      </c>
      <c r="G16" s="527">
        <f t="shared" si="2"/>
        <v>207</v>
      </c>
      <c r="H16" s="11"/>
      <c r="I16" s="42" t="s">
        <v>20</v>
      </c>
      <c r="J16" s="44">
        <f>C26/C24</f>
        <v>2.2461394478240523E-2</v>
      </c>
      <c r="K16" s="44">
        <f>D26/D24</f>
        <v>1.7927681555758128E-2</v>
      </c>
      <c r="L16" s="44">
        <f>E26/E24</f>
        <v>1.4866637516397026E-2</v>
      </c>
      <c r="M16" s="44">
        <f>F26/F24</f>
        <v>1.6686531585220502E-2</v>
      </c>
      <c r="N16" s="44" t="e">
        <f>G26/G24</f>
        <v>#DIV/0!</v>
      </c>
    </row>
    <row r="17" spans="2:14" ht="15" customHeight="1" x14ac:dyDescent="0.25">
      <c r="B17" s="6" t="s">
        <v>94</v>
      </c>
      <c r="C17" s="527">
        <f>C16-C10</f>
        <v>73</v>
      </c>
      <c r="D17" s="527">
        <f t="shared" ref="D17:G17" si="3">D16-D10</f>
        <v>108</v>
      </c>
      <c r="E17" s="527">
        <f t="shared" si="3"/>
        <v>149</v>
      </c>
      <c r="F17" s="527">
        <f t="shared" si="3"/>
        <v>260</v>
      </c>
      <c r="G17" s="527">
        <f t="shared" si="3"/>
        <v>86</v>
      </c>
      <c r="H17" s="11"/>
      <c r="I17" s="42" t="s">
        <v>21</v>
      </c>
      <c r="J17" s="44">
        <f t="shared" ref="J17:M17" si="4">(J15-J16)/J15</f>
        <v>0.21311475409836075</v>
      </c>
      <c r="K17" s="44">
        <f t="shared" si="4"/>
        <v>0.23376623376623379</v>
      </c>
      <c r="L17" s="44">
        <f t="shared" si="4"/>
        <v>0.33980582524271846</v>
      </c>
      <c r="M17" s="44">
        <f t="shared" si="4"/>
        <v>0.33783783783783777</v>
      </c>
      <c r="N17" s="44" t="e">
        <f t="shared" ref="N17" si="5">(N15-N16)/N15</f>
        <v>#DIV/0!</v>
      </c>
    </row>
    <row r="18" spans="2:14" ht="15" customHeight="1" x14ac:dyDescent="0.25">
      <c r="B18" s="6" t="s">
        <v>27</v>
      </c>
      <c r="C18" s="527">
        <v>5</v>
      </c>
      <c r="D18" s="527">
        <v>16</v>
      </c>
      <c r="E18" s="527">
        <v>40</v>
      </c>
      <c r="F18" s="527">
        <v>84</v>
      </c>
      <c r="G18" s="527">
        <v>39</v>
      </c>
      <c r="H18" s="11"/>
      <c r="I18" s="42" t="s">
        <v>22</v>
      </c>
      <c r="J18" s="44">
        <f>C18/AVERAGE(C24:C24)</f>
        <v>2.339728591483388E-3</v>
      </c>
      <c r="K18" s="44">
        <f>D18/AVERAGE(D24:D24)</f>
        <v>4.8617441507140683E-3</v>
      </c>
      <c r="L18" s="44">
        <f>E18/AVERAGE(E24:E24)</f>
        <v>8.7450808919982501E-3</v>
      </c>
      <c r="M18" s="44">
        <f>F18/AVERAGE(F24:F24)</f>
        <v>1.4302741358760428E-2</v>
      </c>
      <c r="N18" s="44" t="e">
        <f>G18/AVERAGE(G24:G24)</f>
        <v>#DIV/0!</v>
      </c>
    </row>
    <row r="19" spans="2:14" ht="15" customHeight="1" x14ac:dyDescent="0.25">
      <c r="B19" s="6" t="s">
        <v>55</v>
      </c>
      <c r="C19" s="527">
        <v>50</v>
      </c>
      <c r="D19" s="527">
        <v>77</v>
      </c>
      <c r="E19" s="527">
        <v>108</v>
      </c>
      <c r="F19" s="527">
        <v>165</v>
      </c>
      <c r="G19" s="527">
        <v>37</v>
      </c>
      <c r="H19" s="11"/>
      <c r="I19" s="543" t="s">
        <v>30</v>
      </c>
      <c r="J19" s="544"/>
      <c r="K19" s="544"/>
      <c r="L19" s="544"/>
      <c r="M19" s="544"/>
      <c r="N19" s="109"/>
    </row>
    <row r="20" spans="2:14" ht="26.25" customHeight="1" x14ac:dyDescent="0.25">
      <c r="B20" s="6" t="s">
        <v>28</v>
      </c>
      <c r="C20" s="527">
        <v>691</v>
      </c>
      <c r="D20" s="527">
        <v>879</v>
      </c>
      <c r="E20" s="527">
        <v>987</v>
      </c>
      <c r="F20" s="527">
        <v>1895</v>
      </c>
      <c r="G20" s="527">
        <v>1932</v>
      </c>
      <c r="H20" s="11"/>
      <c r="I20" s="49" t="s">
        <v>95</v>
      </c>
      <c r="J20" s="52">
        <f>C17/AVERAGE(C23:C23)</f>
        <v>2.6410998552821998E-2</v>
      </c>
      <c r="K20" s="52">
        <f>D17/AVERAGE(D23:D23)</f>
        <v>2.9379760609357999E-2</v>
      </c>
      <c r="L20" s="52">
        <f>E17/AVERAGE(E23:E23)</f>
        <v>2.9728651237031126E-2</v>
      </c>
      <c r="M20" s="52">
        <f>F17/AVERAGE(F23:F23)</f>
        <v>3.8478614769868281E-2</v>
      </c>
      <c r="N20" s="52" t="e">
        <f>G17/AVERAGE(G23:G23)</f>
        <v>#DIV/0!</v>
      </c>
    </row>
    <row r="21" spans="2:14" ht="15" customHeight="1" x14ac:dyDescent="0.25">
      <c r="B21" s="6" t="s">
        <v>56</v>
      </c>
      <c r="C21" s="527">
        <v>652</v>
      </c>
      <c r="D21" s="527">
        <v>815</v>
      </c>
      <c r="E21" s="527">
        <v>934</v>
      </c>
      <c r="F21" s="527">
        <v>1672</v>
      </c>
      <c r="G21" s="527">
        <v>1932</v>
      </c>
      <c r="H21" s="11"/>
      <c r="I21" s="42" t="s">
        <v>31</v>
      </c>
      <c r="J21" s="44">
        <v>2.23E-2</v>
      </c>
      <c r="K21" s="44">
        <v>2.3900000000000001E-2</v>
      </c>
      <c r="L21" s="44">
        <v>2.4799999999999999E-2</v>
      </c>
      <c r="M21" s="44">
        <v>2.8000000000000001E-2</v>
      </c>
      <c r="N21" s="44">
        <v>2.8000000000000001E-2</v>
      </c>
    </row>
    <row r="22" spans="2:14" ht="15" customHeight="1" x14ac:dyDescent="0.25">
      <c r="B22" s="6" t="s">
        <v>57</v>
      </c>
      <c r="C22" s="527">
        <v>2037</v>
      </c>
      <c r="D22" s="527">
        <v>2733</v>
      </c>
      <c r="E22" s="527">
        <v>3927</v>
      </c>
      <c r="F22" s="527">
        <v>4743</v>
      </c>
      <c r="G22" s="527"/>
      <c r="H22" s="11"/>
      <c r="I22" s="42" t="s">
        <v>32</v>
      </c>
      <c r="J22" s="44">
        <v>9.8699999999999996E-2</v>
      </c>
      <c r="K22" s="44">
        <v>0.10489999999999999</v>
      </c>
      <c r="L22" s="44">
        <v>0.1234</v>
      </c>
      <c r="M22" s="44">
        <v>0.1265</v>
      </c>
      <c r="N22" s="44">
        <v>0.1265</v>
      </c>
    </row>
    <row r="23" spans="2:14" ht="15" customHeight="1" x14ac:dyDescent="0.25">
      <c r="B23" s="6" t="s">
        <v>29</v>
      </c>
      <c r="C23" s="527">
        <v>2764</v>
      </c>
      <c r="D23" s="527">
        <v>3676</v>
      </c>
      <c r="E23" s="527">
        <v>5012</v>
      </c>
      <c r="F23" s="527">
        <v>6757</v>
      </c>
      <c r="G23" s="527"/>
      <c r="H23" s="11"/>
      <c r="I23" s="543" t="s">
        <v>33</v>
      </c>
      <c r="J23" s="544"/>
      <c r="K23" s="544"/>
      <c r="L23" s="544"/>
      <c r="M23" s="544"/>
      <c r="N23" s="109"/>
    </row>
    <row r="24" spans="2:14" ht="15" customHeight="1" x14ac:dyDescent="0.25">
      <c r="B24" s="6" t="s">
        <v>58</v>
      </c>
      <c r="C24" s="527">
        <v>2137</v>
      </c>
      <c r="D24" s="527">
        <v>3291</v>
      </c>
      <c r="E24" s="527">
        <v>4574</v>
      </c>
      <c r="F24" s="527">
        <v>5873</v>
      </c>
      <c r="G24" s="527"/>
      <c r="H24" s="11"/>
      <c r="I24" s="42" t="s">
        <v>34</v>
      </c>
      <c r="J24" s="44">
        <v>0.15229999999999999</v>
      </c>
      <c r="K24" s="44">
        <v>0.15529999999999999</v>
      </c>
      <c r="L24" s="44">
        <v>0.15720000000000001</v>
      </c>
      <c r="M24" s="44">
        <v>0.16500000000000001</v>
      </c>
      <c r="N24" s="44"/>
    </row>
    <row r="25" spans="2:14" ht="15" customHeight="1" x14ac:dyDescent="0.25">
      <c r="B25" s="6" t="s">
        <v>59</v>
      </c>
      <c r="C25" s="527">
        <v>61</v>
      </c>
      <c r="D25" s="527">
        <v>77</v>
      </c>
      <c r="E25" s="527">
        <v>103</v>
      </c>
      <c r="F25" s="527">
        <v>148</v>
      </c>
      <c r="G25" s="527"/>
      <c r="H25" s="11"/>
      <c r="I25" s="42" t="s">
        <v>35</v>
      </c>
      <c r="J25" s="44">
        <v>9.2100000000000001E-2</v>
      </c>
      <c r="K25" s="44">
        <v>9.2299999999999993E-2</v>
      </c>
      <c r="L25" s="44">
        <v>9.9699999999999997E-2</v>
      </c>
      <c r="M25" s="44">
        <v>9.6199999999999994E-2</v>
      </c>
      <c r="N25" s="44"/>
    </row>
    <row r="26" spans="2:14" ht="15" customHeight="1" x14ac:dyDescent="0.25">
      <c r="B26" s="6" t="s">
        <v>60</v>
      </c>
      <c r="C26" s="527">
        <v>48</v>
      </c>
      <c r="D26" s="527">
        <v>59</v>
      </c>
      <c r="E26" s="527">
        <v>68</v>
      </c>
      <c r="F26" s="527">
        <v>98</v>
      </c>
      <c r="G26" s="527"/>
      <c r="H26" s="11"/>
      <c r="I26" s="42" t="s">
        <v>36</v>
      </c>
      <c r="J26" s="48">
        <v>6.0100000000000001E-2</v>
      </c>
      <c r="K26" s="48">
        <v>6.2899999999999998E-2</v>
      </c>
      <c r="L26" s="48">
        <v>5.7500000000000002E-2</v>
      </c>
      <c r="M26" s="48">
        <v>6.8699999999999997E-2</v>
      </c>
      <c r="N26" s="48"/>
    </row>
    <row r="27" spans="2:14" ht="15" customHeight="1" x14ac:dyDescent="0.25">
      <c r="I27" s="545" t="s">
        <v>703</v>
      </c>
      <c r="J27" s="109"/>
      <c r="K27" s="109"/>
      <c r="L27" s="109"/>
      <c r="M27" s="109"/>
      <c r="N27" s="109"/>
    </row>
    <row r="28" spans="2:14" ht="15" customHeight="1" x14ac:dyDescent="0.25">
      <c r="I28" s="81" t="s">
        <v>726</v>
      </c>
      <c r="J28" s="82">
        <v>0.79310000000000003</v>
      </c>
      <c r="K28" s="48">
        <v>0.90500000000000003</v>
      </c>
      <c r="L28" s="48">
        <v>0.90449999999999997</v>
      </c>
      <c r="M28" s="48">
        <v>0.90939999999999999</v>
      </c>
      <c r="N28" s="81"/>
    </row>
    <row r="29" spans="2:14" ht="15" customHeight="1" x14ac:dyDescent="0.25">
      <c r="I29" s="81" t="s">
        <v>727</v>
      </c>
      <c r="J29" s="82">
        <v>0.17849999999999999</v>
      </c>
      <c r="K29" s="48">
        <v>7.1499999999999994E-2</v>
      </c>
      <c r="L29" s="48">
        <v>7.3099999999999998E-2</v>
      </c>
      <c r="M29" s="48">
        <v>6.54E-2</v>
      </c>
      <c r="N29" s="81"/>
    </row>
    <row r="30" spans="2:14" ht="15" customHeight="1" x14ac:dyDescent="0.25">
      <c r="I30" s="81" t="s">
        <v>696</v>
      </c>
      <c r="J30" s="82">
        <v>2.8400000000000002E-2</v>
      </c>
      <c r="K30" s="48">
        <v>2.35E-2</v>
      </c>
      <c r="L30" s="48">
        <v>2.24E-2</v>
      </c>
      <c r="M30" s="48">
        <v>2.52E-2</v>
      </c>
      <c r="N30" s="81"/>
    </row>
    <row r="31" spans="2:14" ht="15" customHeight="1" x14ac:dyDescent="0.25">
      <c r="I31" s="546" t="s">
        <v>716</v>
      </c>
      <c r="J31" s="109"/>
      <c r="K31" s="109"/>
      <c r="L31" s="109"/>
      <c r="M31" s="109"/>
      <c r="N31" s="109"/>
    </row>
    <row r="32" spans="2:14" ht="15" customHeight="1" x14ac:dyDescent="0.25">
      <c r="I32" s="81" t="s">
        <v>731</v>
      </c>
      <c r="J32" s="48">
        <v>5.7000000000000002E-3</v>
      </c>
      <c r="K32" s="48">
        <v>4.5999999999999999E-3</v>
      </c>
      <c r="L32" s="48">
        <v>3.0000000000000001E-3</v>
      </c>
      <c r="M32" s="48">
        <v>3.0999999999999999E-3</v>
      </c>
      <c r="N32" s="81"/>
    </row>
    <row r="33" spans="9:14" ht="15" customHeight="1" x14ac:dyDescent="0.25">
      <c r="I33" s="81" t="s">
        <v>732</v>
      </c>
      <c r="J33" s="48">
        <v>1.8700000000000001E-2</v>
      </c>
      <c r="K33" s="48">
        <v>1.5800000000000002E-2</v>
      </c>
      <c r="L33" s="48">
        <v>3.8800000000000001E-2</v>
      </c>
      <c r="M33" s="48">
        <v>4.5100000000000001E-2</v>
      </c>
      <c r="N33" s="81"/>
    </row>
    <row r="34" spans="9:14" ht="15" customHeight="1" x14ac:dyDescent="0.25">
      <c r="I34" s="81" t="s">
        <v>733</v>
      </c>
      <c r="J34" s="48">
        <v>0.21260000000000001</v>
      </c>
      <c r="K34" s="48">
        <v>0.2361</v>
      </c>
      <c r="L34" s="48">
        <v>0.33600000000000002</v>
      </c>
      <c r="M34" s="48">
        <v>0.33589999999999998</v>
      </c>
      <c r="N34" s="81"/>
    </row>
  </sheetData>
  <mergeCells count="3">
    <mergeCell ref="E1:F1"/>
    <mergeCell ref="B2:G2"/>
    <mergeCell ref="R3:U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32"/>
  <sheetViews>
    <sheetView showGridLines="0" zoomScale="89" workbookViewId="0">
      <selection activeCell="M7" sqref="M7"/>
    </sheetView>
  </sheetViews>
  <sheetFormatPr defaultRowHeight="15" x14ac:dyDescent="0.25"/>
  <cols>
    <col min="1" max="1" width="1.85546875" customWidth="1"/>
    <col min="2" max="2" width="34.85546875" customWidth="1"/>
    <col min="3" max="6" width="12.7109375" customWidth="1"/>
    <col min="7" max="7" width="13.28515625" bestFit="1" customWidth="1"/>
    <col min="9" max="9" width="37" customWidth="1"/>
    <col min="10" max="10" width="18.7109375" hidden="1" customWidth="1"/>
    <col min="11" max="12" width="12.140625" customWidth="1"/>
    <col min="13" max="13" width="12.28515625" customWidth="1"/>
    <col min="14" max="14" width="11.28515625" bestFit="1" customWidth="1"/>
    <col min="15" max="15" width="12.140625" customWidth="1"/>
    <col min="17" max="17" width="5.7109375" bestFit="1" customWidth="1"/>
    <col min="18" max="18" width="36.7109375" bestFit="1" customWidth="1"/>
    <col min="19" max="19" width="27.5703125" bestFit="1" customWidth="1"/>
    <col min="20" max="20" width="34.140625" bestFit="1" customWidth="1"/>
    <col min="21" max="22" width="12.140625" bestFit="1" customWidth="1"/>
    <col min="23" max="23" width="23.140625" bestFit="1" customWidth="1"/>
    <col min="24" max="24" width="22.85546875" bestFit="1" customWidth="1"/>
    <col min="25" max="25" width="25.140625" bestFit="1" customWidth="1"/>
  </cols>
  <sheetData>
    <row r="1" spans="1:25" x14ac:dyDescent="0.25">
      <c r="G1" s="547" t="s">
        <v>111</v>
      </c>
    </row>
    <row r="2" spans="1:25" ht="18.75" x14ac:dyDescent="0.25">
      <c r="B2" s="765" t="s">
        <v>746</v>
      </c>
      <c r="C2" s="765"/>
      <c r="D2" s="765"/>
      <c r="E2" s="765"/>
      <c r="F2" s="765"/>
      <c r="G2" s="765"/>
      <c r="I2" s="92" t="s">
        <v>4</v>
      </c>
      <c r="J2" s="564"/>
      <c r="K2" s="565" t="s">
        <v>492</v>
      </c>
      <c r="L2" s="565" t="s">
        <v>623</v>
      </c>
      <c r="M2" s="565" t="s">
        <v>700</v>
      </c>
      <c r="N2" s="565" t="s">
        <v>701</v>
      </c>
      <c r="O2" s="565" t="s">
        <v>721</v>
      </c>
    </row>
    <row r="3" spans="1:25" ht="15" customHeight="1" x14ac:dyDescent="0.25">
      <c r="A3" t="s">
        <v>704</v>
      </c>
      <c r="B3" s="764" t="s">
        <v>4</v>
      </c>
      <c r="C3" s="561" t="s">
        <v>495</v>
      </c>
      <c r="D3" s="561" t="s">
        <v>556</v>
      </c>
      <c r="E3" s="561" t="s">
        <v>571</v>
      </c>
      <c r="F3" s="561" t="s">
        <v>572</v>
      </c>
      <c r="G3" s="561" t="s">
        <v>37</v>
      </c>
      <c r="I3" s="568" t="s">
        <v>6</v>
      </c>
      <c r="J3" s="569" t="s">
        <v>7</v>
      </c>
      <c r="K3" s="570"/>
      <c r="L3" s="570"/>
      <c r="M3" s="570"/>
      <c r="N3" s="570"/>
      <c r="O3" s="570"/>
      <c r="S3" s="403"/>
      <c r="T3" s="403"/>
      <c r="U3" s="403"/>
      <c r="V3" s="403"/>
      <c r="W3" s="403"/>
    </row>
    <row r="4" spans="1:25" ht="15" customHeight="1" x14ac:dyDescent="0.25">
      <c r="B4" s="764"/>
      <c r="C4" s="563" t="s">
        <v>46</v>
      </c>
      <c r="D4" s="563" t="s">
        <v>46</v>
      </c>
      <c r="E4" s="563" t="s">
        <v>46</v>
      </c>
      <c r="F4" s="563" t="s">
        <v>46</v>
      </c>
      <c r="G4" s="563" t="s">
        <v>96</v>
      </c>
      <c r="I4" s="474" t="s">
        <v>11</v>
      </c>
      <c r="J4" s="479">
        <v>0.1046</v>
      </c>
      <c r="K4" s="573">
        <f>C11/AVERAGE(C24:C24)</f>
        <v>6.0459388246076294E-2</v>
      </c>
      <c r="L4" s="573">
        <f>D11/AVERAGE(C24:D24)</f>
        <v>6.7286854060648868E-2</v>
      </c>
      <c r="M4" s="573">
        <f>E11/AVERAGE(D24:E24)</f>
        <v>6.8851615117326584E-2</v>
      </c>
      <c r="N4" s="573">
        <f>F11/AVERAGE(E24:F24)</f>
        <v>7.0077421583425323E-2</v>
      </c>
      <c r="O4" s="573" t="e">
        <f>(#REF!*4)/#REF!</f>
        <v>#REF!</v>
      </c>
      <c r="Q4" s="741" t="s">
        <v>624</v>
      </c>
      <c r="R4" s="742"/>
      <c r="S4" s="404" t="s">
        <v>625</v>
      </c>
      <c r="T4" s="404" t="s">
        <v>626</v>
      </c>
      <c r="U4" s="404" t="s">
        <v>627</v>
      </c>
      <c r="V4" s="404" t="s">
        <v>628</v>
      </c>
      <c r="W4" s="404" t="s">
        <v>629</v>
      </c>
      <c r="X4" s="404" t="s">
        <v>630</v>
      </c>
      <c r="Y4" s="404" t="s">
        <v>631</v>
      </c>
    </row>
    <row r="5" spans="1:25" ht="15" customHeight="1" x14ac:dyDescent="0.25">
      <c r="B5" s="764"/>
      <c r="C5" s="562" t="s">
        <v>49</v>
      </c>
      <c r="D5" s="562" t="s">
        <v>49</v>
      </c>
      <c r="E5" s="562" t="s">
        <v>49</v>
      </c>
      <c r="F5" s="562" t="s">
        <v>49</v>
      </c>
      <c r="G5" s="562" t="s">
        <v>49</v>
      </c>
      <c r="I5" s="568" t="s">
        <v>12</v>
      </c>
      <c r="J5" s="571"/>
      <c r="K5" s="574"/>
      <c r="L5" s="574"/>
      <c r="M5" s="574"/>
      <c r="N5" s="574"/>
      <c r="O5" s="574"/>
      <c r="Q5" s="743"/>
      <c r="R5" s="744"/>
      <c r="S5" s="420">
        <v>45352</v>
      </c>
      <c r="T5" s="420">
        <v>45261</v>
      </c>
      <c r="U5" s="420">
        <v>45170</v>
      </c>
      <c r="V5" s="420">
        <v>45078</v>
      </c>
      <c r="W5" s="420">
        <v>44986</v>
      </c>
      <c r="X5" s="420">
        <v>45352</v>
      </c>
      <c r="Y5" s="420">
        <v>44986</v>
      </c>
    </row>
    <row r="6" spans="1:25" ht="15" customHeight="1" x14ac:dyDescent="0.25">
      <c r="A6" t="s">
        <v>704</v>
      </c>
      <c r="B6" s="473" t="s">
        <v>23</v>
      </c>
      <c r="C6" s="566">
        <v>12757</v>
      </c>
      <c r="D6" s="566">
        <v>18845</v>
      </c>
      <c r="E6" s="567">
        <v>25746</v>
      </c>
      <c r="F6" s="567">
        <v>30982</v>
      </c>
      <c r="G6" s="567"/>
      <c r="H6" s="558"/>
      <c r="I6" s="474" t="s">
        <v>13</v>
      </c>
      <c r="J6" s="84" t="e">
        <f>#REF!/#REF!</f>
        <v>#REF!</v>
      </c>
      <c r="K6" s="579">
        <f>C22/C21</f>
        <v>7.1391068416807215</v>
      </c>
      <c r="L6" s="579">
        <f>D22/D21</f>
        <v>7.1274712460910585</v>
      </c>
      <c r="M6" s="579">
        <f>E22/E21</f>
        <v>7.7281999205262926</v>
      </c>
      <c r="N6" s="579">
        <f>F22/F21</f>
        <v>7.2207307468410784</v>
      </c>
      <c r="O6" s="579" t="e">
        <f>#REF!/#REF!</f>
        <v>#REF!</v>
      </c>
      <c r="Q6" s="406" t="s">
        <v>632</v>
      </c>
      <c r="R6" s="406" t="s">
        <v>557</v>
      </c>
      <c r="S6" s="745" t="s">
        <v>633</v>
      </c>
      <c r="T6" s="745"/>
      <c r="U6" s="745"/>
      <c r="V6" s="745"/>
      <c r="W6" s="745"/>
      <c r="X6" s="745"/>
      <c r="Y6" s="745"/>
    </row>
    <row r="7" spans="1:25" ht="15" customHeight="1" x14ac:dyDescent="0.25">
      <c r="B7" s="473" t="s">
        <v>50</v>
      </c>
      <c r="C7" s="566">
        <v>12082</v>
      </c>
      <c r="D7" s="566">
        <v>17614</v>
      </c>
      <c r="E7" s="567">
        <v>23720</v>
      </c>
      <c r="F7" s="567">
        <v>28373</v>
      </c>
      <c r="G7" s="567"/>
      <c r="H7" s="558"/>
      <c r="I7" s="474" t="s">
        <v>14</v>
      </c>
      <c r="J7" s="479">
        <v>0.23980000000000001</v>
      </c>
      <c r="K7" s="575">
        <v>0.17130000000000001</v>
      </c>
      <c r="L7" s="575">
        <v>0.1857</v>
      </c>
      <c r="M7" s="575">
        <v>0.19800000000000001</v>
      </c>
      <c r="N7" s="575">
        <v>0.192</v>
      </c>
      <c r="O7" s="575">
        <v>0.19370000000000001</v>
      </c>
      <c r="Q7" s="392">
        <v>1</v>
      </c>
      <c r="R7" s="108" t="s">
        <v>646</v>
      </c>
      <c r="S7" s="418">
        <v>6.5199999999999994E-2</v>
      </c>
      <c r="T7" s="418">
        <v>6.4199999999999993E-2</v>
      </c>
      <c r="U7" s="81"/>
      <c r="V7" s="81"/>
      <c r="W7" s="417">
        <v>6.59E-2</v>
      </c>
      <c r="X7" s="417">
        <v>6.6699999999999995E-2</v>
      </c>
      <c r="Y7" s="417">
        <v>6.5299999999999997E-2</v>
      </c>
    </row>
    <row r="8" spans="1:25" ht="15" customHeight="1" x14ac:dyDescent="0.25">
      <c r="B8" s="473" t="s">
        <v>51</v>
      </c>
      <c r="C8" s="566">
        <v>0</v>
      </c>
      <c r="D8" s="566">
        <v>0</v>
      </c>
      <c r="E8" s="567">
        <v>0</v>
      </c>
      <c r="F8" s="567">
        <v>0</v>
      </c>
      <c r="G8" s="567"/>
      <c r="H8" s="558"/>
      <c r="I8" s="474" t="s">
        <v>15</v>
      </c>
      <c r="J8" s="479">
        <v>0.19719999999999999</v>
      </c>
      <c r="K8" s="573">
        <f>C21/C24</f>
        <v>0.13018864321991827</v>
      </c>
      <c r="L8" s="573">
        <f>D21/D24</f>
        <v>0.13063618235196367</v>
      </c>
      <c r="M8" s="573">
        <f>E21/E24</f>
        <v>0.12449293684384104</v>
      </c>
      <c r="N8" s="573">
        <f>F21/F24</f>
        <v>0.13422285139104018</v>
      </c>
      <c r="O8" s="575"/>
      <c r="Q8" s="392">
        <v>2</v>
      </c>
      <c r="R8" s="108" t="s">
        <v>634</v>
      </c>
      <c r="S8" s="410">
        <v>1058.0999999999999</v>
      </c>
      <c r="T8" s="410">
        <v>876.16</v>
      </c>
      <c r="U8" s="410">
        <v>762.49</v>
      </c>
      <c r="V8" s="410">
        <v>726.01</v>
      </c>
      <c r="W8" s="81"/>
      <c r="X8" s="411">
        <v>3422.76</v>
      </c>
      <c r="Y8" s="412">
        <v>2666.2</v>
      </c>
    </row>
    <row r="9" spans="1:25" ht="15" customHeight="1" x14ac:dyDescent="0.25">
      <c r="B9" s="473" t="s">
        <v>52</v>
      </c>
      <c r="C9" s="566">
        <v>674</v>
      </c>
      <c r="D9" s="566">
        <v>1232</v>
      </c>
      <c r="E9" s="567">
        <v>2025</v>
      </c>
      <c r="F9" s="567">
        <v>2609</v>
      </c>
      <c r="G9" s="567"/>
      <c r="H9" s="558"/>
      <c r="I9" s="568" t="s">
        <v>16</v>
      </c>
      <c r="J9" s="571"/>
      <c r="K9" s="574"/>
      <c r="L9" s="574"/>
      <c r="M9" s="574"/>
      <c r="N9" s="574"/>
      <c r="O9" s="574"/>
      <c r="Q9" s="392">
        <v>3</v>
      </c>
      <c r="R9" s="108" t="s">
        <v>635</v>
      </c>
      <c r="S9" s="417">
        <v>3.5400000000000001E-2</v>
      </c>
      <c r="T9" s="417">
        <v>3.9199999999999999E-2</v>
      </c>
      <c r="U9" s="81"/>
      <c r="V9" s="81"/>
      <c r="W9" s="417">
        <v>4.6300000000000001E-2</v>
      </c>
      <c r="X9" s="417">
        <v>3.5400000000000001E-2</v>
      </c>
      <c r="Y9" s="417">
        <v>4.6300000000000001E-2</v>
      </c>
    </row>
    <row r="10" spans="1:25" ht="27.75" customHeight="1" x14ac:dyDescent="0.25">
      <c r="B10" s="473" t="s">
        <v>24</v>
      </c>
      <c r="C10" s="566">
        <v>5749</v>
      </c>
      <c r="D10" s="566">
        <v>9231</v>
      </c>
      <c r="E10" s="567">
        <v>12485</v>
      </c>
      <c r="F10" s="567">
        <v>14374</v>
      </c>
      <c r="G10" s="567"/>
      <c r="H10" s="558"/>
      <c r="I10" s="476" t="s">
        <v>93</v>
      </c>
      <c r="J10" s="559"/>
      <c r="K10" s="576">
        <f>C15/(C12-C10)</f>
        <v>0.39674611103182533</v>
      </c>
      <c r="L10" s="576">
        <f>D15/(D12-D10)</f>
        <v>0.42454498179927197</v>
      </c>
      <c r="M10" s="576">
        <f>E15/(E12-E10)</f>
        <v>0.40263951734539971</v>
      </c>
      <c r="N10" s="576">
        <f>F15/(F12-F10)</f>
        <v>0.39583333333333331</v>
      </c>
      <c r="O10" s="575"/>
      <c r="Q10" s="392">
        <v>4</v>
      </c>
      <c r="R10" s="108" t="s">
        <v>636</v>
      </c>
      <c r="S10" s="417">
        <v>2.3199999999999998E-2</v>
      </c>
      <c r="T10" s="417">
        <v>2.5600000000000001E-2</v>
      </c>
      <c r="U10" s="81"/>
      <c r="V10" s="81"/>
      <c r="W10" s="417">
        <v>3.0599999999999999E-2</v>
      </c>
      <c r="X10" s="417">
        <v>2.3199999999999998E-2</v>
      </c>
      <c r="Y10" s="417">
        <v>3.0599999999999999E-2</v>
      </c>
    </row>
    <row r="11" spans="1:25" ht="28.5" customHeight="1" x14ac:dyDescent="0.25">
      <c r="B11" s="473" t="s">
        <v>53</v>
      </c>
      <c r="C11" s="566">
        <v>6333</v>
      </c>
      <c r="D11" s="566">
        <v>8383</v>
      </c>
      <c r="E11" s="567">
        <v>11235</v>
      </c>
      <c r="F11" s="567">
        <v>13998</v>
      </c>
      <c r="G11" s="567"/>
      <c r="H11" s="558"/>
      <c r="I11" s="474" t="s">
        <v>92</v>
      </c>
      <c r="J11" s="479">
        <v>0.39960000000000001</v>
      </c>
      <c r="K11" s="573">
        <f>C15/C12</f>
        <v>0.21793665725932895</v>
      </c>
      <c r="L11" s="573">
        <f>D15/D12</f>
        <v>0.21659768651172662</v>
      </c>
      <c r="M11" s="573">
        <f>E15/E12</f>
        <v>0.207380073800738</v>
      </c>
      <c r="N11" s="573">
        <f>F15/F12</f>
        <v>0.21218772190304047</v>
      </c>
      <c r="O11" s="575"/>
      <c r="Q11" s="392">
        <v>5</v>
      </c>
      <c r="R11" s="108" t="s">
        <v>637</v>
      </c>
      <c r="S11" s="417">
        <v>5.3E-3</v>
      </c>
      <c r="T11" s="417">
        <v>1.06E-2</v>
      </c>
      <c r="U11" s="81"/>
      <c r="V11" s="81"/>
      <c r="W11" s="417">
        <v>4.3E-3</v>
      </c>
      <c r="X11" s="417">
        <v>1.0500000000000001E-2</v>
      </c>
      <c r="Y11" s="417">
        <v>9.2999999999999992E-3</v>
      </c>
    </row>
    <row r="12" spans="1:25" ht="15" customHeight="1" x14ac:dyDescent="0.25">
      <c r="B12" s="473" t="s">
        <v>1</v>
      </c>
      <c r="C12" s="566">
        <f>C7+C9</f>
        <v>12756</v>
      </c>
      <c r="D12" s="566">
        <f t="shared" ref="D12:F12" si="0">D7+D9</f>
        <v>18846</v>
      </c>
      <c r="E12" s="566">
        <f t="shared" si="0"/>
        <v>25745</v>
      </c>
      <c r="F12" s="566">
        <f t="shared" si="0"/>
        <v>30982</v>
      </c>
      <c r="G12" s="567"/>
      <c r="H12" s="558"/>
      <c r="I12" s="474" t="s">
        <v>17</v>
      </c>
      <c r="J12" s="479">
        <v>5.4600000000000003E-2</v>
      </c>
      <c r="K12" s="573">
        <f>C15/AVERAGE(C23:C23)</f>
        <v>2.4489939744177031E-2</v>
      </c>
      <c r="L12" s="573">
        <f>D15/AVERAGE(C23:D23)</f>
        <v>3.0240733126641405E-2</v>
      </c>
      <c r="M12" s="573">
        <f>E15/AVERAGE(D23:E23)</f>
        <v>2.9818569725131878E-2</v>
      </c>
      <c r="N12" s="573">
        <f>F15/AVERAGE(E23:F23)</f>
        <v>2.9432438361561432E-2</v>
      </c>
      <c r="O12" s="575"/>
      <c r="Q12" s="392">
        <v>6</v>
      </c>
      <c r="R12" s="413" t="s">
        <v>638</v>
      </c>
      <c r="S12" s="410">
        <v>5503.09</v>
      </c>
      <c r="T12" s="81"/>
      <c r="U12" s="81"/>
      <c r="V12" s="81"/>
      <c r="W12" s="81"/>
      <c r="X12" s="408"/>
      <c r="Y12" s="408"/>
    </row>
    <row r="13" spans="1:25" ht="15" customHeight="1" x14ac:dyDescent="0.25">
      <c r="B13" s="473" t="s">
        <v>91</v>
      </c>
      <c r="C13" s="566">
        <v>221</v>
      </c>
      <c r="D13" s="566">
        <v>371</v>
      </c>
      <c r="E13" s="567">
        <v>309</v>
      </c>
      <c r="F13" s="567">
        <v>463</v>
      </c>
      <c r="G13" s="567"/>
      <c r="H13" s="558"/>
      <c r="I13" s="568" t="s">
        <v>18</v>
      </c>
      <c r="J13" s="571"/>
      <c r="K13" s="574"/>
      <c r="L13" s="574"/>
      <c r="M13" s="574"/>
      <c r="N13" s="574"/>
      <c r="O13" s="577"/>
      <c r="Q13" s="392">
        <v>7</v>
      </c>
      <c r="R13" s="413" t="s">
        <v>639</v>
      </c>
      <c r="S13" s="410">
        <v>15899.47</v>
      </c>
      <c r="T13" s="81"/>
      <c r="U13" s="81"/>
      <c r="V13" s="81"/>
      <c r="W13" s="81"/>
      <c r="X13" s="408"/>
      <c r="Y13" s="408"/>
    </row>
    <row r="14" spans="1:25" ht="15" customHeight="1" x14ac:dyDescent="0.25">
      <c r="B14" s="473" t="s">
        <v>25</v>
      </c>
      <c r="C14" s="566">
        <f>C12+C13</f>
        <v>12977</v>
      </c>
      <c r="D14" s="566">
        <f t="shared" ref="D14:F14" si="1">D12+D13</f>
        <v>19217</v>
      </c>
      <c r="E14" s="566">
        <f t="shared" si="1"/>
        <v>26054</v>
      </c>
      <c r="F14" s="566">
        <f t="shared" si="1"/>
        <v>31445</v>
      </c>
      <c r="G14" s="567"/>
      <c r="H14" s="558"/>
      <c r="I14" s="474" t="s">
        <v>19</v>
      </c>
      <c r="J14" s="479">
        <v>1.52E-2</v>
      </c>
      <c r="K14" s="573">
        <f>C25/C24</f>
        <v>4.7284912361095201E-2</v>
      </c>
      <c r="L14" s="573">
        <f>D25/D24</f>
        <v>3.6039716390627599E-2</v>
      </c>
      <c r="M14" s="573">
        <f>E25/E24</f>
        <v>2.8653877865112955E-2</v>
      </c>
      <c r="N14" s="573">
        <f>F25/F24</f>
        <v>3.1102490681202917E-2</v>
      </c>
      <c r="O14" s="575">
        <v>3.9199999999999999E-2</v>
      </c>
      <c r="Q14" s="392">
        <v>8</v>
      </c>
      <c r="R14" s="108" t="s">
        <v>640</v>
      </c>
      <c r="S14" s="419">
        <f>S12/S13</f>
        <v>0.34611782656906176</v>
      </c>
      <c r="T14" s="81"/>
      <c r="U14" s="81"/>
      <c r="V14" s="81"/>
      <c r="W14" s="81"/>
      <c r="X14" s="81"/>
      <c r="Y14" s="81"/>
    </row>
    <row r="15" spans="1:25" ht="15" customHeight="1" x14ac:dyDescent="0.25">
      <c r="B15" s="473" t="s">
        <v>26</v>
      </c>
      <c r="C15" s="566">
        <v>2780</v>
      </c>
      <c r="D15" s="566">
        <v>4082</v>
      </c>
      <c r="E15" s="567">
        <v>5339</v>
      </c>
      <c r="F15" s="567">
        <v>6574</v>
      </c>
      <c r="G15" s="567"/>
      <c r="H15" s="558"/>
      <c r="I15" s="474" t="s">
        <v>20</v>
      </c>
      <c r="J15" s="479">
        <v>4.7000000000000002E-3</v>
      </c>
      <c r="K15" s="573">
        <f>C26/C24</f>
        <v>3.1322793752625346E-2</v>
      </c>
      <c r="L15" s="573">
        <f>D26/D24</f>
        <v>2.3361768127181076E-2</v>
      </c>
      <c r="M15" s="573">
        <f>E26/E24</f>
        <v>1.5681855658769856E-2</v>
      </c>
      <c r="N15" s="573">
        <f>F26/F24</f>
        <v>1.6394648183811263E-2</v>
      </c>
      <c r="O15" s="575">
        <v>2.5600000000000001E-2</v>
      </c>
      <c r="Q15" s="392">
        <v>9</v>
      </c>
      <c r="R15" s="108" t="s">
        <v>641</v>
      </c>
      <c r="S15" s="417">
        <v>1.45</v>
      </c>
      <c r="T15" s="81"/>
      <c r="U15" s="81"/>
      <c r="V15" s="81"/>
      <c r="W15" s="81"/>
      <c r="X15" s="408"/>
      <c r="Y15" s="408"/>
    </row>
    <row r="16" spans="1:25" ht="15" customHeight="1" x14ac:dyDescent="0.25">
      <c r="B16" s="473" t="s">
        <v>54</v>
      </c>
      <c r="C16" s="566">
        <f>C12-C15</f>
        <v>9976</v>
      </c>
      <c r="D16" s="566">
        <f t="shared" ref="D16:F16" si="2">D12-D15</f>
        <v>14764</v>
      </c>
      <c r="E16" s="566">
        <f t="shared" si="2"/>
        <v>20406</v>
      </c>
      <c r="F16" s="566">
        <f t="shared" si="2"/>
        <v>24408</v>
      </c>
      <c r="G16" s="567"/>
      <c r="H16" s="558"/>
      <c r="I16" s="474" t="s">
        <v>22</v>
      </c>
      <c r="J16" s="479">
        <v>1.5699999999999999E-2</v>
      </c>
      <c r="K16" s="573">
        <f>C18/AVERAGE(C24:C24)</f>
        <v>8.1147134074158935E-3</v>
      </c>
      <c r="L16" s="573">
        <f>D18/AVERAGE(C24:D24)</f>
        <v>1.0611144109289969E-2</v>
      </c>
      <c r="M16" s="573">
        <f>E18/AVERAGE(D24:E24)</f>
        <v>1.5284016742555629E-2</v>
      </c>
      <c r="N16" s="573">
        <f>F18/AVERAGE(E24:F24)</f>
        <v>1.770208334897785E-2</v>
      </c>
      <c r="O16" s="573"/>
      <c r="Q16" s="392">
        <v>10</v>
      </c>
      <c r="R16" s="108" t="s">
        <v>642</v>
      </c>
      <c r="S16" s="417">
        <v>0.1857</v>
      </c>
      <c r="T16" s="81"/>
      <c r="U16" s="81"/>
      <c r="V16" s="81"/>
      <c r="W16" s="81"/>
      <c r="X16" s="408"/>
      <c r="Y16" s="408"/>
    </row>
    <row r="17" spans="2:18" x14ac:dyDescent="0.25">
      <c r="B17" s="473" t="s">
        <v>94</v>
      </c>
      <c r="C17" s="566">
        <f>C16-C10</f>
        <v>4227</v>
      </c>
      <c r="D17" s="566">
        <f t="shared" ref="D17:F17" si="3">D16-D10</f>
        <v>5533</v>
      </c>
      <c r="E17" s="566">
        <f t="shared" si="3"/>
        <v>7921</v>
      </c>
      <c r="F17" s="566">
        <f t="shared" si="3"/>
        <v>10034</v>
      </c>
      <c r="G17" s="567"/>
      <c r="H17" s="558"/>
      <c r="I17" s="568" t="s">
        <v>30</v>
      </c>
      <c r="J17" s="571"/>
      <c r="K17" s="574"/>
      <c r="L17" s="574"/>
      <c r="M17" s="574"/>
      <c r="N17" s="574"/>
      <c r="O17" s="574"/>
      <c r="R17" s="414"/>
    </row>
    <row r="18" spans="2:18" ht="30" customHeight="1" x14ac:dyDescent="0.25">
      <c r="B18" s="473" t="s">
        <v>27</v>
      </c>
      <c r="C18" s="566">
        <v>850</v>
      </c>
      <c r="D18" s="566">
        <v>1322</v>
      </c>
      <c r="E18" s="567">
        <v>2494</v>
      </c>
      <c r="F18" s="567">
        <v>3536</v>
      </c>
      <c r="G18" s="567"/>
      <c r="H18" s="558"/>
      <c r="I18" s="476" t="s">
        <v>95</v>
      </c>
      <c r="J18" s="560"/>
      <c r="K18" s="578">
        <f>C17/AVERAGE(C23:C23)</f>
        <v>3.7237041474329609E-2</v>
      </c>
      <c r="L18" s="578">
        <f>D17/AVERAGE(C23:D23)</f>
        <v>4.0990195097919374E-2</v>
      </c>
      <c r="M18" s="578">
        <f>E17/AVERAGE(D23:E23)</f>
        <v>4.4239162913049183E-2</v>
      </c>
      <c r="N18" s="578">
        <f>F17/AVERAGE(E23:F23)</f>
        <v>4.4923195393962188E-2</v>
      </c>
      <c r="O18" s="575"/>
      <c r="R18" s="415" t="s">
        <v>643</v>
      </c>
    </row>
    <row r="19" spans="2:18" ht="15" customHeight="1" x14ac:dyDescent="0.25">
      <c r="B19" s="473" t="s">
        <v>55</v>
      </c>
      <c r="C19" s="566">
        <v>2666</v>
      </c>
      <c r="D19" s="566">
        <v>3423</v>
      </c>
      <c r="E19" s="567">
        <v>4259</v>
      </c>
      <c r="F19" s="567">
        <v>5220</v>
      </c>
      <c r="G19" s="567"/>
      <c r="H19" s="558"/>
      <c r="I19" s="474" t="s">
        <v>31</v>
      </c>
      <c r="J19" s="479">
        <v>4.1799999999999997E-2</v>
      </c>
      <c r="K19" s="573">
        <f>C19/AVERAGE(C23:C23)</f>
        <v>2.3485676028048911E-2</v>
      </c>
      <c r="L19" s="573">
        <f>D19/AVERAGE(C23:D23)</f>
        <v>2.5358654946715711E-2</v>
      </c>
      <c r="M19" s="573">
        <f>E19/AVERAGE(D23:E23)</f>
        <v>2.3786718198040208E-2</v>
      </c>
      <c r="N19" s="573">
        <f>F19/AVERAGE(E23:F23)</f>
        <v>2.337044847084738E-2</v>
      </c>
      <c r="O19" s="575"/>
      <c r="R19" s="416" t="s">
        <v>644</v>
      </c>
    </row>
    <row r="20" spans="2:18" ht="15" customHeight="1" x14ac:dyDescent="0.25">
      <c r="B20" s="473" t="s">
        <v>28</v>
      </c>
      <c r="C20" s="566">
        <v>13637</v>
      </c>
      <c r="D20" s="566">
        <v>18867</v>
      </c>
      <c r="E20" s="567">
        <v>22649</v>
      </c>
      <c r="F20" s="567">
        <v>29203</v>
      </c>
      <c r="G20" s="567"/>
      <c r="H20" s="558"/>
      <c r="I20" s="474" t="s">
        <v>32</v>
      </c>
      <c r="J20" s="479">
        <v>0.21279999999999999</v>
      </c>
      <c r="K20" s="573">
        <f>C19/AVERAGE(C20:C20)</f>
        <v>0.19549754344797243</v>
      </c>
      <c r="L20" s="573">
        <f>D19/AVERAGE(C20:D20)</f>
        <v>0.21062023135614077</v>
      </c>
      <c r="M20" s="573">
        <f>E19/AVERAGE(D20:E20)</f>
        <v>0.20517390885441758</v>
      </c>
      <c r="N20" s="573">
        <f>F19/AVERAGE(E20:F20)</f>
        <v>0.20134228187919462</v>
      </c>
      <c r="O20" s="575"/>
    </row>
    <row r="21" spans="2:18" ht="15" customHeight="1" x14ac:dyDescent="0.25">
      <c r="B21" s="473" t="s">
        <v>56</v>
      </c>
      <c r="C21" s="566">
        <v>13637</v>
      </c>
      <c r="D21" s="566">
        <v>18867</v>
      </c>
      <c r="E21" s="567">
        <v>22649</v>
      </c>
      <c r="F21" s="567">
        <v>29203</v>
      </c>
      <c r="G21" s="567"/>
      <c r="H21" s="558"/>
      <c r="I21" s="568" t="s">
        <v>33</v>
      </c>
      <c r="J21" s="571"/>
      <c r="K21" s="574"/>
      <c r="L21" s="574"/>
      <c r="M21" s="574"/>
      <c r="N21" s="574"/>
      <c r="O21" s="574"/>
    </row>
    <row r="22" spans="2:18" ht="15" customHeight="1" x14ac:dyDescent="0.25">
      <c r="B22" s="473" t="s">
        <v>57</v>
      </c>
      <c r="C22" s="566">
        <v>97356</v>
      </c>
      <c r="D22" s="566">
        <v>134474</v>
      </c>
      <c r="E22" s="567">
        <v>175036</v>
      </c>
      <c r="F22" s="567">
        <v>210867</v>
      </c>
      <c r="G22" s="567"/>
      <c r="H22" s="558"/>
      <c r="I22" s="474" t="s">
        <v>34</v>
      </c>
      <c r="J22" s="479">
        <v>0.17430000000000001</v>
      </c>
      <c r="K22" s="573">
        <f>C7/AVERAGE(C24:C24)</f>
        <v>0.11534349104517509</v>
      </c>
      <c r="L22" s="573">
        <f>D7/AVERAGE(C24:D24)</f>
        <v>0.14138025139261234</v>
      </c>
      <c r="M22" s="573">
        <f>E7/AVERAGE(D24:E24)</f>
        <v>0.14536362354988755</v>
      </c>
      <c r="N22" s="573">
        <f>F7/AVERAGE(E24:F24)</f>
        <v>0.14204219764155784</v>
      </c>
      <c r="O22" s="575"/>
    </row>
    <row r="23" spans="2:18" ht="15" customHeight="1" x14ac:dyDescent="0.25">
      <c r="B23" s="473" t="s">
        <v>29</v>
      </c>
      <c r="C23" s="566">
        <v>113516</v>
      </c>
      <c r="D23" s="566">
        <v>156451</v>
      </c>
      <c r="E23" s="567">
        <v>201648</v>
      </c>
      <c r="F23" s="567">
        <v>245070</v>
      </c>
      <c r="G23" s="567"/>
      <c r="H23" s="558"/>
      <c r="I23" s="474" t="s">
        <v>35</v>
      </c>
      <c r="J23" s="479">
        <v>7.9799999999999996E-2</v>
      </c>
      <c r="K23" s="573">
        <f>C10/C22</f>
        <v>5.9051316816631741E-2</v>
      </c>
      <c r="L23" s="573">
        <f>D10/AVERAGE(C22:C22)</f>
        <v>9.4816960433871569E-2</v>
      </c>
      <c r="M23" s="573">
        <f>E10/AVERAGE(D22:D22)</f>
        <v>9.2843226199860199E-2</v>
      </c>
      <c r="N23" s="573">
        <f>F10/AVERAGE(E22:E22)</f>
        <v>8.2120249548664273E-2</v>
      </c>
      <c r="O23" s="575"/>
    </row>
    <row r="24" spans="2:18" ht="15" customHeight="1" x14ac:dyDescent="0.25">
      <c r="B24" s="473" t="s">
        <v>58</v>
      </c>
      <c r="C24" s="566">
        <v>104748</v>
      </c>
      <c r="D24" s="566">
        <v>144424</v>
      </c>
      <c r="E24" s="567">
        <v>181930</v>
      </c>
      <c r="F24" s="567">
        <v>217571</v>
      </c>
      <c r="G24" s="567"/>
      <c r="H24" s="558"/>
      <c r="I24" s="474" t="s">
        <v>36</v>
      </c>
      <c r="J24" s="479">
        <v>9.4600000000000004E-2</v>
      </c>
      <c r="K24" s="575">
        <f>K22-K23</f>
        <v>5.6292174228543351E-2</v>
      </c>
      <c r="L24" s="575">
        <f>L22-L23</f>
        <v>4.6563290958740775E-2</v>
      </c>
      <c r="M24" s="575">
        <f t="shared" ref="M24:N24" si="4">M22-M23</f>
        <v>5.2520397350027351E-2</v>
      </c>
      <c r="N24" s="575">
        <f t="shared" si="4"/>
        <v>5.992194809289357E-2</v>
      </c>
      <c r="O24" s="575"/>
    </row>
    <row r="25" spans="2:18" ht="15" customHeight="1" x14ac:dyDescent="0.25">
      <c r="B25" s="473" t="s">
        <v>59</v>
      </c>
      <c r="C25" s="566">
        <v>4953</v>
      </c>
      <c r="D25" s="566">
        <v>5205</v>
      </c>
      <c r="E25" s="567">
        <v>5213</v>
      </c>
      <c r="F25" s="567">
        <v>6767</v>
      </c>
      <c r="G25" s="567"/>
      <c r="H25" s="558"/>
      <c r="I25" s="568" t="s">
        <v>703</v>
      </c>
      <c r="J25" s="570"/>
      <c r="K25" s="574"/>
      <c r="L25" s="574"/>
      <c r="M25" s="574"/>
      <c r="N25" s="574"/>
      <c r="O25" s="574"/>
    </row>
    <row r="26" spans="2:18" ht="15" customHeight="1" x14ac:dyDescent="0.25">
      <c r="B26" s="473" t="s">
        <v>60</v>
      </c>
      <c r="C26" s="566">
        <v>3281</v>
      </c>
      <c r="D26" s="566">
        <v>3374</v>
      </c>
      <c r="E26" s="567">
        <v>2853</v>
      </c>
      <c r="F26" s="567">
        <v>3567</v>
      </c>
      <c r="G26" s="567"/>
      <c r="H26" s="558"/>
      <c r="I26" s="474"/>
      <c r="J26" s="81"/>
      <c r="K26" s="575"/>
      <c r="L26" s="575"/>
      <c r="M26" s="575"/>
      <c r="N26" s="575"/>
      <c r="O26" s="575"/>
    </row>
    <row r="27" spans="2:18" ht="15" customHeight="1" x14ac:dyDescent="0.25">
      <c r="I27" s="474"/>
      <c r="J27" s="81"/>
      <c r="K27" s="575"/>
      <c r="L27" s="575"/>
      <c r="M27" s="575"/>
      <c r="N27" s="575"/>
      <c r="O27" s="575"/>
    </row>
    <row r="28" spans="2:18" ht="15" customHeight="1" x14ac:dyDescent="0.25">
      <c r="C28" s="739"/>
      <c r="D28" s="739"/>
      <c r="E28" s="739"/>
      <c r="F28" s="739"/>
      <c r="G28" s="739"/>
      <c r="H28" s="739"/>
      <c r="I28" s="81"/>
      <c r="J28" s="81"/>
      <c r="K28" s="575"/>
      <c r="L28" s="575"/>
      <c r="M28" s="575"/>
      <c r="N28" s="575"/>
      <c r="O28" s="575"/>
    </row>
    <row r="29" spans="2:18" ht="15" customHeight="1" x14ac:dyDescent="0.25">
      <c r="C29" s="739"/>
      <c r="D29" s="739"/>
      <c r="E29" s="739"/>
      <c r="F29" s="739"/>
      <c r="G29" s="739"/>
      <c r="H29" s="739"/>
      <c r="I29" s="572" t="s">
        <v>716</v>
      </c>
      <c r="J29" s="570"/>
      <c r="K29" s="574"/>
      <c r="L29" s="574"/>
      <c r="M29" s="574"/>
      <c r="N29" s="574"/>
      <c r="O29" s="574"/>
    </row>
    <row r="30" spans="2:18" ht="15" customHeight="1" x14ac:dyDescent="0.25">
      <c r="C30" s="739"/>
      <c r="D30" s="739"/>
      <c r="E30" s="739"/>
      <c r="F30" s="739"/>
      <c r="G30" s="739"/>
      <c r="H30" s="739"/>
      <c r="I30" s="81"/>
      <c r="J30" s="81"/>
      <c r="K30" s="575"/>
      <c r="L30" s="575"/>
      <c r="M30" s="575"/>
      <c r="N30" s="575"/>
      <c r="O30" s="575"/>
    </row>
    <row r="31" spans="2:18" ht="15" customHeight="1" x14ac:dyDescent="0.25">
      <c r="I31" s="81"/>
      <c r="J31" s="81"/>
      <c r="K31" s="575"/>
      <c r="L31" s="575"/>
      <c r="M31" s="575"/>
      <c r="N31" s="575"/>
      <c r="O31" s="575"/>
    </row>
    <row r="32" spans="2:18" ht="15" customHeight="1" x14ac:dyDescent="0.25">
      <c r="I32" s="81"/>
      <c r="J32" s="81"/>
      <c r="K32" s="575"/>
      <c r="L32" s="575"/>
      <c r="M32" s="575"/>
      <c r="N32" s="575"/>
      <c r="O32" s="575"/>
    </row>
  </sheetData>
  <mergeCells count="5">
    <mergeCell ref="B3:B5"/>
    <mergeCell ref="C28:H30"/>
    <mergeCell ref="Q4:R5"/>
    <mergeCell ref="S6:Y6"/>
    <mergeCell ref="B2:G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3"/>
  <sheetViews>
    <sheetView showGridLines="0" zoomScale="107" zoomScaleNormal="130" workbookViewId="0">
      <selection activeCell="B3" sqref="B3:B5"/>
    </sheetView>
  </sheetViews>
  <sheetFormatPr defaultRowHeight="15" x14ac:dyDescent="0.25"/>
  <cols>
    <col min="1" max="1" width="1.85546875" customWidth="1"/>
    <col min="2" max="2" width="31.85546875" customWidth="1"/>
    <col min="3" max="5" width="12.140625" customWidth="1"/>
    <col min="6" max="6" width="10.140625" bestFit="1" customWidth="1"/>
    <col min="8" max="8" width="33.28515625" customWidth="1"/>
    <col min="9" max="11" width="15.140625" customWidth="1"/>
    <col min="12" max="12" width="14.140625" customWidth="1"/>
  </cols>
  <sheetData>
    <row r="1" spans="1:15" x14ac:dyDescent="0.25">
      <c r="B1" t="s">
        <v>360</v>
      </c>
      <c r="E1" s="738" t="s">
        <v>111</v>
      </c>
      <c r="F1" s="738"/>
    </row>
    <row r="2" spans="1:15" ht="22.5" x14ac:dyDescent="0.25">
      <c r="A2" t="s">
        <v>704</v>
      </c>
      <c r="B2" s="722" t="s">
        <v>154</v>
      </c>
      <c r="C2" s="722"/>
      <c r="D2" s="722"/>
      <c r="E2" s="722"/>
      <c r="F2" s="722"/>
      <c r="H2" s="92" t="s">
        <v>4</v>
      </c>
      <c r="I2" s="554" t="s">
        <v>623</v>
      </c>
      <c r="J2" s="554" t="s">
        <v>700</v>
      </c>
      <c r="K2" s="554" t="s">
        <v>701</v>
      </c>
      <c r="L2" s="538" t="s">
        <v>721</v>
      </c>
    </row>
    <row r="3" spans="1:15" x14ac:dyDescent="0.25">
      <c r="B3" s="729" t="s">
        <v>4</v>
      </c>
      <c r="C3" s="471" t="s">
        <v>367</v>
      </c>
      <c r="D3" s="471" t="s">
        <v>368</v>
      </c>
      <c r="E3" s="471" t="s">
        <v>693</v>
      </c>
      <c r="F3" s="471" t="s">
        <v>721</v>
      </c>
      <c r="G3" s="11"/>
      <c r="H3" s="555" t="s">
        <v>6</v>
      </c>
      <c r="I3" s="513"/>
      <c r="J3" s="513"/>
      <c r="K3" s="513"/>
      <c r="L3" s="513"/>
    </row>
    <row r="4" spans="1:15" x14ac:dyDescent="0.25">
      <c r="B4" s="729"/>
      <c r="C4" s="472" t="s">
        <v>46</v>
      </c>
      <c r="D4" s="472" t="s">
        <v>46</v>
      </c>
      <c r="E4" s="472" t="s">
        <v>46</v>
      </c>
      <c r="F4" s="472" t="s">
        <v>96</v>
      </c>
      <c r="G4" s="11"/>
      <c r="H4" s="42" t="s">
        <v>11</v>
      </c>
      <c r="I4" s="44">
        <v>8.8800000000000004E-2</v>
      </c>
      <c r="J4" s="44">
        <v>8.48E-2</v>
      </c>
      <c r="K4" s="44">
        <v>8.7099999999999997E-2</v>
      </c>
      <c r="L4" s="48">
        <v>8.8200000000000001E-2</v>
      </c>
    </row>
    <row r="5" spans="1:15" x14ac:dyDescent="0.25">
      <c r="B5" s="729"/>
      <c r="C5" s="480" t="s">
        <v>49</v>
      </c>
      <c r="D5" s="480" t="s">
        <v>49</v>
      </c>
      <c r="E5" s="480" t="s">
        <v>49</v>
      </c>
      <c r="F5" s="480"/>
      <c r="G5" s="11"/>
      <c r="H5" s="555" t="s">
        <v>12</v>
      </c>
      <c r="I5" s="556"/>
      <c r="J5" s="556"/>
      <c r="K5" s="556"/>
      <c r="L5" s="556"/>
    </row>
    <row r="6" spans="1:15" x14ac:dyDescent="0.25">
      <c r="A6" t="s">
        <v>704</v>
      </c>
      <c r="B6" s="473" t="s">
        <v>23</v>
      </c>
      <c r="C6" s="548">
        <v>1791</v>
      </c>
      <c r="D6" s="549">
        <v>2378</v>
      </c>
      <c r="E6" s="549">
        <v>2824</v>
      </c>
      <c r="F6" s="550">
        <v>737</v>
      </c>
      <c r="G6" s="11"/>
      <c r="H6" s="42" t="s">
        <v>13</v>
      </c>
      <c r="I6" s="553">
        <v>2.91</v>
      </c>
      <c r="J6" s="553">
        <v>3.34</v>
      </c>
      <c r="K6" s="553">
        <v>3.24</v>
      </c>
      <c r="L6" s="553">
        <v>3.18</v>
      </c>
      <c r="M6" s="461"/>
      <c r="N6" s="461"/>
    </row>
    <row r="7" spans="1:15" x14ac:dyDescent="0.25">
      <c r="B7" s="473" t="s">
        <v>50</v>
      </c>
      <c r="C7" s="548">
        <v>1499</v>
      </c>
      <c r="D7" s="550">
        <v>1899</v>
      </c>
      <c r="E7" s="550">
        <v>2262</v>
      </c>
      <c r="F7" s="550">
        <v>589</v>
      </c>
      <c r="G7" s="11"/>
      <c r="H7" s="42" t="s">
        <v>14</v>
      </c>
      <c r="I7" s="48">
        <v>0.33860000000000001</v>
      </c>
      <c r="J7" s="48">
        <v>0.29509999999999997</v>
      </c>
      <c r="K7" s="48">
        <v>0.25409999999999999</v>
      </c>
      <c r="L7" s="48" t="s">
        <v>373</v>
      </c>
      <c r="M7" s="80"/>
      <c r="N7" s="80"/>
      <c r="O7" s="80"/>
    </row>
    <row r="8" spans="1:15" x14ac:dyDescent="0.25">
      <c r="B8" s="473" t="s">
        <v>51</v>
      </c>
      <c r="C8" s="548">
        <v>0</v>
      </c>
      <c r="D8" s="551">
        <v>0</v>
      </c>
      <c r="E8" s="551">
        <v>0</v>
      </c>
      <c r="F8" s="551">
        <v>0</v>
      </c>
      <c r="G8" s="11"/>
      <c r="H8" s="42" t="s">
        <v>15</v>
      </c>
      <c r="I8" s="44">
        <f>C21/C24</f>
        <v>0.31334635040308723</v>
      </c>
      <c r="J8" s="44">
        <f t="shared" ref="J8:L8" si="0">D21/D24</f>
        <v>0.28813980453867816</v>
      </c>
      <c r="K8" s="44">
        <f t="shared" si="0"/>
        <v>0.27928500777165466</v>
      </c>
      <c r="L8" s="44">
        <f t="shared" si="0"/>
        <v>0.28362797847809379</v>
      </c>
    </row>
    <row r="9" spans="1:15" x14ac:dyDescent="0.25">
      <c r="B9" s="473" t="s">
        <v>52</v>
      </c>
      <c r="C9" s="548">
        <v>97</v>
      </c>
      <c r="D9" s="550">
        <v>161</v>
      </c>
      <c r="E9" s="550">
        <v>215</v>
      </c>
      <c r="F9" s="550">
        <v>62</v>
      </c>
      <c r="G9" s="11"/>
      <c r="H9" s="555" t="s">
        <v>16</v>
      </c>
      <c r="I9" s="556"/>
      <c r="J9" s="556"/>
      <c r="K9" s="556"/>
      <c r="L9" s="556"/>
    </row>
    <row r="10" spans="1:15" ht="22.5" x14ac:dyDescent="0.25">
      <c r="B10" s="473" t="s">
        <v>24</v>
      </c>
      <c r="C10" s="548">
        <v>747</v>
      </c>
      <c r="D10" s="550">
        <v>971</v>
      </c>
      <c r="E10" s="550">
        <v>1119</v>
      </c>
      <c r="F10" s="550">
        <v>275</v>
      </c>
      <c r="G10" s="11"/>
      <c r="H10" s="49" t="s">
        <v>93</v>
      </c>
      <c r="I10" s="50">
        <f>C15/(C12-C10)</f>
        <v>0.50943678160919548</v>
      </c>
      <c r="J10" s="50">
        <f t="shared" ref="J10:L10" si="1">D15/(D12-D10)</f>
        <v>0.48898365316275766</v>
      </c>
      <c r="K10" s="50">
        <f t="shared" si="1"/>
        <v>0.4785923753665689</v>
      </c>
      <c r="L10" s="50">
        <f t="shared" si="1"/>
        <v>0.45454545454545453</v>
      </c>
    </row>
    <row r="11" spans="1:15" ht="22.5" x14ac:dyDescent="0.25">
      <c r="B11" s="473" t="s">
        <v>53</v>
      </c>
      <c r="C11" s="548">
        <v>752</v>
      </c>
      <c r="D11" s="550">
        <v>928</v>
      </c>
      <c r="E11" s="550">
        <v>1142</v>
      </c>
      <c r="F11" s="550">
        <v>314</v>
      </c>
      <c r="G11" s="11"/>
      <c r="H11" s="42" t="s">
        <v>92</v>
      </c>
      <c r="I11" s="44">
        <f>C15/C12</f>
        <v>0.2969581239530989</v>
      </c>
      <c r="J11" s="44">
        <f t="shared" ref="J11:L11" si="2">D15/D12</f>
        <v>0.28931875525651807</v>
      </c>
      <c r="K11" s="44">
        <f t="shared" si="2"/>
        <v>0.28895184135977336</v>
      </c>
      <c r="L11" s="44">
        <f t="shared" si="2"/>
        <v>0.28493894165535955</v>
      </c>
    </row>
    <row r="12" spans="1:15" x14ac:dyDescent="0.25">
      <c r="B12" s="473" t="s">
        <v>1</v>
      </c>
      <c r="C12" s="548">
        <v>1791</v>
      </c>
      <c r="D12" s="548">
        <v>2378</v>
      </c>
      <c r="E12" s="548">
        <f>E6</f>
        <v>2824</v>
      </c>
      <c r="F12" s="548">
        <f>F6</f>
        <v>737</v>
      </c>
      <c r="G12" s="11"/>
      <c r="H12" s="42" t="s">
        <v>17</v>
      </c>
      <c r="I12" s="44">
        <f>C15/C23</f>
        <v>4.3207955153780182E-2</v>
      </c>
      <c r="J12" s="44">
        <f>D15/AVERAGE(C23:D23)</f>
        <v>4.9624709169811723E-2</v>
      </c>
      <c r="K12" s="44">
        <f t="shared" ref="K12:L12" si="3">E15/AVERAGE(D23:E23)</f>
        <v>5.0105922446347977E-2</v>
      </c>
      <c r="L12" s="44">
        <f t="shared" si="3"/>
        <v>1.2178855187612364E-2</v>
      </c>
    </row>
    <row r="13" spans="1:15" x14ac:dyDescent="0.25">
      <c r="B13" s="473" t="s">
        <v>91</v>
      </c>
      <c r="C13" s="548">
        <v>6.7545000000000002</v>
      </c>
      <c r="D13" s="548">
        <f>D14-D12</f>
        <v>8</v>
      </c>
      <c r="E13" s="548">
        <f t="shared" ref="E13:F13" si="4">E14-E12</f>
        <v>4</v>
      </c>
      <c r="F13" s="548">
        <f t="shared" si="4"/>
        <v>0</v>
      </c>
      <c r="G13" s="11"/>
      <c r="H13" s="555" t="s">
        <v>18</v>
      </c>
      <c r="I13" s="556"/>
      <c r="J13" s="556"/>
      <c r="K13" s="556"/>
      <c r="L13" s="556"/>
    </row>
    <row r="14" spans="1:15" x14ac:dyDescent="0.25">
      <c r="B14" s="473" t="s">
        <v>25</v>
      </c>
      <c r="C14" s="548">
        <v>1798</v>
      </c>
      <c r="D14" s="550">
        <v>2386</v>
      </c>
      <c r="E14" s="550">
        <v>2828</v>
      </c>
      <c r="F14" s="550">
        <v>737</v>
      </c>
      <c r="G14" s="11"/>
      <c r="H14" s="42" t="s">
        <v>19</v>
      </c>
      <c r="I14" s="44">
        <f>C25/C24</f>
        <v>3.4984544280429963E-2</v>
      </c>
      <c r="J14" s="44">
        <f t="shared" ref="J14:K14" si="5">D25/D24</f>
        <v>4.7457346364088125E-2</v>
      </c>
      <c r="K14" s="44">
        <f t="shared" si="5"/>
        <v>4.3379963261268896E-2</v>
      </c>
      <c r="L14" s="44"/>
      <c r="M14" s="80"/>
      <c r="N14" s="80"/>
      <c r="O14" s="437"/>
    </row>
    <row r="15" spans="1:15" x14ac:dyDescent="0.25">
      <c r="B15" s="473" t="s">
        <v>26</v>
      </c>
      <c r="C15" s="548">
        <f>(38633.73+3611.35+10940.12)*0.01</f>
        <v>531.85200000000009</v>
      </c>
      <c r="D15" s="550">
        <v>688</v>
      </c>
      <c r="E15" s="550">
        <v>816</v>
      </c>
      <c r="F15" s="550">
        <v>210</v>
      </c>
      <c r="G15" s="11"/>
      <c r="H15" s="42" t="s">
        <v>20</v>
      </c>
      <c r="I15" s="44">
        <f>C26/C24</f>
        <v>2.4409038718511866E-2</v>
      </c>
      <c r="J15" s="44">
        <f t="shared" ref="J15:K15" si="6">D26/D24</f>
        <v>3.3708795759483184E-2</v>
      </c>
      <c r="K15" s="44">
        <f t="shared" si="6"/>
        <v>2.8331213791154445E-2</v>
      </c>
      <c r="L15" s="44"/>
      <c r="M15" s="80"/>
      <c r="N15" s="80"/>
      <c r="O15" s="80"/>
    </row>
    <row r="16" spans="1:15" x14ac:dyDescent="0.25">
      <c r="B16" s="473" t="s">
        <v>54</v>
      </c>
      <c r="C16" s="548">
        <f>C12-C15</f>
        <v>1259.1479999999999</v>
      </c>
      <c r="D16" s="548">
        <f t="shared" ref="D16:F16" si="7">D12-D15</f>
        <v>1690</v>
      </c>
      <c r="E16" s="548">
        <f t="shared" si="7"/>
        <v>2008</v>
      </c>
      <c r="F16" s="548">
        <f t="shared" si="7"/>
        <v>527</v>
      </c>
      <c r="G16" s="11"/>
      <c r="H16" s="42" t="s">
        <v>21</v>
      </c>
      <c r="I16" s="44">
        <f t="shared" ref="I16:K16" si="8">(I14-I15)/I14</f>
        <v>0.30229079096033673</v>
      </c>
      <c r="J16" s="44">
        <f t="shared" si="8"/>
        <v>0.28970331588132642</v>
      </c>
      <c r="K16" s="44">
        <f t="shared" si="8"/>
        <v>0.34690553745928332</v>
      </c>
      <c r="L16" s="44"/>
    </row>
    <row r="17" spans="2:13" x14ac:dyDescent="0.25">
      <c r="B17" s="473" t="s">
        <v>94</v>
      </c>
      <c r="C17" s="548">
        <f>C16-C10</f>
        <v>512.14799999999991</v>
      </c>
      <c r="D17" s="548">
        <f t="shared" ref="D17:F17" si="9">D16-D10</f>
        <v>719</v>
      </c>
      <c r="E17" s="548">
        <f t="shared" si="9"/>
        <v>889</v>
      </c>
      <c r="F17" s="548">
        <f t="shared" si="9"/>
        <v>252</v>
      </c>
      <c r="G17" s="11"/>
      <c r="H17" s="42" t="s">
        <v>22</v>
      </c>
      <c r="I17" s="44">
        <f>C18/AVERAGE(C24:C24)</f>
        <v>1.217042320028199E-2</v>
      </c>
      <c r="J17" s="44">
        <f>D18/AVERAGE(C24:D24)</f>
        <v>2.1839026899380717E-2</v>
      </c>
      <c r="K17" s="44">
        <f t="shared" ref="K17:L17" si="10">E18/AVERAGE(D24:E24)</f>
        <v>2.4858929388439834E-2</v>
      </c>
      <c r="L17" s="44">
        <f t="shared" si="10"/>
        <v>7.7990514667135077E-3</v>
      </c>
      <c r="M17" s="463"/>
    </row>
    <row r="18" spans="2:13" x14ac:dyDescent="0.25">
      <c r="B18" s="473" t="s">
        <v>27</v>
      </c>
      <c r="C18" s="548">
        <v>119.43350000000001</v>
      </c>
      <c r="D18" s="550">
        <v>239</v>
      </c>
      <c r="E18" s="550">
        <v>326</v>
      </c>
      <c r="F18" s="550">
        <v>111</v>
      </c>
      <c r="G18" s="11"/>
      <c r="H18" s="555" t="s">
        <v>30</v>
      </c>
      <c r="I18" s="556"/>
      <c r="J18" s="556"/>
      <c r="K18" s="556"/>
      <c r="L18" s="556"/>
    </row>
    <row r="19" spans="2:13" ht="22.5" x14ac:dyDescent="0.25">
      <c r="B19" s="473" t="s">
        <v>55</v>
      </c>
      <c r="C19" s="548">
        <v>311.92330000000004</v>
      </c>
      <c r="D19" s="550">
        <v>380</v>
      </c>
      <c r="E19" s="550">
        <v>431</v>
      </c>
      <c r="F19" s="550">
        <v>104</v>
      </c>
      <c r="G19" s="11"/>
      <c r="H19" s="49" t="s">
        <v>95</v>
      </c>
      <c r="I19" s="552">
        <f>C17/AVERAGE(C23:C23)</f>
        <v>4.160719112854367E-2</v>
      </c>
      <c r="J19" s="552">
        <f>D17/AVERAGE(C23:D23)</f>
        <v>5.1860706239963125E-2</v>
      </c>
      <c r="K19" s="552">
        <f t="shared" ref="K19:L19" si="11">E17/AVERAGE(D23:E23)</f>
        <v>5.4588437567160975E-2</v>
      </c>
      <c r="L19" s="552">
        <f t="shared" si="11"/>
        <v>1.4614626225134836E-2</v>
      </c>
    </row>
    <row r="20" spans="2:13" x14ac:dyDescent="0.25">
      <c r="B20" s="473" t="s">
        <v>28</v>
      </c>
      <c r="C20" s="548">
        <f>(310858.1-1972.62-1356.31)*0.01</f>
        <v>3075.2916999999998</v>
      </c>
      <c r="D20" s="550">
        <v>3479</v>
      </c>
      <c r="E20" s="550">
        <v>3953</v>
      </c>
      <c r="F20" s="550">
        <v>4059</v>
      </c>
      <c r="G20" s="11"/>
      <c r="H20" s="49" t="s">
        <v>31</v>
      </c>
      <c r="I20" s="44">
        <f>C19/AVERAGE(C23:C23)</f>
        <v>2.5340824059736772E-2</v>
      </c>
      <c r="J20" s="44">
        <f>D19/AVERAGE(C23:D23)</f>
        <v>2.7408996343791361E-2</v>
      </c>
      <c r="K20" s="44">
        <f>E19/AVERAGE(D23:E23)</f>
        <v>2.6465260507813698E-2</v>
      </c>
      <c r="L20" s="44">
        <v>2.4199999999999999E-2</v>
      </c>
    </row>
    <row r="21" spans="2:13" x14ac:dyDescent="0.25">
      <c r="B21" s="473" t="s">
        <v>56</v>
      </c>
      <c r="C21" s="548">
        <v>3075</v>
      </c>
      <c r="D21" s="550">
        <v>3479</v>
      </c>
      <c r="E21" s="550">
        <v>3953</v>
      </c>
      <c r="F21" s="550">
        <v>4059</v>
      </c>
      <c r="G21" s="11"/>
      <c r="H21" s="42" t="s">
        <v>32</v>
      </c>
      <c r="I21" s="44">
        <f>C19/AVERAGE(C20:C20)</f>
        <v>0.10142884982260385</v>
      </c>
      <c r="J21" s="44">
        <f>D19/AVERAGE(C20:D20)</f>
        <v>0.11595455844603315</v>
      </c>
      <c r="K21" s="44">
        <f>E19/AVERAGE(D20:E20)</f>
        <v>0.11598493003229279</v>
      </c>
      <c r="L21" s="44">
        <v>0.1041</v>
      </c>
    </row>
    <row r="22" spans="2:13" x14ac:dyDescent="0.25">
      <c r="B22" s="473" t="s">
        <v>57</v>
      </c>
      <c r="C22" s="548">
        <f>(153655.91+739832.06)*0.01</f>
        <v>8934.8797000000013</v>
      </c>
      <c r="D22" s="550">
        <v>11604</v>
      </c>
      <c r="E22" s="550">
        <v>12820</v>
      </c>
      <c r="F22" s="550">
        <v>12902</v>
      </c>
      <c r="G22" s="11"/>
      <c r="H22" s="555" t="s">
        <v>33</v>
      </c>
      <c r="I22" s="556"/>
      <c r="J22" s="556"/>
      <c r="K22" s="556"/>
      <c r="L22" s="556"/>
    </row>
    <row r="23" spans="2:13" x14ac:dyDescent="0.25">
      <c r="B23" s="473" t="s">
        <v>29</v>
      </c>
      <c r="C23" s="548">
        <v>12309.1222</v>
      </c>
      <c r="D23" s="550">
        <v>15419</v>
      </c>
      <c r="E23" s="550">
        <v>17152</v>
      </c>
      <c r="F23" s="550">
        <v>17334</v>
      </c>
      <c r="G23" s="11"/>
      <c r="H23" s="42" t="s">
        <v>34</v>
      </c>
      <c r="I23" s="44">
        <v>0.17699999999999999</v>
      </c>
      <c r="J23" s="44">
        <v>0.17349999999999999</v>
      </c>
      <c r="K23" s="44">
        <v>0.17249999999999999</v>
      </c>
      <c r="L23" s="48">
        <v>0.1656</v>
      </c>
    </row>
    <row r="24" spans="2:13" x14ac:dyDescent="0.25">
      <c r="B24" s="473" t="s">
        <v>58</v>
      </c>
      <c r="C24" s="548">
        <v>9813.4220999999998</v>
      </c>
      <c r="D24" s="550">
        <v>12074</v>
      </c>
      <c r="E24" s="550">
        <v>14154</v>
      </c>
      <c r="F24" s="550">
        <v>14311</v>
      </c>
      <c r="G24" s="11"/>
      <c r="H24" s="42" t="s">
        <v>35</v>
      </c>
      <c r="I24" s="44">
        <v>9.35E-2</v>
      </c>
      <c r="J24" s="44">
        <v>9.4600000000000004E-2</v>
      </c>
      <c r="K24" s="44">
        <v>9.1600000000000001E-2</v>
      </c>
      <c r="L24" s="48">
        <v>8.5699999999999998E-2</v>
      </c>
    </row>
    <row r="25" spans="2:13" x14ac:dyDescent="0.25">
      <c r="B25" s="473" t="s">
        <v>59</v>
      </c>
      <c r="C25" s="548">
        <v>343.31809999999996</v>
      </c>
      <c r="D25" s="550">
        <v>573</v>
      </c>
      <c r="E25" s="550">
        <v>614</v>
      </c>
      <c r="F25" s="550" t="s">
        <v>373</v>
      </c>
      <c r="G25" s="11"/>
      <c r="H25" s="42" t="s">
        <v>36</v>
      </c>
      <c r="I25" s="48">
        <v>8.3500000000000005E-2</v>
      </c>
      <c r="J25" s="48">
        <v>7.8899999999999998E-2</v>
      </c>
      <c r="K25" s="48">
        <v>8.0799999999999997E-2</v>
      </c>
      <c r="L25" s="48">
        <v>7.9899999999999999E-2</v>
      </c>
    </row>
    <row r="26" spans="2:13" x14ac:dyDescent="0.25">
      <c r="B26" s="473" t="s">
        <v>60</v>
      </c>
      <c r="C26" s="548">
        <v>239.53620000000001</v>
      </c>
      <c r="D26" s="550">
        <v>407</v>
      </c>
      <c r="E26" s="550">
        <v>401</v>
      </c>
      <c r="F26" s="550" t="s">
        <v>373</v>
      </c>
      <c r="G26" s="11"/>
      <c r="H26" s="555" t="s">
        <v>703</v>
      </c>
      <c r="I26" s="513"/>
      <c r="J26" s="513"/>
      <c r="K26" s="513"/>
      <c r="L26" s="513"/>
    </row>
    <row r="27" spans="2:13" x14ac:dyDescent="0.25">
      <c r="H27" s="81" t="s">
        <v>723</v>
      </c>
      <c r="I27" s="82">
        <v>0.93569999999999998</v>
      </c>
      <c r="J27" s="82">
        <v>0.91810000000000003</v>
      </c>
      <c r="K27" s="82">
        <v>0.91669999999999996</v>
      </c>
      <c r="L27" s="81"/>
    </row>
    <row r="28" spans="2:13" x14ac:dyDescent="0.25">
      <c r="H28" s="81" t="s">
        <v>724</v>
      </c>
      <c r="I28" s="82">
        <v>2.93E-2</v>
      </c>
      <c r="J28" s="82">
        <v>3.44E-2</v>
      </c>
      <c r="K28" s="82">
        <v>3.9899999999999998E-2</v>
      </c>
      <c r="L28" s="81"/>
    </row>
    <row r="29" spans="2:13" x14ac:dyDescent="0.25">
      <c r="H29" s="81" t="s">
        <v>725</v>
      </c>
      <c r="I29" s="82">
        <v>2.18E-2</v>
      </c>
      <c r="J29" s="82">
        <v>4.7500000000000001E-2</v>
      </c>
      <c r="K29" s="82">
        <v>4.3400000000000001E-2</v>
      </c>
      <c r="L29" s="81"/>
    </row>
    <row r="30" spans="2:13" x14ac:dyDescent="0.25">
      <c r="H30" s="557" t="s">
        <v>716</v>
      </c>
      <c r="I30" s="513"/>
      <c r="J30" s="513"/>
      <c r="K30" s="513"/>
      <c r="L30" s="513"/>
    </row>
    <row r="31" spans="2:13" x14ac:dyDescent="0.25">
      <c r="H31" s="81" t="s">
        <v>728</v>
      </c>
      <c r="I31" s="82">
        <v>3.8999999999999998E-3</v>
      </c>
      <c r="J31" s="82">
        <v>2.7000000000000001E-3</v>
      </c>
      <c r="K31" s="82">
        <v>3.8999999999999998E-3</v>
      </c>
      <c r="L31" s="81"/>
    </row>
    <row r="32" spans="2:13" x14ac:dyDescent="0.25">
      <c r="H32" s="81" t="s">
        <v>729</v>
      </c>
      <c r="I32" s="82">
        <v>0.1042</v>
      </c>
      <c r="J32" s="82">
        <v>8.6699999999999999E-2</v>
      </c>
      <c r="K32" s="82">
        <v>9.1999999999999998E-2</v>
      </c>
      <c r="L32" s="81"/>
    </row>
    <row r="33" spans="8:12" x14ac:dyDescent="0.25">
      <c r="H33" s="81" t="s">
        <v>730</v>
      </c>
      <c r="I33" s="82">
        <v>0.41120000000000001</v>
      </c>
      <c r="J33" s="82">
        <v>0.28970000000000001</v>
      </c>
      <c r="K33" s="82">
        <v>0.35770000000000002</v>
      </c>
      <c r="L33" s="81"/>
    </row>
  </sheetData>
  <mergeCells count="3">
    <mergeCell ref="B3:B5"/>
    <mergeCell ref="B2:F2"/>
    <mergeCell ref="E1:F1"/>
  </mergeCells>
  <pageMargins left="0.7" right="0.7" top="0.75" bottom="0.75" header="0.3" footer="0.3"/>
  <ignoredErrors>
    <ignoredError sqref="J12:L12 J17:L18 J13:K16 J20:L33"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B31"/>
  <sheetViews>
    <sheetView showGridLines="0" zoomScale="91" zoomScaleNormal="100" workbookViewId="0">
      <selection activeCell="H29" sqref="H29"/>
    </sheetView>
  </sheetViews>
  <sheetFormatPr defaultRowHeight="15" x14ac:dyDescent="0.25"/>
  <cols>
    <col min="1" max="1" width="1.85546875" customWidth="1"/>
    <col min="2" max="2" width="33.85546875" bestFit="1" customWidth="1"/>
    <col min="3" max="3" width="11.7109375" customWidth="1"/>
    <col min="4" max="9" width="10.42578125" customWidth="1"/>
    <col min="10" max="10" width="5.7109375" customWidth="1"/>
    <col min="11" max="11" width="36.7109375" customWidth="1"/>
    <col min="12" max="17" width="13.7109375" bestFit="1" customWidth="1"/>
    <col min="18" max="18" width="13.7109375" customWidth="1"/>
    <col min="20" max="20" width="8.42578125" bestFit="1" customWidth="1"/>
    <col min="21" max="21" width="25.28515625" bestFit="1" customWidth="1"/>
    <col min="22" max="22" width="28.85546875" bestFit="1" customWidth="1"/>
    <col min="23" max="23" width="35.42578125" bestFit="1" customWidth="1"/>
    <col min="24" max="25" width="13" bestFit="1" customWidth="1"/>
    <col min="26" max="26" width="24.28515625" bestFit="1" customWidth="1"/>
    <col min="27" max="27" width="23.5703125" bestFit="1" customWidth="1"/>
    <col min="28" max="28" width="25.85546875" bestFit="1" customWidth="1"/>
  </cols>
  <sheetData>
    <row r="1" spans="1:28" x14ac:dyDescent="0.25">
      <c r="G1" s="713" t="s">
        <v>111</v>
      </c>
      <c r="H1" s="713"/>
      <c r="I1" s="470"/>
    </row>
    <row r="2" spans="1:28" ht="18.75" x14ac:dyDescent="0.3">
      <c r="A2" t="s">
        <v>704</v>
      </c>
      <c r="B2" s="768" t="s">
        <v>698</v>
      </c>
      <c r="C2" s="768"/>
      <c r="D2" s="768"/>
      <c r="E2" s="768"/>
      <c r="F2" s="768"/>
      <c r="G2" s="768"/>
      <c r="H2" s="768"/>
      <c r="I2" s="768"/>
      <c r="K2" s="92" t="s">
        <v>4</v>
      </c>
      <c r="L2" s="565" t="s">
        <v>10</v>
      </c>
      <c r="M2" s="565" t="s">
        <v>90</v>
      </c>
      <c r="N2" s="565" t="s">
        <v>496</v>
      </c>
      <c r="O2" s="589" t="s">
        <v>622</v>
      </c>
      <c r="P2" s="589" t="s">
        <v>694</v>
      </c>
      <c r="Q2" s="590" t="s">
        <v>695</v>
      </c>
      <c r="R2" s="589" t="s">
        <v>721</v>
      </c>
    </row>
    <row r="3" spans="1:28" ht="15" customHeight="1" x14ac:dyDescent="0.25">
      <c r="B3" s="580"/>
      <c r="C3" s="581" t="s">
        <v>45</v>
      </c>
      <c r="D3" s="582" t="s">
        <v>42</v>
      </c>
      <c r="E3" s="582" t="s">
        <v>495</v>
      </c>
      <c r="F3" s="583" t="s">
        <v>556</v>
      </c>
      <c r="G3" s="583" t="s">
        <v>571</v>
      </c>
      <c r="H3" s="583" t="s">
        <v>572</v>
      </c>
      <c r="I3" s="584" t="s">
        <v>721</v>
      </c>
      <c r="K3" s="769" t="s">
        <v>6</v>
      </c>
      <c r="L3" s="770"/>
      <c r="M3" s="770"/>
      <c r="N3" s="770"/>
      <c r="O3" s="770"/>
      <c r="P3" s="770"/>
      <c r="Q3" s="770"/>
      <c r="R3" s="508"/>
      <c r="V3" s="403"/>
      <c r="W3" s="403"/>
      <c r="X3" s="403"/>
      <c r="Y3" s="403"/>
      <c r="Z3" s="403"/>
    </row>
    <row r="4" spans="1:28" ht="15" customHeight="1" x14ac:dyDescent="0.25">
      <c r="B4" s="580" t="s">
        <v>4</v>
      </c>
      <c r="C4" s="585" t="s">
        <v>46</v>
      </c>
      <c r="D4" s="563" t="s">
        <v>46</v>
      </c>
      <c r="E4" s="563" t="s">
        <v>46</v>
      </c>
      <c r="F4" s="586" t="s">
        <v>46</v>
      </c>
      <c r="G4" s="586" t="s">
        <v>46</v>
      </c>
      <c r="H4" s="586" t="s">
        <v>46</v>
      </c>
      <c r="I4" s="586" t="s">
        <v>96</v>
      </c>
      <c r="K4" s="533" t="s">
        <v>11</v>
      </c>
      <c r="L4" s="497">
        <f>C11/AVERAGE(C24:C24)</f>
        <v>7.4446311390379494E-2</v>
      </c>
      <c r="M4" s="497">
        <f t="shared" ref="M4:R4" si="0">D11/AVERAGE(C24:D24)</f>
        <v>7.719741435492454E-2</v>
      </c>
      <c r="N4" s="497">
        <f t="shared" si="0"/>
        <v>8.744019206581051E-2</v>
      </c>
      <c r="O4" s="498">
        <f t="shared" si="0"/>
        <v>9.6064836201841586E-2</v>
      </c>
      <c r="P4" s="498">
        <f t="shared" si="0"/>
        <v>9.3419747347740348E-2</v>
      </c>
      <c r="Q4" s="522">
        <f t="shared" si="0"/>
        <v>8.9707426106703417E-2</v>
      </c>
      <c r="R4" s="498">
        <f t="shared" si="0"/>
        <v>2.5811638014051366E-2</v>
      </c>
      <c r="T4" s="741" t="s">
        <v>624</v>
      </c>
      <c r="U4" s="742"/>
      <c r="V4" s="404" t="s">
        <v>625</v>
      </c>
      <c r="W4" s="404" t="s">
        <v>626</v>
      </c>
      <c r="X4" s="404" t="s">
        <v>627</v>
      </c>
      <c r="Y4" s="404" t="s">
        <v>628</v>
      </c>
      <c r="Z4" s="404" t="s">
        <v>629</v>
      </c>
      <c r="AA4" s="404" t="s">
        <v>630</v>
      </c>
      <c r="AB4" s="404" t="s">
        <v>631</v>
      </c>
    </row>
    <row r="5" spans="1:28" ht="15" customHeight="1" x14ac:dyDescent="0.25">
      <c r="B5" s="582"/>
      <c r="C5" s="587" t="s">
        <v>49</v>
      </c>
      <c r="D5" s="562" t="s">
        <v>49</v>
      </c>
      <c r="E5" s="562" t="s">
        <v>49</v>
      </c>
      <c r="F5" s="588" t="s">
        <v>49</v>
      </c>
      <c r="G5" s="588" t="s">
        <v>49</v>
      </c>
      <c r="H5" s="588" t="s">
        <v>49</v>
      </c>
      <c r="I5" s="588" t="s">
        <v>49</v>
      </c>
      <c r="K5" s="769" t="s">
        <v>12</v>
      </c>
      <c r="L5" s="770"/>
      <c r="M5" s="770"/>
      <c r="N5" s="770"/>
      <c r="O5" s="770"/>
      <c r="P5" s="770"/>
      <c r="Q5" s="770"/>
      <c r="R5" s="508"/>
      <c r="T5" s="743"/>
      <c r="U5" s="744"/>
      <c r="V5" s="405"/>
      <c r="W5" s="405"/>
      <c r="X5" s="405"/>
      <c r="Y5" s="405"/>
      <c r="Z5" s="405"/>
      <c r="AA5" s="405"/>
      <c r="AB5" s="405"/>
    </row>
    <row r="6" spans="1:28" ht="15" customHeight="1" x14ac:dyDescent="0.25">
      <c r="A6" t="s">
        <v>704</v>
      </c>
      <c r="B6" s="510" t="s">
        <v>23</v>
      </c>
      <c r="C6" s="489">
        <v>23151.15</v>
      </c>
      <c r="D6" s="490">
        <v>25781.93</v>
      </c>
      <c r="E6" s="490">
        <v>29772.16</v>
      </c>
      <c r="F6" s="491">
        <v>34964.410000000003</v>
      </c>
      <c r="G6" s="491">
        <v>41834</v>
      </c>
      <c r="H6" s="491">
        <v>48118</v>
      </c>
      <c r="I6" s="491">
        <v>13394</v>
      </c>
      <c r="K6" s="533" t="s">
        <v>13</v>
      </c>
      <c r="L6" s="502">
        <f t="shared" ref="L6:R6" si="1">C22/C21</f>
        <v>4.5360949813391152</v>
      </c>
      <c r="M6" s="502">
        <f t="shared" si="1"/>
        <v>4.2644414359252103</v>
      </c>
      <c r="N6" s="502">
        <f t="shared" si="1"/>
        <v>3.6462373899245013</v>
      </c>
      <c r="O6" s="503">
        <f t="shared" si="1"/>
        <v>3.8263804915089841</v>
      </c>
      <c r="P6" s="503">
        <f t="shared" si="1"/>
        <v>4.6248767209751867</v>
      </c>
      <c r="Q6" s="523">
        <f t="shared" si="1"/>
        <v>4.1849923225849519</v>
      </c>
      <c r="R6" s="503" t="e">
        <f t="shared" si="1"/>
        <v>#DIV/0!</v>
      </c>
      <c r="T6" s="406" t="s">
        <v>632</v>
      </c>
      <c r="U6" s="406" t="s">
        <v>557</v>
      </c>
      <c r="V6" s="745" t="s">
        <v>633</v>
      </c>
      <c r="W6" s="745"/>
      <c r="X6" s="745"/>
      <c r="Y6" s="745"/>
      <c r="Z6" s="745"/>
      <c r="AA6" s="745"/>
      <c r="AB6" s="745"/>
    </row>
    <row r="7" spans="1:28" ht="15" customHeight="1" x14ac:dyDescent="0.25">
      <c r="B7" s="496" t="s">
        <v>50</v>
      </c>
      <c r="C7" s="489">
        <v>22031.75</v>
      </c>
      <c r="D7" s="489">
        <v>24018.58</v>
      </c>
      <c r="E7" s="489">
        <v>27504.2</v>
      </c>
      <c r="F7" s="491">
        <v>33599.660000000003</v>
      </c>
      <c r="G7" s="491">
        <v>40308</v>
      </c>
      <c r="H7" s="491">
        <v>46644</v>
      </c>
      <c r="I7" s="491">
        <v>12910</v>
      </c>
      <c r="K7" s="533" t="s">
        <v>14</v>
      </c>
      <c r="L7" s="499"/>
      <c r="M7" s="500"/>
      <c r="N7" s="500">
        <v>0.2261</v>
      </c>
      <c r="O7" s="501">
        <v>0.20300000000000001</v>
      </c>
      <c r="P7" s="501">
        <v>0.20660000000000001</v>
      </c>
      <c r="Q7" s="524">
        <v>0.20399999999999999</v>
      </c>
      <c r="R7" s="501"/>
      <c r="T7" s="392">
        <v>1</v>
      </c>
      <c r="U7" s="108" t="s">
        <v>646</v>
      </c>
      <c r="V7" s="418">
        <v>9.7900000000000001E-2</v>
      </c>
      <c r="W7" s="418">
        <v>0.1047</v>
      </c>
      <c r="X7" s="81"/>
      <c r="Y7" s="81"/>
      <c r="Z7" s="417">
        <v>9.1200000000000003E-2</v>
      </c>
      <c r="AA7" s="417">
        <v>8.7400000000000005E-2</v>
      </c>
      <c r="AB7" s="417">
        <v>7.7200000000000005E-2</v>
      </c>
    </row>
    <row r="8" spans="1:28" ht="15" customHeight="1" x14ac:dyDescent="0.25">
      <c r="B8" s="473" t="s">
        <v>51</v>
      </c>
      <c r="C8" s="489">
        <v>0</v>
      </c>
      <c r="D8" s="489">
        <v>0</v>
      </c>
      <c r="E8" s="489">
        <v>0</v>
      </c>
      <c r="F8" s="491">
        <v>0</v>
      </c>
      <c r="G8" s="491">
        <v>0</v>
      </c>
      <c r="H8" s="491">
        <v>0</v>
      </c>
      <c r="I8" s="491">
        <v>0</v>
      </c>
      <c r="K8" s="533" t="s">
        <v>15</v>
      </c>
      <c r="L8" s="497">
        <f t="shared" ref="L8:R8" si="2">C21/C24</f>
        <v>0.19942353524497794</v>
      </c>
      <c r="M8" s="497">
        <f t="shared" si="2"/>
        <v>0.21430529114629326</v>
      </c>
      <c r="N8" s="497">
        <f t="shared" si="2"/>
        <v>0.23621148256868363</v>
      </c>
      <c r="O8" s="498">
        <f t="shared" si="2"/>
        <v>0.23358114660162793</v>
      </c>
      <c r="P8" s="498">
        <f t="shared" si="2"/>
        <v>0.19505532556672156</v>
      </c>
      <c r="Q8" s="522">
        <f t="shared" si="2"/>
        <v>0.19957630506035653</v>
      </c>
      <c r="R8" s="498">
        <f t="shared" si="2"/>
        <v>0</v>
      </c>
      <c r="T8" s="392">
        <v>2</v>
      </c>
      <c r="U8" s="108" t="s">
        <v>634</v>
      </c>
      <c r="V8" s="410">
        <v>1946</v>
      </c>
      <c r="W8" s="410">
        <v>1818</v>
      </c>
      <c r="X8" s="410">
        <v>1751</v>
      </c>
      <c r="Y8" s="410">
        <v>2248</v>
      </c>
      <c r="Z8" s="81"/>
      <c r="AA8" s="411">
        <v>7190</v>
      </c>
      <c r="AB8" s="412">
        <v>5179</v>
      </c>
    </row>
    <row r="9" spans="1:28" ht="15" customHeight="1" x14ac:dyDescent="0.25">
      <c r="B9" s="473" t="s">
        <v>722</v>
      </c>
      <c r="C9" s="489">
        <f>C6-C7-C8</f>
        <v>1119.4000000000015</v>
      </c>
      <c r="D9" s="489">
        <f>D6-D7-D8</f>
        <v>1763.3499999999985</v>
      </c>
      <c r="E9" s="489">
        <f>E6-E7-E8</f>
        <v>2267.9599999999991</v>
      </c>
      <c r="F9" s="491">
        <f>F6-F7-F8</f>
        <v>1364.75</v>
      </c>
      <c r="G9" s="491">
        <v>1526</v>
      </c>
      <c r="H9" s="491">
        <v>1474</v>
      </c>
      <c r="I9" s="491">
        <v>484</v>
      </c>
      <c r="K9" s="769" t="s">
        <v>16</v>
      </c>
      <c r="L9" s="770"/>
      <c r="M9" s="770"/>
      <c r="N9" s="770"/>
      <c r="O9" s="770"/>
      <c r="P9" s="770"/>
      <c r="Q9" s="770"/>
      <c r="R9" s="508"/>
      <c r="T9" s="392">
        <v>3</v>
      </c>
      <c r="U9" s="108" t="s">
        <v>635</v>
      </c>
      <c r="V9" s="417">
        <v>5.45E-2</v>
      </c>
      <c r="W9" s="417">
        <v>5.6599999999999998E-2</v>
      </c>
      <c r="X9" s="81"/>
      <c r="Y9" s="81"/>
      <c r="Z9" s="417">
        <v>6.2100000000000002E-2</v>
      </c>
      <c r="AA9" s="417">
        <v>5.45E-2</v>
      </c>
      <c r="AB9" s="417">
        <v>6.2100000000000002E-2</v>
      </c>
    </row>
    <row r="10" spans="1:28" ht="35.1" customHeight="1" x14ac:dyDescent="0.25">
      <c r="B10" s="473" t="s">
        <v>24</v>
      </c>
      <c r="C10" s="489">
        <v>11188.14</v>
      </c>
      <c r="D10" s="489">
        <v>12266.84</v>
      </c>
      <c r="E10" s="489">
        <v>12545.76</v>
      </c>
      <c r="F10" s="491">
        <v>14806.12</v>
      </c>
      <c r="G10" s="491">
        <v>18455</v>
      </c>
      <c r="H10" s="491">
        <v>21520</v>
      </c>
      <c r="I10" s="491">
        <v>5204</v>
      </c>
      <c r="K10" s="534" t="s">
        <v>93</v>
      </c>
      <c r="L10" s="504">
        <f t="shared" ref="L10:R10" si="3">C15/(C12-C10)</f>
        <v>0.28003320234623219</v>
      </c>
      <c r="M10" s="504">
        <f t="shared" si="3"/>
        <v>0.27959710220205714</v>
      </c>
      <c r="N10" s="504">
        <f t="shared" si="3"/>
        <v>0.28520584683973432</v>
      </c>
      <c r="O10" s="505">
        <f t="shared" si="3"/>
        <v>0.29712391279220607</v>
      </c>
      <c r="P10" s="505">
        <f t="shared" si="3"/>
        <v>0.30553060438855384</v>
      </c>
      <c r="Q10" s="525">
        <f t="shared" si="3"/>
        <v>0.30178960824122114</v>
      </c>
      <c r="R10" s="505">
        <f t="shared" si="3"/>
        <v>0.25921855921855924</v>
      </c>
      <c r="T10" s="392">
        <v>4</v>
      </c>
      <c r="U10" s="108" t="s">
        <v>636</v>
      </c>
      <c r="V10" s="417">
        <v>2.7E-2</v>
      </c>
      <c r="W10" s="417">
        <v>2.7199999999999998E-2</v>
      </c>
      <c r="X10" s="81"/>
      <c r="Y10" s="81"/>
      <c r="Z10" s="417">
        <v>3.1899999999999998E-2</v>
      </c>
      <c r="AA10" s="417">
        <v>2.7E-2</v>
      </c>
      <c r="AB10" s="417">
        <v>3.1899999999999998E-2</v>
      </c>
    </row>
    <row r="11" spans="1:28" ht="30" customHeight="1" x14ac:dyDescent="0.25">
      <c r="B11" s="473" t="s">
        <v>53</v>
      </c>
      <c r="C11" s="492">
        <f>C7-C10</f>
        <v>10843.61</v>
      </c>
      <c r="D11" s="492">
        <f>D7-D10</f>
        <v>11751.740000000002</v>
      </c>
      <c r="E11" s="492">
        <f>E7-E10</f>
        <v>14958.44</v>
      </c>
      <c r="F11" s="493">
        <f>F7-F10</f>
        <v>18793.54</v>
      </c>
      <c r="G11" s="493">
        <v>21853</v>
      </c>
      <c r="H11" s="493">
        <v>25124</v>
      </c>
      <c r="I11" s="493">
        <f>I7-I10</f>
        <v>7706</v>
      </c>
      <c r="K11" s="534" t="s">
        <v>92</v>
      </c>
      <c r="L11" s="497">
        <f t="shared" ref="L11:R11" si="4">C15/C12</f>
        <v>0.14470296291976856</v>
      </c>
      <c r="M11" s="497">
        <f t="shared" si="4"/>
        <v>0.14656699479053742</v>
      </c>
      <c r="N11" s="497">
        <f t="shared" si="4"/>
        <v>0.16502228927964915</v>
      </c>
      <c r="O11" s="498">
        <f t="shared" si="4"/>
        <v>0.17130304787067763</v>
      </c>
      <c r="P11" s="498">
        <f t="shared" si="4"/>
        <v>0.17074628292776212</v>
      </c>
      <c r="Q11" s="522">
        <f t="shared" si="4"/>
        <v>0.16681906978677419</v>
      </c>
      <c r="R11" s="498">
        <f t="shared" si="4"/>
        <v>0.15850380767507841</v>
      </c>
      <c r="T11" s="392">
        <v>5</v>
      </c>
      <c r="U11" s="108" t="s">
        <v>637</v>
      </c>
      <c r="V11" s="417">
        <v>2.4299999999999999E-2</v>
      </c>
      <c r="W11" s="417">
        <v>2.6599999999999999E-2</v>
      </c>
      <c r="X11" s="81"/>
      <c r="Y11" s="81"/>
      <c r="Z11" s="417">
        <v>2.58E-2</v>
      </c>
      <c r="AA11" s="417">
        <v>2.3099999999999999E-2</v>
      </c>
      <c r="AB11" s="417">
        <v>2.4299999999999999E-2</v>
      </c>
    </row>
    <row r="12" spans="1:28" ht="15" customHeight="1" x14ac:dyDescent="0.25">
      <c r="B12" s="473" t="s">
        <v>1</v>
      </c>
      <c r="C12" s="492">
        <f t="shared" ref="C12:I12" si="5">SUM(C7:C9)</f>
        <v>23151.15</v>
      </c>
      <c r="D12" s="492">
        <f t="shared" si="5"/>
        <v>25781.93</v>
      </c>
      <c r="E12" s="492">
        <f t="shared" si="5"/>
        <v>29772.16</v>
      </c>
      <c r="F12" s="493">
        <f t="shared" si="5"/>
        <v>34964.410000000003</v>
      </c>
      <c r="G12" s="493">
        <f t="shared" si="5"/>
        <v>41834</v>
      </c>
      <c r="H12" s="493">
        <f t="shared" si="5"/>
        <v>48118</v>
      </c>
      <c r="I12" s="493">
        <f t="shared" si="5"/>
        <v>13394</v>
      </c>
      <c r="K12" s="168" t="s">
        <v>702</v>
      </c>
      <c r="L12" s="497">
        <f>C15/AVERAGE(C23:C23)</f>
        <v>2.0440928131531103E-2</v>
      </c>
      <c r="M12" s="497">
        <f t="shared" ref="M12:R12" si="6">D15/AVERAGE(C23:D23)</f>
        <v>2.1838709687672955E-2</v>
      </c>
      <c r="N12" s="497">
        <f t="shared" si="6"/>
        <v>2.54670365321326E-2</v>
      </c>
      <c r="O12" s="498">
        <f t="shared" si="6"/>
        <v>2.716701485851121E-2</v>
      </c>
      <c r="P12" s="498">
        <f t="shared" si="6"/>
        <v>2.6899698976062186E-2</v>
      </c>
      <c r="Q12" s="522">
        <f t="shared" si="6"/>
        <v>2.6105635623606623E-2</v>
      </c>
      <c r="R12" s="498">
        <f t="shared" si="6"/>
        <v>6.3531679055792963E-3</v>
      </c>
      <c r="T12" s="392">
        <v>6</v>
      </c>
      <c r="U12" s="413" t="s">
        <v>638</v>
      </c>
      <c r="V12" s="410"/>
      <c r="W12" s="81"/>
      <c r="X12" s="81"/>
      <c r="Y12" s="81"/>
      <c r="Z12" s="81"/>
      <c r="AA12" s="408"/>
      <c r="AB12" s="408"/>
    </row>
    <row r="13" spans="1:28" ht="15" customHeight="1" x14ac:dyDescent="0.25">
      <c r="B13" s="473" t="s">
        <v>91</v>
      </c>
      <c r="C13" s="492">
        <v>23.74</v>
      </c>
      <c r="D13" s="492">
        <v>22.64</v>
      </c>
      <c r="E13" s="492">
        <v>30.73</v>
      </c>
      <c r="F13" s="493">
        <v>33.200000000000003</v>
      </c>
      <c r="G13" s="493">
        <v>25.05</v>
      </c>
      <c r="H13" s="493">
        <v>60</v>
      </c>
      <c r="I13" s="493">
        <v>18</v>
      </c>
      <c r="K13" s="769" t="s">
        <v>18</v>
      </c>
      <c r="L13" s="770"/>
      <c r="M13" s="770"/>
      <c r="N13" s="770"/>
      <c r="O13" s="770"/>
      <c r="P13" s="770"/>
      <c r="Q13" s="770"/>
      <c r="R13" s="508"/>
      <c r="T13" s="392">
        <v>7</v>
      </c>
      <c r="U13" s="413" t="s">
        <v>639</v>
      </c>
      <c r="V13" s="410"/>
      <c r="W13" s="81"/>
      <c r="X13" s="81"/>
      <c r="Y13" s="81"/>
      <c r="Z13" s="81"/>
      <c r="AA13" s="408"/>
      <c r="AB13" s="408"/>
    </row>
    <row r="14" spans="1:28" ht="15" customHeight="1" x14ac:dyDescent="0.25">
      <c r="B14" s="473" t="s">
        <v>25</v>
      </c>
      <c r="C14" s="494">
        <f>C12+C13</f>
        <v>23174.890000000003</v>
      </c>
      <c r="D14" s="494">
        <f>D12+D13</f>
        <v>25804.57</v>
      </c>
      <c r="E14" s="494">
        <f>E12+E13</f>
        <v>29802.89</v>
      </c>
      <c r="F14" s="495">
        <f>F12+F13</f>
        <v>34997.61</v>
      </c>
      <c r="G14" s="495">
        <f t="shared" ref="G14:I14" si="7">G12+G13</f>
        <v>41859.050000000003</v>
      </c>
      <c r="H14" s="495">
        <f t="shared" si="7"/>
        <v>48178</v>
      </c>
      <c r="I14" s="495">
        <f t="shared" si="7"/>
        <v>13412</v>
      </c>
      <c r="K14" s="533" t="s">
        <v>19</v>
      </c>
      <c r="L14" s="497">
        <f t="shared" ref="L14:R14" si="8">C25/C24</f>
        <v>6.9813502673888569E-2</v>
      </c>
      <c r="M14" s="497">
        <f t="shared" si="8"/>
        <v>6.9120387419251972E-2</v>
      </c>
      <c r="N14" s="497">
        <f t="shared" si="8"/>
        <v>6.2082895663658495E-2</v>
      </c>
      <c r="O14" s="498">
        <f t="shared" si="8"/>
        <v>5.8101448948467652E-2</v>
      </c>
      <c r="P14" s="498">
        <f t="shared" si="8"/>
        <v>4.5549331322427243E-2</v>
      </c>
      <c r="Q14" s="522">
        <f t="shared" si="8"/>
        <v>4.5777040530817811E-2</v>
      </c>
      <c r="R14" s="498">
        <f t="shared" si="8"/>
        <v>0</v>
      </c>
      <c r="T14" s="392">
        <v>8</v>
      </c>
      <c r="U14" s="108" t="s">
        <v>640</v>
      </c>
      <c r="V14" s="95" t="e">
        <f>V12/V13</f>
        <v>#DIV/0!</v>
      </c>
      <c r="W14" s="81"/>
      <c r="X14" s="81"/>
      <c r="Y14" s="81"/>
      <c r="Z14" s="81"/>
      <c r="AA14" s="81"/>
      <c r="AB14" s="81"/>
    </row>
    <row r="15" spans="1:28" ht="15" customHeight="1" x14ac:dyDescent="0.25">
      <c r="B15" s="473" t="s">
        <v>26</v>
      </c>
      <c r="C15" s="489">
        <v>3350.04</v>
      </c>
      <c r="D15" s="489">
        <v>3778.78</v>
      </c>
      <c r="E15" s="489">
        <f>303.61+2506.11+524.18+1579.17</f>
        <v>4913.07</v>
      </c>
      <c r="F15" s="491">
        <f>422.77+3215.59+568.83+1782.32</f>
        <v>5989.51</v>
      </c>
      <c r="G15" s="491">
        <v>7143</v>
      </c>
      <c r="H15" s="491">
        <v>8027</v>
      </c>
      <c r="I15" s="491">
        <v>2123</v>
      </c>
      <c r="K15" s="533" t="s">
        <v>20</v>
      </c>
      <c r="L15" s="497">
        <f t="shared" ref="L15:R15" si="9">C26/C24</f>
        <v>3.9021046600096476E-2</v>
      </c>
      <c r="M15" s="497">
        <f t="shared" si="9"/>
        <v>3.4665670545527452E-2</v>
      </c>
      <c r="N15" s="497">
        <f t="shared" si="9"/>
        <v>3.0953195734969241E-2</v>
      </c>
      <c r="O15" s="498">
        <f t="shared" si="9"/>
        <v>2.8009505726005763E-2</v>
      </c>
      <c r="P15" s="498">
        <f t="shared" si="9"/>
        <v>2.5831422459563859E-2</v>
      </c>
      <c r="Q15" s="522">
        <f t="shared" si="9"/>
        <v>2.2733631785114717E-2</v>
      </c>
      <c r="R15" s="498">
        <f t="shared" si="9"/>
        <v>0</v>
      </c>
      <c r="T15" s="392">
        <v>9</v>
      </c>
      <c r="U15" s="108" t="s">
        <v>641</v>
      </c>
      <c r="V15" s="417">
        <v>1.9555</v>
      </c>
      <c r="W15" s="81"/>
      <c r="X15" s="81"/>
      <c r="Y15" s="81"/>
      <c r="Z15" s="81"/>
      <c r="AA15" s="408"/>
      <c r="AB15" s="408"/>
    </row>
    <row r="16" spans="1:28" ht="15" customHeight="1" x14ac:dyDescent="0.25">
      <c r="B16" s="473" t="s">
        <v>54</v>
      </c>
      <c r="C16" s="492">
        <f>C12-C15</f>
        <v>19801.11</v>
      </c>
      <c r="D16" s="492">
        <f>D12-D15</f>
        <v>22003.15</v>
      </c>
      <c r="E16" s="492">
        <f>E12-E15</f>
        <v>24859.09</v>
      </c>
      <c r="F16" s="493">
        <f>F12-F15</f>
        <v>28974.9</v>
      </c>
      <c r="G16" s="493">
        <f t="shared" ref="G16:I16" si="10">G12-G15</f>
        <v>34691</v>
      </c>
      <c r="H16" s="493">
        <f t="shared" si="10"/>
        <v>40091</v>
      </c>
      <c r="I16" s="493">
        <f t="shared" si="10"/>
        <v>11271</v>
      </c>
      <c r="K16" s="533" t="s">
        <v>21</v>
      </c>
      <c r="L16" s="497">
        <f t="shared" ref="L16:N16" si="11">(L14-L15)/L14</f>
        <v>0.44106734219638277</v>
      </c>
      <c r="M16" s="497">
        <f t="shared" si="11"/>
        <v>0.49847401266341734</v>
      </c>
      <c r="N16" s="497">
        <f t="shared" si="11"/>
        <v>0.50142152030630338</v>
      </c>
      <c r="O16" s="498">
        <f>(O14-O15)/O14</f>
        <v>0.51792070192864825</v>
      </c>
      <c r="P16" s="498">
        <f t="shared" ref="P16:Q16" si="12">(P14-P15)/P14</f>
        <v>0.43289129149421401</v>
      </c>
      <c r="Q16" s="522">
        <f t="shared" si="12"/>
        <v>0.50338354071163505</v>
      </c>
      <c r="R16" s="498" t="e">
        <f t="shared" ref="R16" si="13">(R14-R15)/R14</f>
        <v>#DIV/0!</v>
      </c>
      <c r="T16" s="392">
        <v>10</v>
      </c>
      <c r="U16" s="108" t="s">
        <v>642</v>
      </c>
      <c r="V16" s="417">
        <v>0.20300000000000001</v>
      </c>
      <c r="W16" s="81"/>
      <c r="X16" s="81"/>
      <c r="Y16" s="81"/>
      <c r="Z16" s="81"/>
      <c r="AA16" s="408"/>
      <c r="AB16" s="408"/>
    </row>
    <row r="17" spans="2:28" ht="15" customHeight="1" x14ac:dyDescent="0.25">
      <c r="B17" s="473" t="s">
        <v>94</v>
      </c>
      <c r="C17" s="492">
        <f>C14-C15-C10</f>
        <v>8636.7100000000028</v>
      </c>
      <c r="D17" s="492">
        <f>D14-D15-D10</f>
        <v>9758.9500000000007</v>
      </c>
      <c r="E17" s="492">
        <f>E14-E15-E10</f>
        <v>12344.06</v>
      </c>
      <c r="F17" s="493">
        <f>F14-F15-F10</f>
        <v>14201.979999999998</v>
      </c>
      <c r="G17" s="493">
        <f t="shared" ref="G17:I17" si="14">G14-G15-G10</f>
        <v>16261.050000000003</v>
      </c>
      <c r="H17" s="493">
        <f t="shared" si="14"/>
        <v>18631</v>
      </c>
      <c r="I17" s="493">
        <f t="shared" si="14"/>
        <v>6085</v>
      </c>
      <c r="K17" s="533" t="s">
        <v>22</v>
      </c>
      <c r="L17" s="497">
        <f>C18/AVERAGE(C24:C24)</f>
        <v>2.7250774045670927E-2</v>
      </c>
      <c r="M17" s="497">
        <f t="shared" ref="M17:R17" si="15">D18/AVERAGE(C24:D24)</f>
        <v>3.11930568612395E-2</v>
      </c>
      <c r="N17" s="497">
        <f t="shared" si="15"/>
        <v>2.4312603696264923E-2</v>
      </c>
      <c r="O17" s="498">
        <f t="shared" si="15"/>
        <v>2.3095893163514108E-2</v>
      </c>
      <c r="P17" s="498">
        <f t="shared" si="15"/>
        <v>2.2708355736566911E-2</v>
      </c>
      <c r="Q17" s="522">
        <f t="shared" si="15"/>
        <v>1.9063363635714439E-2</v>
      </c>
      <c r="R17" s="498">
        <f t="shared" si="15"/>
        <v>4.9003927348244417E-3</v>
      </c>
      <c r="U17" s="414"/>
    </row>
    <row r="18" spans="2:28" ht="15" customHeight="1" x14ac:dyDescent="0.25">
      <c r="B18" s="473" t="s">
        <v>27</v>
      </c>
      <c r="C18" s="489">
        <v>3969.26</v>
      </c>
      <c r="D18" s="489">
        <v>4748.51</v>
      </c>
      <c r="E18" s="489">
        <v>4159.17</v>
      </c>
      <c r="F18" s="491">
        <v>4518.34</v>
      </c>
      <c r="G18" s="491">
        <v>5312</v>
      </c>
      <c r="H18" s="491">
        <v>5339</v>
      </c>
      <c r="I18" s="491">
        <v>1463</v>
      </c>
      <c r="K18" s="769" t="s">
        <v>30</v>
      </c>
      <c r="L18" s="770"/>
      <c r="M18" s="770"/>
      <c r="N18" s="770"/>
      <c r="O18" s="770"/>
      <c r="P18" s="770"/>
      <c r="Q18" s="770"/>
      <c r="R18" s="508"/>
      <c r="U18" s="415" t="s">
        <v>643</v>
      </c>
    </row>
    <row r="19" spans="2:28" ht="30" customHeight="1" x14ac:dyDescent="0.25">
      <c r="B19" s="473" t="s">
        <v>55</v>
      </c>
      <c r="C19" s="492">
        <v>3498.2</v>
      </c>
      <c r="D19" s="492">
        <v>3794.13</v>
      </c>
      <c r="E19" s="492">
        <v>5979.34</v>
      </c>
      <c r="F19" s="493">
        <v>7190.48</v>
      </c>
      <c r="G19" s="493">
        <v>9761</v>
      </c>
      <c r="H19" s="493">
        <v>9998</v>
      </c>
      <c r="I19" s="493">
        <v>3445</v>
      </c>
      <c r="K19" s="534" t="s">
        <v>705</v>
      </c>
      <c r="L19" s="506">
        <f>C17/AVERAGE(C23:C23)</f>
        <v>5.2698585211781369E-2</v>
      </c>
      <c r="M19" s="506">
        <f t="shared" ref="M19:R19" si="16">D17/AVERAGE(C23:D23)</f>
        <v>5.6399916350387158E-2</v>
      </c>
      <c r="N19" s="506">
        <f t="shared" si="16"/>
        <v>6.3985782204372579E-2</v>
      </c>
      <c r="O19" s="507">
        <f t="shared" si="16"/>
        <v>6.4416855749515223E-2</v>
      </c>
      <c r="P19" s="507">
        <f t="shared" si="16"/>
        <v>6.1237204260772234E-2</v>
      </c>
      <c r="Q19" s="526">
        <f t="shared" si="16"/>
        <v>6.0592263274375856E-2</v>
      </c>
      <c r="R19" s="507">
        <f t="shared" si="16"/>
        <v>1.8209621622915693E-2</v>
      </c>
      <c r="U19" s="416" t="s">
        <v>644</v>
      </c>
    </row>
    <row r="20" spans="2:28" ht="15" customHeight="1" x14ac:dyDescent="0.25">
      <c r="B20" s="473" t="s">
        <v>28</v>
      </c>
      <c r="C20" s="489">
        <v>29047.39</v>
      </c>
      <c r="D20" s="489">
        <v>34032.245999999999</v>
      </c>
      <c r="E20" s="489">
        <v>43306.64</v>
      </c>
      <c r="F20" s="491">
        <v>48568.39</v>
      </c>
      <c r="G20" s="491">
        <v>50698</v>
      </c>
      <c r="H20" s="491">
        <v>59916</v>
      </c>
      <c r="I20" s="491"/>
      <c r="K20" s="533" t="s">
        <v>31</v>
      </c>
      <c r="L20" s="497">
        <f>C19/AVERAGE(C23:C23)</f>
        <v>2.1344955519851137E-2</v>
      </c>
      <c r="M20" s="497">
        <f t="shared" ref="M20:R20" si="17">D19/AVERAGE(C23:D23)</f>
        <v>2.1927421968807547E-2</v>
      </c>
      <c r="N20" s="497">
        <f t="shared" si="17"/>
        <v>3.0994077067503976E-2</v>
      </c>
      <c r="O20" s="498">
        <f t="shared" si="17"/>
        <v>3.2614333559811678E-2</v>
      </c>
      <c r="P20" s="498">
        <f t="shared" si="17"/>
        <v>3.675877946315876E-2</v>
      </c>
      <c r="Q20" s="522">
        <f t="shared" si="17"/>
        <v>3.251577737197197E-2</v>
      </c>
      <c r="R20" s="498">
        <f t="shared" si="17"/>
        <v>1.0309309201469937E-2</v>
      </c>
    </row>
    <row r="21" spans="2:28" ht="15" customHeight="1" x14ac:dyDescent="0.25">
      <c r="B21" s="473" t="s">
        <v>56</v>
      </c>
      <c r="C21" s="492">
        <f>C20-C36</f>
        <v>29047.39</v>
      </c>
      <c r="D21" s="492">
        <f>D20-D36</f>
        <v>34032.245999999999</v>
      </c>
      <c r="E21" s="492">
        <f>E20-E36</f>
        <v>43306.64</v>
      </c>
      <c r="F21" s="493">
        <v>48568.39</v>
      </c>
      <c r="G21" s="493">
        <f>G20</f>
        <v>50698</v>
      </c>
      <c r="H21" s="493">
        <f>H20</f>
        <v>59916</v>
      </c>
      <c r="I21" s="493"/>
      <c r="K21" s="533" t="s">
        <v>32</v>
      </c>
      <c r="L21" s="497">
        <f>C19/AVERAGE(C20:C20)</f>
        <v>0.12043078569193308</v>
      </c>
      <c r="M21" s="497">
        <f t="shared" ref="M21:R21" si="18">D19/AVERAGE(C20:D20)</f>
        <v>0.12029650900331765</v>
      </c>
      <c r="N21" s="497">
        <f t="shared" si="18"/>
        <v>0.15462700096300844</v>
      </c>
      <c r="O21" s="498">
        <f t="shared" si="18"/>
        <v>0.15652740467132364</v>
      </c>
      <c r="P21" s="498">
        <f t="shared" si="18"/>
        <v>0.19666273750863711</v>
      </c>
      <c r="Q21" s="522">
        <f t="shared" si="18"/>
        <v>0.18077277740611497</v>
      </c>
      <c r="R21" s="498">
        <f t="shared" si="18"/>
        <v>5.7497162694438879E-2</v>
      </c>
    </row>
    <row r="22" spans="2:28" ht="15" customHeight="1" x14ac:dyDescent="0.25">
      <c r="B22" s="473" t="s">
        <v>57</v>
      </c>
      <c r="C22" s="489">
        <v>131761.72</v>
      </c>
      <c r="D22" s="489">
        <v>145128.51999999999</v>
      </c>
      <c r="E22" s="489">
        <f>43652.59+73590.02+36139.83+4523.85</f>
        <v>157906.29</v>
      </c>
      <c r="F22" s="491">
        <v>185841.14</v>
      </c>
      <c r="G22" s="491">
        <v>234472</v>
      </c>
      <c r="H22" s="491">
        <v>250748</v>
      </c>
      <c r="I22" s="491">
        <v>232639</v>
      </c>
      <c r="K22" s="769" t="s">
        <v>33</v>
      </c>
      <c r="L22" s="770"/>
      <c r="M22" s="770"/>
      <c r="N22" s="770"/>
      <c r="O22" s="770"/>
      <c r="P22" s="770"/>
      <c r="Q22" s="770"/>
      <c r="R22" s="508"/>
      <c r="U22" t="s">
        <v>572</v>
      </c>
    </row>
    <row r="23" spans="2:28" ht="15" customHeight="1" x14ac:dyDescent="0.25">
      <c r="B23" s="473" t="s">
        <v>29</v>
      </c>
      <c r="C23" s="489">
        <v>163888.84</v>
      </c>
      <c r="D23" s="489">
        <v>182173.73</v>
      </c>
      <c r="E23" s="489">
        <v>203663.86</v>
      </c>
      <c r="F23" s="491">
        <v>237276.01</v>
      </c>
      <c r="G23" s="491">
        <v>293808</v>
      </c>
      <c r="H23" s="491">
        <v>321155</v>
      </c>
      <c r="I23" s="491">
        <v>347173</v>
      </c>
      <c r="K23" s="533" t="s">
        <v>34</v>
      </c>
      <c r="L23" s="497">
        <f>C7/AVERAGE(C24:C24)</f>
        <v>0.15125797782979961</v>
      </c>
      <c r="M23" s="497">
        <f t="shared" ref="M23:R23" si="19">D7/AVERAGE(C24:D24)</f>
        <v>0.15777853087941898</v>
      </c>
      <c r="N23" s="497">
        <f t="shared" si="19"/>
        <v>0.16077696140884112</v>
      </c>
      <c r="O23" s="498">
        <f t="shared" si="19"/>
        <v>0.17174762361628351</v>
      </c>
      <c r="P23" s="498">
        <f t="shared" si="19"/>
        <v>0.17231332888357287</v>
      </c>
      <c r="Q23" s="522">
        <f t="shared" si="19"/>
        <v>0.16654645690658632</v>
      </c>
      <c r="R23" s="498">
        <f t="shared" si="19"/>
        <v>4.3242700072852726E-2</v>
      </c>
      <c r="U23" s="81" t="s">
        <v>706</v>
      </c>
      <c r="V23" s="81" t="s">
        <v>3</v>
      </c>
      <c r="W23" s="81" t="s">
        <v>709</v>
      </c>
      <c r="X23" s="81" t="s">
        <v>710</v>
      </c>
      <c r="Y23" s="511" t="s">
        <v>711</v>
      </c>
      <c r="Z23" s="81" t="s">
        <v>712</v>
      </c>
      <c r="AA23" s="81" t="s">
        <v>713</v>
      </c>
      <c r="AB23" s="81" t="s">
        <v>714</v>
      </c>
    </row>
    <row r="24" spans="2:28" ht="15" customHeight="1" x14ac:dyDescent="0.25">
      <c r="B24" s="496" t="s">
        <v>58</v>
      </c>
      <c r="C24" s="489">
        <v>145656.78</v>
      </c>
      <c r="D24" s="489">
        <v>158802.64000000001</v>
      </c>
      <c r="E24" s="489">
        <v>183338.42</v>
      </c>
      <c r="F24" s="491">
        <v>207929.41</v>
      </c>
      <c r="G24" s="491">
        <v>259916</v>
      </c>
      <c r="H24" s="491">
        <v>300216</v>
      </c>
      <c r="I24" s="491">
        <f>293434+I19</f>
        <v>296879</v>
      </c>
      <c r="K24" s="533" t="s">
        <v>35</v>
      </c>
      <c r="L24" s="497">
        <f>C10/AVERAGE(C22:C22)</f>
        <v>8.4911915236079188E-2</v>
      </c>
      <c r="M24" s="497">
        <f t="shared" ref="M24:R24" si="20">D10/AVERAGE(C22:D22)</f>
        <v>8.8604350951481711E-2</v>
      </c>
      <c r="N24" s="497">
        <f t="shared" si="20"/>
        <v>8.2800784503932079E-2</v>
      </c>
      <c r="O24" s="498">
        <f t="shared" si="20"/>
        <v>8.6145342235722303E-2</v>
      </c>
      <c r="P24" s="498">
        <f t="shared" si="20"/>
        <v>8.7815479668325383E-2</v>
      </c>
      <c r="Q24" s="522">
        <f t="shared" si="20"/>
        <v>8.8702032067927955E-2</v>
      </c>
      <c r="R24" s="498">
        <f t="shared" si="20"/>
        <v>2.1531402375322466E-2</v>
      </c>
      <c r="U24" s="81" t="s">
        <v>502</v>
      </c>
      <c r="V24" s="81"/>
      <c r="W24" s="81"/>
      <c r="X24" s="81"/>
      <c r="Y24" s="81"/>
      <c r="Z24" s="81"/>
      <c r="AA24" s="81"/>
      <c r="AB24" s="81"/>
    </row>
    <row r="25" spans="2:28" ht="15" customHeight="1" x14ac:dyDescent="0.25">
      <c r="B25" s="473" t="s">
        <v>59</v>
      </c>
      <c r="C25" s="492">
        <v>10168.81</v>
      </c>
      <c r="D25" s="492">
        <v>10976.5</v>
      </c>
      <c r="E25" s="492">
        <v>11382.18</v>
      </c>
      <c r="F25" s="493">
        <v>12081</v>
      </c>
      <c r="G25" s="493">
        <v>11839</v>
      </c>
      <c r="H25" s="493">
        <v>13743</v>
      </c>
      <c r="I25" s="493"/>
      <c r="K25" s="533" t="s">
        <v>36</v>
      </c>
      <c r="L25" s="500">
        <f t="shared" ref="L25:O25" si="21">L23-L24</f>
        <v>6.6346062593720417E-2</v>
      </c>
      <c r="M25" s="500">
        <f t="shared" si="21"/>
        <v>6.9174179927937271E-2</v>
      </c>
      <c r="N25" s="500">
        <f t="shared" si="21"/>
        <v>7.7976176904909045E-2</v>
      </c>
      <c r="O25" s="501">
        <f t="shared" si="21"/>
        <v>8.560228138056121E-2</v>
      </c>
      <c r="P25" s="501">
        <f t="shared" ref="P25:Q25" si="22">P23-P24</f>
        <v>8.4497849215247486E-2</v>
      </c>
      <c r="Q25" s="524">
        <f t="shared" si="22"/>
        <v>7.784442483865836E-2</v>
      </c>
      <c r="R25" s="501">
        <f t="shared" ref="R25" si="23">R23-R24</f>
        <v>2.171129769753026E-2</v>
      </c>
      <c r="U25" s="81" t="s">
        <v>707</v>
      </c>
      <c r="V25" s="81"/>
      <c r="W25" s="81"/>
      <c r="X25" s="81"/>
      <c r="Y25" s="81"/>
      <c r="Z25" s="81"/>
      <c r="AA25" s="81"/>
      <c r="AB25" s="81"/>
    </row>
    <row r="26" spans="2:28" ht="15" customHeight="1" x14ac:dyDescent="0.25">
      <c r="B26" s="473" t="s">
        <v>60</v>
      </c>
      <c r="C26" s="492">
        <v>5683.68</v>
      </c>
      <c r="D26" s="492">
        <v>5505</v>
      </c>
      <c r="E26" s="492">
        <v>5674.91</v>
      </c>
      <c r="F26" s="493">
        <v>5824</v>
      </c>
      <c r="G26" s="493">
        <v>6714</v>
      </c>
      <c r="H26" s="493">
        <v>6825</v>
      </c>
      <c r="I26" s="493"/>
      <c r="K26" s="766" t="s">
        <v>703</v>
      </c>
      <c r="L26" s="767"/>
      <c r="M26" s="767"/>
      <c r="N26" s="767"/>
      <c r="O26" s="767"/>
      <c r="P26" s="767"/>
      <c r="Q26" s="767"/>
      <c r="R26" s="509"/>
      <c r="U26" s="81" t="s">
        <v>708</v>
      </c>
      <c r="V26" s="81"/>
      <c r="W26" s="81"/>
      <c r="X26" s="81"/>
      <c r="Y26" s="81"/>
      <c r="Z26" s="81"/>
      <c r="AA26" s="81"/>
      <c r="AB26" s="81"/>
    </row>
    <row r="27" spans="2:28" ht="15" customHeight="1" x14ac:dyDescent="0.25">
      <c r="K27" s="81" t="s">
        <v>720</v>
      </c>
      <c r="L27" s="500">
        <v>0.9294</v>
      </c>
      <c r="M27" s="500">
        <v>0.92930000000000001</v>
      </c>
      <c r="N27" s="500">
        <v>0.93789999999999996</v>
      </c>
      <c r="O27" s="501">
        <v>0.94550000000000001</v>
      </c>
      <c r="P27" s="501">
        <v>0.95450000000000002</v>
      </c>
      <c r="Q27" s="524">
        <v>0.95420000000000005</v>
      </c>
      <c r="R27" s="501">
        <v>0.9536</v>
      </c>
    </row>
    <row r="28" spans="2:28" ht="15" customHeight="1" x14ac:dyDescent="0.25">
      <c r="K28" s="81" t="s">
        <v>696</v>
      </c>
      <c r="L28" s="500">
        <v>7.0599999999999996E-2</v>
      </c>
      <c r="M28" s="500">
        <v>7.0699999999999999E-2</v>
      </c>
      <c r="N28" s="500">
        <v>6.2100000000000002E-2</v>
      </c>
      <c r="O28" s="501">
        <v>5.45E-2</v>
      </c>
      <c r="P28" s="501">
        <v>4.5499999999999999E-2</v>
      </c>
      <c r="Q28" s="524">
        <v>4.58E-2</v>
      </c>
      <c r="R28" s="501">
        <v>4.6399999999999997E-2</v>
      </c>
      <c r="U28" t="s">
        <v>715</v>
      </c>
    </row>
    <row r="29" spans="2:28" x14ac:dyDescent="0.25">
      <c r="K29" s="766" t="s">
        <v>716</v>
      </c>
      <c r="L29" s="767"/>
      <c r="M29" s="767"/>
      <c r="N29" s="767"/>
      <c r="O29" s="767"/>
      <c r="P29" s="767"/>
      <c r="Q29" s="767"/>
      <c r="R29" s="509"/>
      <c r="U29" s="81" t="s">
        <v>502</v>
      </c>
      <c r="V29" s="81"/>
      <c r="W29" s="81"/>
      <c r="X29" s="81"/>
      <c r="Y29" s="81"/>
      <c r="Z29" s="81"/>
      <c r="AA29" s="81"/>
      <c r="AB29" s="81"/>
    </row>
    <row r="30" spans="2:28" x14ac:dyDescent="0.25">
      <c r="K30" s="81" t="s">
        <v>718</v>
      </c>
      <c r="L30" s="500">
        <v>4.0800000000000003E-2</v>
      </c>
      <c r="M30" s="500">
        <v>3.9300000000000002E-2</v>
      </c>
      <c r="N30" s="500">
        <v>3.2800000000000003E-2</v>
      </c>
      <c r="O30" s="500">
        <v>3.5700000000000003E-2</v>
      </c>
      <c r="P30" s="500">
        <v>3.7900000000000003E-2</v>
      </c>
      <c r="Q30" s="532">
        <v>3.7900000000000003E-2</v>
      </c>
      <c r="R30" s="500"/>
      <c r="U30" s="81" t="s">
        <v>707</v>
      </c>
      <c r="V30" s="81"/>
      <c r="W30" s="81"/>
      <c r="X30" s="81"/>
      <c r="Y30" s="81"/>
      <c r="Z30" s="81"/>
      <c r="AA30" s="81"/>
      <c r="AB30" s="81"/>
    </row>
    <row r="31" spans="2:28" x14ac:dyDescent="0.25">
      <c r="K31" s="81" t="s">
        <v>719</v>
      </c>
      <c r="L31" s="500">
        <v>2.8400000000000002E-2</v>
      </c>
      <c r="M31" s="500">
        <v>3.4000000000000002E-2</v>
      </c>
      <c r="N31" s="500">
        <v>3.0200000000000001E-2</v>
      </c>
      <c r="O31" s="500">
        <v>2.75E-2</v>
      </c>
      <c r="P31" s="500">
        <v>1.9099999999999999E-2</v>
      </c>
      <c r="Q31" s="532">
        <v>2.2499999999999999E-2</v>
      </c>
      <c r="R31" s="500">
        <v>2.3099999999999999E-2</v>
      </c>
      <c r="U31" s="81" t="s">
        <v>708</v>
      </c>
      <c r="V31" s="81"/>
      <c r="W31" s="81"/>
      <c r="X31" s="81"/>
      <c r="Y31" s="81"/>
      <c r="Z31" s="81"/>
      <c r="AA31" s="81"/>
      <c r="AB31" s="81"/>
    </row>
  </sheetData>
  <mergeCells count="12">
    <mergeCell ref="T4:U5"/>
    <mergeCell ref="V6:AB6"/>
    <mergeCell ref="G1:H1"/>
    <mergeCell ref="K3:Q3"/>
    <mergeCell ref="K5:Q5"/>
    <mergeCell ref="K29:Q29"/>
    <mergeCell ref="B2:I2"/>
    <mergeCell ref="K9:Q9"/>
    <mergeCell ref="K13:Q13"/>
    <mergeCell ref="K18:Q18"/>
    <mergeCell ref="K22:Q22"/>
    <mergeCell ref="K26:Q26"/>
  </mergeCells>
  <pageMargins left="0.7" right="0.7" top="0.75" bottom="0.75" header="0.3" footer="0.3"/>
  <ignoredErrors>
    <ignoredError sqref="G12:I12 K4:Q9 K11:Q18 L10:Q10 K20:Q25 L19:Q19"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35"/>
  <sheetViews>
    <sheetView topLeftCell="B1" zoomScale="73" workbookViewId="0">
      <selection activeCell="K20" sqref="K20"/>
    </sheetView>
  </sheetViews>
  <sheetFormatPr defaultRowHeight="15" x14ac:dyDescent="0.25"/>
  <cols>
    <col min="1" max="1" width="33.42578125" customWidth="1"/>
    <col min="4" max="4" width="12.7109375" customWidth="1"/>
    <col min="5" max="5" width="12.5703125" customWidth="1"/>
    <col min="6" max="6" width="12" customWidth="1"/>
    <col min="7" max="10" width="11" customWidth="1"/>
    <col min="11" max="14" width="10.140625" bestFit="1" customWidth="1"/>
    <col min="16" max="16" width="11.28515625" bestFit="1" customWidth="1"/>
    <col min="17" max="17" width="11.28515625" customWidth="1"/>
    <col min="19" max="19" width="30.28515625" customWidth="1"/>
    <col min="21" max="21" width="14" customWidth="1"/>
    <col min="22" max="22" width="12.5703125" customWidth="1"/>
    <col min="23" max="23" width="11.7109375" customWidth="1"/>
    <col min="24" max="26" width="12.5703125" customWidth="1"/>
    <col min="29" max="29" width="10.7109375" customWidth="1"/>
  </cols>
  <sheetData>
    <row r="1" spans="1:33" x14ac:dyDescent="0.25">
      <c r="L1" s="772" t="s">
        <v>116</v>
      </c>
      <c r="M1" s="772"/>
      <c r="N1" s="772"/>
    </row>
    <row r="2" spans="1:33" ht="45" x14ac:dyDescent="0.25">
      <c r="A2" s="771" t="s">
        <v>4</v>
      </c>
      <c r="B2" s="1" t="s">
        <v>43</v>
      </c>
      <c r="C2" s="1" t="s">
        <v>41</v>
      </c>
      <c r="D2" s="2" t="s">
        <v>44</v>
      </c>
      <c r="E2" s="2" t="s">
        <v>0</v>
      </c>
      <c r="F2" s="3" t="s">
        <v>45</v>
      </c>
      <c r="G2" s="3" t="s">
        <v>42</v>
      </c>
      <c r="H2" s="3" t="s">
        <v>366</v>
      </c>
      <c r="I2" s="3" t="s">
        <v>367</v>
      </c>
      <c r="J2" s="3"/>
      <c r="K2" s="3" t="s">
        <v>37</v>
      </c>
      <c r="L2" s="3" t="s">
        <v>38</v>
      </c>
      <c r="M2" s="3" t="s">
        <v>39</v>
      </c>
      <c r="N2" s="3" t="s">
        <v>40</v>
      </c>
      <c r="O2" s="18"/>
      <c r="P2" s="18"/>
      <c r="Q2" s="18"/>
      <c r="R2" s="11"/>
      <c r="S2" s="40" t="s">
        <v>6</v>
      </c>
      <c r="T2" s="41" t="s">
        <v>7</v>
      </c>
      <c r="U2" s="41" t="s">
        <v>8</v>
      </c>
      <c r="V2" s="41" t="s">
        <v>9</v>
      </c>
      <c r="W2" s="40" t="s">
        <v>10</v>
      </c>
      <c r="X2" s="41" t="s">
        <v>90</v>
      </c>
      <c r="Y2" s="41" t="s">
        <v>492</v>
      </c>
      <c r="Z2" s="41" t="s">
        <v>623</v>
      </c>
      <c r="AA2" s="40" t="s">
        <v>37</v>
      </c>
      <c r="AB2" s="41" t="s">
        <v>38</v>
      </c>
      <c r="AC2" s="41" t="s">
        <v>39</v>
      </c>
      <c r="AD2" s="41" t="s">
        <v>40</v>
      </c>
    </row>
    <row r="3" spans="1:33" x14ac:dyDescent="0.25">
      <c r="A3" s="771"/>
      <c r="B3" s="1" t="s">
        <v>46</v>
      </c>
      <c r="C3" s="4" t="s">
        <v>47</v>
      </c>
      <c r="D3" s="5" t="s">
        <v>47</v>
      </c>
      <c r="E3" s="5" t="s">
        <v>47</v>
      </c>
      <c r="F3" s="1" t="s">
        <v>46</v>
      </c>
      <c r="G3" s="1" t="s">
        <v>46</v>
      </c>
      <c r="H3" s="1" t="s">
        <v>46</v>
      </c>
      <c r="I3" s="1" t="s">
        <v>46</v>
      </c>
      <c r="J3" s="1"/>
      <c r="K3" s="1" t="s">
        <v>96</v>
      </c>
      <c r="L3" s="1"/>
      <c r="M3" s="1"/>
      <c r="N3" s="1"/>
      <c r="O3" s="18"/>
      <c r="P3" s="18"/>
      <c r="Q3" s="18"/>
      <c r="R3" s="11"/>
      <c r="S3" s="42" t="s">
        <v>11</v>
      </c>
      <c r="T3" s="43"/>
      <c r="U3" s="44">
        <f t="shared" ref="U3:Z3" si="0">D10/AVERAGE(C23:D23)</f>
        <v>0.11295171915142255</v>
      </c>
      <c r="V3" s="44">
        <f t="shared" si="0"/>
        <v>0.1418843114715907</v>
      </c>
      <c r="W3" s="44">
        <f t="shared" si="0"/>
        <v>0.14393132138307146</v>
      </c>
      <c r="X3" s="44">
        <f t="shared" si="0"/>
        <v>0.1495222652109594</v>
      </c>
      <c r="Y3" s="44">
        <f t="shared" si="0"/>
        <v>0.16237661212864343</v>
      </c>
      <c r="Z3" s="44">
        <f t="shared" si="0"/>
        <v>0.1541908831986385</v>
      </c>
      <c r="AA3" s="18"/>
      <c r="AB3" s="18"/>
      <c r="AC3" s="18"/>
      <c r="AD3" s="18"/>
    </row>
    <row r="4" spans="1:33" x14ac:dyDescent="0.25">
      <c r="A4" s="771"/>
      <c r="B4" s="1" t="s">
        <v>48</v>
      </c>
      <c r="C4" s="1" t="s">
        <v>48</v>
      </c>
      <c r="D4" s="5" t="s">
        <v>49</v>
      </c>
      <c r="E4" s="5" t="s">
        <v>49</v>
      </c>
      <c r="F4" s="5" t="s">
        <v>49</v>
      </c>
      <c r="G4" s="5" t="s">
        <v>49</v>
      </c>
      <c r="H4" s="5" t="s">
        <v>49</v>
      </c>
      <c r="I4" s="5" t="s">
        <v>49</v>
      </c>
      <c r="J4" s="5"/>
      <c r="K4" s="5"/>
      <c r="L4" s="5"/>
      <c r="M4" s="5"/>
      <c r="N4" s="5"/>
      <c r="O4" s="18"/>
      <c r="P4" s="18"/>
      <c r="Q4" s="18"/>
      <c r="R4" s="11"/>
      <c r="S4" s="40" t="s">
        <v>12</v>
      </c>
      <c r="T4" s="45"/>
      <c r="U4" s="45"/>
      <c r="V4" s="45"/>
      <c r="W4" s="46" t="s">
        <v>5</v>
      </c>
      <c r="X4" s="18"/>
      <c r="Y4" s="18"/>
      <c r="Z4" s="18"/>
      <c r="AA4" s="18"/>
      <c r="AB4" s="18"/>
      <c r="AC4" s="18"/>
      <c r="AD4" s="18"/>
    </row>
    <row r="5" spans="1:33" x14ac:dyDescent="0.25">
      <c r="A5" s="6" t="s">
        <v>23</v>
      </c>
      <c r="B5" s="7"/>
      <c r="C5" s="8"/>
      <c r="D5">
        <v>13568.95</v>
      </c>
      <c r="E5">
        <v>27558.1</v>
      </c>
      <c r="F5" s="85">
        <v>36009.78</v>
      </c>
      <c r="G5" s="90">
        <v>44208.42</v>
      </c>
      <c r="H5" s="90">
        <v>68023.3</v>
      </c>
      <c r="I5" s="90">
        <v>111120.35</v>
      </c>
      <c r="J5" s="90"/>
      <c r="K5" s="85">
        <v>22852.67</v>
      </c>
      <c r="L5" s="85">
        <v>26072.69</v>
      </c>
      <c r="M5" s="85">
        <v>29678.34</v>
      </c>
      <c r="N5" s="85">
        <v>32516.65</v>
      </c>
      <c r="O5" s="18">
        <v>34028.67</v>
      </c>
      <c r="P5" s="18">
        <v>37656.800000000003</v>
      </c>
      <c r="Q5" s="18">
        <v>39970.94</v>
      </c>
      <c r="R5" s="11"/>
      <c r="S5" s="42" t="s">
        <v>127</v>
      </c>
      <c r="T5" s="46"/>
      <c r="U5" s="47">
        <f t="shared" ref="U5:Z5" si="1">D21/D20</f>
        <v>1.3547991095077208</v>
      </c>
      <c r="V5" s="47">
        <f t="shared" si="1"/>
        <v>1.1314600859637138</v>
      </c>
      <c r="W5" s="47">
        <f t="shared" si="1"/>
        <v>1.41229716064314</v>
      </c>
      <c r="X5" s="47">
        <f t="shared" si="1"/>
        <v>0.84915573202678707</v>
      </c>
      <c r="Y5" s="47">
        <f t="shared" si="1"/>
        <v>1.5263993977084767</v>
      </c>
      <c r="Z5" s="47">
        <f t="shared" si="1"/>
        <v>1.7419247285594111</v>
      </c>
      <c r="AA5" s="18"/>
      <c r="AB5" s="18"/>
      <c r="AC5" s="18"/>
      <c r="AD5" s="18"/>
    </row>
    <row r="6" spans="1:33" x14ac:dyDescent="0.25">
      <c r="A6" s="6" t="s">
        <v>50</v>
      </c>
      <c r="B6" s="7"/>
      <c r="C6" s="8"/>
      <c r="D6">
        <v>12442.18</v>
      </c>
      <c r="E6">
        <v>25131.33</v>
      </c>
      <c r="F6" s="85">
        <v>32771.410000000003</v>
      </c>
      <c r="G6" s="85">
        <v>40930.01</v>
      </c>
      <c r="H6" s="85">
        <v>63369.83</v>
      </c>
      <c r="I6" s="85">
        <v>102933.09</v>
      </c>
      <c r="J6" s="85"/>
      <c r="K6" s="85">
        <v>21804.36</v>
      </c>
      <c r="L6" s="85">
        <v>24787.439999999999</v>
      </c>
      <c r="M6" s="85">
        <v>28009.1</v>
      </c>
      <c r="N6" s="85">
        <v>31105.54</v>
      </c>
      <c r="O6" s="18">
        <v>32717.89</v>
      </c>
      <c r="P6" s="18">
        <v>36089.81</v>
      </c>
      <c r="Q6" s="18">
        <v>38379.160000000003</v>
      </c>
      <c r="R6" s="11"/>
      <c r="S6" s="42" t="s">
        <v>14</v>
      </c>
      <c r="T6" s="43"/>
      <c r="U6" s="43">
        <v>0.48039999999999999</v>
      </c>
      <c r="V6" s="43">
        <v>0.59279999999999999</v>
      </c>
      <c r="W6" s="43">
        <v>0.50649999999999995</v>
      </c>
      <c r="X6" s="48">
        <v>0.64429999999999998</v>
      </c>
      <c r="Y6" s="48">
        <v>0.45</v>
      </c>
      <c r="Z6" s="48">
        <v>0.41</v>
      </c>
      <c r="AA6" s="48">
        <v>0.41749999999999998</v>
      </c>
      <c r="AB6" s="48">
        <v>0.47160000000000002</v>
      </c>
      <c r="AC6" s="48">
        <v>0.45090000000000002</v>
      </c>
      <c r="AD6" s="154">
        <v>0.41489999999999999</v>
      </c>
      <c r="AE6" s="80">
        <v>0.40789999999999998</v>
      </c>
      <c r="AF6" s="80">
        <v>0.40870000000000001</v>
      </c>
      <c r="AG6" s="80">
        <v>0.39150000000000001</v>
      </c>
    </row>
    <row r="7" spans="1:33" x14ac:dyDescent="0.25">
      <c r="A7" s="6" t="s">
        <v>51</v>
      </c>
      <c r="B7" s="7"/>
      <c r="C7" s="8"/>
      <c r="D7" s="87"/>
      <c r="E7" s="85"/>
      <c r="F7" s="85">
        <v>0</v>
      </c>
      <c r="G7" s="85">
        <v>0</v>
      </c>
      <c r="H7" s="85"/>
      <c r="I7" s="85"/>
      <c r="J7" s="85"/>
      <c r="K7" s="85"/>
      <c r="L7" s="85"/>
      <c r="M7" s="85"/>
      <c r="N7" s="85"/>
      <c r="O7" s="18"/>
      <c r="P7" s="18"/>
      <c r="Q7" s="18"/>
      <c r="R7" s="11"/>
      <c r="S7" s="42" t="s">
        <v>15</v>
      </c>
      <c r="T7" s="43"/>
      <c r="U7" s="44">
        <f t="shared" ref="U7:Z7" si="2">D20/D23</f>
        <v>0.59008233529412013</v>
      </c>
      <c r="V7" s="44">
        <f t="shared" si="2"/>
        <v>0.63181750384800495</v>
      </c>
      <c r="W7" s="44">
        <f t="shared" si="2"/>
        <v>0.56824060150375943</v>
      </c>
      <c r="X7" s="44">
        <f t="shared" si="2"/>
        <v>0.64372222928555178</v>
      </c>
      <c r="Y7" s="44">
        <f t="shared" si="2"/>
        <v>0.45030475293919492</v>
      </c>
      <c r="Z7" s="44">
        <f t="shared" si="2"/>
        <v>0.39829287862276508</v>
      </c>
      <c r="AA7" s="18"/>
      <c r="AB7" s="18"/>
      <c r="AC7" s="18"/>
      <c r="AD7" s="18"/>
    </row>
    <row r="8" spans="1:33" x14ac:dyDescent="0.25">
      <c r="A8" s="6" t="s">
        <v>52</v>
      </c>
      <c r="B8" s="7"/>
      <c r="C8" s="8"/>
      <c r="D8" s="85">
        <f t="shared" ref="D8:Q8" si="3">D5-D6-D7</f>
        <v>1126.7700000000004</v>
      </c>
      <c r="E8" s="85">
        <f t="shared" si="3"/>
        <v>2426.7699999999968</v>
      </c>
      <c r="F8" s="85">
        <f t="shared" si="3"/>
        <v>3238.3699999999953</v>
      </c>
      <c r="G8" s="85">
        <f t="shared" si="3"/>
        <v>3278.4099999999962</v>
      </c>
      <c r="H8" s="85">
        <f t="shared" si="3"/>
        <v>4653.4700000000012</v>
      </c>
      <c r="I8" s="85">
        <f t="shared" si="3"/>
        <v>8187.2600000000093</v>
      </c>
      <c r="J8" s="85"/>
      <c r="K8" s="85">
        <f t="shared" si="3"/>
        <v>1048.3099999999977</v>
      </c>
      <c r="L8" s="85">
        <f t="shared" si="3"/>
        <v>1285.25</v>
      </c>
      <c r="M8" s="85">
        <f t="shared" si="3"/>
        <v>1669.2400000000016</v>
      </c>
      <c r="N8" s="85">
        <f t="shared" si="3"/>
        <v>1411.1100000000006</v>
      </c>
      <c r="O8" s="85">
        <f t="shared" si="3"/>
        <v>1310.7799999999988</v>
      </c>
      <c r="P8" s="85">
        <f t="shared" si="3"/>
        <v>1566.9900000000052</v>
      </c>
      <c r="Q8" s="85">
        <f t="shared" si="3"/>
        <v>1591.7799999999988</v>
      </c>
      <c r="R8" s="11"/>
      <c r="S8" s="40" t="s">
        <v>16</v>
      </c>
      <c r="T8" s="45"/>
      <c r="U8" s="45"/>
      <c r="V8" s="45"/>
      <c r="W8" s="46" t="s">
        <v>5</v>
      </c>
      <c r="X8" s="18"/>
      <c r="Y8" s="18"/>
      <c r="Z8" s="18"/>
      <c r="AA8" s="18"/>
      <c r="AB8" s="18"/>
      <c r="AC8" s="18"/>
      <c r="AD8" s="18"/>
    </row>
    <row r="9" spans="1:33" ht="33.75" x14ac:dyDescent="0.25">
      <c r="A9" s="6" t="s">
        <v>24</v>
      </c>
      <c r="B9" s="7"/>
      <c r="C9" s="7"/>
      <c r="D9" s="88">
        <v>4040.83</v>
      </c>
      <c r="E9" s="85">
        <v>10627.39</v>
      </c>
      <c r="F9" s="85">
        <v>12164.59</v>
      </c>
      <c r="G9" s="85">
        <v>12893.81</v>
      </c>
      <c r="H9" s="85">
        <v>16921.310000000001</v>
      </c>
      <c r="I9" s="85">
        <v>31561.84</v>
      </c>
      <c r="J9" s="85"/>
      <c r="K9" s="85">
        <v>6362.73</v>
      </c>
      <c r="L9" s="85">
        <v>6951.74</v>
      </c>
      <c r="M9" s="85">
        <v>8580.01</v>
      </c>
      <c r="N9" s="85">
        <v>9665.01</v>
      </c>
      <c r="O9" s="18">
        <v>10597.98</v>
      </c>
      <c r="P9" s="18">
        <v>11857.78</v>
      </c>
      <c r="Q9" s="18">
        <v>12772.08</v>
      </c>
      <c r="R9" s="11"/>
      <c r="S9" s="49" t="s">
        <v>93</v>
      </c>
      <c r="T9" s="45"/>
      <c r="U9" s="50">
        <f t="shared" ref="U9:Z9" si="4">D14/(D11-D9)</f>
        <v>0.70754461530711188</v>
      </c>
      <c r="V9" s="50">
        <f t="shared" si="4"/>
        <v>0.65257747607749472</v>
      </c>
      <c r="W9" s="50">
        <f t="shared" si="4"/>
        <v>0.49292834320045265</v>
      </c>
      <c r="X9" s="50">
        <f t="shared" si="4"/>
        <v>0.49174650426749683</v>
      </c>
      <c r="Y9" s="50">
        <f t="shared" si="4"/>
        <v>0.45662331349522789</v>
      </c>
      <c r="Z9" s="50">
        <f t="shared" si="4"/>
        <v>0.48867795538151726</v>
      </c>
      <c r="AA9" s="18"/>
      <c r="AB9" s="18"/>
      <c r="AC9" s="18"/>
      <c r="AD9" s="18"/>
    </row>
    <row r="10" spans="1:33" ht="22.5" x14ac:dyDescent="0.25">
      <c r="A10" s="6" t="s">
        <v>53</v>
      </c>
      <c r="B10" s="10">
        <f t="shared" ref="B10:K10" si="5">B6-B9</f>
        <v>0</v>
      </c>
      <c r="C10" s="10">
        <f t="shared" si="5"/>
        <v>0</v>
      </c>
      <c r="D10" s="89">
        <f t="shared" si="5"/>
        <v>8401.35</v>
      </c>
      <c r="E10" s="89">
        <f t="shared" si="5"/>
        <v>14503.940000000002</v>
      </c>
      <c r="F10" s="89">
        <f t="shared" si="5"/>
        <v>20606.820000000003</v>
      </c>
      <c r="G10" s="89">
        <f t="shared" si="5"/>
        <v>28036.200000000004</v>
      </c>
      <c r="H10" s="89">
        <f>H6-H9</f>
        <v>46448.520000000004</v>
      </c>
      <c r="I10" s="89">
        <f>I6-I9</f>
        <v>71371.25</v>
      </c>
      <c r="J10" s="89"/>
      <c r="K10" s="89">
        <f t="shared" si="5"/>
        <v>15441.630000000001</v>
      </c>
      <c r="L10" s="89">
        <f t="shared" ref="L10:Q10" si="6">L6-L9</f>
        <v>17835.699999999997</v>
      </c>
      <c r="M10" s="89">
        <f t="shared" si="6"/>
        <v>19429.089999999997</v>
      </c>
      <c r="N10" s="89">
        <f t="shared" si="6"/>
        <v>21440.53</v>
      </c>
      <c r="O10" s="89">
        <f t="shared" si="6"/>
        <v>22119.91</v>
      </c>
      <c r="P10" s="89">
        <f t="shared" si="6"/>
        <v>24232.03</v>
      </c>
      <c r="Q10" s="89">
        <f t="shared" si="6"/>
        <v>25607.08</v>
      </c>
      <c r="R10" s="11"/>
      <c r="S10" s="42" t="s">
        <v>92</v>
      </c>
      <c r="T10" s="43"/>
      <c r="U10" s="44">
        <f t="shared" ref="U10:Z10" si="7">D14/D11</f>
        <v>0.49683800146658358</v>
      </c>
      <c r="V10" s="44">
        <f t="shared" si="7"/>
        <v>0.40092023760709194</v>
      </c>
      <c r="W10" s="44">
        <f t="shared" si="7"/>
        <v>0.32641049181638992</v>
      </c>
      <c r="X10" s="44">
        <f t="shared" si="7"/>
        <v>0.34832391657516826</v>
      </c>
      <c r="Y10" s="44">
        <f t="shared" si="7"/>
        <v>0.34303481307140354</v>
      </c>
      <c r="Z10" s="44">
        <f t="shared" si="7"/>
        <v>0.34987731770103314</v>
      </c>
      <c r="AA10" s="18"/>
      <c r="AB10" s="18"/>
      <c r="AC10" s="18"/>
      <c r="AD10" s="18"/>
    </row>
    <row r="11" spans="1:33" ht="22.5" x14ac:dyDescent="0.25">
      <c r="A11" s="6" t="s">
        <v>1</v>
      </c>
      <c r="B11" s="10">
        <f>B5-B9</f>
        <v>0</v>
      </c>
      <c r="C11" s="10">
        <f t="shared" ref="C11:K11" si="8">SUM(C6:C8)</f>
        <v>0</v>
      </c>
      <c r="D11" s="89">
        <f t="shared" si="8"/>
        <v>13568.95</v>
      </c>
      <c r="E11" s="89">
        <f t="shared" si="8"/>
        <v>27558.1</v>
      </c>
      <c r="F11" s="89">
        <f>SUM(F6:F8)</f>
        <v>36009.78</v>
      </c>
      <c r="G11" s="89">
        <f>SUM(G6:G8)</f>
        <v>44208.42</v>
      </c>
      <c r="H11" s="89">
        <f>SUM(H6:H8)</f>
        <v>68023.3</v>
      </c>
      <c r="I11" s="89">
        <f>SUM(I6:I8)</f>
        <v>111120.35</v>
      </c>
      <c r="J11" s="89"/>
      <c r="K11" s="89">
        <f t="shared" si="8"/>
        <v>22852.67</v>
      </c>
      <c r="L11" s="89">
        <f t="shared" ref="L11:Q11" si="9">SUM(L6:L8)</f>
        <v>26072.69</v>
      </c>
      <c r="M11" s="89">
        <f t="shared" si="9"/>
        <v>29678.34</v>
      </c>
      <c r="N11" s="89">
        <f t="shared" si="9"/>
        <v>32516.65</v>
      </c>
      <c r="O11" s="89">
        <f t="shared" si="9"/>
        <v>34028.67</v>
      </c>
      <c r="P11" s="89">
        <f t="shared" si="9"/>
        <v>37656.800000000003</v>
      </c>
      <c r="Q11" s="89">
        <f t="shared" si="9"/>
        <v>39970.94</v>
      </c>
      <c r="R11" s="11"/>
      <c r="S11" s="42" t="s">
        <v>17</v>
      </c>
      <c r="T11" s="43"/>
      <c r="U11" s="44">
        <f t="shared" ref="U11:Z11" si="10">D14/AVERAGE(C22:D22)</f>
        <v>6.3879103691153349E-2</v>
      </c>
      <c r="V11" s="44">
        <f t="shared" si="10"/>
        <v>7.5832687501289062E-2</v>
      </c>
      <c r="W11" s="44">
        <f t="shared" si="10"/>
        <v>5.828262040698718E-2</v>
      </c>
      <c r="X11" s="44">
        <f t="shared" si="10"/>
        <v>6.3931004161222771E-2</v>
      </c>
      <c r="Y11" s="44">
        <f t="shared" si="10"/>
        <v>6.9321076717899374E-2</v>
      </c>
      <c r="Z11" s="44">
        <f t="shared" si="10"/>
        <v>7.3948209440418564E-2</v>
      </c>
      <c r="AA11" s="18"/>
      <c r="AB11" s="18"/>
      <c r="AC11" s="18"/>
      <c r="AD11" s="18"/>
    </row>
    <row r="12" spans="1:33" x14ac:dyDescent="0.25">
      <c r="A12" s="6" t="s">
        <v>91</v>
      </c>
      <c r="B12" s="10"/>
      <c r="C12" s="10"/>
      <c r="D12" s="89">
        <v>3.32</v>
      </c>
      <c r="E12" s="89">
        <v>9.57</v>
      </c>
      <c r="F12" s="89">
        <v>157.51</v>
      </c>
      <c r="G12" s="89">
        <v>156.13999999999999</v>
      </c>
      <c r="H12" s="89">
        <v>197.84</v>
      </c>
      <c r="I12" s="89">
        <v>1259.72</v>
      </c>
      <c r="J12" s="89"/>
      <c r="K12" s="89">
        <v>86.6</v>
      </c>
      <c r="L12" s="89">
        <v>252.58</v>
      </c>
      <c r="M12" s="89">
        <v>274.06</v>
      </c>
      <c r="N12" s="89">
        <v>646.48</v>
      </c>
      <c r="O12" s="18">
        <v>214.56</v>
      </c>
      <c r="P12" s="18">
        <v>111.27</v>
      </c>
      <c r="Q12" s="18">
        <v>194.29</v>
      </c>
      <c r="R12" s="11"/>
      <c r="S12" s="40" t="s">
        <v>18</v>
      </c>
      <c r="T12" s="45"/>
      <c r="U12" s="45"/>
      <c r="V12" s="45"/>
      <c r="W12" s="46" t="s">
        <v>5</v>
      </c>
      <c r="X12" s="18"/>
      <c r="Y12" s="18"/>
      <c r="Z12" s="18"/>
      <c r="AA12" s="18"/>
      <c r="AB12" s="18"/>
      <c r="AC12" s="53"/>
      <c r="AD12" s="54"/>
    </row>
    <row r="13" spans="1:33" x14ac:dyDescent="0.25">
      <c r="A13" s="6" t="s">
        <v>25</v>
      </c>
      <c r="B13" s="7"/>
      <c r="C13" s="7"/>
      <c r="D13" s="88">
        <f t="shared" ref="D13:Q13" si="11">D11+D12</f>
        <v>13572.27</v>
      </c>
      <c r="E13" s="88">
        <f t="shared" si="11"/>
        <v>27567.67</v>
      </c>
      <c r="F13" s="88">
        <f t="shared" si="11"/>
        <v>36167.29</v>
      </c>
      <c r="G13" s="88">
        <f t="shared" si="11"/>
        <v>44364.56</v>
      </c>
      <c r="H13" s="88">
        <f t="shared" si="11"/>
        <v>68221.14</v>
      </c>
      <c r="I13" s="88">
        <f t="shared" si="11"/>
        <v>112380.07</v>
      </c>
      <c r="J13" s="88"/>
      <c r="K13" s="88">
        <f t="shared" si="11"/>
        <v>22939.269999999997</v>
      </c>
      <c r="L13" s="88">
        <f t="shared" si="11"/>
        <v>26325.27</v>
      </c>
      <c r="M13" s="88">
        <f t="shared" si="11"/>
        <v>29952.400000000001</v>
      </c>
      <c r="N13" s="88">
        <f t="shared" si="11"/>
        <v>33163.130000000005</v>
      </c>
      <c r="O13" s="88">
        <f t="shared" si="11"/>
        <v>34243.229999999996</v>
      </c>
      <c r="P13" s="88">
        <f t="shared" si="11"/>
        <v>37768.07</v>
      </c>
      <c r="Q13" s="88">
        <f t="shared" si="11"/>
        <v>40165.230000000003</v>
      </c>
      <c r="R13" s="11"/>
      <c r="S13" s="42" t="s">
        <v>19</v>
      </c>
      <c r="T13" s="43"/>
      <c r="U13" s="44">
        <f t="shared" ref="U13:Z13" si="12">D24/D23</f>
        <v>1.0739982422696637E-2</v>
      </c>
      <c r="V13" s="44">
        <f t="shared" si="12"/>
        <v>2.1150572703075485E-3</v>
      </c>
      <c r="W13" s="44">
        <f t="shared" si="12"/>
        <v>2.6984034554471285E-2</v>
      </c>
      <c r="X13" s="44">
        <f t="shared" si="12"/>
        <v>3.9381788139705075E-2</v>
      </c>
      <c r="Y13" s="44">
        <f t="shared" si="12"/>
        <v>2.1872715675920237E-2</v>
      </c>
      <c r="Z13" s="44">
        <f t="shared" si="12"/>
        <v>1.79248094028648E-2</v>
      </c>
      <c r="AA13" s="48">
        <v>2.1700000000000001E-2</v>
      </c>
      <c r="AB13" s="48">
        <v>2.0899999999999998E-2</v>
      </c>
      <c r="AC13" s="48">
        <v>1.8599999999999998E-2</v>
      </c>
      <c r="AD13" s="48">
        <v>1.7899999999999999E-2</v>
      </c>
      <c r="AE13" s="80">
        <v>1.77E-2</v>
      </c>
      <c r="AF13" s="80">
        <v>1.95E-2</v>
      </c>
      <c r="AG13" s="80">
        <v>2.12E-2</v>
      </c>
    </row>
    <row r="14" spans="1:33" x14ac:dyDescent="0.25">
      <c r="A14" s="6" t="s">
        <v>26</v>
      </c>
      <c r="B14" s="7"/>
      <c r="C14" s="7"/>
      <c r="D14" s="85">
        <f>4635.78+822.44+1283.35</f>
        <v>6741.57</v>
      </c>
      <c r="E14" s="85">
        <f>7864.84+1246.2+1937.56</f>
        <v>11048.6</v>
      </c>
      <c r="F14" s="85">
        <f>8421.28+1332.59+2000.1</f>
        <v>11753.970000000001</v>
      </c>
      <c r="G14" s="85">
        <f>10984.31+1425.4+2989.14</f>
        <v>15398.849999999999</v>
      </c>
      <c r="H14" s="85">
        <f>16697.06+1511.42+5125.88</f>
        <v>23334.360000000004</v>
      </c>
      <c r="I14" s="85">
        <f>435.24+29160.93+2356.33+6925.99</f>
        <v>38878.49</v>
      </c>
      <c r="J14" s="85"/>
      <c r="K14" s="85">
        <f>6123.71+498.26+1674.1</f>
        <v>8296.07</v>
      </c>
      <c r="L14" s="85">
        <f>7663.59+584.84+1877.8</f>
        <v>10126.23</v>
      </c>
      <c r="M14" s="85">
        <f>7449.87+635.37+1932.89</f>
        <v>10018.129999999999</v>
      </c>
      <c r="N14" s="85">
        <f>67.43+7923.77+637.86+1811.47</f>
        <v>10440.530000000001</v>
      </c>
      <c r="O14" s="18">
        <f>25.29+9614.09+688.98+1939.73</f>
        <v>12268.09</v>
      </c>
      <c r="P14" s="18">
        <f>60.77+10249.17+731.3+2082.7</f>
        <v>13123.939999999999</v>
      </c>
      <c r="Q14" s="18">
        <f>48.53+10025.62+739.88+1887.33</f>
        <v>12701.36</v>
      </c>
      <c r="R14" s="11"/>
      <c r="S14" s="42" t="s">
        <v>20</v>
      </c>
      <c r="T14" s="43"/>
      <c r="U14" s="44">
        <f t="shared" ref="U14:Z14" si="13">D25/D23</f>
        <v>1.4593974913420958E-3</v>
      </c>
      <c r="V14" s="44">
        <f t="shared" si="13"/>
        <v>2.8683590200157764E-3</v>
      </c>
      <c r="W14" s="44">
        <f t="shared" si="13"/>
        <v>1.3484946408574628E-2</v>
      </c>
      <c r="X14" s="44">
        <f t="shared" si="13"/>
        <v>2.3050638769578052E-2</v>
      </c>
      <c r="Y14" s="44">
        <f t="shared" si="13"/>
        <v>1.250689320945257E-2</v>
      </c>
      <c r="Z14" s="44">
        <f t="shared" si="13"/>
        <v>8.4002769145430367E-3</v>
      </c>
      <c r="AA14" s="48">
        <v>1.2500000000000001E-2</v>
      </c>
      <c r="AB14" s="48">
        <v>1.1900000000000001E-2</v>
      </c>
      <c r="AC14" s="48">
        <v>1.0500000000000001E-2</v>
      </c>
      <c r="AD14" s="48">
        <v>8.5000000000000006E-3</v>
      </c>
      <c r="AE14" s="80">
        <v>8.5000000000000006E-3</v>
      </c>
      <c r="AF14" s="80">
        <v>9.7000000000000003E-3</v>
      </c>
      <c r="AG14" s="436">
        <v>0.01</v>
      </c>
    </row>
    <row r="15" spans="1:33" x14ac:dyDescent="0.25">
      <c r="A15" s="6" t="s">
        <v>54</v>
      </c>
      <c r="B15" s="10"/>
      <c r="C15" s="10"/>
      <c r="D15" s="89">
        <f t="shared" ref="D15:L15" si="14">D11-D14</f>
        <v>6827.380000000001</v>
      </c>
      <c r="E15" s="89">
        <f t="shared" si="14"/>
        <v>16509.5</v>
      </c>
      <c r="F15" s="89">
        <f t="shared" si="14"/>
        <v>24255.809999999998</v>
      </c>
      <c r="G15" s="89">
        <f t="shared" si="14"/>
        <v>28809.57</v>
      </c>
      <c r="H15" s="89">
        <f>H11-H14</f>
        <v>44688.94</v>
      </c>
      <c r="I15" s="89">
        <f>I11-I14</f>
        <v>72241.860000000015</v>
      </c>
      <c r="J15" s="89"/>
      <c r="K15" s="89">
        <f t="shared" si="14"/>
        <v>14556.599999999999</v>
      </c>
      <c r="L15" s="89">
        <f t="shared" si="14"/>
        <v>15946.46</v>
      </c>
      <c r="M15" s="89">
        <f>M11-M14</f>
        <v>19660.21</v>
      </c>
      <c r="N15" s="89">
        <f>N11-N14</f>
        <v>22076.120000000003</v>
      </c>
      <c r="O15" s="89">
        <f>O11-O14</f>
        <v>21760.579999999998</v>
      </c>
      <c r="P15" s="89">
        <f>P11-P14</f>
        <v>24532.860000000004</v>
      </c>
      <c r="Q15" s="89">
        <f>Q11-Q14</f>
        <v>27269.58</v>
      </c>
      <c r="R15" s="11"/>
      <c r="S15" s="42" t="s">
        <v>21</v>
      </c>
      <c r="T15" s="43"/>
      <c r="U15" s="44">
        <f t="shared" ref="U15:AA15" si="15">(U13-U14)/U13</f>
        <v>0.86411546742777023</v>
      </c>
      <c r="V15" s="44">
        <f t="shared" si="15"/>
        <v>-0.35616139585605211</v>
      </c>
      <c r="W15" s="44">
        <f t="shared" si="15"/>
        <v>0.50026203897147925</v>
      </c>
      <c r="X15" s="44">
        <f t="shared" si="15"/>
        <v>0.41468785805746106</v>
      </c>
      <c r="Y15" s="44">
        <f t="shared" si="15"/>
        <v>0.42819659914376978</v>
      </c>
      <c r="Z15" s="44">
        <f t="shared" ref="Z15" si="16">(Z13-Z14)/Z13</f>
        <v>0.53136032156634938</v>
      </c>
      <c r="AA15" s="44">
        <f t="shared" si="15"/>
        <v>0.42396313364055299</v>
      </c>
      <c r="AB15" s="18"/>
      <c r="AC15" s="18"/>
      <c r="AD15" s="18"/>
    </row>
    <row r="16" spans="1:33" x14ac:dyDescent="0.25">
      <c r="A16" s="6" t="s">
        <v>94</v>
      </c>
      <c r="B16" s="10"/>
      <c r="C16" s="10"/>
      <c r="D16" s="89">
        <f t="shared" ref="D16:L16" si="17">D13-D14-D9</f>
        <v>2789.8700000000008</v>
      </c>
      <c r="E16" s="89">
        <f t="shared" si="17"/>
        <v>5891.68</v>
      </c>
      <c r="F16" s="89">
        <f t="shared" si="17"/>
        <v>12248.73</v>
      </c>
      <c r="G16" s="89">
        <f t="shared" si="17"/>
        <v>16071.9</v>
      </c>
      <c r="H16" s="89">
        <f>H13-H14-H9</f>
        <v>27965.469999999998</v>
      </c>
      <c r="I16" s="89">
        <f>I13-I14-I9</f>
        <v>41939.74000000002</v>
      </c>
      <c r="J16" s="89"/>
      <c r="K16" s="89">
        <f t="shared" si="17"/>
        <v>8280.4699999999975</v>
      </c>
      <c r="L16" s="89">
        <f t="shared" si="17"/>
        <v>9247.3000000000011</v>
      </c>
      <c r="M16" s="89">
        <f>M13-M14-M9</f>
        <v>11354.260000000004</v>
      </c>
      <c r="N16" s="89">
        <f>N13-N14-N9</f>
        <v>13057.590000000006</v>
      </c>
      <c r="O16" s="89">
        <f>O13-O14-O9</f>
        <v>11377.159999999996</v>
      </c>
      <c r="P16" s="89">
        <f>P13-P14-P9</f>
        <v>12786.35</v>
      </c>
      <c r="Q16" s="89">
        <f>Q13-Q14-Q9</f>
        <v>14691.790000000003</v>
      </c>
      <c r="R16" s="11"/>
      <c r="S16" s="42" t="s">
        <v>22</v>
      </c>
      <c r="T16" s="43"/>
      <c r="U16" s="44">
        <f t="shared" ref="U16:Z16" si="18">D17/AVERAGE(C23:D23)</f>
        <v>6.0151914472719222E-3</v>
      </c>
      <c r="V16" s="44">
        <f t="shared" si="18"/>
        <v>1.4774166129079358E-2</v>
      </c>
      <c r="W16" s="44">
        <f t="shared" si="18"/>
        <v>2.8250025144721844E-2</v>
      </c>
      <c r="X16" s="44">
        <f t="shared" si="18"/>
        <v>3.1655444621438072E-2</v>
      </c>
      <c r="Y16" s="44">
        <f t="shared" si="18"/>
        <v>1.6362176055765648E-2</v>
      </c>
      <c r="Z16" s="44">
        <f t="shared" si="18"/>
        <v>2.083340084602367E-2</v>
      </c>
      <c r="AA16" s="44">
        <f>(K17/AVERAGE(H23:K23))*4</f>
        <v>1.7801141273404705E-2</v>
      </c>
      <c r="AB16" s="44">
        <f>(L17/AVERAGE(K23:L23))*4</f>
        <v>1.8164450598736007E-2</v>
      </c>
      <c r="AC16" s="44">
        <f>(M17/AVERAGE(L23:M23))*4</f>
        <v>2.7202873577342791E-2</v>
      </c>
      <c r="AD16" s="44">
        <f>(N17/AVERAGE(M23:N23))*4</f>
        <v>1.8321108813342996E-2</v>
      </c>
    </row>
    <row r="17" spans="1:30" x14ac:dyDescent="0.25">
      <c r="A17" s="6" t="s">
        <v>27</v>
      </c>
      <c r="B17" s="7"/>
      <c r="C17" s="7"/>
      <c r="D17" s="88">
        <v>447.41</v>
      </c>
      <c r="E17" s="85">
        <v>1510.27</v>
      </c>
      <c r="F17" s="85">
        <v>4044.59</v>
      </c>
      <c r="G17" s="85">
        <v>5935.56</v>
      </c>
      <c r="H17" s="85">
        <v>4680.47</v>
      </c>
      <c r="I17" s="85">
        <v>9643.2800000000007</v>
      </c>
      <c r="J17" s="85"/>
      <c r="K17" s="85">
        <v>2059.9299999999998</v>
      </c>
      <c r="L17" s="85">
        <v>2002.96</v>
      </c>
      <c r="M17" s="85">
        <v>2999.61</v>
      </c>
      <c r="N17" s="85">
        <v>2580.7800000000002</v>
      </c>
      <c r="O17" s="18">
        <v>2658.72</v>
      </c>
      <c r="P17" s="18">
        <v>3784.53</v>
      </c>
      <c r="Q17" s="18">
        <v>5626.83</v>
      </c>
      <c r="R17" s="11"/>
      <c r="S17" s="18"/>
      <c r="T17" s="18"/>
      <c r="U17" s="18"/>
      <c r="V17" s="18"/>
      <c r="W17" s="18"/>
      <c r="X17" s="18"/>
      <c r="Y17" s="18"/>
      <c r="Z17" s="18"/>
      <c r="AA17" s="18"/>
      <c r="AB17" s="18"/>
      <c r="AC17" s="18"/>
      <c r="AD17" s="18"/>
    </row>
    <row r="18" spans="1:30" x14ac:dyDescent="0.25">
      <c r="A18" s="6" t="s">
        <v>55</v>
      </c>
      <c r="B18" s="7"/>
      <c r="C18" s="7"/>
      <c r="D18" s="88">
        <v>1705.53</v>
      </c>
      <c r="E18" s="85">
        <v>3334.24</v>
      </c>
      <c r="F18" s="89">
        <v>6202.02</v>
      </c>
      <c r="G18" s="89">
        <v>7540.39</v>
      </c>
      <c r="H18" s="89">
        <v>17640.38</v>
      </c>
      <c r="I18" s="89">
        <v>24505.26</v>
      </c>
      <c r="J18" s="89"/>
      <c r="K18" s="89">
        <v>4631.38</v>
      </c>
      <c r="L18" s="89">
        <v>5558.37</v>
      </c>
      <c r="M18" s="89">
        <v>6336.68</v>
      </c>
      <c r="N18" s="89">
        <v>7978.81</v>
      </c>
      <c r="O18" s="18">
        <v>6569.24</v>
      </c>
      <c r="P18" s="18">
        <v>6741.82</v>
      </c>
      <c r="Q18" s="18">
        <v>6893</v>
      </c>
      <c r="R18" s="11"/>
      <c r="S18" s="40" t="s">
        <v>30</v>
      </c>
      <c r="T18" s="45"/>
      <c r="U18" s="45"/>
      <c r="V18" s="45"/>
      <c r="W18" s="46" t="s">
        <v>5</v>
      </c>
      <c r="X18" s="18"/>
      <c r="Y18" s="18"/>
      <c r="Z18" s="18"/>
      <c r="AA18" s="18"/>
      <c r="AB18" s="18"/>
      <c r="AC18" s="18"/>
      <c r="AD18" s="18"/>
    </row>
    <row r="19" spans="1:30" ht="22.5" x14ac:dyDescent="0.25">
      <c r="A19" s="6" t="s">
        <v>28</v>
      </c>
      <c r="B19" s="7"/>
      <c r="C19" s="7"/>
      <c r="D19" s="88">
        <v>43890.33</v>
      </c>
      <c r="E19" s="85">
        <v>82178.86</v>
      </c>
      <c r="F19" s="85">
        <v>88801.8</v>
      </c>
      <c r="G19" s="85">
        <v>140804.82</v>
      </c>
      <c r="H19" s="85">
        <v>159125.6</v>
      </c>
      <c r="I19" s="85">
        <f>232955.35-4141.29-839.68</f>
        <v>227974.38</v>
      </c>
      <c r="J19" s="85"/>
      <c r="K19" s="85">
        <v>163557.51999999999</v>
      </c>
      <c r="L19" s="85">
        <v>218292.21</v>
      </c>
      <c r="M19" s="85">
        <v>224770.49</v>
      </c>
      <c r="N19" s="85">
        <v>232955.35</v>
      </c>
      <c r="O19" s="18"/>
      <c r="P19" s="18">
        <f>261065.26-5648.8-720.45</f>
        <v>254696.01</v>
      </c>
      <c r="Q19" s="18"/>
      <c r="R19" s="11"/>
      <c r="S19" s="46" t="s">
        <v>95</v>
      </c>
      <c r="T19" s="51"/>
      <c r="U19" s="51"/>
      <c r="V19" s="52">
        <f>E16/AVERAGE(D22:E22)</f>
        <v>4.0437877043027599E-2</v>
      </c>
      <c r="W19" s="52">
        <f>F16/AVERAGE(E22:F22)</f>
        <v>6.073591144589241E-2</v>
      </c>
      <c r="X19" s="52">
        <f>G16/AVERAGE(F22:G22)</f>
        <v>6.6725288302617175E-2</v>
      </c>
      <c r="Y19" s="52">
        <f>H16/AVERAGE(G22:H22)</f>
        <v>8.3079051292690831E-2</v>
      </c>
      <c r="Z19" s="52">
        <f>I16/AVERAGE(H22:I22)</f>
        <v>7.9770810990774113E-2</v>
      </c>
      <c r="AA19" s="18"/>
      <c r="AB19" s="18"/>
      <c r="AC19" s="18"/>
      <c r="AD19" s="18"/>
    </row>
    <row r="20" spans="1:30" x14ac:dyDescent="0.25">
      <c r="A20" s="6" t="s">
        <v>56</v>
      </c>
      <c r="B20" s="7"/>
      <c r="C20" s="7"/>
      <c r="D20" s="88">
        <f t="shared" ref="D20:P20" si="19">D19-D71</f>
        <v>43890.33</v>
      </c>
      <c r="E20" s="89">
        <f t="shared" si="19"/>
        <v>82178.86</v>
      </c>
      <c r="F20" s="89">
        <f t="shared" si="19"/>
        <v>88801.8</v>
      </c>
      <c r="G20" s="89">
        <f t="shared" si="19"/>
        <v>140804.82</v>
      </c>
      <c r="H20" s="89">
        <f t="shared" si="19"/>
        <v>159125.6</v>
      </c>
      <c r="I20" s="89">
        <f t="shared" si="19"/>
        <v>227974.38</v>
      </c>
      <c r="J20" s="89"/>
      <c r="K20" s="89">
        <f t="shared" si="19"/>
        <v>163557.51999999999</v>
      </c>
      <c r="L20" s="89">
        <f t="shared" si="19"/>
        <v>218292.21</v>
      </c>
      <c r="M20" s="89">
        <f t="shared" si="19"/>
        <v>224770.49</v>
      </c>
      <c r="N20" s="89">
        <f t="shared" si="19"/>
        <v>232955.35</v>
      </c>
      <c r="O20" s="89">
        <f t="shared" si="19"/>
        <v>0</v>
      </c>
      <c r="P20" s="89">
        <f t="shared" si="19"/>
        <v>254696.01</v>
      </c>
      <c r="Q20" s="89"/>
      <c r="R20" s="11"/>
      <c r="S20" s="42" t="s">
        <v>31</v>
      </c>
      <c r="T20" s="43"/>
      <c r="U20" s="43">
        <v>4.4699999999999997E-2</v>
      </c>
      <c r="V20" s="44">
        <f>E18/AVERAGE(D22:E22)</f>
        <v>2.2884743766114983E-2</v>
      </c>
      <c r="W20" s="44">
        <f>F18/AVERAGE(E22:F22)</f>
        <v>3.0753011741270618E-2</v>
      </c>
      <c r="X20" s="44">
        <f>G18/AVERAGE(F22:G22)</f>
        <v>3.1305240616490364E-2</v>
      </c>
      <c r="Y20" s="44">
        <f>H18/AVERAGE(G22:H22)</f>
        <v>5.2405557097469045E-2</v>
      </c>
      <c r="Z20" s="44">
        <f>I18/AVERAGE(H22:I22)</f>
        <v>4.6609837441523867E-2</v>
      </c>
      <c r="AA20" s="48"/>
      <c r="AB20" s="18"/>
      <c r="AC20" s="18"/>
      <c r="AD20" s="18"/>
    </row>
    <row r="21" spans="1:30" x14ac:dyDescent="0.25">
      <c r="A21" s="6" t="s">
        <v>57</v>
      </c>
      <c r="B21" s="9"/>
      <c r="C21" s="9"/>
      <c r="D21" s="85">
        <f>19209.59+40252.99</f>
        <v>59462.58</v>
      </c>
      <c r="E21" s="85">
        <f>30704.88+62277.22</f>
        <v>92982.1</v>
      </c>
      <c r="F21" s="85">
        <f>53074.52+72340.01</f>
        <v>125414.53</v>
      </c>
      <c r="G21" s="85">
        <f>95357.96+24207.26</f>
        <v>119565.22</v>
      </c>
      <c r="H21" s="85">
        <f>17926.89+224962.33</f>
        <v>242889.21999999997</v>
      </c>
      <c r="I21" s="85">
        <f>30812.15+366302.06</f>
        <v>397114.21</v>
      </c>
      <c r="J21" s="85"/>
      <c r="K21" s="85"/>
      <c r="L21" s="85">
        <f>22845.7+299495.62</f>
        <v>322341.32</v>
      </c>
      <c r="M21" s="85"/>
      <c r="N21" s="85">
        <f>30812.15+366302.06</f>
        <v>397114.21</v>
      </c>
      <c r="O21" s="18"/>
      <c r="P21" s="18">
        <f>38226.98+450714.87</f>
        <v>488941.85</v>
      </c>
      <c r="Q21" s="18"/>
      <c r="R21" s="11"/>
      <c r="S21" s="42" t="s">
        <v>32</v>
      </c>
      <c r="T21" s="43"/>
      <c r="U21" s="44">
        <f t="shared" ref="U21:Z21" si="20">D18/AVERAGE(C19:D19)</f>
        <v>3.8858901265950832E-2</v>
      </c>
      <c r="V21" s="44">
        <f t="shared" si="20"/>
        <v>5.2895398153981948E-2</v>
      </c>
      <c r="W21" s="44">
        <f t="shared" si="20"/>
        <v>7.2546450575170313E-2</v>
      </c>
      <c r="X21" s="44">
        <f t="shared" si="20"/>
        <v>6.5680945958788123E-2</v>
      </c>
      <c r="Y21" s="44">
        <f t="shared" si="20"/>
        <v>0.11762981560856681</v>
      </c>
      <c r="Z21" s="44">
        <f t="shared" si="20"/>
        <v>0.12660946146264332</v>
      </c>
      <c r="AA21" s="18"/>
      <c r="AB21" s="18"/>
      <c r="AC21" s="18"/>
      <c r="AD21" s="18"/>
    </row>
    <row r="22" spans="1:30" x14ac:dyDescent="0.25">
      <c r="A22" s="6" t="s">
        <v>29</v>
      </c>
      <c r="B22" s="7"/>
      <c r="C22" s="7"/>
      <c r="D22" s="88">
        <v>105536.39</v>
      </c>
      <c r="E22" s="85">
        <v>185857.74</v>
      </c>
      <c r="F22" s="85">
        <v>217486.17</v>
      </c>
      <c r="G22" s="85">
        <v>264247.23</v>
      </c>
      <c r="H22" s="85">
        <v>408978.32</v>
      </c>
      <c r="I22" s="85">
        <v>642527.6</v>
      </c>
      <c r="J22" s="85"/>
      <c r="K22" s="85"/>
      <c r="L22" s="85">
        <v>550064.17000000004</v>
      </c>
      <c r="M22" s="85"/>
      <c r="N22" s="85">
        <v>642527.6</v>
      </c>
      <c r="O22" s="18"/>
      <c r="P22" s="18">
        <v>760566.02</v>
      </c>
      <c r="Q22" s="18"/>
      <c r="R22" s="11"/>
      <c r="S22" s="40" t="s">
        <v>33</v>
      </c>
      <c r="T22" s="45"/>
      <c r="U22" s="45"/>
      <c r="V22" s="45"/>
      <c r="W22" s="46" t="s">
        <v>5</v>
      </c>
      <c r="X22" s="18"/>
      <c r="Y22" s="18"/>
      <c r="Z22" s="18"/>
      <c r="AA22" s="18"/>
      <c r="AB22" s="18"/>
      <c r="AC22" s="18"/>
      <c r="AD22" s="18"/>
    </row>
    <row r="23" spans="1:30" x14ac:dyDescent="0.25">
      <c r="A23" s="6" t="s">
        <v>58</v>
      </c>
      <c r="B23" s="7"/>
      <c r="C23" s="7"/>
      <c r="D23" s="88">
        <v>74380.009999999995</v>
      </c>
      <c r="E23" s="85">
        <v>130067.4</v>
      </c>
      <c r="F23" s="85">
        <v>156275</v>
      </c>
      <c r="G23" s="85">
        <v>218735.37</v>
      </c>
      <c r="H23" s="85">
        <v>353373.13</v>
      </c>
      <c r="I23" s="85">
        <v>572378.75</v>
      </c>
      <c r="J23" s="85"/>
      <c r="K23" s="85"/>
      <c r="L23" s="85">
        <v>441072.52</v>
      </c>
      <c r="M23" s="85"/>
      <c r="N23" s="85">
        <v>563454.98</v>
      </c>
      <c r="O23" s="18"/>
      <c r="P23" s="18">
        <v>640057.53</v>
      </c>
      <c r="Q23" s="18"/>
      <c r="R23" s="11"/>
      <c r="S23" s="42" t="s">
        <v>34</v>
      </c>
      <c r="T23" s="43"/>
      <c r="U23" s="44">
        <f t="shared" ref="U23:Z23" si="21">D6/AVERAGE(C23:D23)</f>
        <v>0.16727854701821096</v>
      </c>
      <c r="V23" s="44">
        <f t="shared" si="21"/>
        <v>0.24584640128236407</v>
      </c>
      <c r="W23" s="44">
        <f t="shared" si="21"/>
        <v>0.22889666357479718</v>
      </c>
      <c r="X23" s="44">
        <f t="shared" si="21"/>
        <v>0.21828735029380655</v>
      </c>
      <c r="Y23" s="44">
        <f t="shared" si="21"/>
        <v>0.22153081102623018</v>
      </c>
      <c r="Z23" s="44">
        <f t="shared" si="21"/>
        <v>0.22237727456734951</v>
      </c>
      <c r="AA23" s="18"/>
      <c r="AB23" s="18"/>
      <c r="AC23" s="18"/>
      <c r="AD23" s="18"/>
    </row>
    <row r="24" spans="1:30" x14ac:dyDescent="0.25">
      <c r="A24" s="6" t="s">
        <v>59</v>
      </c>
      <c r="B24" s="10"/>
      <c r="C24" s="10"/>
      <c r="D24" s="89">
        <v>798.84</v>
      </c>
      <c r="E24" s="89">
        <v>275.10000000000002</v>
      </c>
      <c r="F24" s="89">
        <v>4216.93</v>
      </c>
      <c r="G24" s="89">
        <v>8614.19</v>
      </c>
      <c r="H24" s="89">
        <v>7729.23</v>
      </c>
      <c r="I24" s="89">
        <v>10259.780000000001</v>
      </c>
      <c r="J24" s="89"/>
      <c r="K24" s="89"/>
      <c r="L24" s="89"/>
      <c r="M24" s="89"/>
      <c r="N24" s="89"/>
      <c r="O24" s="18"/>
      <c r="P24" s="18"/>
      <c r="Q24" s="18"/>
      <c r="R24" s="11"/>
      <c r="S24" s="42" t="s">
        <v>35</v>
      </c>
      <c r="T24" s="43"/>
      <c r="U24" s="44">
        <f t="shared" ref="U24:Z24" si="22">D9/AVERAGE(C21:D21)</f>
        <v>6.7955847189947016E-2</v>
      </c>
      <c r="V24" s="44">
        <f t="shared" si="22"/>
        <v>0.13942618397703349</v>
      </c>
      <c r="W24" s="44">
        <f t="shared" si="22"/>
        <v>0.11139906325477641</v>
      </c>
      <c r="X24" s="44">
        <f t="shared" si="22"/>
        <v>0.105264292252727</v>
      </c>
      <c r="Y24" s="44">
        <f t="shared" si="22"/>
        <v>9.3370686809630496E-2</v>
      </c>
      <c r="Z24" s="44">
        <f t="shared" si="22"/>
        <v>9.8630221403657181E-2</v>
      </c>
      <c r="AA24" s="18"/>
      <c r="AB24" s="18"/>
      <c r="AC24" s="18"/>
      <c r="AD24" s="18"/>
    </row>
    <row r="25" spans="1:30" x14ac:dyDescent="0.25">
      <c r="A25" s="6" t="s">
        <v>60</v>
      </c>
      <c r="B25" s="10"/>
      <c r="C25" s="10"/>
      <c r="D25" s="89">
        <v>108.55</v>
      </c>
      <c r="E25" s="89">
        <v>373.08</v>
      </c>
      <c r="F25" s="89">
        <v>2107.36</v>
      </c>
      <c r="G25" s="89">
        <v>5041.99</v>
      </c>
      <c r="H25" s="89">
        <v>4419.6000000000004</v>
      </c>
      <c r="I25" s="89">
        <v>4808.1400000000003</v>
      </c>
      <c r="J25" s="89"/>
      <c r="K25" s="89"/>
      <c r="L25" s="89"/>
      <c r="M25" s="89"/>
      <c r="N25" s="89"/>
      <c r="O25" s="18"/>
      <c r="P25" s="18"/>
      <c r="Q25" s="18"/>
      <c r="R25" s="11"/>
      <c r="S25" s="42" t="s">
        <v>36</v>
      </c>
      <c r="T25" s="43"/>
      <c r="U25" s="48">
        <f t="shared" ref="U25:Z25" si="23">U23-U24</f>
        <v>9.9322699828263944E-2</v>
      </c>
      <c r="V25" s="48">
        <f t="shared" si="23"/>
        <v>0.10642021730533058</v>
      </c>
      <c r="W25" s="48">
        <f t="shared" si="23"/>
        <v>0.11749760032002077</v>
      </c>
      <c r="X25" s="48">
        <f t="shared" si="23"/>
        <v>0.11302305804107955</v>
      </c>
      <c r="Y25" s="48">
        <f t="shared" si="23"/>
        <v>0.12816012421659967</v>
      </c>
      <c r="Z25" s="48">
        <f t="shared" si="23"/>
        <v>0.12374705316369233</v>
      </c>
      <c r="AA25" s="18"/>
      <c r="AB25" s="18"/>
      <c r="AC25" s="18"/>
      <c r="AD25" s="18"/>
    </row>
    <row r="27" spans="1:30" x14ac:dyDescent="0.25">
      <c r="A27" s="739" t="s">
        <v>258</v>
      </c>
      <c r="B27" s="739"/>
      <c r="C27" s="739"/>
      <c r="D27" s="739"/>
      <c r="E27" s="739"/>
      <c r="F27" s="739"/>
      <c r="G27" s="739"/>
      <c r="H27" s="739"/>
      <c r="I27" s="739"/>
      <c r="J27" s="739"/>
      <c r="K27" s="739"/>
      <c r="L27" s="739"/>
      <c r="M27" s="739"/>
      <c r="N27" s="739"/>
      <c r="O27" s="739"/>
      <c r="P27" s="739"/>
      <c r="Q27" s="739"/>
      <c r="R27" s="739"/>
      <c r="S27" s="739"/>
    </row>
    <row r="28" spans="1:30" x14ac:dyDescent="0.25">
      <c r="A28" s="739"/>
      <c r="B28" s="739"/>
      <c r="C28" s="739"/>
      <c r="D28" s="739"/>
      <c r="E28" s="739"/>
      <c r="F28" s="739"/>
      <c r="G28" s="739"/>
      <c r="H28" s="739"/>
      <c r="I28" s="739"/>
      <c r="J28" s="739"/>
      <c r="K28" s="739"/>
      <c r="L28" s="739"/>
      <c r="M28" s="739"/>
      <c r="N28" s="739"/>
      <c r="O28" s="739"/>
      <c r="P28" s="739"/>
      <c r="Q28" s="739"/>
      <c r="R28" s="739"/>
      <c r="S28" s="739"/>
    </row>
    <row r="29" spans="1:30" x14ac:dyDescent="0.25">
      <c r="A29" s="739"/>
      <c r="B29" s="739"/>
      <c r="C29" s="739"/>
      <c r="D29" s="739"/>
      <c r="E29" s="739"/>
      <c r="F29" s="739"/>
      <c r="G29" s="739"/>
      <c r="H29" s="739"/>
      <c r="I29" s="739"/>
      <c r="J29" s="739"/>
      <c r="K29" s="739"/>
      <c r="L29" s="739"/>
      <c r="M29" s="739"/>
      <c r="N29" s="739"/>
      <c r="O29" s="739"/>
      <c r="P29" s="739"/>
      <c r="Q29" s="739"/>
      <c r="R29" s="739"/>
      <c r="S29" s="739"/>
    </row>
    <row r="30" spans="1:30" x14ac:dyDescent="0.25">
      <c r="A30" s="739"/>
      <c r="B30" s="739"/>
      <c r="C30" s="739"/>
      <c r="D30" s="739"/>
      <c r="E30" s="739"/>
      <c r="F30" s="739"/>
      <c r="G30" s="739"/>
      <c r="H30" s="739"/>
      <c r="I30" s="739"/>
      <c r="J30" s="739"/>
      <c r="K30" s="739"/>
      <c r="L30" s="739"/>
      <c r="M30" s="739"/>
      <c r="N30" s="739"/>
      <c r="O30" s="739"/>
      <c r="P30" s="739"/>
      <c r="Q30" s="739"/>
      <c r="R30" s="739"/>
      <c r="S30" s="739"/>
      <c r="U30" s="205"/>
    </row>
    <row r="31" spans="1:30" x14ac:dyDescent="0.25">
      <c r="A31" s="739"/>
      <c r="B31" s="739"/>
      <c r="C31" s="739"/>
      <c r="D31" s="739"/>
      <c r="E31" s="739"/>
      <c r="F31" s="739"/>
      <c r="G31" s="739"/>
      <c r="H31" s="739"/>
      <c r="I31" s="739"/>
      <c r="J31" s="739"/>
      <c r="K31" s="739"/>
      <c r="L31" s="739"/>
      <c r="M31" s="739"/>
      <c r="N31" s="739"/>
      <c r="O31" s="739"/>
      <c r="P31" s="739"/>
      <c r="Q31" s="739"/>
      <c r="R31" s="739"/>
      <c r="S31" s="739"/>
    </row>
    <row r="32" spans="1:30" x14ac:dyDescent="0.25">
      <c r="A32" s="739"/>
      <c r="B32" s="739"/>
      <c r="C32" s="739"/>
      <c r="D32" s="739"/>
      <c r="E32" s="739"/>
      <c r="F32" s="739"/>
      <c r="G32" s="739"/>
      <c r="H32" s="739"/>
      <c r="I32" s="739"/>
      <c r="J32" s="739"/>
      <c r="K32" s="739"/>
      <c r="L32" s="739"/>
      <c r="M32" s="739"/>
      <c r="N32" s="739"/>
      <c r="O32" s="739"/>
      <c r="P32" s="739"/>
      <c r="Q32" s="739"/>
      <c r="R32" s="739"/>
      <c r="S32" s="739"/>
    </row>
    <row r="33" spans="1:19" x14ac:dyDescent="0.25">
      <c r="A33" s="739"/>
      <c r="B33" s="739"/>
      <c r="C33" s="739"/>
      <c r="D33" s="739"/>
      <c r="E33" s="739"/>
      <c r="F33" s="739"/>
      <c r="G33" s="739"/>
      <c r="H33" s="739"/>
      <c r="I33" s="739"/>
      <c r="J33" s="739"/>
      <c r="K33" s="739"/>
      <c r="L33" s="739"/>
      <c r="M33" s="739"/>
      <c r="N33" s="739"/>
      <c r="O33" s="739"/>
      <c r="P33" s="739"/>
      <c r="Q33" s="739"/>
      <c r="R33" s="739"/>
      <c r="S33" s="739"/>
    </row>
    <row r="34" spans="1:19" x14ac:dyDescent="0.25">
      <c r="A34" s="739"/>
      <c r="B34" s="739"/>
      <c r="C34" s="739"/>
      <c r="D34" s="739"/>
      <c r="E34" s="739"/>
      <c r="F34" s="739"/>
      <c r="G34" s="739"/>
      <c r="H34" s="739"/>
      <c r="I34" s="739"/>
      <c r="J34" s="739"/>
      <c r="K34" s="739"/>
      <c r="L34" s="739"/>
      <c r="M34" s="739"/>
      <c r="N34" s="739"/>
      <c r="O34" s="739"/>
      <c r="P34" s="739"/>
      <c r="Q34" s="739"/>
      <c r="R34" s="739"/>
      <c r="S34" s="739"/>
    </row>
    <row r="35" spans="1:19" x14ac:dyDescent="0.25">
      <c r="A35" s="739"/>
      <c r="B35" s="739"/>
      <c r="C35" s="739"/>
      <c r="D35" s="739"/>
      <c r="E35" s="739"/>
      <c r="F35" s="739"/>
      <c r="G35" s="739"/>
      <c r="H35" s="739"/>
      <c r="I35" s="739"/>
      <c r="J35" s="739"/>
      <c r="K35" s="739"/>
      <c r="L35" s="739"/>
      <c r="M35" s="739"/>
      <c r="N35" s="739"/>
      <c r="O35" s="739"/>
      <c r="P35" s="739"/>
      <c r="Q35" s="739"/>
      <c r="R35" s="739"/>
      <c r="S35" s="739"/>
    </row>
  </sheetData>
  <mergeCells count="3">
    <mergeCell ref="A2:A4"/>
    <mergeCell ref="L1:N1"/>
    <mergeCell ref="A27:S35"/>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3"/>
  <sheetViews>
    <sheetView zoomScale="101" workbookViewId="0">
      <selection activeCell="AG26" sqref="AG26"/>
    </sheetView>
  </sheetViews>
  <sheetFormatPr defaultRowHeight="15" x14ac:dyDescent="0.25"/>
  <cols>
    <col min="1" max="1" width="33.7109375" customWidth="1"/>
    <col min="4" max="4" width="14" customWidth="1"/>
    <col min="5" max="5" width="11.28515625" customWidth="1"/>
    <col min="6" max="6" width="11.85546875" customWidth="1"/>
    <col min="7" max="9" width="11" customWidth="1"/>
    <col min="10" max="11" width="10.140625" bestFit="1" customWidth="1"/>
    <col min="13" max="13" width="10.140625" bestFit="1" customWidth="1"/>
    <col min="15" max="15" width="11.28515625" bestFit="1" customWidth="1"/>
    <col min="16" max="16" width="11.28515625" customWidth="1"/>
    <col min="18" max="18" width="31.28515625" customWidth="1"/>
    <col min="20" max="20" width="14.5703125" customWidth="1"/>
    <col min="21" max="21" width="12.42578125" customWidth="1"/>
    <col min="22" max="22" width="13.42578125" customWidth="1"/>
    <col min="23" max="25" width="12" customWidth="1"/>
  </cols>
  <sheetData>
    <row r="1" spans="1:32" x14ac:dyDescent="0.25">
      <c r="K1" s="772" t="s">
        <v>113</v>
      </c>
      <c r="L1" s="772"/>
      <c r="M1" s="772"/>
    </row>
    <row r="2" spans="1:32" ht="45" x14ac:dyDescent="0.25">
      <c r="A2" s="3" t="s">
        <v>4</v>
      </c>
      <c r="B2" s="1" t="s">
        <v>43</v>
      </c>
      <c r="C2" s="1" t="s">
        <v>41</v>
      </c>
      <c r="D2" s="2" t="s">
        <v>44</v>
      </c>
      <c r="E2" s="2" t="s">
        <v>0</v>
      </c>
      <c r="F2" s="3" t="s">
        <v>45</v>
      </c>
      <c r="G2" s="3" t="s">
        <v>42</v>
      </c>
      <c r="H2" s="3" t="s">
        <v>366</v>
      </c>
      <c r="I2" s="3" t="s">
        <v>367</v>
      </c>
      <c r="J2" s="3" t="s">
        <v>37</v>
      </c>
      <c r="K2" s="3" t="s">
        <v>38</v>
      </c>
      <c r="L2" s="3" t="s">
        <v>39</v>
      </c>
      <c r="M2" s="3" t="s">
        <v>40</v>
      </c>
      <c r="N2" s="11" t="s">
        <v>37</v>
      </c>
      <c r="O2" s="11" t="s">
        <v>38</v>
      </c>
      <c r="P2" s="11" t="s">
        <v>39</v>
      </c>
      <c r="Q2" s="11"/>
      <c r="R2" s="40" t="s">
        <v>6</v>
      </c>
      <c r="S2" s="41" t="s">
        <v>7</v>
      </c>
      <c r="T2" s="41" t="s">
        <v>8</v>
      </c>
      <c r="U2" s="41" t="s">
        <v>9</v>
      </c>
      <c r="V2" s="40" t="s">
        <v>10</v>
      </c>
      <c r="W2" s="41" t="s">
        <v>90</v>
      </c>
      <c r="X2" s="41" t="s">
        <v>492</v>
      </c>
      <c r="Y2" s="41" t="s">
        <v>623</v>
      </c>
      <c r="Z2" s="40" t="s">
        <v>37</v>
      </c>
      <c r="AA2" s="41" t="s">
        <v>38</v>
      </c>
      <c r="AB2" s="41" t="s">
        <v>39</v>
      </c>
      <c r="AC2" s="41" t="s">
        <v>40</v>
      </c>
    </row>
    <row r="3" spans="1:32" x14ac:dyDescent="0.25">
      <c r="A3" s="3"/>
      <c r="B3" s="1" t="s">
        <v>46</v>
      </c>
      <c r="C3" s="4" t="s">
        <v>47</v>
      </c>
      <c r="D3" s="5" t="s">
        <v>47</v>
      </c>
      <c r="E3" s="5" t="s">
        <v>47</v>
      </c>
      <c r="F3" s="1" t="s">
        <v>46</v>
      </c>
      <c r="G3" s="1" t="s">
        <v>46</v>
      </c>
      <c r="H3" s="1" t="s">
        <v>46</v>
      </c>
      <c r="I3" s="1" t="s">
        <v>46</v>
      </c>
      <c r="J3" s="1" t="s">
        <v>96</v>
      </c>
      <c r="K3" s="1"/>
      <c r="L3" s="1"/>
      <c r="M3" s="1"/>
      <c r="N3" s="11"/>
      <c r="O3" s="11"/>
      <c r="P3" s="11"/>
      <c r="Q3" s="11"/>
      <c r="R3" s="42" t="s">
        <v>11</v>
      </c>
      <c r="S3" s="43"/>
      <c r="T3" s="44">
        <f t="shared" ref="T3:Y3" si="0">D10/AVERAGE(C23:D23)</f>
        <v>6.5273215984395005E-2</v>
      </c>
      <c r="U3" s="44">
        <f t="shared" si="0"/>
        <v>0.10888592909769156</v>
      </c>
      <c r="V3" s="44">
        <f t="shared" si="0"/>
        <v>8.5910627927064442E-2</v>
      </c>
      <c r="W3" s="44">
        <f t="shared" si="0"/>
        <v>7.2512673386454979E-2</v>
      </c>
      <c r="X3" s="44">
        <f t="shared" si="0"/>
        <v>8.1736210131808984E-2</v>
      </c>
      <c r="Y3" s="44">
        <f t="shared" si="0"/>
        <v>7.9012608656311531E-2</v>
      </c>
      <c r="Z3" s="18"/>
      <c r="AA3" s="18"/>
      <c r="AB3" s="18"/>
      <c r="AC3" s="18"/>
    </row>
    <row r="4" spans="1:32" x14ac:dyDescent="0.25">
      <c r="A4" s="3"/>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D5">
        <v>4245.83</v>
      </c>
      <c r="E5">
        <f>13519.01-1.5</f>
        <v>13517.51</v>
      </c>
      <c r="F5" s="85">
        <f>19757.17-4.2</f>
        <v>19752.969999999998</v>
      </c>
      <c r="G5" s="90">
        <f>31323.76-26.55</f>
        <v>31297.21</v>
      </c>
      <c r="H5" s="90">
        <f>56178.22-58.59</f>
        <v>56119.630000000005</v>
      </c>
      <c r="I5" s="90">
        <f>85331.08-17.51</f>
        <v>85313.57</v>
      </c>
      <c r="J5" s="85">
        <v>18729.91</v>
      </c>
      <c r="K5" s="85">
        <v>20769.310000000001</v>
      </c>
      <c r="L5" s="85">
        <v>22193.31</v>
      </c>
      <c r="M5" s="85">
        <v>23745.4</v>
      </c>
      <c r="N5" s="11">
        <v>25297.360000000001</v>
      </c>
      <c r="O5" s="11">
        <v>27418.76</v>
      </c>
      <c r="P5" s="11">
        <v>28280.06</v>
      </c>
      <c r="Q5" s="11"/>
      <c r="R5" s="42" t="s">
        <v>127</v>
      </c>
      <c r="S5" s="46"/>
      <c r="T5" s="47">
        <f t="shared" ref="T5:AC5" si="1">D21/D20</f>
        <v>2.5504028986017335</v>
      </c>
      <c r="U5" s="47">
        <f t="shared" si="1"/>
        <v>1.953555574733836</v>
      </c>
      <c r="V5" s="47">
        <f t="shared" si="1"/>
        <v>2.5986050334006872</v>
      </c>
      <c r="W5" s="47">
        <f t="shared" si="1"/>
        <v>1.4471058920737201</v>
      </c>
      <c r="X5" s="47">
        <f t="shared" si="1"/>
        <v>1.3619765918559739</v>
      </c>
      <c r="Y5" s="47">
        <f t="shared" si="1"/>
        <v>1.7901829050978282</v>
      </c>
      <c r="Z5" s="47" t="e">
        <f t="shared" si="1"/>
        <v>#DIV/0!</v>
      </c>
      <c r="AA5" s="47">
        <f t="shared" si="1"/>
        <v>1.5620059189413371</v>
      </c>
      <c r="AB5" s="47" t="e">
        <f t="shared" si="1"/>
        <v>#DIV/0!</v>
      </c>
      <c r="AC5" s="47">
        <f t="shared" si="1"/>
        <v>1.7885280720205869</v>
      </c>
      <c r="AD5">
        <v>1.8</v>
      </c>
    </row>
    <row r="6" spans="1:32" x14ac:dyDescent="0.25">
      <c r="A6" s="6" t="s">
        <v>50</v>
      </c>
      <c r="B6" s="7"/>
      <c r="C6" s="8"/>
      <c r="D6">
        <v>4165.08</v>
      </c>
      <c r="E6">
        <v>12963.8</v>
      </c>
      <c r="F6" s="85">
        <v>18884.87</v>
      </c>
      <c r="G6" s="85">
        <v>28663.85</v>
      </c>
      <c r="H6" s="85">
        <v>48232.87</v>
      </c>
      <c r="I6" s="85">
        <v>76799.77</v>
      </c>
      <c r="J6" s="85">
        <v>18167.97</v>
      </c>
      <c r="K6" s="85">
        <v>20180.919999999998</v>
      </c>
      <c r="L6" s="85">
        <v>21437.59</v>
      </c>
      <c r="M6" s="85">
        <v>23197.97</v>
      </c>
      <c r="N6" s="11">
        <v>24611.98</v>
      </c>
      <c r="O6" s="11">
        <v>26471.37</v>
      </c>
      <c r="P6" s="11">
        <v>26849.42</v>
      </c>
      <c r="Q6" s="11"/>
      <c r="R6" s="42" t="s">
        <v>14</v>
      </c>
      <c r="S6" s="43"/>
      <c r="T6" s="43">
        <v>0.2757</v>
      </c>
      <c r="U6" s="43">
        <v>0.35139999999999999</v>
      </c>
      <c r="V6" s="43">
        <v>0.32319999999999999</v>
      </c>
      <c r="W6" s="48">
        <v>0.48380000000000001</v>
      </c>
      <c r="X6" s="48">
        <v>0.42649999999999999</v>
      </c>
      <c r="Y6" s="48"/>
      <c r="Z6" s="48">
        <v>0.43190000000000001</v>
      </c>
      <c r="AA6" s="48">
        <v>0.4042</v>
      </c>
      <c r="AB6" s="48">
        <v>0.38969999999999999</v>
      </c>
      <c r="AC6" s="48">
        <v>0.36799999999999999</v>
      </c>
      <c r="AD6" s="80">
        <v>0.37119999999999997</v>
      </c>
      <c r="AE6" s="80">
        <v>0.37680000000000002</v>
      </c>
      <c r="AF6" s="80">
        <v>0.36849999999999999</v>
      </c>
    </row>
    <row r="7" spans="1:32" x14ac:dyDescent="0.25">
      <c r="A7" s="6" t="s">
        <v>51</v>
      </c>
      <c r="B7" s="7"/>
      <c r="C7" s="8"/>
      <c r="D7" s="87"/>
      <c r="E7" s="85"/>
      <c r="F7" s="85">
        <v>0</v>
      </c>
      <c r="G7" s="85">
        <v>0</v>
      </c>
      <c r="H7" s="85"/>
      <c r="I7" s="85"/>
      <c r="J7" s="85"/>
      <c r="K7" s="85"/>
      <c r="L7" s="85"/>
      <c r="M7" s="85"/>
      <c r="N7" s="11"/>
      <c r="O7" s="11"/>
      <c r="P7" s="11"/>
      <c r="Q7" s="11"/>
      <c r="R7" s="42" t="s">
        <v>15</v>
      </c>
      <c r="S7" s="43"/>
      <c r="T7" s="44">
        <f t="shared" ref="T7:Y7" si="2">D20/D23</f>
        <v>0.28276259964951789</v>
      </c>
      <c r="U7" s="44">
        <f t="shared" si="2"/>
        <v>0.34939104714190067</v>
      </c>
      <c r="V7" s="44">
        <f t="shared" si="2"/>
        <v>0.32484748587315709</v>
      </c>
      <c r="W7" s="44">
        <f t="shared" si="2"/>
        <v>0.53995392723761204</v>
      </c>
      <c r="X7" s="44">
        <f t="shared" si="2"/>
        <v>0.4842553684617748</v>
      </c>
      <c r="Y7" s="44">
        <f t="shared" si="2"/>
        <v>0.38464184383671707</v>
      </c>
      <c r="Z7" s="18"/>
      <c r="AA7" s="18"/>
      <c r="AB7" s="18"/>
      <c r="AC7" s="18"/>
      <c r="AD7" s="80"/>
    </row>
    <row r="8" spans="1:32" x14ac:dyDescent="0.25">
      <c r="A8" s="6" t="s">
        <v>52</v>
      </c>
      <c r="B8" s="7"/>
      <c r="C8" s="8"/>
      <c r="D8" s="85">
        <f t="shared" ref="D8:P8" si="3">D5-D6-D7</f>
        <v>80.75</v>
      </c>
      <c r="E8" s="85">
        <f t="shared" si="3"/>
        <v>553.71000000000095</v>
      </c>
      <c r="F8" s="85">
        <f t="shared" si="3"/>
        <v>868.09999999999854</v>
      </c>
      <c r="G8" s="85">
        <f t="shared" si="3"/>
        <v>2633.3600000000006</v>
      </c>
      <c r="H8" s="85">
        <f t="shared" si="3"/>
        <v>7886.760000000002</v>
      </c>
      <c r="I8" s="85">
        <f t="shared" si="3"/>
        <v>8513.8000000000029</v>
      </c>
      <c r="J8" s="85">
        <f t="shared" si="3"/>
        <v>561.93999999999869</v>
      </c>
      <c r="K8" s="85">
        <f t="shared" si="3"/>
        <v>588.39000000000306</v>
      </c>
      <c r="L8" s="85">
        <f t="shared" si="3"/>
        <v>755.72000000000116</v>
      </c>
      <c r="M8" s="85">
        <f t="shared" si="3"/>
        <v>547.43000000000029</v>
      </c>
      <c r="N8" s="85">
        <f t="shared" si="3"/>
        <v>685.38000000000102</v>
      </c>
      <c r="O8" s="85">
        <f t="shared" si="3"/>
        <v>947.38999999999942</v>
      </c>
      <c r="P8" s="85">
        <f t="shared" si="3"/>
        <v>1430.6400000000031</v>
      </c>
      <c r="Q8" s="11"/>
      <c r="R8" s="40" t="s">
        <v>16</v>
      </c>
      <c r="S8" s="45"/>
      <c r="T8" s="45"/>
      <c r="U8" s="45"/>
      <c r="V8" s="46" t="s">
        <v>5</v>
      </c>
      <c r="W8" s="18"/>
      <c r="X8" s="18"/>
      <c r="Y8" s="18"/>
      <c r="Z8" s="18"/>
      <c r="AA8" s="18"/>
      <c r="AB8" s="18"/>
      <c r="AC8" s="18"/>
    </row>
    <row r="9" spans="1:32" ht="33.75" x14ac:dyDescent="0.25">
      <c r="A9" s="6" t="s">
        <v>24</v>
      </c>
      <c r="B9" s="7"/>
      <c r="C9" s="7"/>
      <c r="D9" s="88">
        <v>1803.95</v>
      </c>
      <c r="E9" s="85">
        <v>6029.19</v>
      </c>
      <c r="F9" s="85">
        <v>9021.93</v>
      </c>
      <c r="G9" s="85">
        <v>14296.86</v>
      </c>
      <c r="H9" s="85">
        <v>18326.8</v>
      </c>
      <c r="I9" s="85">
        <v>31701.98</v>
      </c>
      <c r="J9" s="85">
        <v>6686.42</v>
      </c>
      <c r="K9" s="85">
        <v>7671.44</v>
      </c>
      <c r="L9" s="85">
        <v>8231.48</v>
      </c>
      <c r="M9" s="85">
        <v>9112.64</v>
      </c>
      <c r="N9" s="11">
        <v>10010.82</v>
      </c>
      <c r="O9" s="11">
        <v>10674.3</v>
      </c>
      <c r="P9" s="11">
        <v>11349.85</v>
      </c>
      <c r="Q9" s="11"/>
      <c r="R9" s="49" t="s">
        <v>93</v>
      </c>
      <c r="S9" s="45"/>
      <c r="T9" s="93">
        <f t="shared" ref="T9:Y9" si="4">D14/(D11-D9)</f>
        <v>0.6752911690992186</v>
      </c>
      <c r="U9" s="93">
        <f t="shared" si="4"/>
        <v>0.41242628520148711</v>
      </c>
      <c r="V9" s="93">
        <f t="shared" si="4"/>
        <v>0.35197800026838044</v>
      </c>
      <c r="W9" s="93">
        <f t="shared" si="4"/>
        <v>0.36166667156852655</v>
      </c>
      <c r="X9" s="93">
        <f t="shared" si="4"/>
        <v>0.24127433695756575</v>
      </c>
      <c r="Y9" s="93">
        <f t="shared" si="4"/>
        <v>0.21420349592317625</v>
      </c>
      <c r="Z9" s="18"/>
      <c r="AA9" s="18"/>
      <c r="AB9" s="18"/>
      <c r="AC9" s="18"/>
    </row>
    <row r="10" spans="1:32" ht="22.5" x14ac:dyDescent="0.25">
      <c r="A10" s="6" t="s">
        <v>53</v>
      </c>
      <c r="B10" s="10">
        <f t="shared" ref="B10:K10" si="5">B6-B9</f>
        <v>0</v>
      </c>
      <c r="C10" s="10">
        <f t="shared" si="5"/>
        <v>0</v>
      </c>
      <c r="D10" s="89">
        <f t="shared" si="5"/>
        <v>2361.13</v>
      </c>
      <c r="E10" s="89">
        <f t="shared" si="5"/>
        <v>6934.61</v>
      </c>
      <c r="F10" s="89">
        <f t="shared" si="5"/>
        <v>9862.9399999999987</v>
      </c>
      <c r="G10" s="89">
        <f t="shared" si="5"/>
        <v>14366.989999999998</v>
      </c>
      <c r="H10" s="89">
        <f>H6-H9</f>
        <v>29906.070000000003</v>
      </c>
      <c r="I10" s="89">
        <f>I6-I9</f>
        <v>45097.790000000008</v>
      </c>
      <c r="J10" s="89">
        <f t="shared" si="5"/>
        <v>11481.550000000001</v>
      </c>
      <c r="K10" s="89">
        <f t="shared" si="5"/>
        <v>12509.48</v>
      </c>
      <c r="L10" s="89">
        <f>L6-L9</f>
        <v>13206.11</v>
      </c>
      <c r="M10" s="89">
        <f>M6-M9</f>
        <v>14085.330000000002</v>
      </c>
      <c r="N10" s="89">
        <f>N6-N9</f>
        <v>14601.16</v>
      </c>
      <c r="O10" s="89">
        <f>O6-O9</f>
        <v>15797.07</v>
      </c>
      <c r="P10" s="89">
        <f>P6-P9</f>
        <v>15499.569999999998</v>
      </c>
      <c r="Q10" s="11"/>
      <c r="R10" s="42" t="s">
        <v>92</v>
      </c>
      <c r="S10" s="43"/>
      <c r="T10" s="44">
        <f t="shared" ref="T10:Y10" si="6">D14/D11</f>
        <v>0.38837635986367802</v>
      </c>
      <c r="U10" s="44">
        <f t="shared" si="6"/>
        <v>0.22847255152761123</v>
      </c>
      <c r="V10" s="44">
        <f t="shared" si="6"/>
        <v>0.19121630823111666</v>
      </c>
      <c r="W10" s="44">
        <f t="shared" si="6"/>
        <v>0.19645393311416579</v>
      </c>
      <c r="X10" s="44">
        <f t="shared" si="6"/>
        <v>0.1624821831505304</v>
      </c>
      <c r="Y10" s="44">
        <f t="shared" si="6"/>
        <v>0.13460683921678576</v>
      </c>
      <c r="Z10" s="18"/>
      <c r="AA10" s="18"/>
      <c r="AB10" s="18"/>
      <c r="AC10" s="18"/>
    </row>
    <row r="11" spans="1:32" ht="22.5" x14ac:dyDescent="0.25">
      <c r="A11" s="6" t="s">
        <v>1</v>
      </c>
      <c r="B11" s="10">
        <f>B5-B9</f>
        <v>0</v>
      </c>
      <c r="C11" s="10">
        <f t="shared" ref="C11:K11" si="7">SUM(C6:C8)</f>
        <v>0</v>
      </c>
      <c r="D11" s="89">
        <f t="shared" si="7"/>
        <v>4245.83</v>
      </c>
      <c r="E11" s="89">
        <f t="shared" si="7"/>
        <v>13517.51</v>
      </c>
      <c r="F11" s="89">
        <f>SUM(F6:F8)</f>
        <v>19752.969999999998</v>
      </c>
      <c r="G11" s="89">
        <f>SUM(G6:G8)</f>
        <v>31297.21</v>
      </c>
      <c r="H11" s="89">
        <f>SUM(H6:H8)</f>
        <v>56119.630000000005</v>
      </c>
      <c r="I11" s="89">
        <f>SUM(I6:I8)</f>
        <v>85313.57</v>
      </c>
      <c r="J11" s="89">
        <f t="shared" si="7"/>
        <v>18729.91</v>
      </c>
      <c r="K11" s="89">
        <f t="shared" si="7"/>
        <v>20769.310000000001</v>
      </c>
      <c r="L11" s="89">
        <f>SUM(L6:L8)</f>
        <v>22193.31</v>
      </c>
      <c r="M11" s="89">
        <f>SUM(M6:M8)</f>
        <v>23745.4</v>
      </c>
      <c r="N11" s="89">
        <f>SUM(N6:N8)</f>
        <v>25297.360000000001</v>
      </c>
      <c r="O11" s="89">
        <f>SUM(O6:O8)</f>
        <v>27418.76</v>
      </c>
      <c r="P11" s="89">
        <f>SUM(P6:P8)</f>
        <v>28280.06</v>
      </c>
      <c r="Q11" s="11"/>
      <c r="R11" s="42" t="s">
        <v>17</v>
      </c>
      <c r="S11" s="43"/>
      <c r="T11" s="44">
        <f t="shared" ref="T11:Y11" si="8">D14/AVERAGE(C22:D22)</f>
        <v>4.3680177753195791E-2</v>
      </c>
      <c r="U11" s="44">
        <f t="shared" si="8"/>
        <v>4.6197129922640551E-2</v>
      </c>
      <c r="V11" s="44">
        <f t="shared" si="8"/>
        <v>2.9002543593769511E-2</v>
      </c>
      <c r="W11" s="44">
        <f t="shared" si="8"/>
        <v>2.418593596670332E-2</v>
      </c>
      <c r="X11" s="44">
        <f t="shared" si="8"/>
        <v>2.0225362167730365E-2</v>
      </c>
      <c r="Y11" s="44">
        <f t="shared" si="8"/>
        <v>2.2247254823755669E-2</v>
      </c>
      <c r="Z11" s="18"/>
      <c r="AA11" s="18"/>
      <c r="AB11" s="18"/>
      <c r="AC11" s="18"/>
    </row>
    <row r="12" spans="1:32" x14ac:dyDescent="0.25">
      <c r="A12" s="6" t="s">
        <v>91</v>
      </c>
      <c r="B12" s="10"/>
      <c r="C12" s="10"/>
      <c r="D12" s="89">
        <v>0</v>
      </c>
      <c r="E12" s="89">
        <v>1.5</v>
      </c>
      <c r="F12" s="89">
        <v>4.2</v>
      </c>
      <c r="G12" s="89">
        <v>26.55</v>
      </c>
      <c r="H12" s="89">
        <v>58.59</v>
      </c>
      <c r="I12" s="89">
        <v>17.510000000000002</v>
      </c>
      <c r="J12" s="89">
        <v>0</v>
      </c>
      <c r="K12" s="89"/>
      <c r="L12" s="89"/>
      <c r="M12" s="89">
        <v>17.510000000000002</v>
      </c>
      <c r="N12" s="11">
        <v>0.02</v>
      </c>
      <c r="O12" s="11">
        <v>0.35</v>
      </c>
      <c r="P12" s="11">
        <v>0.34</v>
      </c>
      <c r="Q12" s="11"/>
      <c r="R12" s="40" t="s">
        <v>18</v>
      </c>
      <c r="S12" s="45"/>
      <c r="T12" s="45"/>
      <c r="U12" s="45"/>
      <c r="V12" s="46" t="s">
        <v>5</v>
      </c>
      <c r="W12" s="18"/>
      <c r="X12" s="18"/>
      <c r="Y12" s="18"/>
      <c r="Z12" s="18"/>
      <c r="AA12" s="18"/>
      <c r="AB12" s="53"/>
      <c r="AC12" s="54"/>
    </row>
    <row r="13" spans="1:32" x14ac:dyDescent="0.25">
      <c r="A13" s="6" t="s">
        <v>25</v>
      </c>
      <c r="B13" s="7"/>
      <c r="C13" s="7"/>
      <c r="D13" s="88">
        <f t="shared" ref="D13:P13" si="9">D11+D12</f>
        <v>4245.83</v>
      </c>
      <c r="E13" s="88">
        <f t="shared" si="9"/>
        <v>13519.01</v>
      </c>
      <c r="F13" s="88">
        <f t="shared" si="9"/>
        <v>19757.169999999998</v>
      </c>
      <c r="G13" s="88">
        <f t="shared" si="9"/>
        <v>31323.759999999998</v>
      </c>
      <c r="H13" s="88">
        <f t="shared" si="9"/>
        <v>56178.22</v>
      </c>
      <c r="I13" s="88">
        <f t="shared" si="9"/>
        <v>85331.08</v>
      </c>
      <c r="J13" s="88">
        <f t="shared" si="9"/>
        <v>18729.91</v>
      </c>
      <c r="K13" s="88">
        <f t="shared" si="9"/>
        <v>20769.310000000001</v>
      </c>
      <c r="L13" s="88">
        <f t="shared" si="9"/>
        <v>22193.31</v>
      </c>
      <c r="M13" s="88">
        <f t="shared" si="9"/>
        <v>23762.91</v>
      </c>
      <c r="N13" s="88">
        <f t="shared" si="9"/>
        <v>25297.38</v>
      </c>
      <c r="O13" s="88">
        <f t="shared" si="9"/>
        <v>27419.109999999997</v>
      </c>
      <c r="P13" s="88">
        <f t="shared" si="9"/>
        <v>28280.400000000001</v>
      </c>
      <c r="Q13" s="11"/>
      <c r="R13" s="42" t="s">
        <v>19</v>
      </c>
      <c r="S13" s="43"/>
      <c r="T13" s="44">
        <f t="shared" ref="T13:Y13" si="10">D24/D23</f>
        <v>0</v>
      </c>
      <c r="U13" s="44">
        <f t="shared" si="10"/>
        <v>9.124479363233795E-3</v>
      </c>
      <c r="V13" s="44">
        <f t="shared" si="10"/>
        <v>1.2082351306628662E-2</v>
      </c>
      <c r="W13" s="44">
        <f t="shared" si="10"/>
        <v>1.0121425773599688E-2</v>
      </c>
      <c r="X13" s="44">
        <f t="shared" si="10"/>
        <v>8.8512257863664484E-3</v>
      </c>
      <c r="Y13" s="44">
        <f t="shared" si="10"/>
        <v>1.0165864659446754E-2</v>
      </c>
      <c r="Z13" s="48">
        <v>1.09E-2</v>
      </c>
      <c r="AA13" s="48">
        <v>1.0200000000000001E-2</v>
      </c>
      <c r="AB13" s="48">
        <v>1.15E-2</v>
      </c>
      <c r="AC13" s="48">
        <v>1.0200000000000001E-2</v>
      </c>
      <c r="AD13" s="80">
        <v>9.4999999999999998E-3</v>
      </c>
      <c r="AE13" s="80">
        <v>1.09E-2</v>
      </c>
      <c r="AF13" s="80">
        <v>1.17E-2</v>
      </c>
    </row>
    <row r="14" spans="1:32" x14ac:dyDescent="0.25">
      <c r="A14" s="6" t="s">
        <v>26</v>
      </c>
      <c r="B14" s="7"/>
      <c r="C14" s="7"/>
      <c r="D14" s="85">
        <f>1264.42+5.35+379.21</f>
        <v>1648.98</v>
      </c>
      <c r="E14" s="85">
        <f>2258.05+22.07+808.26</f>
        <v>3088.38</v>
      </c>
      <c r="F14" s="85">
        <f>2995.48+26.44+755.17</f>
        <v>3777.09</v>
      </c>
      <c r="G14" s="85">
        <f>4577.66+31+1539.8</f>
        <v>6148.46</v>
      </c>
      <c r="H14" s="85">
        <f>7299.51+73.67+1745.26</f>
        <v>9118.44</v>
      </c>
      <c r="I14" s="85">
        <f>8549.41+117.13+2817.25</f>
        <v>11483.789999999999</v>
      </c>
      <c r="J14" s="85">
        <f>2172.76+15.49+708.67</f>
        <v>2896.92</v>
      </c>
      <c r="K14" s="85">
        <f>1963.13+20.85+560.6</f>
        <v>2544.58</v>
      </c>
      <c r="L14" s="85">
        <f>2069.63+19.41+668.3</f>
        <v>2757.34</v>
      </c>
      <c r="M14" s="85">
        <f>2343.89+61.38+879.68</f>
        <v>3284.95</v>
      </c>
      <c r="N14" s="11">
        <f>2312.75+24.81+847.76</f>
        <v>3185.3199999999997</v>
      </c>
      <c r="O14" s="11">
        <f>2175.68+46.64+926.88</f>
        <v>3149.2</v>
      </c>
      <c r="P14" s="11">
        <f>2571.91+49.31+1066.44</f>
        <v>3687.66</v>
      </c>
      <c r="Q14" s="11"/>
      <c r="R14" s="42" t="s">
        <v>20</v>
      </c>
      <c r="S14" s="43"/>
      <c r="T14" s="44">
        <f t="shared" ref="T14:Y14" si="11">D25/D23</f>
        <v>0</v>
      </c>
      <c r="U14" s="44">
        <f t="shared" si="11"/>
        <v>2.8235491742289154E-3</v>
      </c>
      <c r="V14" s="44">
        <f t="shared" si="11"/>
        <v>4.943844124012913E-3</v>
      </c>
      <c r="W14" s="44">
        <f t="shared" si="11"/>
        <v>4.269719568901661E-3</v>
      </c>
      <c r="X14" s="44">
        <f t="shared" si="11"/>
        <v>4.5432599743486955E-3</v>
      </c>
      <c r="Y14" s="44">
        <f t="shared" si="11"/>
        <v>4.4215796910981545E-3</v>
      </c>
      <c r="Z14" s="48">
        <v>6.1000000000000004E-3</v>
      </c>
      <c r="AA14" s="48">
        <v>6.1999999999999998E-3</v>
      </c>
      <c r="AB14" s="48">
        <v>6.4000000000000003E-3</v>
      </c>
      <c r="AC14" s="48">
        <v>4.4999999999999997E-3</v>
      </c>
      <c r="AD14" s="80">
        <v>3.8E-3</v>
      </c>
      <c r="AE14" s="80">
        <v>4.4999999999999997E-3</v>
      </c>
      <c r="AF14" s="80">
        <v>5.0000000000000001E-3</v>
      </c>
    </row>
    <row r="15" spans="1:32" x14ac:dyDescent="0.25">
      <c r="A15" s="6" t="s">
        <v>54</v>
      </c>
      <c r="B15" s="10"/>
      <c r="C15" s="10"/>
      <c r="D15" s="89">
        <f t="shared" ref="D15:K15" si="12">D11-D14</f>
        <v>2596.85</v>
      </c>
      <c r="E15" s="89">
        <f t="shared" si="12"/>
        <v>10429.130000000001</v>
      </c>
      <c r="F15" s="89">
        <f t="shared" si="12"/>
        <v>15975.879999999997</v>
      </c>
      <c r="G15" s="89">
        <f t="shared" si="12"/>
        <v>25148.75</v>
      </c>
      <c r="H15" s="89">
        <f>H11-H14</f>
        <v>47001.19</v>
      </c>
      <c r="I15" s="89">
        <f>I11-I14</f>
        <v>73829.780000000013</v>
      </c>
      <c r="J15" s="89">
        <f t="shared" si="12"/>
        <v>15832.99</v>
      </c>
      <c r="K15" s="89">
        <f t="shared" si="12"/>
        <v>18224.730000000003</v>
      </c>
      <c r="L15" s="89">
        <f>L11-L14</f>
        <v>19435.97</v>
      </c>
      <c r="M15" s="89">
        <f>M11-M14</f>
        <v>20460.45</v>
      </c>
      <c r="N15" s="89">
        <f>N11-N14</f>
        <v>22112.04</v>
      </c>
      <c r="O15" s="89">
        <f>O11-O14</f>
        <v>24269.559999999998</v>
      </c>
      <c r="P15" s="89">
        <f>P11-P14</f>
        <v>24592.400000000001</v>
      </c>
      <c r="Q15" s="11"/>
      <c r="R15" s="42" t="s">
        <v>21</v>
      </c>
      <c r="S15" s="43"/>
      <c r="T15" s="44" t="e">
        <f t="shared" ref="T15:Z15" si="13">(T13-T14)/T13</f>
        <v>#DIV/0!</v>
      </c>
      <c r="U15" s="44">
        <f t="shared" si="13"/>
        <v>0.6905522976350702</v>
      </c>
      <c r="V15" s="44">
        <f t="shared" si="13"/>
        <v>0.59082102493571731</v>
      </c>
      <c r="W15" s="44">
        <f t="shared" si="13"/>
        <v>0.57815038469791258</v>
      </c>
      <c r="X15" s="44">
        <f t="shared" si="13"/>
        <v>0.48670838548185236</v>
      </c>
      <c r="Y15" s="44">
        <f t="shared" ref="Y15" si="14">(Y13-Y14)/Y13</f>
        <v>0.56505621123045868</v>
      </c>
      <c r="Z15" s="44">
        <f t="shared" si="13"/>
        <v>0.44036697247706419</v>
      </c>
      <c r="AA15" s="18"/>
      <c r="AB15" s="18"/>
      <c r="AC15" s="18"/>
    </row>
    <row r="16" spans="1:32" x14ac:dyDescent="0.25">
      <c r="A16" s="6" t="s">
        <v>94</v>
      </c>
      <c r="B16" s="10"/>
      <c r="C16" s="10"/>
      <c r="D16" s="89">
        <f t="shared" ref="D16:K16" si="15">D13-D14-D9</f>
        <v>792.89999999999986</v>
      </c>
      <c r="E16" s="89">
        <f t="shared" si="15"/>
        <v>4401.4400000000014</v>
      </c>
      <c r="F16" s="89">
        <f t="shared" si="15"/>
        <v>6958.1499999999978</v>
      </c>
      <c r="G16" s="89">
        <f t="shared" si="15"/>
        <v>10878.439999999999</v>
      </c>
      <c r="H16" s="89">
        <f>H13-H14-H9</f>
        <v>28732.98</v>
      </c>
      <c r="I16" s="89">
        <f>I13-I14-I9</f>
        <v>42145.310000000012</v>
      </c>
      <c r="J16" s="89">
        <f t="shared" si="15"/>
        <v>9146.57</v>
      </c>
      <c r="K16" s="89">
        <f t="shared" si="15"/>
        <v>10553.290000000005</v>
      </c>
      <c r="L16" s="89">
        <f>L13-L14-L9</f>
        <v>11204.490000000002</v>
      </c>
      <c r="M16" s="89">
        <f>M13-M14-M9</f>
        <v>11365.32</v>
      </c>
      <c r="N16" s="89">
        <f>N13-N14-N9</f>
        <v>12101.240000000002</v>
      </c>
      <c r="O16" s="89">
        <f>O13-O14-O9</f>
        <v>13595.609999999997</v>
      </c>
      <c r="P16" s="89">
        <f>P13-P14-P9</f>
        <v>13242.890000000001</v>
      </c>
      <c r="Q16" s="11"/>
      <c r="R16" s="42" t="s">
        <v>22</v>
      </c>
      <c r="S16" s="43"/>
      <c r="T16" s="44">
        <f t="shared" ref="T16:Y16" si="16">D17/AVERAGE(C23:D23)</f>
        <v>7.804433302933152E-3</v>
      </c>
      <c r="U16" s="44">
        <f t="shared" si="16"/>
        <v>2.4671469065275172E-2</v>
      </c>
      <c r="V16" s="44">
        <f t="shared" si="16"/>
        <v>1.3731760267037953E-2</v>
      </c>
      <c r="W16" s="44">
        <f t="shared" si="16"/>
        <v>6.9017557068187475E-3</v>
      </c>
      <c r="X16" s="44">
        <f t="shared" si="16"/>
        <v>7.5627818840064889E-3</v>
      </c>
      <c r="Y16" s="44">
        <f t="shared" si="16"/>
        <v>6.5038798099410107E-3</v>
      </c>
      <c r="Z16" s="18"/>
      <c r="AA16" s="18"/>
      <c r="AB16" s="18"/>
      <c r="AC16" s="18"/>
    </row>
    <row r="17" spans="1:32" x14ac:dyDescent="0.25">
      <c r="A17" s="6" t="s">
        <v>27</v>
      </c>
      <c r="B17" s="7"/>
      <c r="C17" s="7"/>
      <c r="D17" s="88">
        <v>282.31</v>
      </c>
      <c r="E17" s="85">
        <v>1571.25</v>
      </c>
      <c r="F17" s="85">
        <v>1576.47</v>
      </c>
      <c r="G17" s="85">
        <v>1367.45</v>
      </c>
      <c r="H17" s="85">
        <v>2767.11</v>
      </c>
      <c r="I17" s="85">
        <v>3712.2</v>
      </c>
      <c r="J17" s="85">
        <v>706.32</v>
      </c>
      <c r="K17" s="85">
        <v>1163.68</v>
      </c>
      <c r="L17" s="85">
        <v>959.41</v>
      </c>
      <c r="M17" s="85">
        <v>882.79</v>
      </c>
      <c r="N17" s="11">
        <v>899.06</v>
      </c>
      <c r="O17" s="11">
        <v>2141.71</v>
      </c>
      <c r="P17" s="11">
        <v>2373.71</v>
      </c>
      <c r="Q17" s="11"/>
      <c r="R17" s="18"/>
      <c r="S17" s="18"/>
      <c r="T17" s="18"/>
      <c r="U17" s="18"/>
      <c r="V17" s="18"/>
      <c r="W17" s="18"/>
      <c r="X17" s="18"/>
      <c r="Y17" s="18"/>
      <c r="Z17" s="18"/>
      <c r="AA17" s="18"/>
      <c r="AB17" s="18"/>
      <c r="AC17" s="18"/>
    </row>
    <row r="18" spans="1:32" x14ac:dyDescent="0.25">
      <c r="A18" s="6" t="s">
        <v>55</v>
      </c>
      <c r="B18" s="7"/>
      <c r="C18" s="7"/>
      <c r="D18" s="88">
        <v>404.5</v>
      </c>
      <c r="E18" s="85">
        <v>2105.9299999999998</v>
      </c>
      <c r="F18" s="89">
        <v>3993.69</v>
      </c>
      <c r="G18" s="89">
        <v>6933.7</v>
      </c>
      <c r="H18" s="89">
        <v>19650.509999999998</v>
      </c>
      <c r="I18" s="89">
        <v>28567.89</v>
      </c>
      <c r="J18" s="89">
        <v>6281.34</v>
      </c>
      <c r="K18" s="89">
        <v>7185.18</v>
      </c>
      <c r="L18" s="89">
        <v>7442.33</v>
      </c>
      <c r="M18" s="89">
        <v>7659.04</v>
      </c>
      <c r="N18" s="11">
        <v>8453.86</v>
      </c>
      <c r="O18" s="11">
        <v>8226.27</v>
      </c>
      <c r="P18" s="11">
        <v>8289.1</v>
      </c>
      <c r="Q18" s="11"/>
      <c r="R18" s="40" t="s">
        <v>30</v>
      </c>
      <c r="S18" s="45"/>
      <c r="T18" s="45"/>
      <c r="U18" s="45"/>
      <c r="V18" s="46" t="s">
        <v>5</v>
      </c>
      <c r="W18" s="18"/>
      <c r="X18" s="18"/>
      <c r="Y18" s="18"/>
      <c r="Z18" s="18"/>
      <c r="AA18" s="18"/>
      <c r="AB18" s="18"/>
      <c r="AC18" s="18"/>
    </row>
    <row r="19" spans="1:32" ht="22.5" x14ac:dyDescent="0.25">
      <c r="A19" s="6" t="s">
        <v>28</v>
      </c>
      <c r="B19" s="7"/>
      <c r="C19" s="7"/>
      <c r="D19" s="88">
        <v>10228.379999999999</v>
      </c>
      <c r="E19" s="85">
        <v>31864.75</v>
      </c>
      <c r="F19" s="85">
        <v>44961.65</v>
      </c>
      <c r="G19" s="85">
        <v>139228.74</v>
      </c>
      <c r="H19" s="85">
        <v>229497.05</v>
      </c>
      <c r="I19" s="85">
        <f>258946.03-1903.97-248.78</f>
        <v>256793.28</v>
      </c>
      <c r="J19" s="85"/>
      <c r="K19" s="85">
        <f>243327.97-1835.46</f>
        <v>241492.51</v>
      </c>
      <c r="L19" s="85"/>
      <c r="M19" s="85">
        <f>258946.03-1903.97</f>
        <v>257042.06</v>
      </c>
      <c r="N19" s="11"/>
      <c r="O19" s="11">
        <f>276160.25-2014.73-434.35</f>
        <v>273711.17000000004</v>
      </c>
      <c r="P19" s="11"/>
      <c r="Q19" s="11"/>
      <c r="R19" s="46" t="s">
        <v>95</v>
      </c>
      <c r="S19" s="51"/>
      <c r="T19" s="51"/>
      <c r="U19" s="52">
        <f>E16/AVERAGE(D22:E22)</f>
        <v>6.5838366887075769E-2</v>
      </c>
      <c r="V19" s="52">
        <f>F16/AVERAGE(E22:F22)</f>
        <v>5.3428445895381697E-2</v>
      </c>
      <c r="W19" s="52">
        <f>G16/AVERAGE(F22:G22)</f>
        <v>4.2792057402605534E-2</v>
      </c>
      <c r="X19" s="52">
        <f>H16/AVERAGE(G22:H22)</f>
        <v>6.3731836438925216E-2</v>
      </c>
      <c r="Y19" s="52">
        <f>I16/AVERAGE(H22:I22)</f>
        <v>8.1647039104353031E-2</v>
      </c>
      <c r="Z19" s="18"/>
      <c r="AA19" s="18"/>
      <c r="AB19" s="18"/>
      <c r="AC19" s="18"/>
    </row>
    <row r="20" spans="1:32" x14ac:dyDescent="0.25">
      <c r="A20" s="6" t="s">
        <v>56</v>
      </c>
      <c r="B20" s="7"/>
      <c r="C20" s="7"/>
      <c r="D20" s="88">
        <f t="shared" ref="D20:O20" si="17">D19-D71</f>
        <v>10228.379999999999</v>
      </c>
      <c r="E20" s="89">
        <f t="shared" si="17"/>
        <v>31864.75</v>
      </c>
      <c r="F20" s="89">
        <f t="shared" si="17"/>
        <v>44961.65</v>
      </c>
      <c r="G20" s="89">
        <f t="shared" si="17"/>
        <v>139228.74</v>
      </c>
      <c r="H20" s="89">
        <f t="shared" si="17"/>
        <v>229497.05</v>
      </c>
      <c r="I20" s="89">
        <f t="shared" si="17"/>
        <v>256793.28</v>
      </c>
      <c r="J20" s="89">
        <f t="shared" si="17"/>
        <v>0</v>
      </c>
      <c r="K20" s="89">
        <f t="shared" si="17"/>
        <v>241492.51</v>
      </c>
      <c r="L20" s="89">
        <f t="shared" si="17"/>
        <v>0</v>
      </c>
      <c r="M20" s="89">
        <f t="shared" si="17"/>
        <v>257042.06</v>
      </c>
      <c r="N20" s="89">
        <f t="shared" si="17"/>
        <v>0</v>
      </c>
      <c r="O20" s="89">
        <f t="shared" si="17"/>
        <v>273711.17000000004</v>
      </c>
      <c r="P20" s="440"/>
      <c r="Q20" s="11"/>
      <c r="R20" s="42" t="s">
        <v>31</v>
      </c>
      <c r="S20" s="43"/>
      <c r="T20" s="43">
        <v>4.4699999999999997E-2</v>
      </c>
      <c r="U20" s="44">
        <f>E18/AVERAGE(D22:E22)</f>
        <v>3.1501279576343064E-2</v>
      </c>
      <c r="V20" s="44">
        <f>F18/AVERAGE(E22:F22)</f>
        <v>3.0665715756045354E-2</v>
      </c>
      <c r="W20" s="44">
        <f>G18/AVERAGE(F22:G22)</f>
        <v>2.7274801204257782E-2</v>
      </c>
      <c r="X20" s="44">
        <f>H18/AVERAGE(G22:H22)</f>
        <v>4.3586258343599034E-2</v>
      </c>
      <c r="Y20" s="44">
        <f>I18/AVERAGE(H22:I22)</f>
        <v>5.5343848033360184E-2</v>
      </c>
      <c r="Z20" s="48"/>
      <c r="AA20" s="18"/>
      <c r="AB20" s="18"/>
      <c r="AC20" s="18"/>
    </row>
    <row r="21" spans="1:32" x14ac:dyDescent="0.25">
      <c r="A21" s="6" t="s">
        <v>57</v>
      </c>
      <c r="B21" s="9"/>
      <c r="C21" s="9"/>
      <c r="D21" s="85">
        <f>7921.64+18164.85</f>
        <v>26086.489999999998</v>
      </c>
      <c r="E21" s="85">
        <f>14529.07+47720.49</f>
        <v>62249.56</v>
      </c>
      <c r="F21" s="85">
        <f>32468.1+84369.47</f>
        <v>116837.57</v>
      </c>
      <c r="G21" s="85">
        <f>39131.54+162347.19</f>
        <v>201478.73</v>
      </c>
      <c r="H21" s="85">
        <f>27299.03+285270.58</f>
        <v>312569.61</v>
      </c>
      <c r="I21" s="85">
        <f>19062.18+440644.76</f>
        <v>459706.94</v>
      </c>
      <c r="J21" s="85"/>
      <c r="K21" s="85">
        <f>22817.84+354394.89</f>
        <v>377212.73000000004</v>
      </c>
      <c r="L21" s="85"/>
      <c r="M21" s="85">
        <f>19062.18+440664.76</f>
        <v>459726.94</v>
      </c>
      <c r="N21" s="11"/>
      <c r="O21" s="11">
        <f>18937.03+465125.51</f>
        <v>484062.54000000004</v>
      </c>
      <c r="P21" s="11"/>
      <c r="Q21" s="11"/>
      <c r="R21" s="42" t="s">
        <v>32</v>
      </c>
      <c r="S21" s="43"/>
      <c r="T21" s="44">
        <f t="shared" ref="T21:Y21" si="18">D18/AVERAGE(C19:D19)</f>
        <v>3.954682950770308E-2</v>
      </c>
      <c r="U21" s="44">
        <f t="shared" si="18"/>
        <v>0.10006050868633433</v>
      </c>
      <c r="V21" s="44">
        <f t="shared" si="18"/>
        <v>0.10396660522945239</v>
      </c>
      <c r="W21" s="44">
        <f t="shared" si="18"/>
        <v>7.5288401311273623E-2</v>
      </c>
      <c r="X21" s="44">
        <f t="shared" si="18"/>
        <v>0.1065860351129765</v>
      </c>
      <c r="Y21" s="44">
        <f t="shared" si="18"/>
        <v>0.11749314447605817</v>
      </c>
      <c r="Z21" s="18"/>
      <c r="AA21" s="18"/>
      <c r="AB21" s="18"/>
      <c r="AC21" s="18"/>
    </row>
    <row r="22" spans="1:32" x14ac:dyDescent="0.25">
      <c r="A22" s="6" t="s">
        <v>29</v>
      </c>
      <c r="B22" s="7"/>
      <c r="C22" s="7"/>
      <c r="D22" s="88">
        <v>37751.22</v>
      </c>
      <c r="E22" s="85">
        <v>95953.19</v>
      </c>
      <c r="F22" s="85">
        <v>164512.93</v>
      </c>
      <c r="G22" s="85">
        <v>343919.74</v>
      </c>
      <c r="H22" s="85">
        <v>557763.99</v>
      </c>
      <c r="I22" s="85">
        <v>474614.17</v>
      </c>
      <c r="J22" s="85"/>
      <c r="K22" s="85">
        <v>631347.12</v>
      </c>
      <c r="L22" s="85"/>
      <c r="M22" s="85">
        <v>735282.06</v>
      </c>
      <c r="N22" s="11"/>
      <c r="O22" s="11">
        <v>776885.95</v>
      </c>
      <c r="P22" s="11"/>
      <c r="Q22" s="11"/>
      <c r="R22" s="40" t="s">
        <v>33</v>
      </c>
      <c r="S22" s="45"/>
      <c r="T22" s="45"/>
      <c r="U22" s="45"/>
      <c r="V22" s="46" t="s">
        <v>5</v>
      </c>
      <c r="W22" s="18"/>
      <c r="X22" s="18"/>
      <c r="Y22" s="18"/>
      <c r="Z22" s="18"/>
      <c r="AA22" s="18"/>
      <c r="AB22" s="18"/>
      <c r="AC22" s="18"/>
    </row>
    <row r="23" spans="1:32" x14ac:dyDescent="0.25">
      <c r="A23" s="6" t="s">
        <v>58</v>
      </c>
      <c r="B23" s="7"/>
      <c r="C23" s="7"/>
      <c r="D23" s="88">
        <v>36173.03</v>
      </c>
      <c r="E23" s="85">
        <v>91200.82</v>
      </c>
      <c r="F23" s="85">
        <v>138408.49</v>
      </c>
      <c r="G23" s="85">
        <v>257853</v>
      </c>
      <c r="H23" s="85">
        <v>473917.41</v>
      </c>
      <c r="I23" s="85">
        <v>667616.6</v>
      </c>
      <c r="J23" s="85"/>
      <c r="K23" s="85">
        <v>524815.23</v>
      </c>
      <c r="L23" s="85"/>
      <c r="M23" s="85">
        <v>657423.49</v>
      </c>
      <c r="N23" s="11"/>
      <c r="O23" s="11">
        <v>681518.44</v>
      </c>
      <c r="P23" s="11"/>
      <c r="Q23" s="11"/>
      <c r="R23" s="42" t="s">
        <v>34</v>
      </c>
      <c r="S23" s="43"/>
      <c r="T23" s="44">
        <f t="shared" ref="T23:Y23" si="19">D6/AVERAGE(C23:D23)</f>
        <v>0.11514324346066669</v>
      </c>
      <c r="U23" s="44">
        <f t="shared" si="19"/>
        <v>0.20355512532595973</v>
      </c>
      <c r="V23" s="44">
        <f t="shared" si="19"/>
        <v>0.1644956818170831</v>
      </c>
      <c r="W23" s="44">
        <f t="shared" si="19"/>
        <v>0.14467138858232223</v>
      </c>
      <c r="X23" s="44">
        <f t="shared" si="19"/>
        <v>0.13182514444660315</v>
      </c>
      <c r="Y23" s="44">
        <f t="shared" si="19"/>
        <v>0.13455537781130147</v>
      </c>
      <c r="Z23" s="18"/>
      <c r="AA23" s="18"/>
      <c r="AB23" s="18"/>
      <c r="AC23" s="18"/>
    </row>
    <row r="24" spans="1:32" x14ac:dyDescent="0.25">
      <c r="A24" s="6" t="s">
        <v>59</v>
      </c>
      <c r="B24" s="10"/>
      <c r="C24" s="10"/>
      <c r="D24" s="89"/>
      <c r="E24" s="89">
        <v>832.16</v>
      </c>
      <c r="F24" s="89">
        <v>1672.3</v>
      </c>
      <c r="G24" s="89">
        <v>2609.84</v>
      </c>
      <c r="H24" s="89">
        <v>4194.75</v>
      </c>
      <c r="I24" s="89">
        <v>6786.9</v>
      </c>
      <c r="J24" s="89"/>
      <c r="K24" s="89"/>
      <c r="L24" s="89"/>
      <c r="M24" s="89"/>
      <c r="N24" s="11"/>
      <c r="O24" s="11"/>
      <c r="P24" s="11"/>
      <c r="Q24" s="11"/>
      <c r="R24" s="42" t="s">
        <v>35</v>
      </c>
      <c r="S24" s="43"/>
      <c r="T24" s="44">
        <f t="shared" ref="T24:Y24" si="20">D9/AVERAGE(C21:D21)</f>
        <v>6.9152653346617354E-2</v>
      </c>
      <c r="U24" s="44">
        <f t="shared" si="20"/>
        <v>0.13650576406801074</v>
      </c>
      <c r="V24" s="44">
        <f t="shared" si="20"/>
        <v>0.10075464384291602</v>
      </c>
      <c r="W24" s="44">
        <f t="shared" si="20"/>
        <v>8.98280106925093E-2</v>
      </c>
      <c r="X24" s="44">
        <f t="shared" si="20"/>
        <v>7.1303799950020272E-2</v>
      </c>
      <c r="Y24" s="44">
        <f t="shared" si="20"/>
        <v>8.2100071535255073E-2</v>
      </c>
      <c r="Z24" s="18"/>
      <c r="AA24" s="18"/>
      <c r="AB24" s="18"/>
      <c r="AC24" s="18"/>
    </row>
    <row r="25" spans="1:32" x14ac:dyDescent="0.25">
      <c r="A25" s="6" t="s">
        <v>60</v>
      </c>
      <c r="B25" s="10"/>
      <c r="C25" s="10"/>
      <c r="D25" s="89"/>
      <c r="E25" s="89">
        <v>257.51</v>
      </c>
      <c r="F25" s="89">
        <v>684.27</v>
      </c>
      <c r="G25" s="89">
        <v>1100.96</v>
      </c>
      <c r="H25" s="89">
        <v>2153.13</v>
      </c>
      <c r="I25" s="89">
        <v>2951.92</v>
      </c>
      <c r="J25" s="89"/>
      <c r="K25" s="89"/>
      <c r="L25" s="89"/>
      <c r="M25" s="89"/>
      <c r="N25" s="11"/>
      <c r="O25" s="11"/>
      <c r="P25" s="11"/>
      <c r="Q25" s="11"/>
      <c r="R25" s="42" t="s">
        <v>36</v>
      </c>
      <c r="S25" s="43"/>
      <c r="T25" s="48">
        <f t="shared" ref="T25:Y25" si="21">T23-T24</f>
        <v>4.5990590114049337E-2</v>
      </c>
      <c r="U25" s="48">
        <f t="shared" si="21"/>
        <v>6.7049361257948997E-2</v>
      </c>
      <c r="V25" s="48">
        <f t="shared" si="21"/>
        <v>6.3741037974167081E-2</v>
      </c>
      <c r="W25" s="48">
        <f t="shared" si="21"/>
        <v>5.484337788981293E-2</v>
      </c>
      <c r="X25" s="48">
        <f t="shared" si="21"/>
        <v>6.0521344496582877E-2</v>
      </c>
      <c r="Y25" s="48">
        <f t="shared" si="21"/>
        <v>5.2455306276046401E-2</v>
      </c>
      <c r="Z25" s="18"/>
      <c r="AA25" s="18"/>
      <c r="AB25" s="18"/>
      <c r="AC25" s="18"/>
    </row>
    <row r="26" spans="1:32" x14ac:dyDescent="0.25">
      <c r="R26" s="407" t="s">
        <v>645</v>
      </c>
      <c r="AF26" s="80">
        <v>2.4691000000000001</v>
      </c>
    </row>
    <row r="27" spans="1:32" x14ac:dyDescent="0.25">
      <c r="A27" s="739" t="s">
        <v>276</v>
      </c>
      <c r="B27" s="739"/>
      <c r="C27" s="739"/>
      <c r="D27" s="739"/>
      <c r="E27" s="739"/>
      <c r="F27" s="739"/>
      <c r="G27" s="739"/>
      <c r="H27" s="739"/>
      <c r="I27" s="739"/>
      <c r="J27" s="739"/>
      <c r="K27" s="739"/>
      <c r="L27" s="739"/>
      <c r="M27" s="739"/>
      <c r="N27" s="739"/>
      <c r="O27" s="739"/>
      <c r="P27" s="739"/>
      <c r="Q27" s="739"/>
      <c r="R27" s="739"/>
    </row>
    <row r="28" spans="1:32" x14ac:dyDescent="0.25">
      <c r="A28" s="739"/>
      <c r="B28" s="739"/>
      <c r="C28" s="739"/>
      <c r="D28" s="739"/>
      <c r="E28" s="739"/>
      <c r="F28" s="739"/>
      <c r="G28" s="739"/>
      <c r="H28" s="739"/>
      <c r="I28" s="739"/>
      <c r="J28" s="739"/>
      <c r="K28" s="739"/>
      <c r="L28" s="739"/>
      <c r="M28" s="739"/>
      <c r="N28" s="739"/>
      <c r="O28" s="739"/>
      <c r="P28" s="739"/>
      <c r="Q28" s="739"/>
      <c r="R28" s="739"/>
    </row>
    <row r="29" spans="1:32" x14ac:dyDescent="0.25">
      <c r="A29" s="739"/>
      <c r="B29" s="739"/>
      <c r="C29" s="739"/>
      <c r="D29" s="739"/>
      <c r="E29" s="739"/>
      <c r="F29" s="739"/>
      <c r="G29" s="739"/>
      <c r="H29" s="739"/>
      <c r="I29" s="739"/>
      <c r="J29" s="739"/>
      <c r="K29" s="739"/>
      <c r="L29" s="739"/>
      <c r="M29" s="739"/>
      <c r="N29" s="739"/>
      <c r="O29" s="739"/>
      <c r="P29" s="739"/>
      <c r="Q29" s="739"/>
      <c r="R29" s="739"/>
    </row>
    <row r="30" spans="1:32" x14ac:dyDescent="0.25">
      <c r="A30" s="739"/>
      <c r="B30" s="739"/>
      <c r="C30" s="739"/>
      <c r="D30" s="739"/>
      <c r="E30" s="739"/>
      <c r="F30" s="739"/>
      <c r="G30" s="739"/>
      <c r="H30" s="739"/>
      <c r="I30" s="739"/>
      <c r="J30" s="739"/>
      <c r="K30" s="739"/>
      <c r="L30" s="739"/>
      <c r="M30" s="739"/>
      <c r="N30" s="739"/>
      <c r="O30" s="739"/>
      <c r="P30" s="739"/>
      <c r="Q30" s="739"/>
      <c r="R30" s="739"/>
    </row>
    <row r="31" spans="1:32" x14ac:dyDescent="0.25">
      <c r="A31" s="739"/>
      <c r="B31" s="739"/>
      <c r="C31" s="739"/>
      <c r="D31" s="739"/>
      <c r="E31" s="739"/>
      <c r="F31" s="739"/>
      <c r="G31" s="739"/>
      <c r="H31" s="739"/>
      <c r="I31" s="739"/>
      <c r="J31" s="739"/>
      <c r="K31" s="739"/>
      <c r="L31" s="739"/>
      <c r="M31" s="739"/>
      <c r="N31" s="739"/>
      <c r="O31" s="739"/>
      <c r="P31" s="739"/>
      <c r="Q31" s="739"/>
      <c r="R31" s="739"/>
    </row>
    <row r="32" spans="1:32" x14ac:dyDescent="0.25">
      <c r="A32" s="739"/>
      <c r="B32" s="739"/>
      <c r="C32" s="739"/>
      <c r="D32" s="739"/>
      <c r="E32" s="739"/>
      <c r="F32" s="739"/>
      <c r="G32" s="739"/>
      <c r="H32" s="739"/>
      <c r="I32" s="739"/>
      <c r="J32" s="739"/>
      <c r="K32" s="739"/>
      <c r="L32" s="739"/>
      <c r="M32" s="739"/>
      <c r="N32" s="739"/>
      <c r="O32" s="739"/>
      <c r="P32" s="739"/>
      <c r="Q32" s="739"/>
      <c r="R32" s="739"/>
    </row>
    <row r="33" spans="1:18" x14ac:dyDescent="0.25">
      <c r="A33" s="739"/>
      <c r="B33" s="739"/>
      <c r="C33" s="739"/>
      <c r="D33" s="739"/>
      <c r="E33" s="739"/>
      <c r="F33" s="739"/>
      <c r="G33" s="739"/>
      <c r="H33" s="739"/>
      <c r="I33" s="739"/>
      <c r="J33" s="739"/>
      <c r="K33" s="739"/>
      <c r="L33" s="739"/>
      <c r="M33" s="739"/>
      <c r="N33" s="739"/>
      <c r="O33" s="739"/>
      <c r="P33" s="739"/>
      <c r="Q33" s="739"/>
      <c r="R33" s="739"/>
    </row>
    <row r="34" spans="1:18" x14ac:dyDescent="0.25">
      <c r="A34" s="739"/>
      <c r="B34" s="739"/>
      <c r="C34" s="739"/>
      <c r="D34" s="739"/>
      <c r="E34" s="739"/>
      <c r="F34" s="739"/>
      <c r="G34" s="739"/>
      <c r="H34" s="739"/>
      <c r="I34" s="739"/>
      <c r="J34" s="739"/>
      <c r="K34" s="739"/>
      <c r="L34" s="739"/>
      <c r="M34" s="739"/>
      <c r="N34" s="739"/>
      <c r="O34" s="739"/>
      <c r="P34" s="739"/>
      <c r="Q34" s="739"/>
      <c r="R34" s="739"/>
    </row>
    <row r="35" spans="1:18" x14ac:dyDescent="0.25">
      <c r="A35" s="739"/>
      <c r="B35" s="739"/>
      <c r="C35" s="739"/>
      <c r="D35" s="739"/>
      <c r="E35" s="739"/>
      <c r="F35" s="739"/>
      <c r="G35" s="739"/>
      <c r="H35" s="739"/>
      <c r="I35" s="739"/>
      <c r="J35" s="739"/>
      <c r="K35" s="739"/>
      <c r="L35" s="739"/>
      <c r="M35" s="739"/>
      <c r="N35" s="739"/>
      <c r="O35" s="739"/>
      <c r="P35" s="739"/>
      <c r="Q35" s="739"/>
      <c r="R35" s="739"/>
    </row>
    <row r="36" spans="1:18" x14ac:dyDescent="0.25">
      <c r="A36" s="739"/>
      <c r="B36" s="739"/>
      <c r="C36" s="739"/>
      <c r="D36" s="739"/>
      <c r="E36" s="739"/>
      <c r="F36" s="739"/>
      <c r="G36" s="739"/>
      <c r="H36" s="739"/>
      <c r="I36" s="739"/>
      <c r="J36" s="739"/>
      <c r="K36" s="739"/>
      <c r="L36" s="739"/>
      <c r="M36" s="739"/>
      <c r="N36" s="739"/>
      <c r="O36" s="739"/>
      <c r="P36" s="739"/>
      <c r="Q36" s="739"/>
      <c r="R36" s="739"/>
    </row>
    <row r="37" spans="1:18" x14ac:dyDescent="0.25">
      <c r="A37" s="739"/>
      <c r="B37" s="739"/>
      <c r="C37" s="739"/>
      <c r="D37" s="739"/>
      <c r="E37" s="739"/>
      <c r="F37" s="739"/>
      <c r="G37" s="739"/>
      <c r="H37" s="739"/>
      <c r="I37" s="739"/>
      <c r="J37" s="739"/>
      <c r="K37" s="739"/>
      <c r="L37" s="739"/>
      <c r="M37" s="739"/>
      <c r="N37" s="739"/>
      <c r="O37" s="739"/>
      <c r="P37" s="739"/>
      <c r="Q37" s="739"/>
      <c r="R37" s="739"/>
    </row>
    <row r="38" spans="1:18" x14ac:dyDescent="0.25">
      <c r="A38" s="739"/>
      <c r="B38" s="739"/>
      <c r="C38" s="739"/>
      <c r="D38" s="739"/>
      <c r="E38" s="739"/>
      <c r="F38" s="739"/>
      <c r="G38" s="739"/>
      <c r="H38" s="739"/>
      <c r="I38" s="739"/>
      <c r="J38" s="739"/>
      <c r="K38" s="739"/>
      <c r="L38" s="739"/>
      <c r="M38" s="739"/>
      <c r="N38" s="739"/>
      <c r="O38" s="739"/>
      <c r="P38" s="739"/>
      <c r="Q38" s="739"/>
      <c r="R38" s="739"/>
    </row>
    <row r="39" spans="1:18" x14ac:dyDescent="0.25">
      <c r="A39" s="739"/>
      <c r="B39" s="739"/>
      <c r="C39" s="739"/>
      <c r="D39" s="739"/>
      <c r="E39" s="739"/>
      <c r="F39" s="739"/>
      <c r="G39" s="739"/>
      <c r="H39" s="739"/>
      <c r="I39" s="739"/>
      <c r="J39" s="739"/>
      <c r="K39" s="739"/>
      <c r="L39" s="739"/>
      <c r="M39" s="739"/>
      <c r="N39" s="739"/>
      <c r="O39" s="739"/>
      <c r="P39" s="739"/>
      <c r="Q39" s="739"/>
      <c r="R39" s="739"/>
    </row>
    <row r="40" spans="1:18" x14ac:dyDescent="0.25">
      <c r="A40" s="739"/>
      <c r="B40" s="739"/>
      <c r="C40" s="739"/>
      <c r="D40" s="739"/>
      <c r="E40" s="739"/>
      <c r="F40" s="739"/>
      <c r="G40" s="739"/>
      <c r="H40" s="739"/>
      <c r="I40" s="739"/>
      <c r="J40" s="739"/>
      <c r="K40" s="739"/>
      <c r="L40" s="739"/>
      <c r="M40" s="739"/>
      <c r="N40" s="739"/>
      <c r="O40" s="739"/>
      <c r="P40" s="739"/>
      <c r="Q40" s="739"/>
      <c r="R40" s="739"/>
    </row>
    <row r="41" spans="1:18" x14ac:dyDescent="0.25">
      <c r="A41" s="739"/>
      <c r="B41" s="739"/>
      <c r="C41" s="739"/>
      <c r="D41" s="739"/>
      <c r="E41" s="739"/>
      <c r="F41" s="739"/>
      <c r="G41" s="739"/>
      <c r="H41" s="739"/>
      <c r="I41" s="739"/>
      <c r="J41" s="739"/>
      <c r="K41" s="739"/>
      <c r="L41" s="739"/>
      <c r="M41" s="739"/>
      <c r="N41" s="739"/>
      <c r="O41" s="739"/>
      <c r="P41" s="739"/>
      <c r="Q41" s="739"/>
      <c r="R41" s="739"/>
    </row>
    <row r="42" spans="1:18" x14ac:dyDescent="0.25">
      <c r="A42" s="739"/>
      <c r="B42" s="739"/>
      <c r="C42" s="739"/>
      <c r="D42" s="739"/>
      <c r="E42" s="739"/>
      <c r="F42" s="739"/>
      <c r="G42" s="739"/>
      <c r="H42" s="739"/>
      <c r="I42" s="739"/>
      <c r="J42" s="739"/>
      <c r="K42" s="739"/>
      <c r="L42" s="739"/>
      <c r="M42" s="739"/>
      <c r="N42" s="739"/>
      <c r="O42" s="739"/>
      <c r="P42" s="739"/>
      <c r="Q42" s="739"/>
      <c r="R42" s="739"/>
    </row>
    <row r="43" spans="1:18" x14ac:dyDescent="0.25">
      <c r="A43" s="739"/>
      <c r="B43" s="739"/>
      <c r="C43" s="739"/>
      <c r="D43" s="739"/>
      <c r="E43" s="739"/>
      <c r="F43" s="739"/>
      <c r="G43" s="739"/>
      <c r="H43" s="739"/>
      <c r="I43" s="739"/>
      <c r="J43" s="739"/>
      <c r="K43" s="739"/>
      <c r="L43" s="739"/>
      <c r="M43" s="739"/>
      <c r="N43" s="739"/>
      <c r="O43" s="739"/>
      <c r="P43" s="739"/>
      <c r="Q43" s="739"/>
      <c r="R43" s="739"/>
    </row>
  </sheetData>
  <mergeCells count="2">
    <mergeCell ref="K1:M1"/>
    <mergeCell ref="A27:R4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25"/>
  <sheetViews>
    <sheetView workbookViewId="0">
      <selection activeCell="AE17" sqref="AE17"/>
    </sheetView>
  </sheetViews>
  <sheetFormatPr defaultRowHeight="15" x14ac:dyDescent="0.25"/>
  <cols>
    <col min="1" max="1" width="28.140625" customWidth="1"/>
    <col min="4" max="4" width="11.28515625" customWidth="1"/>
    <col min="5" max="5" width="11.42578125" customWidth="1"/>
    <col min="6" max="6" width="11.7109375" customWidth="1"/>
    <col min="7" max="8" width="10.42578125" customWidth="1"/>
    <col min="9" max="10" width="10.140625" bestFit="1" customWidth="1"/>
    <col min="12" max="12" width="10.140625" bestFit="1" customWidth="1"/>
    <col min="17" max="17" width="28.7109375" customWidth="1"/>
    <col min="20" max="20" width="12.7109375" customWidth="1"/>
    <col min="22" max="22" width="13.140625" customWidth="1"/>
    <col min="23" max="23" width="13.7109375" customWidth="1"/>
  </cols>
  <sheetData>
    <row r="1" spans="1:30" x14ac:dyDescent="0.25">
      <c r="A1" t="s">
        <v>359</v>
      </c>
      <c r="J1" s="772" t="s">
        <v>119</v>
      </c>
      <c r="K1" s="772"/>
      <c r="L1" s="772"/>
    </row>
    <row r="2" spans="1:30" ht="45" x14ac:dyDescent="0.25">
      <c r="A2" s="3" t="s">
        <v>4</v>
      </c>
      <c r="B2" s="1" t="s">
        <v>43</v>
      </c>
      <c r="C2" s="1" t="s">
        <v>41</v>
      </c>
      <c r="D2" s="2" t="s">
        <v>44</v>
      </c>
      <c r="E2" s="2" t="s">
        <v>0</v>
      </c>
      <c r="F2" s="3" t="s">
        <v>45</v>
      </c>
      <c r="G2" s="3" t="s">
        <v>42</v>
      </c>
      <c r="H2" s="3" t="s">
        <v>366</v>
      </c>
      <c r="I2" s="3" t="s">
        <v>37</v>
      </c>
      <c r="J2" s="3" t="s">
        <v>38</v>
      </c>
      <c r="K2" s="3" t="s">
        <v>39</v>
      </c>
      <c r="L2" s="3" t="s">
        <v>40</v>
      </c>
      <c r="M2" s="11"/>
      <c r="N2" s="11"/>
      <c r="O2" s="11"/>
      <c r="P2" s="11"/>
      <c r="Q2" s="40" t="s">
        <v>6</v>
      </c>
      <c r="R2" s="41" t="s">
        <v>7</v>
      </c>
      <c r="S2" s="41" t="s">
        <v>8</v>
      </c>
      <c r="T2" s="41" t="s">
        <v>9</v>
      </c>
      <c r="U2" s="40" t="s">
        <v>10</v>
      </c>
      <c r="V2" s="41" t="s">
        <v>90</v>
      </c>
      <c r="W2" s="41" t="s">
        <v>546</v>
      </c>
      <c r="X2" s="40" t="s">
        <v>37</v>
      </c>
      <c r="Y2" s="41" t="s">
        <v>38</v>
      </c>
      <c r="Z2" s="41" t="s">
        <v>39</v>
      </c>
      <c r="AA2" s="41" t="s">
        <v>40</v>
      </c>
    </row>
    <row r="3" spans="1:30" x14ac:dyDescent="0.25">
      <c r="A3" s="3"/>
      <c r="B3" s="1" t="s">
        <v>46</v>
      </c>
      <c r="C3" s="4" t="s">
        <v>47</v>
      </c>
      <c r="D3" s="5" t="s">
        <v>47</v>
      </c>
      <c r="E3" s="5" t="s">
        <v>47</v>
      </c>
      <c r="F3" s="1" t="s">
        <v>46</v>
      </c>
      <c r="G3" s="1" t="s">
        <v>46</v>
      </c>
      <c r="H3" s="1" t="s">
        <v>46</v>
      </c>
      <c r="I3" s="1" t="s">
        <v>96</v>
      </c>
      <c r="J3" s="1"/>
      <c r="K3" s="1"/>
      <c r="L3" s="1"/>
      <c r="M3" s="11"/>
      <c r="N3" s="11"/>
      <c r="O3" s="11"/>
      <c r="P3" s="11"/>
      <c r="Q3" s="42" t="s">
        <v>11</v>
      </c>
      <c r="R3" s="43"/>
      <c r="S3" s="44" t="e">
        <f>D10/AVERAGE(C22:D22)</f>
        <v>#DIV/0!</v>
      </c>
      <c r="T3" s="44" t="e">
        <f>E10/AVERAGE(D22:E22)</f>
        <v>#DIV/0!</v>
      </c>
      <c r="U3" s="44">
        <f>F10/AVERAGE(E22:F22)</f>
        <v>0.1251557009245976</v>
      </c>
      <c r="V3" s="44">
        <f>G10/AVERAGE(F22:G22)</f>
        <v>9.5856005089857671E-2</v>
      </c>
      <c r="W3" s="44">
        <f>H10/AVERAGE(G22:H22)</f>
        <v>0.13397020093735595</v>
      </c>
      <c r="X3" s="18"/>
      <c r="Y3" s="18"/>
      <c r="Z3" s="18"/>
      <c r="AA3" s="18"/>
    </row>
    <row r="4" spans="1:30" x14ac:dyDescent="0.25">
      <c r="A4" s="3"/>
      <c r="B4" s="1" t="s">
        <v>48</v>
      </c>
      <c r="C4" s="1" t="s">
        <v>48</v>
      </c>
      <c r="D4" s="5" t="s">
        <v>49</v>
      </c>
      <c r="E4" s="5" t="s">
        <v>49</v>
      </c>
      <c r="F4" s="5" t="s">
        <v>49</v>
      </c>
      <c r="G4" s="5" t="s">
        <v>49</v>
      </c>
      <c r="H4" s="5" t="s">
        <v>49</v>
      </c>
      <c r="I4" s="5"/>
      <c r="J4" s="5"/>
      <c r="K4" s="5"/>
      <c r="L4" s="5"/>
      <c r="M4" s="11"/>
      <c r="N4" s="11"/>
      <c r="O4" s="11"/>
      <c r="P4" s="11"/>
      <c r="Q4" s="40" t="s">
        <v>12</v>
      </c>
      <c r="R4" s="45"/>
      <c r="S4" s="45"/>
      <c r="T4" s="45"/>
      <c r="U4" s="46" t="s">
        <v>5</v>
      </c>
      <c r="V4" s="18"/>
      <c r="W4" s="18"/>
      <c r="X4" s="18"/>
      <c r="Y4" s="18"/>
      <c r="Z4" s="18"/>
      <c r="AA4" s="18"/>
    </row>
    <row r="5" spans="1:30" x14ac:dyDescent="0.25">
      <c r="A5" s="6" t="s">
        <v>23</v>
      </c>
      <c r="B5" s="7"/>
      <c r="C5" s="8"/>
      <c r="F5" s="85">
        <v>23277.61</v>
      </c>
      <c r="G5" s="90">
        <v>28500.68</v>
      </c>
      <c r="H5" s="90">
        <v>49138.22</v>
      </c>
      <c r="I5" s="85">
        <v>17733.73</v>
      </c>
      <c r="J5" s="85">
        <v>16837.79</v>
      </c>
      <c r="K5" s="85">
        <v>16955.28</v>
      </c>
      <c r="L5" s="85">
        <v>20579.939999999999</v>
      </c>
      <c r="M5" s="11">
        <v>17419.63</v>
      </c>
      <c r="N5" s="11">
        <v>16269.92</v>
      </c>
      <c r="O5" s="11">
        <v>18598.57</v>
      </c>
      <c r="P5" s="11"/>
      <c r="Q5" s="42" t="s">
        <v>127</v>
      </c>
      <c r="R5" s="46"/>
      <c r="S5" s="47" t="e">
        <f>D20/D19</f>
        <v>#DIV/0!</v>
      </c>
      <c r="T5" s="47" t="e">
        <f>E20/E19</f>
        <v>#DIV/0!</v>
      </c>
      <c r="U5" s="47">
        <f>F20/F19</f>
        <v>3.6321895644263464</v>
      </c>
      <c r="V5" s="47">
        <f>G20/G19</f>
        <v>4.6351943770005564</v>
      </c>
      <c r="W5" s="47">
        <f>H20/H19</f>
        <v>2.4364661704733575</v>
      </c>
      <c r="X5" s="47"/>
      <c r="Y5" s="47">
        <f>J20/J19</f>
        <v>2.6409020047971832</v>
      </c>
      <c r="Z5" s="47"/>
      <c r="AA5" s="47">
        <f>L20/L19</f>
        <v>2.943673140944925</v>
      </c>
      <c r="AB5" s="47"/>
      <c r="AC5" s="47">
        <f>N20/N19</f>
        <v>3.3730050742601132</v>
      </c>
    </row>
    <row r="6" spans="1:30" x14ac:dyDescent="0.25">
      <c r="A6" s="6" t="s">
        <v>50</v>
      </c>
      <c r="B6" s="7"/>
      <c r="C6" s="8"/>
      <c r="F6" s="85">
        <v>20983.75</v>
      </c>
      <c r="G6" s="85">
        <v>20801.95</v>
      </c>
      <c r="H6" s="85">
        <v>36259.72</v>
      </c>
      <c r="I6" s="85">
        <v>14226.16</v>
      </c>
      <c r="J6" s="85">
        <v>15445.96</v>
      </c>
      <c r="K6" s="85">
        <v>15476.99</v>
      </c>
      <c r="L6" s="85">
        <v>16491.34</v>
      </c>
      <c r="M6" s="11">
        <v>16112.37</v>
      </c>
      <c r="N6" s="11">
        <v>16441.849999999999</v>
      </c>
      <c r="O6" s="11">
        <v>18275.88</v>
      </c>
      <c r="P6" s="11"/>
      <c r="Q6" s="42" t="s">
        <v>14</v>
      </c>
      <c r="R6" s="43"/>
      <c r="S6" s="43"/>
      <c r="T6" s="43"/>
      <c r="U6" s="43">
        <v>0.29199999999999998</v>
      </c>
      <c r="V6" s="48">
        <v>0.185</v>
      </c>
      <c r="W6" s="48">
        <v>0.32</v>
      </c>
      <c r="X6" s="48">
        <v>0.2944</v>
      </c>
      <c r="Y6" s="48">
        <v>0.39379999999999998</v>
      </c>
      <c r="Z6" s="48">
        <v>0.2954</v>
      </c>
      <c r="AA6" s="48">
        <v>0.27600000000000002</v>
      </c>
      <c r="AB6" s="436">
        <v>0.27</v>
      </c>
      <c r="AC6" s="80">
        <v>0.29199999999999998</v>
      </c>
      <c r="AD6" s="436">
        <v>0.27</v>
      </c>
    </row>
    <row r="7" spans="1:30" x14ac:dyDescent="0.25">
      <c r="A7" s="6" t="s">
        <v>51</v>
      </c>
      <c r="B7" s="7"/>
      <c r="C7" s="8"/>
      <c r="D7" s="87"/>
      <c r="E7" s="85"/>
      <c r="F7" s="85">
        <v>0</v>
      </c>
      <c r="G7" s="85">
        <v>0</v>
      </c>
      <c r="H7" s="85"/>
      <c r="I7" s="85"/>
      <c r="J7" s="85"/>
      <c r="K7" s="85"/>
      <c r="L7" s="85"/>
      <c r="M7" s="11"/>
      <c r="N7" s="11"/>
      <c r="O7" s="11"/>
      <c r="P7" s="11"/>
      <c r="Q7" s="42" t="s">
        <v>15</v>
      </c>
      <c r="R7" s="43"/>
      <c r="S7" s="44" t="e">
        <f>D19/D22</f>
        <v>#DIV/0!</v>
      </c>
      <c r="T7" s="44" t="e">
        <f>E19/E22</f>
        <v>#DIV/0!</v>
      </c>
      <c r="U7" s="44">
        <f>F19/F22</f>
        <v>0.26341355763090857</v>
      </c>
      <c r="V7" s="44">
        <f>G19/G22</f>
        <v>0.23943613718324519</v>
      </c>
      <c r="W7" s="44">
        <f>H19/H22</f>
        <v>0.41143109598061395</v>
      </c>
      <c r="X7" s="18"/>
      <c r="Y7" s="18"/>
      <c r="Z7" s="18"/>
      <c r="AA7" s="18"/>
    </row>
    <row r="8" spans="1:30" x14ac:dyDescent="0.25">
      <c r="A8" s="6" t="s">
        <v>52</v>
      </c>
      <c r="B8" s="7"/>
      <c r="C8" s="8"/>
      <c r="D8" s="85">
        <f t="shared" ref="D8:O8" si="0">D5-D6-D7</f>
        <v>0</v>
      </c>
      <c r="E8" s="85">
        <f t="shared" si="0"/>
        <v>0</v>
      </c>
      <c r="F8" s="85">
        <f t="shared" si="0"/>
        <v>2293.8600000000006</v>
      </c>
      <c r="G8" s="85">
        <f t="shared" si="0"/>
        <v>7698.73</v>
      </c>
      <c r="H8" s="85">
        <f t="shared" si="0"/>
        <v>12878.5</v>
      </c>
      <c r="I8" s="85">
        <f t="shared" si="0"/>
        <v>3507.5699999999997</v>
      </c>
      <c r="J8" s="85">
        <f t="shared" si="0"/>
        <v>1391.8300000000017</v>
      </c>
      <c r="K8" s="85">
        <f t="shared" si="0"/>
        <v>1478.2899999999991</v>
      </c>
      <c r="L8" s="85">
        <f t="shared" si="0"/>
        <v>4088.5999999999985</v>
      </c>
      <c r="M8" s="85">
        <f t="shared" si="0"/>
        <v>1307.2600000000002</v>
      </c>
      <c r="N8" s="85">
        <f t="shared" si="0"/>
        <v>-171.92999999999847</v>
      </c>
      <c r="O8" s="85">
        <f t="shared" si="0"/>
        <v>322.68999999999869</v>
      </c>
      <c r="P8" s="11"/>
      <c r="Q8" s="40" t="s">
        <v>16</v>
      </c>
      <c r="R8" s="45"/>
      <c r="S8" s="45"/>
      <c r="T8" s="45"/>
      <c r="U8" s="46" t="s">
        <v>5</v>
      </c>
      <c r="V8" s="18"/>
      <c r="W8" s="18"/>
      <c r="X8" s="18"/>
      <c r="Y8" s="18"/>
      <c r="Z8" s="18"/>
      <c r="AA8" s="18"/>
    </row>
    <row r="9" spans="1:30" ht="33.75" x14ac:dyDescent="0.25">
      <c r="A9" s="6"/>
      <c r="B9" s="7"/>
      <c r="C9" s="7"/>
      <c r="D9" s="88"/>
      <c r="E9" s="85"/>
      <c r="F9" s="85">
        <v>10015.61</v>
      </c>
      <c r="G9" s="85">
        <v>11691.42</v>
      </c>
      <c r="H9" s="85">
        <v>18268.080000000002</v>
      </c>
      <c r="I9" s="85">
        <v>5927.91</v>
      </c>
      <c r="J9" s="85">
        <v>7157.75</v>
      </c>
      <c r="K9" s="85">
        <v>6906.8</v>
      </c>
      <c r="L9" s="85">
        <v>7286.69</v>
      </c>
      <c r="M9" s="11">
        <v>7796.74</v>
      </c>
      <c r="N9" s="11">
        <v>8377.41</v>
      </c>
      <c r="O9" s="11">
        <v>8169.22</v>
      </c>
      <c r="P9" s="11"/>
      <c r="Q9" s="49" t="s">
        <v>93</v>
      </c>
      <c r="R9" s="45"/>
      <c r="S9" s="93" t="e">
        <f>D14/(D11-D9)</f>
        <v>#DIV/0!</v>
      </c>
      <c r="T9" s="93" t="e">
        <f>E14/(E11-E9)</f>
        <v>#DIV/0!</v>
      </c>
      <c r="U9" s="93">
        <f>F14/(F11-F9)</f>
        <v>0.61496456039812997</v>
      </c>
      <c r="V9" s="93">
        <f>G14/(G11-G9)</f>
        <v>0.66277159137285035</v>
      </c>
      <c r="W9" s="93">
        <f>H14/(H11-H9)</f>
        <v>0.52850780722082891</v>
      </c>
      <c r="X9" s="18"/>
      <c r="Y9" s="18"/>
      <c r="Z9" s="18"/>
      <c r="AA9" s="18"/>
    </row>
    <row r="10" spans="1:30" ht="22.5" x14ac:dyDescent="0.25">
      <c r="A10" s="6" t="s">
        <v>53</v>
      </c>
      <c r="B10" s="10">
        <f t="shared" ref="B10:I10" si="1">B6-B9</f>
        <v>0</v>
      </c>
      <c r="C10" s="10">
        <f t="shared" si="1"/>
        <v>0</v>
      </c>
      <c r="D10" s="89">
        <f t="shared" si="1"/>
        <v>0</v>
      </c>
      <c r="E10" s="89">
        <f t="shared" si="1"/>
        <v>0</v>
      </c>
      <c r="F10" s="89">
        <f t="shared" si="1"/>
        <v>10968.14</v>
      </c>
      <c r="G10" s="89">
        <f t="shared" si="1"/>
        <v>9110.5300000000007</v>
      </c>
      <c r="H10" s="89">
        <f>H6-H9</f>
        <v>17991.64</v>
      </c>
      <c r="I10" s="89">
        <f t="shared" si="1"/>
        <v>8298.25</v>
      </c>
      <c r="J10" s="89">
        <f t="shared" ref="J10:O10" si="2">J6-J9</f>
        <v>8288.2099999999991</v>
      </c>
      <c r="K10" s="89">
        <f t="shared" si="2"/>
        <v>8570.1899999999987</v>
      </c>
      <c r="L10" s="89">
        <f t="shared" si="2"/>
        <v>9204.6500000000015</v>
      </c>
      <c r="M10" s="89">
        <f t="shared" si="2"/>
        <v>8315.630000000001</v>
      </c>
      <c r="N10" s="89">
        <f t="shared" si="2"/>
        <v>8064.4399999999987</v>
      </c>
      <c r="O10" s="89">
        <f t="shared" si="2"/>
        <v>10106.66</v>
      </c>
      <c r="P10" s="11"/>
      <c r="Q10" s="42" t="s">
        <v>92</v>
      </c>
      <c r="R10" s="43"/>
      <c r="S10" s="44" t="e">
        <f>D14/D11</f>
        <v>#DIV/0!</v>
      </c>
      <c r="T10" s="44" t="e">
        <f>E14/E11</f>
        <v>#DIV/0!</v>
      </c>
      <c r="U10" s="44">
        <f>F14/F11</f>
        <v>0.35036500740411064</v>
      </c>
      <c r="V10" s="44">
        <f>G14/G11</f>
        <v>0.39089242782979217</v>
      </c>
      <c r="W10" s="44">
        <f>H14/H11</f>
        <v>0.33202484746089705</v>
      </c>
      <c r="X10" s="18"/>
      <c r="Y10" s="18"/>
      <c r="Z10" s="18"/>
      <c r="AA10" s="18"/>
    </row>
    <row r="11" spans="1:30" ht="22.5" x14ac:dyDescent="0.25">
      <c r="A11" s="6" t="s">
        <v>1</v>
      </c>
      <c r="B11" s="10">
        <f>B5-B9</f>
        <v>0</v>
      </c>
      <c r="C11" s="10">
        <f t="shared" ref="C11:I11" si="3">SUM(C6:C8)</f>
        <v>0</v>
      </c>
      <c r="D11" s="89">
        <f t="shared" si="3"/>
        <v>0</v>
      </c>
      <c r="E11" s="89">
        <f t="shared" si="3"/>
        <v>0</v>
      </c>
      <c r="F11" s="89">
        <f>SUM(F6:F8)</f>
        <v>23277.61</v>
      </c>
      <c r="G11" s="89">
        <f>SUM(G6:G8)</f>
        <v>28500.68</v>
      </c>
      <c r="H11" s="89">
        <f>SUM(H6:H8)</f>
        <v>49138.22</v>
      </c>
      <c r="I11" s="89">
        <f t="shared" si="3"/>
        <v>17733.73</v>
      </c>
      <c r="J11" s="89">
        <f t="shared" ref="J11:O11" si="4">SUM(J6:J8)</f>
        <v>16837.79</v>
      </c>
      <c r="K11" s="89">
        <f t="shared" si="4"/>
        <v>16955.28</v>
      </c>
      <c r="L11" s="89">
        <f t="shared" si="4"/>
        <v>20579.939999999999</v>
      </c>
      <c r="M11" s="89">
        <f t="shared" si="4"/>
        <v>17419.63</v>
      </c>
      <c r="N11" s="89">
        <f t="shared" si="4"/>
        <v>16269.92</v>
      </c>
      <c r="O11" s="89">
        <f t="shared" si="4"/>
        <v>18598.57</v>
      </c>
      <c r="P11" s="11"/>
      <c r="Q11" s="42" t="s">
        <v>17</v>
      </c>
      <c r="R11" s="43"/>
      <c r="S11" s="44" t="e">
        <f>D14/AVERAGE(C21:D21)</f>
        <v>#DIV/0!</v>
      </c>
      <c r="T11" s="44" t="e">
        <f>E14/AVERAGE(D21:E21)</f>
        <v>#DIV/0!</v>
      </c>
      <c r="U11" s="44">
        <f>F14/AVERAGE(E21:F21)</f>
        <v>7.2263057710694883E-2</v>
      </c>
      <c r="V11" s="44">
        <f>G14/AVERAGE(F21:G21)</f>
        <v>8.6085278028125017E-2</v>
      </c>
      <c r="W11" s="44">
        <f>H14/AVERAGE(G21:H21)</f>
        <v>8.2309672022510577E-2</v>
      </c>
      <c r="X11" s="18"/>
      <c r="Y11" s="18"/>
      <c r="Z11" s="18"/>
      <c r="AA11" s="18"/>
    </row>
    <row r="12" spans="1:30" x14ac:dyDescent="0.25">
      <c r="A12" s="6" t="s">
        <v>91</v>
      </c>
      <c r="B12" s="10"/>
      <c r="C12" s="10"/>
      <c r="D12" s="89"/>
      <c r="E12" s="89"/>
      <c r="F12" s="89">
        <v>318.67</v>
      </c>
      <c r="G12" s="89">
        <v>425.37</v>
      </c>
      <c r="H12" s="89">
        <v>25.1</v>
      </c>
      <c r="I12" s="89">
        <v>68.349999999999994</v>
      </c>
      <c r="J12" s="89">
        <v>53.89</v>
      </c>
      <c r="K12" s="89">
        <v>19.29</v>
      </c>
      <c r="L12" s="89">
        <v>11.7</v>
      </c>
      <c r="M12" s="11">
        <v>5.76</v>
      </c>
      <c r="N12" s="11">
        <v>10.96</v>
      </c>
      <c r="O12" s="11">
        <v>13.87</v>
      </c>
      <c r="P12" s="11"/>
      <c r="Q12" s="40" t="s">
        <v>18</v>
      </c>
      <c r="R12" s="45"/>
      <c r="S12" s="45"/>
      <c r="T12" s="45"/>
      <c r="U12" s="46" t="s">
        <v>5</v>
      </c>
      <c r="V12" s="18"/>
      <c r="W12" s="18"/>
      <c r="X12" s="18"/>
      <c r="Y12" s="18"/>
      <c r="Z12" s="53"/>
      <c r="AA12" s="54"/>
    </row>
    <row r="13" spans="1:30" x14ac:dyDescent="0.25">
      <c r="A13" s="6" t="s">
        <v>25</v>
      </c>
      <c r="B13" s="7"/>
      <c r="C13" s="7"/>
      <c r="D13" s="88">
        <f t="shared" ref="D13:O13" si="5">D11+D12</f>
        <v>0</v>
      </c>
      <c r="E13" s="88">
        <f t="shared" si="5"/>
        <v>0</v>
      </c>
      <c r="F13" s="88">
        <f t="shared" si="5"/>
        <v>23596.28</v>
      </c>
      <c r="G13" s="88">
        <f t="shared" si="5"/>
        <v>28926.05</v>
      </c>
      <c r="H13" s="88">
        <f t="shared" si="5"/>
        <v>49163.32</v>
      </c>
      <c r="I13" s="88">
        <f t="shared" si="5"/>
        <v>17802.079999999998</v>
      </c>
      <c r="J13" s="88">
        <f t="shared" si="5"/>
        <v>16891.68</v>
      </c>
      <c r="K13" s="88">
        <f t="shared" si="5"/>
        <v>16974.57</v>
      </c>
      <c r="L13" s="88">
        <f t="shared" si="5"/>
        <v>20591.64</v>
      </c>
      <c r="M13" s="88">
        <f t="shared" si="5"/>
        <v>17425.39</v>
      </c>
      <c r="N13" s="88">
        <f t="shared" si="5"/>
        <v>16280.88</v>
      </c>
      <c r="O13" s="88">
        <f t="shared" si="5"/>
        <v>18612.439999999999</v>
      </c>
      <c r="P13" s="11"/>
      <c r="Q13" s="42" t="s">
        <v>19</v>
      </c>
      <c r="R13" s="43"/>
      <c r="S13" s="44" t="e">
        <f>D23/D22</f>
        <v>#DIV/0!</v>
      </c>
      <c r="T13" s="44" t="e">
        <f>E23/E22</f>
        <v>#DIV/0!</v>
      </c>
      <c r="U13" s="44">
        <f>F23/F22</f>
        <v>0.1036750210758232</v>
      </c>
      <c r="V13" s="44">
        <f>G23/G22</f>
        <v>8.5505027873088113E-2</v>
      </c>
      <c r="W13" s="44">
        <f>H23/H22</f>
        <v>5.6055683225813446E-2</v>
      </c>
      <c r="X13" s="48">
        <v>5.5300000000000002E-2</v>
      </c>
      <c r="Y13" s="48">
        <v>5.6800000000000003E-2</v>
      </c>
      <c r="Z13" s="48">
        <v>5.6000000000000001E-2</v>
      </c>
      <c r="AA13" s="48">
        <v>5.6000000000000001E-2</v>
      </c>
      <c r="AB13" s="80">
        <v>6.6000000000000003E-2</v>
      </c>
      <c r="AC13" s="80">
        <v>8.5999999999999993E-2</v>
      </c>
      <c r="AD13" s="80">
        <v>9.4E-2</v>
      </c>
    </row>
    <row r="14" spans="1:30" x14ac:dyDescent="0.25">
      <c r="A14" s="6" t="s">
        <v>26</v>
      </c>
      <c r="B14" s="7"/>
      <c r="C14" s="7"/>
      <c r="D14" s="85"/>
      <c r="E14" s="85"/>
      <c r="F14" s="85">
        <f>4714.45+598.79+2842.42</f>
        <v>8155.66</v>
      </c>
      <c r="G14" s="85">
        <f>6571.7+629.09+3939.91</f>
        <v>11140.7</v>
      </c>
      <c r="H14" s="85">
        <f>10358.64+872.26+5084.21</f>
        <v>16315.11</v>
      </c>
      <c r="I14" s="85">
        <f>2710.34+267.41+1354.44</f>
        <v>4332.1900000000005</v>
      </c>
      <c r="J14" s="85">
        <f>2816.86+305.29+1613.95</f>
        <v>4736.1000000000004</v>
      </c>
      <c r="K14" s="85">
        <f>2869.44+330.1+1622.86</f>
        <v>4822.3999999999996</v>
      </c>
      <c r="L14" s="85">
        <f>2420.89+343.97+1598.51</f>
        <v>4363.37</v>
      </c>
      <c r="M14" s="11">
        <f>3098.7+356.12+1790.96</f>
        <v>5245.78</v>
      </c>
      <c r="N14" s="11">
        <v>6349.25</v>
      </c>
      <c r="O14" s="11">
        <f>3750.44+413.53+2160.29</f>
        <v>6324.26</v>
      </c>
      <c r="P14" s="11"/>
      <c r="Q14" s="42" t="s">
        <v>20</v>
      </c>
      <c r="R14" s="43"/>
      <c r="S14" s="44" t="e">
        <f>D24/D22</f>
        <v>#DIV/0!</v>
      </c>
      <c r="T14" s="44" t="e">
        <f>E24/E22</f>
        <v>#DIV/0!</v>
      </c>
      <c r="U14" s="44">
        <f>F24/F22</f>
        <v>7.9599173672542642E-2</v>
      </c>
      <c r="V14" s="44">
        <f>G24/G22</f>
        <v>5.6822486500246405E-2</v>
      </c>
      <c r="W14" s="44">
        <f>H24/H22</f>
        <v>4.5208011566162963E-2</v>
      </c>
      <c r="X14" s="48">
        <v>3.56E-2</v>
      </c>
      <c r="Y14" s="48">
        <v>3.3000000000000002E-2</v>
      </c>
      <c r="Z14" s="48">
        <v>3.5000000000000003E-2</v>
      </c>
      <c r="AA14" s="48">
        <v>0.03</v>
      </c>
      <c r="AB14" s="80">
        <v>4.1000000000000002E-2</v>
      </c>
      <c r="AC14" s="80">
        <v>5.0999999999999997E-2</v>
      </c>
      <c r="AD14" s="80">
        <v>2.3E-2</v>
      </c>
    </row>
    <row r="15" spans="1:30" x14ac:dyDescent="0.25">
      <c r="A15" s="6" t="s">
        <v>54</v>
      </c>
      <c r="B15" s="10"/>
      <c r="C15" s="10"/>
      <c r="D15" s="89">
        <f t="shared" ref="D15:J15" si="6">D11-D14</f>
        <v>0</v>
      </c>
      <c r="E15" s="89">
        <f t="shared" si="6"/>
        <v>0</v>
      </c>
      <c r="F15" s="89">
        <f t="shared" si="6"/>
        <v>15121.95</v>
      </c>
      <c r="G15" s="89">
        <f t="shared" si="6"/>
        <v>17359.98</v>
      </c>
      <c r="H15" s="89">
        <f>H11-H14</f>
        <v>32823.11</v>
      </c>
      <c r="I15" s="89">
        <f t="shared" si="6"/>
        <v>13401.539999999999</v>
      </c>
      <c r="J15" s="89">
        <f t="shared" si="6"/>
        <v>12101.69</v>
      </c>
      <c r="K15" s="89">
        <f>K11-K14</f>
        <v>12132.88</v>
      </c>
      <c r="L15" s="89">
        <f>L11-L14</f>
        <v>16216.57</v>
      </c>
      <c r="M15" s="89">
        <f>M11-M14</f>
        <v>12173.850000000002</v>
      </c>
      <c r="N15" s="89">
        <f>N11-N14</f>
        <v>9920.67</v>
      </c>
      <c r="O15" s="89">
        <f>O11-O14</f>
        <v>12274.31</v>
      </c>
      <c r="P15" s="11"/>
      <c r="Q15" s="42" t="s">
        <v>21</v>
      </c>
      <c r="R15" s="43"/>
      <c r="S15" s="44" t="e">
        <f t="shared" ref="S15:X15" si="7">(S13-S14)/S13</f>
        <v>#DIV/0!</v>
      </c>
      <c r="T15" s="44" t="e">
        <f t="shared" si="7"/>
        <v>#DIV/0!</v>
      </c>
      <c r="U15" s="44">
        <f t="shared" si="7"/>
        <v>0.23222418624513785</v>
      </c>
      <c r="V15" s="44">
        <f t="shared" si="7"/>
        <v>0.33544859391677084</v>
      </c>
      <c r="W15" s="44">
        <f t="shared" si="7"/>
        <v>0.19351600115106915</v>
      </c>
      <c r="X15" s="44">
        <f t="shared" si="7"/>
        <v>0.35623869801084995</v>
      </c>
      <c r="Y15" s="48"/>
      <c r="Z15" s="18"/>
      <c r="AA15" s="18"/>
    </row>
    <row r="16" spans="1:30" x14ac:dyDescent="0.25">
      <c r="A16" s="6" t="s">
        <v>94</v>
      </c>
      <c r="B16" s="10"/>
      <c r="C16" s="10"/>
      <c r="D16" s="89">
        <f t="shared" ref="D16:J16" si="8">D13-D14-D9</f>
        <v>0</v>
      </c>
      <c r="E16" s="89">
        <f t="shared" si="8"/>
        <v>0</v>
      </c>
      <c r="F16" s="89">
        <f t="shared" si="8"/>
        <v>5425.0099999999984</v>
      </c>
      <c r="G16" s="89">
        <f t="shared" si="8"/>
        <v>6093.9299999999985</v>
      </c>
      <c r="H16" s="89">
        <f>H13-H14-H9</f>
        <v>14580.129999999997</v>
      </c>
      <c r="I16" s="89">
        <f t="shared" si="8"/>
        <v>7541.9799999999977</v>
      </c>
      <c r="J16" s="89">
        <f t="shared" si="8"/>
        <v>4997.83</v>
      </c>
      <c r="K16" s="89">
        <f>K13-K14-K9</f>
        <v>5245.37</v>
      </c>
      <c r="L16" s="89">
        <f>L13-L14-L9</f>
        <v>8941.5800000000017</v>
      </c>
      <c r="M16" s="89">
        <f>M13-M14-M9</f>
        <v>4382.8700000000008</v>
      </c>
      <c r="N16" s="89">
        <f>N13-N14-N9</f>
        <v>1554.2199999999993</v>
      </c>
      <c r="O16" s="89">
        <f>O13-O14-O9</f>
        <v>4118.9599999999982</v>
      </c>
      <c r="P16" s="11"/>
      <c r="Q16" s="42" t="s">
        <v>22</v>
      </c>
      <c r="R16" s="43"/>
      <c r="S16" s="44" t="e">
        <f t="shared" ref="S16:W16" si="9">D17/AVERAGE(C22:D22)</f>
        <v>#DIV/0!</v>
      </c>
      <c r="T16" s="44" t="e">
        <f t="shared" si="9"/>
        <v>#DIV/0!</v>
      </c>
      <c r="U16" s="44">
        <f t="shared" si="9"/>
        <v>4.9619699493221731E-2</v>
      </c>
      <c r="V16" s="44">
        <f t="shared" si="9"/>
        <v>4.4432302688709742E-2</v>
      </c>
      <c r="W16" s="44">
        <f t="shared" si="9"/>
        <v>6.8246271375430226E-2</v>
      </c>
      <c r="X16" s="44"/>
      <c r="Y16" s="44">
        <f t="shared" ref="Y16:AD16" si="10">(J17*4)/J22</f>
        <v>7.6239017275622059E-2</v>
      </c>
      <c r="Z16" s="44"/>
      <c r="AA16" s="44">
        <f t="shared" si="10"/>
        <v>0.14599453995649492</v>
      </c>
      <c r="AB16" s="44">
        <f t="shared" si="10"/>
        <v>0.10847035869881659</v>
      </c>
      <c r="AC16" s="44">
        <f t="shared" si="10"/>
        <v>0.13168596508748248</v>
      </c>
      <c r="AD16" s="44">
        <f t="shared" si="10"/>
        <v>0.38613905351703665</v>
      </c>
    </row>
    <row r="17" spans="1:27" x14ac:dyDescent="0.25">
      <c r="A17" s="6" t="s">
        <v>27</v>
      </c>
      <c r="B17" s="7"/>
      <c r="C17" s="7"/>
      <c r="D17" s="88"/>
      <c r="E17" s="85"/>
      <c r="F17" s="85">
        <v>4348.47</v>
      </c>
      <c r="G17" s="85">
        <v>4223.0200000000004</v>
      </c>
      <c r="H17" s="85">
        <v>9165.19</v>
      </c>
      <c r="I17" s="85">
        <v>4138.9399999999996</v>
      </c>
      <c r="J17" s="85">
        <v>3390.12</v>
      </c>
      <c r="K17" s="85">
        <v>3959.64</v>
      </c>
      <c r="L17" s="85">
        <v>7113.3</v>
      </c>
      <c r="M17" s="11">
        <v>5309.38</v>
      </c>
      <c r="N17" s="11">
        <v>6349.25</v>
      </c>
      <c r="O17" s="11">
        <v>18543.8</v>
      </c>
      <c r="P17" s="11"/>
      <c r="Q17" s="18"/>
      <c r="R17" s="18"/>
      <c r="S17" s="18"/>
      <c r="T17" s="18"/>
      <c r="U17" s="18"/>
      <c r="V17" s="18"/>
      <c r="W17" s="18"/>
      <c r="X17" s="18"/>
      <c r="Y17" s="18"/>
      <c r="Z17" s="18"/>
      <c r="AA17" s="18"/>
    </row>
    <row r="18" spans="1:27" x14ac:dyDescent="0.25">
      <c r="A18" s="6" t="s">
        <v>55</v>
      </c>
      <c r="B18" s="7"/>
      <c r="C18" s="7"/>
      <c r="D18" s="88"/>
      <c r="E18" s="85"/>
      <c r="F18" s="89">
        <v>747.75</v>
      </c>
      <c r="G18" s="89">
        <v>1459.19</v>
      </c>
      <c r="H18" s="89">
        <v>4119.1400000000003</v>
      </c>
      <c r="I18" s="89">
        <v>2614.3000000000002</v>
      </c>
      <c r="J18" s="89">
        <v>1151.72</v>
      </c>
      <c r="K18" s="89">
        <v>962.34</v>
      </c>
      <c r="L18" s="89">
        <v>1486.88</v>
      </c>
      <c r="M18" s="11">
        <v>-678.34</v>
      </c>
      <c r="N18" s="11">
        <v>-3047.02</v>
      </c>
      <c r="O18" s="11">
        <v>-11365.27</v>
      </c>
      <c r="P18" s="11"/>
      <c r="Q18" s="40" t="s">
        <v>30</v>
      </c>
      <c r="R18" s="45"/>
      <c r="S18" s="45"/>
      <c r="T18" s="45"/>
      <c r="U18" s="46" t="s">
        <v>5</v>
      </c>
      <c r="V18" s="18"/>
      <c r="W18" s="18"/>
      <c r="X18" s="18"/>
      <c r="Y18" s="18"/>
      <c r="Z18" s="18"/>
      <c r="AA18" s="18"/>
    </row>
    <row r="19" spans="1:27" ht="22.5" x14ac:dyDescent="0.25">
      <c r="A19" s="6" t="s">
        <v>28</v>
      </c>
      <c r="B19" s="7"/>
      <c r="C19" s="7"/>
      <c r="D19" s="88"/>
      <c r="E19" s="85"/>
      <c r="F19" s="85">
        <v>23084.5</v>
      </c>
      <c r="G19" s="85">
        <v>24530.68</v>
      </c>
      <c r="H19" s="85">
        <v>68355.08</v>
      </c>
      <c r="I19" s="85"/>
      <c r="J19" s="85">
        <v>71458.600000000006</v>
      </c>
      <c r="K19" s="85"/>
      <c r="L19" s="85">
        <v>73643.73</v>
      </c>
      <c r="M19" s="11"/>
      <c r="N19" s="11">
        <f>69732.08-198.79</f>
        <v>69533.290000000008</v>
      </c>
      <c r="O19" s="11"/>
      <c r="P19" s="11"/>
      <c r="Q19" s="46" t="s">
        <v>95</v>
      </c>
      <c r="R19" s="51"/>
      <c r="S19" s="51"/>
      <c r="T19" s="52" t="e">
        <f>E16/AVERAGE(D21:E21)</f>
        <v>#DIV/0!</v>
      </c>
      <c r="U19" s="52">
        <f>F16/AVERAGE(E21:F21)</f>
        <v>4.8068189540895125E-2</v>
      </c>
      <c r="V19" s="52">
        <f>G16/AVERAGE(F21:G21)</f>
        <v>4.7088392859868024E-2</v>
      </c>
      <c r="W19" s="52">
        <f>H16/AVERAGE(G21:H21)</f>
        <v>7.355670408263057E-2</v>
      </c>
      <c r="X19" s="18"/>
      <c r="Y19" s="18"/>
      <c r="Z19" s="18"/>
      <c r="AA19" s="18"/>
    </row>
    <row r="20" spans="1:27" x14ac:dyDescent="0.25">
      <c r="A20" s="6" t="s">
        <v>57</v>
      </c>
      <c r="B20" s="9"/>
      <c r="C20" s="9"/>
      <c r="D20" s="85"/>
      <c r="E20" s="85"/>
      <c r="F20" s="85">
        <f>29262.06+49748.94+4836.28</f>
        <v>83847.28</v>
      </c>
      <c r="G20" s="85">
        <f>59944.64+48894.36+4865.47</f>
        <v>113704.47</v>
      </c>
      <c r="H20" s="85">
        <f>73800.6+90530.72+2213.52</f>
        <v>166544.84</v>
      </c>
      <c r="I20" s="85"/>
      <c r="J20" s="85">
        <f>70867.6+115625.02+2222.54</f>
        <v>188715.16</v>
      </c>
      <c r="K20" s="85"/>
      <c r="L20" s="85">
        <f>75831.57+138718.34+2233.16</f>
        <v>216783.07</v>
      </c>
      <c r="M20" s="11"/>
      <c r="N20" s="11">
        <f>86767.31+145526.94+2241.89</f>
        <v>234536.14</v>
      </c>
      <c r="O20" s="11"/>
      <c r="P20" s="11"/>
      <c r="Q20" s="42" t="s">
        <v>31</v>
      </c>
      <c r="R20" s="43"/>
      <c r="S20" s="43">
        <v>4.4699999999999997E-2</v>
      </c>
      <c r="T20" s="44" t="e">
        <f>E18/AVERAGE(D21:E21)</f>
        <v>#DIV/0!</v>
      </c>
      <c r="U20" s="44">
        <f>F18/AVERAGE(E21:F21)</f>
        <v>6.625423497690206E-3</v>
      </c>
      <c r="V20" s="44">
        <f>G18/AVERAGE(F21:G21)</f>
        <v>1.1275303782155495E-2</v>
      </c>
      <c r="W20" s="44">
        <f>H18/AVERAGE(G21:H21)</f>
        <v>2.0781046674818879E-2</v>
      </c>
      <c r="X20" s="48"/>
      <c r="Y20" s="18"/>
      <c r="Z20" s="18"/>
      <c r="AA20" s="18"/>
    </row>
    <row r="21" spans="1:27" x14ac:dyDescent="0.25">
      <c r="A21" s="6" t="s">
        <v>29</v>
      </c>
      <c r="B21" s="7"/>
      <c r="C21" s="7"/>
      <c r="D21" s="88"/>
      <c r="E21" s="85"/>
      <c r="F21" s="85">
        <v>112860.71</v>
      </c>
      <c r="G21" s="85">
        <v>145968.68</v>
      </c>
      <c r="H21" s="85">
        <v>250463.71</v>
      </c>
      <c r="I21" s="85"/>
      <c r="J21" s="85">
        <v>276958.78000000003</v>
      </c>
      <c r="K21" s="85"/>
      <c r="L21" s="85">
        <v>305139.64</v>
      </c>
      <c r="M21" s="11"/>
      <c r="N21" s="11">
        <v>316345.65000000002</v>
      </c>
      <c r="O21" s="11"/>
      <c r="P21" s="11"/>
      <c r="Q21" s="42" t="s">
        <v>32</v>
      </c>
      <c r="R21" s="43"/>
      <c r="S21" s="44" t="e">
        <f>D18/AVERAGE(C19:D19)</f>
        <v>#DIV/0!</v>
      </c>
      <c r="T21" s="44" t="e">
        <f>E18/AVERAGE(D19:E19)</f>
        <v>#DIV/0!</v>
      </c>
      <c r="U21" s="44">
        <f>F18/AVERAGE(E19:F19)</f>
        <v>3.2391864671099654E-2</v>
      </c>
      <c r="V21" s="44">
        <f>G18/AVERAGE(F19:G19)</f>
        <v>6.1290958051612957E-2</v>
      </c>
      <c r="W21" s="44">
        <f>H18/AVERAGE(G19:H19)</f>
        <v>8.8692604765251426E-2</v>
      </c>
      <c r="X21" s="18"/>
      <c r="Y21" s="18"/>
      <c r="Z21" s="18"/>
      <c r="AA21" s="18"/>
    </row>
    <row r="22" spans="1:27" x14ac:dyDescent="0.25">
      <c r="A22" s="6" t="s">
        <v>58</v>
      </c>
      <c r="B22" s="7"/>
      <c r="C22" s="7"/>
      <c r="D22" s="88"/>
      <c r="E22" s="85"/>
      <c r="F22" s="85">
        <v>87635.96</v>
      </c>
      <c r="G22" s="85">
        <v>102451.87</v>
      </c>
      <c r="H22" s="85">
        <v>166139.79999999999</v>
      </c>
      <c r="I22" s="85"/>
      <c r="J22" s="85">
        <v>177867.98</v>
      </c>
      <c r="K22" s="85"/>
      <c r="L22" s="85">
        <v>194892.22</v>
      </c>
      <c r="M22" s="11">
        <v>195791</v>
      </c>
      <c r="N22" s="11">
        <v>192860.34</v>
      </c>
      <c r="O22" s="11">
        <v>192094.53</v>
      </c>
      <c r="P22" s="11"/>
      <c r="Q22" s="40" t="s">
        <v>33</v>
      </c>
      <c r="R22" s="45"/>
      <c r="S22" s="45"/>
      <c r="T22" s="45"/>
      <c r="U22" s="46" t="s">
        <v>5</v>
      </c>
      <c r="V22" s="18"/>
      <c r="W22" s="18"/>
      <c r="X22" s="18"/>
      <c r="Y22" s="18"/>
      <c r="Z22" s="18"/>
      <c r="AA22" s="18"/>
    </row>
    <row r="23" spans="1:27" x14ac:dyDescent="0.25">
      <c r="A23" s="6" t="s">
        <v>59</v>
      </c>
      <c r="B23" s="10"/>
      <c r="C23" s="10"/>
      <c r="D23" s="89"/>
      <c r="E23" s="89"/>
      <c r="F23" s="89">
        <v>9085.66</v>
      </c>
      <c r="G23" s="89">
        <v>8760.15</v>
      </c>
      <c r="H23" s="89">
        <v>9313.08</v>
      </c>
      <c r="I23" s="89"/>
      <c r="J23" s="89"/>
      <c r="K23" s="89"/>
      <c r="L23" s="89"/>
      <c r="M23" s="11"/>
      <c r="N23" s="11"/>
      <c r="O23" s="11"/>
      <c r="P23" s="11"/>
      <c r="Q23" s="42" t="s">
        <v>34</v>
      </c>
      <c r="R23" s="43"/>
      <c r="S23" s="44" t="e">
        <f>D6/AVERAGE(C22:D22)</f>
        <v>#DIV/0!</v>
      </c>
      <c r="T23" s="44" t="e">
        <f>E6/AVERAGE(D22:E22)</f>
        <v>#DIV/0!</v>
      </c>
      <c r="U23" s="44">
        <f>F6/AVERAGE(E22:F22)</f>
        <v>0.23944223353061914</v>
      </c>
      <c r="V23" s="44">
        <f>G6/AVERAGE(F22:G22)</f>
        <v>0.21886672071536614</v>
      </c>
      <c r="W23" s="44">
        <f>H6/AVERAGE(G22:H22)</f>
        <v>0.26999884248085582</v>
      </c>
      <c r="X23" s="18"/>
      <c r="Y23" s="18"/>
      <c r="Z23" s="18"/>
      <c r="AA23" s="18"/>
    </row>
    <row r="24" spans="1:27" x14ac:dyDescent="0.25">
      <c r="A24" s="6" t="s">
        <v>60</v>
      </c>
      <c r="B24" s="10"/>
      <c r="C24" s="10"/>
      <c r="D24" s="89"/>
      <c r="E24" s="89"/>
      <c r="F24" s="89">
        <v>6975.75</v>
      </c>
      <c r="G24" s="89">
        <v>5821.57</v>
      </c>
      <c r="H24" s="89">
        <v>7510.85</v>
      </c>
      <c r="I24" s="89"/>
      <c r="J24" s="89"/>
      <c r="K24" s="89"/>
      <c r="L24" s="89"/>
      <c r="M24" s="11"/>
      <c r="N24" s="11"/>
      <c r="O24" s="11"/>
      <c r="P24" s="11"/>
      <c r="Q24" s="42" t="s">
        <v>35</v>
      </c>
      <c r="R24" s="43"/>
      <c r="S24" s="44" t="e">
        <f>D9/AVERAGE(C20:D20)</f>
        <v>#DIV/0!</v>
      </c>
      <c r="T24" s="44" t="e">
        <f>E9/AVERAGE(D20:E20)</f>
        <v>#DIV/0!</v>
      </c>
      <c r="U24" s="44">
        <f>F9/AVERAGE(E20:F20)</f>
        <v>0.11945062499344046</v>
      </c>
      <c r="V24" s="44">
        <f>G9/AVERAGE(F20:G20)</f>
        <v>0.11836311245028201</v>
      </c>
      <c r="W24" s="44">
        <f>H9/AVERAGE(G20:H20)</f>
        <v>0.13037020501495616</v>
      </c>
      <c r="X24" s="18"/>
      <c r="Y24" s="18"/>
      <c r="Z24" s="18"/>
      <c r="AA24" s="18"/>
    </row>
    <row r="25" spans="1:27" x14ac:dyDescent="0.25">
      <c r="M25" s="11"/>
      <c r="N25" s="11"/>
      <c r="O25" s="11"/>
      <c r="P25" s="11"/>
      <c r="Q25" s="42" t="s">
        <v>36</v>
      </c>
      <c r="R25" s="43"/>
      <c r="S25" s="48" t="e">
        <f>S23-S24</f>
        <v>#DIV/0!</v>
      </c>
      <c r="T25" s="48" t="e">
        <f>T23-T24</f>
        <v>#DIV/0!</v>
      </c>
      <c r="U25" s="48">
        <f>U23-U24</f>
        <v>0.11999160853717868</v>
      </c>
      <c r="V25" s="48">
        <f>V23-V24</f>
        <v>0.10050360826508413</v>
      </c>
      <c r="W25" s="48">
        <f>W23-W24</f>
        <v>0.13962863746589965</v>
      </c>
      <c r="X25" s="18"/>
      <c r="Y25" s="18"/>
      <c r="Z25" s="18"/>
      <c r="AA25" s="18"/>
    </row>
  </sheetData>
  <mergeCells count="1">
    <mergeCell ref="J1:L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35"/>
  <sheetViews>
    <sheetView topLeftCell="A26" zoomScale="93" workbookViewId="0">
      <selection activeCell="F46" sqref="F46"/>
    </sheetView>
  </sheetViews>
  <sheetFormatPr defaultRowHeight="15" x14ac:dyDescent="0.25"/>
  <cols>
    <col min="1" max="1" width="31.85546875" customWidth="1"/>
    <col min="4" max="4" width="12.28515625" customWidth="1"/>
    <col min="5" max="5" width="13.5703125" customWidth="1"/>
    <col min="6" max="6" width="12.28515625" customWidth="1"/>
    <col min="7" max="7" width="13.42578125" customWidth="1"/>
    <col min="8" max="8" width="10.140625" bestFit="1" customWidth="1"/>
    <col min="9" max="9" width="11.28515625" bestFit="1" customWidth="1"/>
    <col min="11" max="11" width="11.28515625" bestFit="1" customWidth="1"/>
    <col min="14" max="14" width="34.5703125" customWidth="1"/>
    <col min="15" max="15" width="12.5703125" customWidth="1"/>
    <col min="16" max="16" width="11.5703125" customWidth="1"/>
    <col min="17" max="17" width="14.7109375" customWidth="1"/>
    <col min="18" max="18" width="14.85546875" customWidth="1"/>
    <col min="19" max="19" width="13.85546875" customWidth="1"/>
    <col min="20" max="20" width="12.140625" customWidth="1"/>
  </cols>
  <sheetData>
    <row r="1" spans="1:23" x14ac:dyDescent="0.25">
      <c r="I1" s="772" t="s">
        <v>110</v>
      </c>
      <c r="J1" s="772"/>
      <c r="K1" s="772"/>
    </row>
    <row r="2" spans="1:23" ht="22.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v>0.1046</v>
      </c>
      <c r="P3" s="44">
        <f>D10/AVERAGE(C23:D23)</f>
        <v>2.8850351307729158E-2</v>
      </c>
      <c r="Q3" s="44">
        <f>E10/AVERAGE(D23:E23)</f>
        <v>2.8859681655132207E-2</v>
      </c>
      <c r="R3" s="44">
        <f>F10/AVERAGE(E23:F23)</f>
        <v>3.8117230415125249E-2</v>
      </c>
      <c r="S3" s="44">
        <f>G10/AVERAGE(F23:G23)</f>
        <v>3.4643379639819269E-2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s="85">
        <v>313593</v>
      </c>
      <c r="E5" s="90">
        <v>369255</v>
      </c>
      <c r="F5">
        <v>384389</v>
      </c>
      <c r="G5">
        <v>376263</v>
      </c>
      <c r="H5" s="85">
        <v>88870</v>
      </c>
      <c r="I5" s="85">
        <v>97509.32</v>
      </c>
      <c r="J5" s="85"/>
      <c r="K5" s="85">
        <v>81013.100000000006</v>
      </c>
      <c r="L5" s="11"/>
      <c r="M5" s="11"/>
      <c r="N5" s="42" t="s">
        <v>13</v>
      </c>
      <c r="O5" s="46">
        <v>4.2699999999999996</v>
      </c>
      <c r="P5" s="47">
        <f>D21/D20</f>
        <v>9.8642222491876659</v>
      </c>
      <c r="Q5" s="47">
        <f>E21/E20</f>
        <v>8.1742857652070082</v>
      </c>
      <c r="R5" s="47">
        <f>F21/F20</f>
        <v>6.9374023725152414</v>
      </c>
      <c r="S5" s="47">
        <f>G21/G20</f>
        <v>5.8853918584129801</v>
      </c>
      <c r="T5" s="18"/>
      <c r="U5" s="18">
        <v>5.33</v>
      </c>
      <c r="V5" s="18">
        <v>5.81</v>
      </c>
      <c r="W5" s="18">
        <v>5.56</v>
      </c>
    </row>
    <row r="6" spans="1:23" x14ac:dyDescent="0.25">
      <c r="A6" s="6" t="s">
        <v>50</v>
      </c>
      <c r="B6" s="7"/>
      <c r="C6" s="8"/>
      <c r="D6" s="87">
        <v>294038.88</v>
      </c>
      <c r="E6" s="85">
        <f>317855.77+15448</f>
        <v>333303.77</v>
      </c>
      <c r="F6" s="85">
        <f>295870.37+41323.87</f>
        <v>337194.23999999999</v>
      </c>
      <c r="G6" s="85">
        <f>230673.59+81470.3</f>
        <v>312143.89</v>
      </c>
      <c r="H6" s="85">
        <v>81019</v>
      </c>
      <c r="I6" s="85">
        <v>81508.56</v>
      </c>
      <c r="J6" s="85"/>
      <c r="K6" s="85">
        <v>70207.289999999994</v>
      </c>
      <c r="L6" s="11"/>
      <c r="M6" s="11"/>
      <c r="N6" s="42" t="s">
        <v>14</v>
      </c>
      <c r="O6" s="43"/>
      <c r="P6" s="43">
        <v>0.1525</v>
      </c>
      <c r="Q6" s="43">
        <v>0.16850000000000001</v>
      </c>
      <c r="R6" s="43">
        <v>0.19359999999999999</v>
      </c>
      <c r="S6" s="48">
        <v>0.18659999999999999</v>
      </c>
      <c r="T6" s="48">
        <v>0.1799</v>
      </c>
      <c r="U6" s="48">
        <v>0.22559999999999999</v>
      </c>
      <c r="V6" s="48">
        <v>0.2177</v>
      </c>
      <c r="W6" s="154">
        <v>0.24</v>
      </c>
    </row>
    <row r="7" spans="1:23" x14ac:dyDescent="0.25">
      <c r="A7" s="6" t="s">
        <v>51</v>
      </c>
      <c r="B7" s="7"/>
      <c r="C7" s="8"/>
      <c r="D7" s="87"/>
      <c r="E7" s="85"/>
      <c r="F7" s="85">
        <v>0</v>
      </c>
      <c r="G7" s="85">
        <v>0</v>
      </c>
      <c r="H7" s="85"/>
      <c r="I7" s="85"/>
      <c r="J7" s="85"/>
      <c r="K7" s="85"/>
      <c r="L7" s="11"/>
      <c r="M7" s="11"/>
      <c r="N7" s="42" t="s">
        <v>15</v>
      </c>
      <c r="O7" s="43">
        <v>0.19719999999999999</v>
      </c>
      <c r="P7" s="44">
        <f>D20/D23</f>
        <v>9.5121449169231126E-2</v>
      </c>
      <c r="Q7" s="44">
        <f>E20/E23</f>
        <v>0.12048189321633981</v>
      </c>
      <c r="R7" s="44">
        <f>F20/F23</f>
        <v>0.14364600151873724</v>
      </c>
      <c r="S7" s="44">
        <f>G20/G23</f>
        <v>0.1609327258143696</v>
      </c>
      <c r="T7" s="18"/>
      <c r="U7" s="18"/>
      <c r="V7" s="18"/>
      <c r="W7" s="18"/>
    </row>
    <row r="8" spans="1:23" x14ac:dyDescent="0.25">
      <c r="A8" s="6" t="s">
        <v>52</v>
      </c>
      <c r="B8" s="7"/>
      <c r="C8" s="8"/>
      <c r="D8" s="85">
        <f t="shared" ref="D8:K8" si="0">D5-D6-D7</f>
        <v>19554.119999999995</v>
      </c>
      <c r="E8" s="85">
        <f t="shared" si="0"/>
        <v>35951.229999999981</v>
      </c>
      <c r="F8" s="85">
        <f t="shared" si="0"/>
        <v>47194.760000000009</v>
      </c>
      <c r="G8" s="85">
        <f t="shared" si="0"/>
        <v>64119.109999999986</v>
      </c>
      <c r="H8" s="85">
        <f t="shared" si="0"/>
        <v>7851</v>
      </c>
      <c r="I8" s="85">
        <f t="shared" si="0"/>
        <v>16000.760000000009</v>
      </c>
      <c r="J8" s="85">
        <f t="shared" si="0"/>
        <v>0</v>
      </c>
      <c r="K8" s="85">
        <f t="shared" si="0"/>
        <v>10805.810000000012</v>
      </c>
      <c r="L8" s="11"/>
      <c r="M8" s="11"/>
      <c r="N8" s="40" t="s">
        <v>16</v>
      </c>
      <c r="O8" s="45"/>
      <c r="P8" s="45"/>
      <c r="Q8" s="45"/>
      <c r="R8" s="46" t="s">
        <v>5</v>
      </c>
      <c r="S8" s="18"/>
      <c r="T8" s="18"/>
      <c r="U8" s="18"/>
      <c r="V8" s="18"/>
      <c r="W8" s="18"/>
    </row>
    <row r="9" spans="1:23" ht="22.5" x14ac:dyDescent="0.25">
      <c r="A9" s="6" t="s">
        <v>24</v>
      </c>
      <c r="B9" s="7"/>
      <c r="C9" s="7"/>
      <c r="D9" s="88">
        <v>204057</v>
      </c>
      <c r="E9" s="85">
        <v>247978</v>
      </c>
      <c r="F9" s="85">
        <v>224483</v>
      </c>
      <c r="G9" s="85">
        <v>206449</v>
      </c>
      <c r="H9" s="85">
        <v>50176</v>
      </c>
      <c r="I9" s="85">
        <v>53063.34</v>
      </c>
      <c r="J9" s="85"/>
      <c r="K9" s="85">
        <v>49392.29</v>
      </c>
      <c r="L9" s="11"/>
      <c r="M9" s="11"/>
      <c r="N9" s="49" t="s">
        <v>93</v>
      </c>
      <c r="O9" s="45"/>
      <c r="P9" s="50">
        <f>D14/(D11-D9)</f>
        <v>0.71678717499269651</v>
      </c>
      <c r="Q9" s="50">
        <f>E14/(E11-E9)</f>
        <v>0.60890358435647318</v>
      </c>
      <c r="R9" s="50">
        <f>F14/(F11-F9)</f>
        <v>0.43674408715120133</v>
      </c>
      <c r="S9" s="50">
        <f>G14/(G11-G9)</f>
        <v>0.45562792231500349</v>
      </c>
      <c r="T9" s="18"/>
      <c r="U9" s="18"/>
      <c r="V9" s="18"/>
      <c r="W9" s="18"/>
    </row>
    <row r="10" spans="1:23" ht="22.5" x14ac:dyDescent="0.25">
      <c r="A10" s="6" t="s">
        <v>53</v>
      </c>
      <c r="B10" s="10">
        <f t="shared" ref="B10:I10" si="1">B6-B9</f>
        <v>0</v>
      </c>
      <c r="C10" s="10">
        <f t="shared" si="1"/>
        <v>0</v>
      </c>
      <c r="D10" s="89">
        <f t="shared" si="1"/>
        <v>89981.88</v>
      </c>
      <c r="E10" s="89">
        <f t="shared" si="1"/>
        <v>85325.770000000019</v>
      </c>
      <c r="F10" s="89">
        <f t="shared" si="1"/>
        <v>112711.23999999999</v>
      </c>
      <c r="G10" s="89">
        <f t="shared" si="1"/>
        <v>105694.89000000001</v>
      </c>
      <c r="H10" s="89">
        <f t="shared" si="1"/>
        <v>30843</v>
      </c>
      <c r="I10" s="89">
        <f t="shared" si="1"/>
        <v>28445.22</v>
      </c>
      <c r="J10" s="89">
        <f>J6-J9</f>
        <v>0</v>
      </c>
      <c r="K10" s="89">
        <f>K6-K9</f>
        <v>20814.999999999993</v>
      </c>
      <c r="L10" s="11"/>
      <c r="M10" s="11"/>
      <c r="N10" s="42" t="s">
        <v>92</v>
      </c>
      <c r="O10" s="43">
        <v>0.39960000000000001</v>
      </c>
      <c r="P10" s="44">
        <f>D14/D11</f>
        <v>0.25036910900434639</v>
      </c>
      <c r="Q10" s="44">
        <f>E14/E11</f>
        <v>0.19998645922194688</v>
      </c>
      <c r="R10" s="44">
        <f>F14/F11</f>
        <v>0.18168574022669742</v>
      </c>
      <c r="S10" s="44">
        <f>G14/G11</f>
        <v>0.20563276219027649</v>
      </c>
      <c r="T10" s="18"/>
      <c r="U10" s="18"/>
      <c r="V10" s="18"/>
      <c r="W10" s="18"/>
    </row>
    <row r="11" spans="1:23" x14ac:dyDescent="0.25">
      <c r="A11" s="6" t="s">
        <v>1</v>
      </c>
      <c r="B11" s="10">
        <f>B5-B9</f>
        <v>0</v>
      </c>
      <c r="C11" s="10">
        <f t="shared" ref="C11:I11" si="2">SUM(C6:C8)</f>
        <v>0</v>
      </c>
      <c r="D11" s="89">
        <f t="shared" si="2"/>
        <v>313593</v>
      </c>
      <c r="E11" s="89">
        <f t="shared" si="2"/>
        <v>369255</v>
      </c>
      <c r="F11" s="89">
        <f t="shared" si="2"/>
        <v>384389</v>
      </c>
      <c r="G11" s="89">
        <f t="shared" si="2"/>
        <v>376263</v>
      </c>
      <c r="H11" s="89">
        <f t="shared" si="2"/>
        <v>88870</v>
      </c>
      <c r="I11" s="89">
        <f t="shared" si="2"/>
        <v>97509.32</v>
      </c>
      <c r="J11" s="89">
        <f>SUM(J6:J8)</f>
        <v>0</v>
      </c>
      <c r="K11" s="89">
        <f>SUM(K6:K8)</f>
        <v>81013.100000000006</v>
      </c>
      <c r="L11" s="11"/>
      <c r="M11" s="11"/>
      <c r="N11" s="42" t="s">
        <v>17</v>
      </c>
      <c r="O11" s="43">
        <v>5.4600000000000003E-2</v>
      </c>
      <c r="P11" s="44">
        <f>D14/AVERAGE(C22:D22)</f>
        <v>2.3851960722066055E-2</v>
      </c>
      <c r="Q11" s="44">
        <f>E14/AVERAGE(D22:E22)</f>
        <v>2.2840871693229705E-2</v>
      </c>
      <c r="R11" s="44">
        <f>F14/AVERAGE(E22:F22)</f>
        <v>2.0372966656106495E-2</v>
      </c>
      <c r="S11" s="44">
        <f>G14/AVERAGE(F22:G22)</f>
        <v>2.1748412480011064E-2</v>
      </c>
      <c r="T11" s="18"/>
      <c r="U11" s="18"/>
      <c r="V11" s="18"/>
      <c r="W11" s="18"/>
    </row>
    <row r="12" spans="1:23" x14ac:dyDescent="0.25">
      <c r="A12" s="6" t="s">
        <v>91</v>
      </c>
      <c r="B12" s="10"/>
      <c r="C12" s="10"/>
      <c r="D12" s="89">
        <v>11353</v>
      </c>
      <c r="E12" s="89">
        <v>15928</v>
      </c>
      <c r="F12" s="89">
        <v>17789</v>
      </c>
      <c r="G12" s="89">
        <v>9001</v>
      </c>
      <c r="H12" s="89">
        <v>3734</v>
      </c>
      <c r="I12" s="89">
        <v>3623.28</v>
      </c>
      <c r="J12" s="89"/>
      <c r="K12" s="89">
        <v>2379.4899999999998</v>
      </c>
      <c r="L12" s="11"/>
      <c r="M12" s="11"/>
      <c r="N12" s="40" t="s">
        <v>18</v>
      </c>
      <c r="O12" s="45"/>
      <c r="P12" s="45"/>
      <c r="Q12" s="45"/>
      <c r="R12" s="46" t="s">
        <v>5</v>
      </c>
      <c r="S12" s="18"/>
      <c r="T12" s="18"/>
      <c r="U12" s="18"/>
      <c r="V12" s="53"/>
      <c r="W12" s="54"/>
    </row>
    <row r="13" spans="1:23" x14ac:dyDescent="0.25">
      <c r="A13" s="6" t="s">
        <v>25</v>
      </c>
      <c r="B13" s="7"/>
      <c r="C13" s="7"/>
      <c r="D13" s="88">
        <f>D11+D12</f>
        <v>324946</v>
      </c>
      <c r="E13" s="88">
        <f t="shared" ref="E13:K13" si="3">E11+E12</f>
        <v>385183</v>
      </c>
      <c r="F13" s="88">
        <f t="shared" si="3"/>
        <v>402178</v>
      </c>
      <c r="G13" s="88">
        <f t="shared" si="3"/>
        <v>385264</v>
      </c>
      <c r="H13" s="88">
        <f t="shared" si="3"/>
        <v>92604</v>
      </c>
      <c r="I13" s="88">
        <f t="shared" si="3"/>
        <v>101132.6</v>
      </c>
      <c r="J13" s="88">
        <f t="shared" si="3"/>
        <v>0</v>
      </c>
      <c r="K13" s="88">
        <f t="shared" si="3"/>
        <v>83392.590000000011</v>
      </c>
      <c r="L13" s="11"/>
      <c r="M13" s="11"/>
      <c r="N13" s="42" t="s">
        <v>19</v>
      </c>
      <c r="O13" s="43">
        <v>1.52E-2</v>
      </c>
      <c r="P13" s="44">
        <f>D24/D23</f>
        <v>3.2497487910871654E-2</v>
      </c>
      <c r="Q13" s="44">
        <f>E24/E23</f>
        <v>5.8559266259136239E-2</v>
      </c>
      <c r="R13" s="44">
        <f>F24/F23</f>
        <v>5.6043904263779462E-2</v>
      </c>
      <c r="S13" s="44">
        <f>G24/G23</f>
        <v>0.10317773819455808</v>
      </c>
      <c r="T13" s="48">
        <v>0.1032</v>
      </c>
      <c r="U13" s="48">
        <v>0.10390000000000001</v>
      </c>
      <c r="V13" s="48">
        <v>0.1399</v>
      </c>
      <c r="W13" s="48">
        <v>0.1128</v>
      </c>
    </row>
    <row r="14" spans="1:23" x14ac:dyDescent="0.25">
      <c r="A14" s="6" t="s">
        <v>26</v>
      </c>
      <c r="B14" s="7"/>
      <c r="C14" s="7"/>
      <c r="D14" s="85">
        <f>28471+1678+48365</f>
        <v>78514</v>
      </c>
      <c r="E14" s="85">
        <f>24797+4563+44486</f>
        <v>73846</v>
      </c>
      <c r="F14" s="85">
        <f>26668+5855+37315</f>
        <v>69838</v>
      </c>
      <c r="G14" s="85">
        <f>26111+5770+45491</f>
        <v>77372</v>
      </c>
      <c r="H14" s="85">
        <f>7453+1375+14516</f>
        <v>23344</v>
      </c>
      <c r="I14" s="85">
        <f>6978.5+1408.12+16708.49</f>
        <v>25095.11</v>
      </c>
      <c r="J14" s="85"/>
      <c r="K14" s="85">
        <f>8612.12</f>
        <v>8612.1200000000008</v>
      </c>
      <c r="L14" s="11"/>
      <c r="M14" s="11"/>
      <c r="N14" s="42" t="s">
        <v>20</v>
      </c>
      <c r="O14" s="43">
        <v>4.7000000000000002E-3</v>
      </c>
      <c r="P14" s="44">
        <f>D25/D23</f>
        <v>1.8271721154579888E-2</v>
      </c>
      <c r="Q14" s="44">
        <f>E25/E23</f>
        <v>5.0299742791303073E-2</v>
      </c>
      <c r="R14" s="44">
        <f>F25/F23</f>
        <v>3.8976862176038247E-2</v>
      </c>
      <c r="S14" s="44">
        <f>G25/G23</f>
        <v>5.7148385210302251E-2</v>
      </c>
      <c r="T14" s="48">
        <v>6.1400000000000003E-2</v>
      </c>
      <c r="U14" s="48">
        <v>6.7100000000000007E-2</v>
      </c>
      <c r="V14" s="48">
        <v>9.0399999999999994E-2</v>
      </c>
      <c r="W14" s="48">
        <v>5.91E-2</v>
      </c>
    </row>
    <row r="15" spans="1:23" x14ac:dyDescent="0.25">
      <c r="A15" s="6" t="s">
        <v>54</v>
      </c>
      <c r="B15" s="10"/>
      <c r="C15" s="10"/>
      <c r="D15" s="89">
        <f t="shared" ref="D15:I15" si="4">D11-D14</f>
        <v>235079</v>
      </c>
      <c r="E15" s="89">
        <f t="shared" si="4"/>
        <v>295409</v>
      </c>
      <c r="F15" s="89">
        <f t="shared" si="4"/>
        <v>314551</v>
      </c>
      <c r="G15" s="89">
        <f t="shared" si="4"/>
        <v>298891</v>
      </c>
      <c r="H15" s="89">
        <f t="shared" si="4"/>
        <v>65526</v>
      </c>
      <c r="I15" s="89">
        <f t="shared" si="4"/>
        <v>72414.210000000006</v>
      </c>
      <c r="J15" s="89">
        <f>J11-J14</f>
        <v>0</v>
      </c>
      <c r="K15" s="89">
        <f>K11-K14</f>
        <v>72400.98000000001</v>
      </c>
      <c r="L15" s="11"/>
      <c r="M15" s="11"/>
      <c r="N15" s="42" t="s">
        <v>21</v>
      </c>
      <c r="O15" s="43">
        <v>0.69650000000000001</v>
      </c>
      <c r="P15" s="44">
        <f>(P13-P14)/P13</f>
        <v>0.43774973608137574</v>
      </c>
      <c r="Q15" s="44">
        <f>(Q13-Q14)/Q13</f>
        <v>0.14104554232771896</v>
      </c>
      <c r="R15" s="44">
        <f>(R13-R14)/R13</f>
        <v>0.3045298558682224</v>
      </c>
      <c r="S15" s="44">
        <f>(S13-S14)/S13</f>
        <v>0.44611709647540582</v>
      </c>
      <c r="T15" s="44"/>
      <c r="U15" s="18"/>
      <c r="V15" s="18"/>
      <c r="W15" s="18"/>
    </row>
    <row r="16" spans="1:23" x14ac:dyDescent="0.25">
      <c r="A16" s="6" t="s">
        <v>94</v>
      </c>
      <c r="B16" s="10"/>
      <c r="C16" s="10"/>
      <c r="D16" s="89">
        <f t="shared" ref="D16:J16" si="5">D13-D14-D9</f>
        <v>42375</v>
      </c>
      <c r="E16" s="89">
        <f t="shared" si="5"/>
        <v>63359</v>
      </c>
      <c r="F16" s="89">
        <f t="shared" si="5"/>
        <v>107857</v>
      </c>
      <c r="G16" s="89">
        <f t="shared" si="5"/>
        <v>101443</v>
      </c>
      <c r="H16" s="89">
        <f t="shared" si="5"/>
        <v>19084</v>
      </c>
      <c r="I16" s="89">
        <f t="shared" si="5"/>
        <v>22974.150000000009</v>
      </c>
      <c r="J16" s="89">
        <f t="shared" si="5"/>
        <v>0</v>
      </c>
      <c r="K16" s="89">
        <f>K13-K14-K9</f>
        <v>25388.180000000015</v>
      </c>
      <c r="L16" s="11"/>
      <c r="M16" s="11"/>
      <c r="N16" s="42" t="s">
        <v>22</v>
      </c>
      <c r="O16" s="43">
        <v>1.5699999999999999E-2</v>
      </c>
      <c r="P16" s="44">
        <f>D17/AVERAGE(C23:D23)</f>
        <v>9.1656786103385852E-3</v>
      </c>
      <c r="Q16" s="44">
        <f>E17/AVERAGE(D23:E23)</f>
        <v>2.0441906822204824E-2</v>
      </c>
      <c r="R16" s="44">
        <f>F17/AVERAGE(E23:F23)</f>
        <v>2.9065970727398346E-2</v>
      </c>
      <c r="S16" s="44">
        <f>G17/AVERAGE(F23:G23)</f>
        <v>3.6426144659327184E-2</v>
      </c>
      <c r="T16" s="18"/>
      <c r="U16" s="18"/>
      <c r="V16" s="18"/>
      <c r="W16" s="18"/>
    </row>
    <row r="17" spans="1:23" x14ac:dyDescent="0.25">
      <c r="A17" s="6" t="s">
        <v>27</v>
      </c>
      <c r="B17" s="7"/>
      <c r="C17" s="7"/>
      <c r="D17" s="88">
        <v>28587</v>
      </c>
      <c r="E17" s="85">
        <v>60438</v>
      </c>
      <c r="F17" s="85">
        <v>85947</v>
      </c>
      <c r="G17" s="85">
        <v>111134</v>
      </c>
      <c r="H17" s="85">
        <v>17277</v>
      </c>
      <c r="I17" s="85">
        <v>36465.839999999997</v>
      </c>
      <c r="J17" s="85"/>
      <c r="K17" s="85">
        <v>54937.51</v>
      </c>
      <c r="L17" s="11"/>
      <c r="M17" s="11"/>
      <c r="N17" s="18"/>
      <c r="O17" s="18"/>
      <c r="P17" s="18"/>
      <c r="Q17" s="18"/>
      <c r="R17" s="18"/>
      <c r="S17" s="18"/>
      <c r="T17" s="18"/>
      <c r="U17" s="18"/>
      <c r="V17" s="18"/>
      <c r="W17" s="18"/>
    </row>
    <row r="18" spans="1:23" x14ac:dyDescent="0.25">
      <c r="A18" s="6" t="s">
        <v>55</v>
      </c>
      <c r="B18" s="7"/>
      <c r="C18" s="7"/>
      <c r="D18" s="88">
        <v>20388</v>
      </c>
      <c r="E18" s="85">
        <v>5916</v>
      </c>
      <c r="F18" s="89">
        <v>24968</v>
      </c>
      <c r="G18" s="89">
        <v>-2674</v>
      </c>
      <c r="H18" s="89">
        <v>1806</v>
      </c>
      <c r="I18" s="89">
        <v>-13491.69</v>
      </c>
      <c r="J18" s="89"/>
      <c r="K18" s="89">
        <v>-45291.29</v>
      </c>
      <c r="L18" s="11"/>
      <c r="M18" s="11"/>
      <c r="N18" s="40" t="s">
        <v>30</v>
      </c>
      <c r="O18" s="45"/>
      <c r="P18" s="45"/>
      <c r="Q18" s="45"/>
      <c r="R18" s="46" t="s">
        <v>5</v>
      </c>
      <c r="S18" s="18"/>
      <c r="T18" s="18"/>
      <c r="U18" s="18"/>
      <c r="V18" s="18"/>
      <c r="W18" s="18"/>
    </row>
    <row r="19" spans="1:23" ht="22.5" x14ac:dyDescent="0.25">
      <c r="A19" s="6" t="s">
        <v>28</v>
      </c>
      <c r="B19" s="7"/>
      <c r="C19" s="7"/>
      <c r="D19" s="88">
        <v>296676</v>
      </c>
      <c r="E19" s="85">
        <v>336654</v>
      </c>
      <c r="F19" s="85">
        <v>448132</v>
      </c>
      <c r="G19" s="85">
        <v>479931</v>
      </c>
      <c r="H19" s="85">
        <v>488718</v>
      </c>
      <c r="I19" s="85">
        <v>517958.63</v>
      </c>
      <c r="J19" s="85"/>
      <c r="K19" s="85">
        <v>443011.94</v>
      </c>
      <c r="L19" s="11"/>
      <c r="M19" s="11"/>
      <c r="N19" s="46" t="s">
        <v>95</v>
      </c>
      <c r="O19" s="51"/>
      <c r="P19" s="51"/>
      <c r="Q19" s="52">
        <f>E16/AVERAGE(D22:E22)</f>
        <v>1.9597199436819066E-2</v>
      </c>
      <c r="R19" s="52">
        <f>F16/AVERAGE(E22:F22)</f>
        <v>3.1463774229326127E-2</v>
      </c>
      <c r="S19" s="52">
        <f>G16/AVERAGE(F22:G22)</f>
        <v>2.8514504048102185E-2</v>
      </c>
      <c r="T19" s="18"/>
      <c r="U19" s="18"/>
      <c r="V19" s="18"/>
      <c r="W19" s="18"/>
    </row>
    <row r="20" spans="1:23" x14ac:dyDescent="0.25">
      <c r="A20" s="6" t="s">
        <v>56</v>
      </c>
      <c r="B20" s="7"/>
      <c r="C20" s="7"/>
      <c r="D20" s="88">
        <f t="shared" ref="D20:K20" si="6">D19-D71</f>
        <v>296676</v>
      </c>
      <c r="E20" s="89">
        <f t="shared" si="6"/>
        <v>336654</v>
      </c>
      <c r="F20" s="89">
        <f t="shared" si="6"/>
        <v>448132</v>
      </c>
      <c r="G20" s="89">
        <f t="shared" si="6"/>
        <v>479931</v>
      </c>
      <c r="H20" s="89">
        <f t="shared" si="6"/>
        <v>488718</v>
      </c>
      <c r="I20" s="89">
        <f t="shared" si="6"/>
        <v>517958.63</v>
      </c>
      <c r="J20" s="89">
        <f t="shared" si="6"/>
        <v>0</v>
      </c>
      <c r="K20" s="89">
        <f t="shared" si="6"/>
        <v>443011.94</v>
      </c>
      <c r="L20" s="11"/>
      <c r="M20" s="11"/>
      <c r="N20" s="42" t="s">
        <v>31</v>
      </c>
      <c r="O20" s="43">
        <v>4.1799999999999997E-2</v>
      </c>
      <c r="P20" s="43">
        <v>4.4699999999999997E-2</v>
      </c>
      <c r="Q20" s="44">
        <f>E18/AVERAGE(D22:E22)</f>
        <v>1.8298431456970849E-3</v>
      </c>
      <c r="R20" s="44">
        <f>F18/AVERAGE(E22:F22)</f>
        <v>7.2836025010691446E-3</v>
      </c>
      <c r="S20" s="44">
        <f>G18/AVERAGE(F22:G22)</f>
        <v>-7.5163179149497991E-4</v>
      </c>
      <c r="T20" s="48">
        <v>5.2999999999999999E-2</v>
      </c>
      <c r="U20" s="18"/>
      <c r="V20" s="18"/>
      <c r="W20" s="18"/>
    </row>
    <row r="21" spans="1:23" x14ac:dyDescent="0.25">
      <c r="A21" s="6" t="s">
        <v>57</v>
      </c>
      <c r="B21" s="9"/>
      <c r="C21" s="9"/>
      <c r="D21" s="85">
        <f>932845+1793378+200255</f>
        <v>2926478</v>
      </c>
      <c r="E21" s="85">
        <f>662923+1887531+201452</f>
        <v>2751906</v>
      </c>
      <c r="F21" s="85">
        <f>833488+2109891+165493</f>
        <v>3108872</v>
      </c>
      <c r="G21" s="85">
        <f>804937+1869589+150056</f>
        <v>2824582</v>
      </c>
      <c r="H21" s="85"/>
      <c r="I21" s="85">
        <f>801494.88+1927617.46+133867.42</f>
        <v>2862979.76</v>
      </c>
      <c r="J21" s="85"/>
      <c r="K21" s="85">
        <f>621910.58+1711826.47+131167.23</f>
        <v>2464904.2799999998</v>
      </c>
      <c r="L21" s="11"/>
      <c r="M21" s="11"/>
      <c r="N21" s="42" t="s">
        <v>32</v>
      </c>
      <c r="O21" s="43">
        <v>0.21279999999999999</v>
      </c>
      <c r="P21" s="44">
        <f>D18/AVERAGE(C19:D19)</f>
        <v>6.8721433482991548E-2</v>
      </c>
      <c r="Q21" s="44">
        <f>E18/AVERAGE(D19:E19)</f>
        <v>1.8682203590545215E-2</v>
      </c>
      <c r="R21" s="44">
        <f>F18/AVERAGE(E19:F19)</f>
        <v>6.3630085144230408E-2</v>
      </c>
      <c r="S21" s="44">
        <f>G18/AVERAGE(F19:G19)</f>
        <v>-5.7625398275763604E-3</v>
      </c>
      <c r="T21" s="18"/>
      <c r="U21" s="18"/>
      <c r="V21" s="18"/>
      <c r="W21" s="18"/>
    </row>
    <row r="22" spans="1:23" x14ac:dyDescent="0.25">
      <c r="A22" s="6" t="s">
        <v>29</v>
      </c>
      <c r="B22" s="7"/>
      <c r="C22" s="7"/>
      <c r="D22" s="88">
        <v>3291721</v>
      </c>
      <c r="E22" s="85">
        <v>3174407</v>
      </c>
      <c r="F22" s="85">
        <v>3681541</v>
      </c>
      <c r="G22" s="85">
        <v>3433645</v>
      </c>
      <c r="H22" s="85"/>
      <c r="I22" s="85">
        <v>3488642.89</v>
      </c>
      <c r="J22" s="85"/>
      <c r="K22" s="85">
        <v>3034193.13</v>
      </c>
      <c r="L22" s="11"/>
      <c r="M22" s="11"/>
      <c r="N22" s="40" t="s">
        <v>33</v>
      </c>
      <c r="O22" s="45"/>
      <c r="P22" s="45"/>
      <c r="Q22" s="45"/>
      <c r="R22" s="46" t="s">
        <v>5</v>
      </c>
      <c r="S22" s="18"/>
      <c r="T22" s="18"/>
      <c r="U22" s="18"/>
      <c r="V22" s="18"/>
      <c r="W22" s="18"/>
    </row>
    <row r="23" spans="1:23" x14ac:dyDescent="0.25">
      <c r="A23" s="6" t="s">
        <v>58</v>
      </c>
      <c r="B23" s="7"/>
      <c r="C23" s="7"/>
      <c r="D23" s="88">
        <v>3118918</v>
      </c>
      <c r="E23" s="85">
        <v>2794229</v>
      </c>
      <c r="F23" s="85">
        <v>3119697</v>
      </c>
      <c r="G23" s="85">
        <v>2982184</v>
      </c>
      <c r="H23" s="85"/>
      <c r="I23" s="85">
        <v>2743203.69</v>
      </c>
      <c r="J23" s="85"/>
      <c r="K23" s="85">
        <v>2375633.2200000002</v>
      </c>
      <c r="L23" s="11"/>
      <c r="M23" s="11"/>
      <c r="N23" s="42" t="s">
        <v>34</v>
      </c>
      <c r="O23" s="43">
        <v>0.17430000000000001</v>
      </c>
      <c r="P23" s="44">
        <f>D6/AVERAGE(C23:D23)</f>
        <v>9.4275925176615732E-2</v>
      </c>
      <c r="Q23" s="44">
        <f>E6/AVERAGE(D23:E23)</f>
        <v>0.11273312501786274</v>
      </c>
      <c r="R23" s="44">
        <f>F6/AVERAGE(E23:F23)</f>
        <v>0.1140339733706509</v>
      </c>
      <c r="S23" s="44">
        <f>G6/AVERAGE(F23:G23)</f>
        <v>0.10231071041863976</v>
      </c>
      <c r="T23" s="18"/>
      <c r="U23" s="18"/>
      <c r="V23" s="18"/>
      <c r="W23" s="18"/>
    </row>
    <row r="24" spans="1:23" x14ac:dyDescent="0.25">
      <c r="A24" s="6" t="s">
        <v>59</v>
      </c>
      <c r="B24" s="10"/>
      <c r="C24" s="10"/>
      <c r="D24" s="89">
        <v>101357</v>
      </c>
      <c r="E24" s="89">
        <v>163628</v>
      </c>
      <c r="F24" s="89">
        <v>174840</v>
      </c>
      <c r="G24" s="89">
        <v>307695</v>
      </c>
      <c r="H24" s="89"/>
      <c r="I24" s="89"/>
      <c r="J24" s="89"/>
      <c r="K24" s="89"/>
      <c r="L24" s="11"/>
      <c r="M24" s="11"/>
      <c r="N24" s="42" t="s">
        <v>35</v>
      </c>
      <c r="O24" s="43">
        <v>7.9799999999999996E-2</v>
      </c>
      <c r="P24" s="44">
        <f>D9/AVERAGE(C21:D21)</f>
        <v>6.9727843503351122E-2</v>
      </c>
      <c r="Q24" s="44">
        <f>E9/AVERAGE(D21:E21)</f>
        <v>8.7341046325856084E-2</v>
      </c>
      <c r="R24" s="44">
        <f>F9/AVERAGE(E21:F21)</f>
        <v>7.6605187911912037E-2</v>
      </c>
      <c r="S24" s="44">
        <f>G9/AVERAGE(F21:G21)</f>
        <v>6.9588135342416063E-2</v>
      </c>
      <c r="T24" s="18"/>
      <c r="U24" s="18"/>
      <c r="V24" s="18"/>
      <c r="W24" s="18"/>
    </row>
    <row r="25" spans="1:23" x14ac:dyDescent="0.25">
      <c r="A25" s="6" t="s">
        <v>60</v>
      </c>
      <c r="B25" s="10"/>
      <c r="C25" s="10"/>
      <c r="D25" s="89">
        <v>56988</v>
      </c>
      <c r="E25" s="89">
        <v>140549</v>
      </c>
      <c r="F25" s="89">
        <v>121596</v>
      </c>
      <c r="G25" s="89">
        <v>170427</v>
      </c>
      <c r="H25" s="89"/>
      <c r="I25" s="89"/>
      <c r="J25" s="89"/>
      <c r="K25" s="89"/>
      <c r="L25" s="11"/>
      <c r="M25" s="11"/>
      <c r="N25" s="42" t="s">
        <v>36</v>
      </c>
      <c r="O25" s="43">
        <v>9.4600000000000004E-2</v>
      </c>
      <c r="P25" s="48">
        <f>P23-P24</f>
        <v>2.454808167326461E-2</v>
      </c>
      <c r="Q25" s="48">
        <f>Q23-Q24</f>
        <v>2.5392078692006659E-2</v>
      </c>
      <c r="R25" s="48">
        <f>R23-R24</f>
        <v>3.7428785458738859E-2</v>
      </c>
      <c r="S25" s="48">
        <f>S23-S24</f>
        <v>3.2722575076223698E-2</v>
      </c>
      <c r="T25" s="18"/>
      <c r="U25" s="18"/>
      <c r="V25" s="18"/>
      <c r="W25" s="18"/>
    </row>
    <row r="27" spans="1:23" ht="15" customHeight="1" x14ac:dyDescent="0.25">
      <c r="B27" s="739" t="s">
        <v>206</v>
      </c>
      <c r="C27" s="739"/>
      <c r="D27" s="739"/>
      <c r="E27" s="739"/>
      <c r="F27" s="739"/>
      <c r="G27" s="739"/>
      <c r="H27" s="739"/>
      <c r="I27" s="739"/>
      <c r="J27" s="739"/>
      <c r="K27" s="739"/>
      <c r="L27" s="739"/>
      <c r="M27" s="739"/>
      <c r="N27" s="739"/>
    </row>
    <row r="28" spans="1:23" x14ac:dyDescent="0.25">
      <c r="B28" s="739"/>
      <c r="C28" s="739"/>
      <c r="D28" s="739"/>
      <c r="E28" s="739"/>
      <c r="F28" s="739"/>
      <c r="G28" s="739"/>
      <c r="H28" s="739"/>
      <c r="I28" s="739"/>
      <c r="J28" s="739"/>
      <c r="K28" s="739"/>
      <c r="L28" s="739"/>
      <c r="M28" s="739"/>
      <c r="N28" s="739"/>
    </row>
    <row r="29" spans="1:23" x14ac:dyDescent="0.25">
      <c r="B29" s="739"/>
      <c r="C29" s="739"/>
      <c r="D29" s="739"/>
      <c r="E29" s="739"/>
      <c r="F29" s="739"/>
      <c r="G29" s="739"/>
      <c r="H29" s="739"/>
      <c r="I29" s="739"/>
      <c r="J29" s="739"/>
      <c r="K29" s="739"/>
      <c r="L29" s="739"/>
      <c r="M29" s="739"/>
      <c r="N29" s="739"/>
    </row>
    <row r="30" spans="1:23" x14ac:dyDescent="0.25">
      <c r="B30" s="739"/>
      <c r="C30" s="739"/>
      <c r="D30" s="739"/>
      <c r="E30" s="739"/>
      <c r="F30" s="739"/>
      <c r="G30" s="739"/>
      <c r="H30" s="739"/>
      <c r="I30" s="739"/>
      <c r="J30" s="739"/>
      <c r="K30" s="739"/>
      <c r="L30" s="739"/>
      <c r="M30" s="739"/>
      <c r="N30" s="739"/>
    </row>
    <row r="31" spans="1:23" x14ac:dyDescent="0.25">
      <c r="B31" s="739"/>
      <c r="C31" s="739"/>
      <c r="D31" s="739"/>
      <c r="E31" s="739"/>
      <c r="F31" s="739"/>
      <c r="G31" s="739"/>
      <c r="H31" s="739"/>
      <c r="I31" s="739"/>
      <c r="J31" s="739"/>
      <c r="K31" s="739"/>
      <c r="L31" s="739"/>
      <c r="M31" s="739"/>
      <c r="N31" s="739"/>
    </row>
    <row r="32" spans="1:23" x14ac:dyDescent="0.25">
      <c r="B32" s="739"/>
      <c r="C32" s="739"/>
      <c r="D32" s="739"/>
      <c r="E32" s="739"/>
      <c r="F32" s="739"/>
      <c r="G32" s="739"/>
      <c r="H32" s="739"/>
      <c r="I32" s="739"/>
      <c r="J32" s="739"/>
      <c r="K32" s="739"/>
      <c r="L32" s="739"/>
      <c r="M32" s="739"/>
      <c r="N32" s="739"/>
    </row>
    <row r="33" spans="2:14" x14ac:dyDescent="0.25">
      <c r="B33" s="739"/>
      <c r="C33" s="739"/>
      <c r="D33" s="739"/>
      <c r="E33" s="739"/>
      <c r="F33" s="739"/>
      <c r="G33" s="739"/>
      <c r="H33" s="739"/>
      <c r="I33" s="739"/>
      <c r="J33" s="739"/>
      <c r="K33" s="739"/>
      <c r="L33" s="739"/>
      <c r="M33" s="739"/>
      <c r="N33" s="739"/>
    </row>
    <row r="34" spans="2:14" x14ac:dyDescent="0.25">
      <c r="B34" s="739"/>
      <c r="C34" s="739"/>
      <c r="D34" s="739"/>
      <c r="E34" s="739"/>
      <c r="F34" s="739"/>
      <c r="G34" s="739"/>
      <c r="H34" s="739"/>
      <c r="I34" s="739"/>
      <c r="J34" s="739"/>
      <c r="K34" s="739"/>
      <c r="L34" s="739"/>
      <c r="M34" s="739"/>
      <c r="N34" s="739"/>
    </row>
    <row r="35" spans="2:14" x14ac:dyDescent="0.25">
      <c r="B35" s="739"/>
      <c r="C35" s="739"/>
      <c r="D35" s="739"/>
      <c r="E35" s="739"/>
      <c r="F35" s="739"/>
      <c r="G35" s="739"/>
      <c r="H35" s="739"/>
      <c r="I35" s="739"/>
      <c r="J35" s="739"/>
      <c r="K35" s="739"/>
      <c r="L35" s="739"/>
      <c r="M35" s="739"/>
      <c r="N35" s="739"/>
    </row>
  </sheetData>
  <mergeCells count="3">
    <mergeCell ref="A2:A4"/>
    <mergeCell ref="I1:K1"/>
    <mergeCell ref="B27:N35"/>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5"/>
  <sheetViews>
    <sheetView topLeftCell="A18" workbookViewId="0">
      <selection activeCell="I1" sqref="I1"/>
    </sheetView>
  </sheetViews>
  <sheetFormatPr defaultRowHeight="15" x14ac:dyDescent="0.25"/>
  <cols>
    <col min="1" max="1" width="32.140625" customWidth="1"/>
    <col min="4" max="4" width="13.28515625" customWidth="1"/>
    <col min="5" max="5" width="11.42578125" customWidth="1"/>
    <col min="6" max="6" width="10.7109375" customWidth="1"/>
    <col min="7" max="8" width="11.7109375" customWidth="1"/>
    <col min="9" max="9" width="11.42578125" customWidth="1"/>
    <col min="10" max="10" width="10.140625" bestFit="1" customWidth="1"/>
    <col min="12" max="12" width="10.140625" bestFit="1" customWidth="1"/>
    <col min="15" max="15" width="31.85546875" customWidth="1"/>
    <col min="16" max="16" width="12.140625" customWidth="1"/>
    <col min="17" max="17" width="14.5703125" customWidth="1"/>
    <col min="18" max="18" width="17.7109375" customWidth="1"/>
    <col min="19" max="19" width="18.5703125" customWidth="1"/>
    <col min="20" max="21" width="13.85546875" customWidth="1"/>
    <col min="22" max="22" width="13" customWidth="1"/>
  </cols>
  <sheetData>
    <row r="1" spans="1:25" x14ac:dyDescent="0.25">
      <c r="H1" t="s">
        <v>661</v>
      </c>
      <c r="J1" s="772" t="s">
        <v>111</v>
      </c>
      <c r="K1" s="772"/>
      <c r="L1" s="772"/>
    </row>
    <row r="2" spans="1:25" ht="22.5" x14ac:dyDescent="0.25">
      <c r="A2" s="771" t="s">
        <v>4</v>
      </c>
      <c r="B2" s="1" t="s">
        <v>43</v>
      </c>
      <c r="C2" s="1" t="s">
        <v>41</v>
      </c>
      <c r="D2" s="2" t="s">
        <v>44</v>
      </c>
      <c r="E2" s="2" t="s">
        <v>0</v>
      </c>
      <c r="F2" s="3" t="s">
        <v>45</v>
      </c>
      <c r="G2" s="3" t="s">
        <v>42</v>
      </c>
      <c r="H2" s="3" t="s">
        <v>495</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v>0.1046</v>
      </c>
      <c r="Q3" s="44">
        <f>D10/AVERAGE(C23:D23)</f>
        <v>7.0113677685852221E-2</v>
      </c>
      <c r="R3" s="44">
        <f>E10/AVERAGE(D23:E23)</f>
        <v>7.4445661688905845E-2</v>
      </c>
      <c r="S3" s="44">
        <f>F10/AVERAGE(E23:F23)</f>
        <v>7.6142359254462583E-2</v>
      </c>
      <c r="T3" s="44">
        <f>G10/AVERAGE(F23:G23)</f>
        <v>7.5835749937180508E-2</v>
      </c>
      <c r="U3" s="44">
        <f>H10/AVERAGE(G23:H23)</f>
        <v>7.137396780531681E-2</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s="85">
        <v>8722.9</v>
      </c>
      <c r="E5" s="90">
        <v>10097.85</v>
      </c>
      <c r="F5">
        <v>10456.11</v>
      </c>
      <c r="G5">
        <v>9657.9699999999993</v>
      </c>
      <c r="H5">
        <v>10928.8</v>
      </c>
      <c r="I5" s="85">
        <v>3084.56</v>
      </c>
      <c r="J5" s="85">
        <v>3211.94</v>
      </c>
      <c r="K5" s="85">
        <v>3453.63</v>
      </c>
      <c r="L5" s="85">
        <v>3654.01</v>
      </c>
      <c r="M5" s="11"/>
      <c r="N5" s="11"/>
      <c r="O5" s="42" t="s">
        <v>13</v>
      </c>
      <c r="P5" s="46">
        <v>4.2699999999999996</v>
      </c>
      <c r="Q5" s="47">
        <f>D21/D20</f>
        <v>4.8447756788124696</v>
      </c>
      <c r="R5" s="47">
        <f>E21/E20</f>
        <v>5.2325822674533713</v>
      </c>
      <c r="S5" s="47">
        <f>F21/F20</f>
        <v>3.7777685635261098</v>
      </c>
      <c r="T5" s="47">
        <f>G21/G20</f>
        <v>3.5713846029809142</v>
      </c>
      <c r="U5" s="47">
        <f>H21/H20</f>
        <v>4.3856430866567857</v>
      </c>
      <c r="V5" s="47"/>
      <c r="W5" s="47">
        <f t="shared" ref="W5:Y5" si="0">J21/J20</f>
        <v>5.0052618076627065</v>
      </c>
      <c r="X5" s="47"/>
      <c r="Y5" s="47">
        <f t="shared" si="0"/>
        <v>4.8585740650277103</v>
      </c>
    </row>
    <row r="6" spans="1:25" x14ac:dyDescent="0.25">
      <c r="A6" s="6" t="s">
        <v>50</v>
      </c>
      <c r="B6" s="7"/>
      <c r="C6" s="8"/>
      <c r="D6" s="85">
        <v>8369.6200000000008</v>
      </c>
      <c r="E6" s="90">
        <v>9711.9599999999991</v>
      </c>
      <c r="F6" s="85">
        <v>9784.0499999999993</v>
      </c>
      <c r="G6" s="85">
        <v>8831.98</v>
      </c>
      <c r="H6" s="85">
        <v>9847.25</v>
      </c>
      <c r="I6" s="85">
        <v>3034.89</v>
      </c>
      <c r="J6" s="85">
        <v>3153.5</v>
      </c>
      <c r="K6" s="85">
        <v>3373.26</v>
      </c>
      <c r="L6" s="85">
        <v>3547.11</v>
      </c>
      <c r="M6" s="11"/>
      <c r="N6" s="11"/>
      <c r="O6" s="42" t="s">
        <v>14</v>
      </c>
      <c r="P6" s="43"/>
      <c r="Q6" s="43">
        <v>0.20300000000000001</v>
      </c>
      <c r="R6" s="43">
        <v>0.19600000000000001</v>
      </c>
      <c r="S6" s="43">
        <v>0.26</v>
      </c>
      <c r="T6" s="48">
        <v>0.27800000000000002</v>
      </c>
      <c r="U6" s="48">
        <v>0.22520000000000001</v>
      </c>
      <c r="V6" s="48">
        <v>0.21160000000000001</v>
      </c>
      <c r="W6" s="48">
        <v>0.18729999999999999</v>
      </c>
      <c r="X6" s="48">
        <v>0.1835</v>
      </c>
      <c r="Y6" s="48">
        <v>0.18859999999999999</v>
      </c>
    </row>
    <row r="7" spans="1:25" x14ac:dyDescent="0.25">
      <c r="A7" s="6" t="s">
        <v>51</v>
      </c>
      <c r="B7" s="7"/>
      <c r="C7" s="8"/>
      <c r="D7" s="87"/>
      <c r="E7" s="85"/>
      <c r="F7" s="85">
        <v>0</v>
      </c>
      <c r="G7" s="85">
        <v>0</v>
      </c>
      <c r="H7" s="85"/>
      <c r="I7" s="85"/>
      <c r="J7" s="85"/>
      <c r="K7" s="85"/>
      <c r="L7" s="85"/>
      <c r="M7" s="11"/>
      <c r="N7" s="11"/>
      <c r="O7" s="42" t="s">
        <v>15</v>
      </c>
      <c r="P7" s="43">
        <v>0.19719999999999999</v>
      </c>
      <c r="Q7" s="44">
        <f>D20/D23</f>
        <v>0.17283413071705911</v>
      </c>
      <c r="R7" s="44">
        <f>E20/E23</f>
        <v>0.1669284077149441</v>
      </c>
      <c r="S7" s="44">
        <f>F20/F23</f>
        <v>0.22775819609252879</v>
      </c>
      <c r="T7" s="44">
        <f>G20/G23</f>
        <v>0.24063510178892414</v>
      </c>
      <c r="U7" s="44">
        <f>H20/H23</f>
        <v>0.20653107663093817</v>
      </c>
      <c r="V7" s="18"/>
      <c r="W7" s="18"/>
      <c r="X7" s="18"/>
      <c r="Y7" s="18"/>
    </row>
    <row r="8" spans="1:25" x14ac:dyDescent="0.25">
      <c r="A8" s="6" t="s">
        <v>52</v>
      </c>
      <c r="B8" s="7"/>
      <c r="C8" s="8"/>
      <c r="D8" s="85">
        <f t="shared" ref="D8:L8" si="1">D5-D6-D7</f>
        <v>353.27999999999884</v>
      </c>
      <c r="E8" s="85">
        <f t="shared" si="1"/>
        <v>385.89000000000124</v>
      </c>
      <c r="F8" s="85">
        <f t="shared" si="1"/>
        <v>672.06000000000131</v>
      </c>
      <c r="G8" s="85">
        <f t="shared" si="1"/>
        <v>825.98999999999978</v>
      </c>
      <c r="H8" s="85">
        <f t="shared" si="1"/>
        <v>1081.5499999999993</v>
      </c>
      <c r="I8" s="85">
        <f t="shared" si="1"/>
        <v>49.670000000000073</v>
      </c>
      <c r="J8" s="85">
        <f t="shared" si="1"/>
        <v>58.440000000000055</v>
      </c>
      <c r="K8" s="85">
        <f t="shared" si="1"/>
        <v>80.369999999999891</v>
      </c>
      <c r="L8" s="85">
        <f t="shared" si="1"/>
        <v>106.90000000000009</v>
      </c>
      <c r="M8" s="11"/>
      <c r="N8" s="11"/>
      <c r="O8" s="40" t="s">
        <v>16</v>
      </c>
      <c r="P8" s="45"/>
      <c r="Q8" s="45"/>
      <c r="R8" s="45"/>
      <c r="S8" s="46" t="s">
        <v>5</v>
      </c>
      <c r="T8" s="18"/>
      <c r="U8" s="18"/>
      <c r="V8" s="18"/>
      <c r="W8" s="18"/>
      <c r="X8" s="18"/>
      <c r="Y8" s="18"/>
    </row>
    <row r="9" spans="1:25" ht="33.75" x14ac:dyDescent="0.25">
      <c r="A9" s="6" t="s">
        <v>24</v>
      </c>
      <c r="B9" s="7"/>
      <c r="C9" s="7"/>
      <c r="D9" s="88">
        <v>3944.56</v>
      </c>
      <c r="E9" s="85">
        <v>4828.74</v>
      </c>
      <c r="F9" s="85">
        <v>4733.1899999999996</v>
      </c>
      <c r="G9" s="85">
        <v>3920.18</v>
      </c>
      <c r="H9" s="85">
        <v>4576.72</v>
      </c>
      <c r="I9" s="85">
        <v>1450.45</v>
      </c>
      <c r="J9" s="85">
        <v>1566.47</v>
      </c>
      <c r="K9" s="85">
        <v>1674.96</v>
      </c>
      <c r="L9" s="85">
        <v>1735.06</v>
      </c>
      <c r="M9" s="11"/>
      <c r="N9" s="11"/>
      <c r="O9" s="49" t="s">
        <v>93</v>
      </c>
      <c r="P9" s="45"/>
      <c r="Q9" s="50">
        <f>D14/(D11-D9)</f>
        <v>0.38665519824876421</v>
      </c>
      <c r="R9" s="50">
        <f>E14/(E11-E9)</f>
        <v>0.38301345008929399</v>
      </c>
      <c r="S9" s="50">
        <f>F14/(F11-F9)</f>
        <v>0.28525123538333574</v>
      </c>
      <c r="T9" s="50">
        <f>G14/(G11-G9)</f>
        <v>0.36136038439887136</v>
      </c>
      <c r="U9" s="50">
        <f>H14/(H11-H9)</f>
        <v>0.42939635520963215</v>
      </c>
      <c r="V9" s="18"/>
      <c r="W9" s="18"/>
      <c r="X9" s="18"/>
      <c r="Y9" s="18"/>
    </row>
    <row r="10" spans="1:25" ht="22.5" x14ac:dyDescent="0.25">
      <c r="A10" s="6" t="s">
        <v>53</v>
      </c>
      <c r="B10" s="10">
        <f t="shared" ref="B10:J10" si="2">B6-B9</f>
        <v>0</v>
      </c>
      <c r="C10" s="10">
        <f t="shared" si="2"/>
        <v>0</v>
      </c>
      <c r="D10" s="89">
        <f>D6-D9</f>
        <v>4425.0600000000013</v>
      </c>
      <c r="E10" s="89">
        <f>E6-E9</f>
        <v>4883.2199999999993</v>
      </c>
      <c r="F10" s="89">
        <f t="shared" si="2"/>
        <v>5050.8599999999997</v>
      </c>
      <c r="G10" s="89">
        <f t="shared" si="2"/>
        <v>4911.7999999999993</v>
      </c>
      <c r="H10" s="89">
        <f>H6-H9</f>
        <v>5270.53</v>
      </c>
      <c r="I10" s="89">
        <f t="shared" si="2"/>
        <v>1584.4399999999998</v>
      </c>
      <c r="J10" s="89">
        <f t="shared" si="2"/>
        <v>1587.03</v>
      </c>
      <c r="K10" s="89">
        <f>K6-K9</f>
        <v>1698.3000000000002</v>
      </c>
      <c r="L10" s="89">
        <f>L6-L9</f>
        <v>1812.0500000000002</v>
      </c>
      <c r="M10" s="11"/>
      <c r="N10" s="11"/>
      <c r="O10" s="42" t="s">
        <v>92</v>
      </c>
      <c r="P10" s="43">
        <v>0.39960000000000001</v>
      </c>
      <c r="Q10" s="44">
        <f>D14/D11</f>
        <v>0.21180685322541815</v>
      </c>
      <c r="R10" s="44">
        <f>E14/E11</f>
        <v>0.19985838569596498</v>
      </c>
      <c r="S10" s="44">
        <f>F14/F11</f>
        <v>0.15612593976153655</v>
      </c>
      <c r="T10" s="44">
        <f>G14/G11</f>
        <v>0.21468383107423195</v>
      </c>
      <c r="U10" s="44">
        <f>H14/H11</f>
        <v>0.24957543371641902</v>
      </c>
      <c r="V10" s="18"/>
      <c r="W10" s="18"/>
      <c r="X10" s="18"/>
      <c r="Y10" s="18"/>
    </row>
    <row r="11" spans="1:25" x14ac:dyDescent="0.25">
      <c r="A11" s="6" t="s">
        <v>1</v>
      </c>
      <c r="B11" s="10">
        <f>B5-B9</f>
        <v>0</v>
      </c>
      <c r="C11" s="10">
        <f t="shared" ref="C11:L11" si="3">SUM(C6:C8)</f>
        <v>0</v>
      </c>
      <c r="D11" s="89">
        <f t="shared" si="3"/>
        <v>8722.9</v>
      </c>
      <c r="E11" s="89">
        <f t="shared" si="3"/>
        <v>10097.85</v>
      </c>
      <c r="F11" s="89">
        <f t="shared" si="3"/>
        <v>10456.11</v>
      </c>
      <c r="G11" s="89">
        <f t="shared" si="3"/>
        <v>9657.9699999999993</v>
      </c>
      <c r="H11" s="89">
        <f t="shared" si="3"/>
        <v>10928.8</v>
      </c>
      <c r="I11" s="89">
        <f t="shared" si="3"/>
        <v>3084.56</v>
      </c>
      <c r="J11" s="89">
        <f t="shared" si="3"/>
        <v>3211.94</v>
      </c>
      <c r="K11" s="89">
        <f t="shared" si="3"/>
        <v>3453.63</v>
      </c>
      <c r="L11" s="89">
        <f t="shared" si="3"/>
        <v>3654.01</v>
      </c>
      <c r="M11" s="11"/>
      <c r="N11" s="11"/>
      <c r="O11" s="42" t="s">
        <v>17</v>
      </c>
      <c r="P11" s="43">
        <v>5.4600000000000003E-2</v>
      </c>
      <c r="Q11" s="44">
        <f>D14/AVERAGE(C22:D22)</f>
        <v>2.7543614163694257E-2</v>
      </c>
      <c r="R11" s="44">
        <f>E14/AVERAGE(D22:E22)</f>
        <v>2.8595842455773214E-2</v>
      </c>
      <c r="S11" s="44">
        <f>F14/AVERAGE(E22:F22)</f>
        <v>2.1606714047454643E-2</v>
      </c>
      <c r="T11" s="44">
        <f>G14/AVERAGE(F22:G22)</f>
        <v>2.7223470210243638E-2</v>
      </c>
      <c r="U11" s="44">
        <f>H14/AVERAGE(G22:H22)</f>
        <v>3.1807300626546305E-2</v>
      </c>
      <c r="V11" s="18"/>
      <c r="W11" s="18"/>
      <c r="X11" s="18"/>
      <c r="Y11" s="18"/>
    </row>
    <row r="12" spans="1:25" x14ac:dyDescent="0.25">
      <c r="A12" s="6" t="s">
        <v>91</v>
      </c>
      <c r="B12" s="10"/>
      <c r="C12" s="10"/>
      <c r="D12" s="89">
        <v>86.9</v>
      </c>
      <c r="E12" s="89">
        <v>147.28</v>
      </c>
      <c r="F12" s="89">
        <v>60.7</v>
      </c>
      <c r="G12" s="89">
        <v>60.83</v>
      </c>
      <c r="H12" s="89">
        <v>127.29</v>
      </c>
      <c r="I12" s="89">
        <v>40.85</v>
      </c>
      <c r="J12" s="89">
        <v>28.55</v>
      </c>
      <c r="K12" s="89">
        <v>36.79</v>
      </c>
      <c r="L12" s="89">
        <v>52.09</v>
      </c>
      <c r="M12" s="11"/>
      <c r="N12" s="11"/>
      <c r="O12" s="40" t="s">
        <v>18</v>
      </c>
      <c r="P12" s="45"/>
      <c r="Q12" s="45"/>
      <c r="R12" s="45"/>
      <c r="S12" s="46" t="s">
        <v>5</v>
      </c>
      <c r="T12" s="18"/>
      <c r="U12" s="18"/>
      <c r="V12" s="18"/>
      <c r="W12" s="18"/>
      <c r="X12" s="53"/>
      <c r="Y12" s="54"/>
    </row>
    <row r="13" spans="1:25" x14ac:dyDescent="0.25">
      <c r="A13" s="6" t="s">
        <v>25</v>
      </c>
      <c r="B13" s="7"/>
      <c r="C13" s="7"/>
      <c r="D13" s="88">
        <f t="shared" ref="D13:L13" si="4">D11+D12</f>
        <v>8809.7999999999993</v>
      </c>
      <c r="E13" s="88">
        <f t="shared" si="4"/>
        <v>10245.130000000001</v>
      </c>
      <c r="F13" s="88">
        <f t="shared" si="4"/>
        <v>10516.810000000001</v>
      </c>
      <c r="G13" s="88">
        <f t="shared" si="4"/>
        <v>9718.7999999999993</v>
      </c>
      <c r="H13" s="88">
        <f t="shared" si="4"/>
        <v>11056.09</v>
      </c>
      <c r="I13" s="88">
        <f t="shared" si="4"/>
        <v>3125.41</v>
      </c>
      <c r="J13" s="88">
        <f t="shared" si="4"/>
        <v>3240.4900000000002</v>
      </c>
      <c r="K13" s="88">
        <f t="shared" si="4"/>
        <v>3490.42</v>
      </c>
      <c r="L13" s="88">
        <f t="shared" si="4"/>
        <v>3706.1000000000004</v>
      </c>
      <c r="M13" s="11"/>
      <c r="N13" s="11"/>
      <c r="O13" s="42" t="s">
        <v>19</v>
      </c>
      <c r="P13" s="43">
        <v>1.52E-2</v>
      </c>
      <c r="Q13" s="44">
        <f>D24/D23</f>
        <v>6.4496737183433114E-2</v>
      </c>
      <c r="R13" s="44">
        <f>E24/E23</f>
        <v>8.4416151961500777E-2</v>
      </c>
      <c r="S13" s="44">
        <f>F24/F23</f>
        <v>8.9575798616158761E-2</v>
      </c>
      <c r="T13" s="44">
        <f>G24/G23</f>
        <v>7.6623084268917271E-2</v>
      </c>
      <c r="U13" s="44">
        <f>H24/H23</f>
        <v>4.492367652149027E-2</v>
      </c>
      <c r="V13" s="48">
        <v>4.3499999999999997E-2</v>
      </c>
      <c r="W13" s="48">
        <v>4.2900000000000001E-2</v>
      </c>
      <c r="X13" s="48">
        <v>3.9699999999999999E-2</v>
      </c>
      <c r="Y13" s="48">
        <v>3.4000000000000002E-2</v>
      </c>
    </row>
    <row r="14" spans="1:25" x14ac:dyDescent="0.25">
      <c r="A14" s="6" t="s">
        <v>26</v>
      </c>
      <c r="B14" s="7"/>
      <c r="C14" s="7"/>
      <c r="D14" s="85">
        <f>30.47+1090.11+60.22+666.77</f>
        <v>1847.57</v>
      </c>
      <c r="E14" s="85">
        <f>40.94+1148.44+118.29+710.47</f>
        <v>2018.14</v>
      </c>
      <c r="F14" s="85">
        <f>31.14+1015.23+125.88+460.22</f>
        <v>1632.47</v>
      </c>
      <c r="G14" s="85">
        <f>44.91+1171.4+126.83+730.27</f>
        <v>2073.41</v>
      </c>
      <c r="H14" s="85">
        <f>80.24+1584.27+187.23+875.82</f>
        <v>2727.56</v>
      </c>
      <c r="I14" s="85">
        <f>20.07+417.36+54.31+183.27</f>
        <v>675.01</v>
      </c>
      <c r="J14" s="85">
        <f>27.98+436.77+56+210.44</f>
        <v>731.19</v>
      </c>
      <c r="K14" s="85">
        <f>26.76+434.19+57.96+234.08</f>
        <v>752.99</v>
      </c>
      <c r="L14" s="85">
        <f>35.09+424.31+60.44+278.19</f>
        <v>798.03</v>
      </c>
      <c r="M14" s="11"/>
      <c r="N14" s="11"/>
      <c r="O14" s="42" t="s">
        <v>20</v>
      </c>
      <c r="P14" s="43">
        <v>4.7000000000000002E-3</v>
      </c>
      <c r="Q14" s="44">
        <f>D25/D23</f>
        <v>6.2122252828870281E-2</v>
      </c>
      <c r="R14" s="44">
        <f>E25/E23</f>
        <v>5.8265158493740608E-2</v>
      </c>
      <c r="S14" s="44">
        <f>F25/F23</f>
        <v>3.7680436495348468E-2</v>
      </c>
      <c r="T14" s="44">
        <f>G25/G23</f>
        <v>3.2118626817263421E-2</v>
      </c>
      <c r="U14" s="44">
        <f>H25/H23</f>
        <v>1.8214084746713179E-2</v>
      </c>
      <c r="V14" s="48">
        <v>1.78E-2</v>
      </c>
      <c r="W14" s="48">
        <v>1.7100000000000001E-2</v>
      </c>
      <c r="X14" s="48">
        <v>1.52E-2</v>
      </c>
      <c r="Y14" s="48">
        <v>1.2800000000000001E-2</v>
      </c>
    </row>
    <row r="15" spans="1:25" x14ac:dyDescent="0.25">
      <c r="A15" s="6" t="s">
        <v>54</v>
      </c>
      <c r="B15" s="10"/>
      <c r="C15" s="10"/>
      <c r="D15" s="89">
        <f t="shared" ref="D15:J15" si="5">D11-D14</f>
        <v>6875.33</v>
      </c>
      <c r="E15" s="89">
        <f t="shared" si="5"/>
        <v>8079.71</v>
      </c>
      <c r="F15" s="89">
        <f t="shared" si="5"/>
        <v>8823.6400000000012</v>
      </c>
      <c r="G15" s="89">
        <f t="shared" si="5"/>
        <v>7584.5599999999995</v>
      </c>
      <c r="H15" s="89">
        <f>H11-H14</f>
        <v>8201.24</v>
      </c>
      <c r="I15" s="89">
        <f t="shared" si="5"/>
        <v>2409.5500000000002</v>
      </c>
      <c r="J15" s="89">
        <f t="shared" si="5"/>
        <v>2480.75</v>
      </c>
      <c r="K15" s="89">
        <f>K11-K14</f>
        <v>2700.6400000000003</v>
      </c>
      <c r="L15" s="89">
        <f>L11-L14</f>
        <v>2855.9800000000005</v>
      </c>
      <c r="M15" s="11"/>
      <c r="N15" s="11"/>
      <c r="O15" s="42" t="s">
        <v>21</v>
      </c>
      <c r="P15" s="43">
        <v>0.69650000000000001</v>
      </c>
      <c r="Q15" s="44">
        <f t="shared" ref="Q15:W15" si="6">(Q13-Q14)/Q13</f>
        <v>3.6815573287213556E-2</v>
      </c>
      <c r="R15" s="44">
        <f t="shared" si="6"/>
        <v>0.30978660908029437</v>
      </c>
      <c r="S15" s="44">
        <f t="shared" si="6"/>
        <v>0.57934579342336767</v>
      </c>
      <c r="T15" s="44">
        <f t="shared" si="6"/>
        <v>0.58082310150111538</v>
      </c>
      <c r="U15" s="44">
        <f>(U13-U14)/U13</f>
        <v>0.59455489494498392</v>
      </c>
      <c r="V15" s="44">
        <f t="shared" si="6"/>
        <v>0.59080459770114935</v>
      </c>
      <c r="W15" s="44">
        <f t="shared" si="6"/>
        <v>0.60139860139860135</v>
      </c>
      <c r="X15" s="18"/>
      <c r="Y15" s="18"/>
    </row>
    <row r="16" spans="1:25" x14ac:dyDescent="0.25">
      <c r="A16" s="6" t="s">
        <v>94</v>
      </c>
      <c r="B16" s="10"/>
      <c r="C16" s="10"/>
      <c r="D16" s="89">
        <f t="shared" ref="D16:J16" si="7">D13-D14-D9</f>
        <v>3017.6699999999996</v>
      </c>
      <c r="E16" s="89">
        <f t="shared" si="7"/>
        <v>3398.2500000000018</v>
      </c>
      <c r="F16" s="89">
        <f t="shared" si="7"/>
        <v>4151.1500000000024</v>
      </c>
      <c r="G16" s="89">
        <f t="shared" si="7"/>
        <v>3725.2099999999996</v>
      </c>
      <c r="H16" s="89">
        <f>H13-H14-H9</f>
        <v>3751.8100000000004</v>
      </c>
      <c r="I16" s="89">
        <f t="shared" si="7"/>
        <v>999.94999999999959</v>
      </c>
      <c r="J16" s="89">
        <f t="shared" si="7"/>
        <v>942.83000000000015</v>
      </c>
      <c r="K16" s="89">
        <f>K13-K14-K9</f>
        <v>1062.4700000000003</v>
      </c>
      <c r="L16" s="89">
        <f>L13-L14-L9</f>
        <v>1173.0100000000007</v>
      </c>
      <c r="M16" s="11"/>
      <c r="N16" s="11"/>
      <c r="O16" s="42" t="s">
        <v>22</v>
      </c>
      <c r="P16" s="43">
        <v>1.5699999999999999E-2</v>
      </c>
      <c r="Q16" s="44">
        <f>D17/AVERAGE(C23:D23)</f>
        <v>1.0064543320554595E-2</v>
      </c>
      <c r="R16" s="44">
        <f>E17/AVERAGE(D23:E23)</f>
        <v>3.1320804422083459E-2</v>
      </c>
      <c r="S16" s="44">
        <f>F17/AVERAGE(E23:F23)</f>
        <v>5.6302888258782061E-2</v>
      </c>
      <c r="T16" s="44">
        <f>G17/AVERAGE(F23:G23)</f>
        <v>3.6565374521809649E-2</v>
      </c>
      <c r="U16" s="44">
        <f>H17/AVERAGE(G23:H23)</f>
        <v>1.3531658078050353E-2</v>
      </c>
      <c r="V16" s="18"/>
      <c r="W16" s="18"/>
      <c r="X16" s="18"/>
      <c r="Y16" s="18"/>
    </row>
    <row r="17" spans="1:25" x14ac:dyDescent="0.25">
      <c r="A17" s="6" t="s">
        <v>27</v>
      </c>
      <c r="B17" s="7"/>
      <c r="C17" s="7"/>
      <c r="D17" s="88">
        <v>635.20000000000005</v>
      </c>
      <c r="E17" s="85">
        <v>2054.4699999999998</v>
      </c>
      <c r="F17" s="85">
        <v>3734.82</v>
      </c>
      <c r="G17" s="85">
        <v>2368.3000000000002</v>
      </c>
      <c r="H17" s="85">
        <v>999.23</v>
      </c>
      <c r="I17" s="85">
        <v>526.41</v>
      </c>
      <c r="J17" s="85">
        <v>626.54999999999995</v>
      </c>
      <c r="K17" s="85">
        <v>328.36</v>
      </c>
      <c r="L17" s="85">
        <v>341.47</v>
      </c>
      <c r="M17" s="11"/>
      <c r="N17" s="11"/>
      <c r="O17" s="18"/>
      <c r="P17" s="18"/>
      <c r="Q17" s="18"/>
      <c r="R17" s="18"/>
      <c r="S17" s="18"/>
      <c r="T17" s="18"/>
      <c r="U17" s="18"/>
      <c r="V17" s="18"/>
      <c r="W17" s="18"/>
      <c r="X17" s="18"/>
      <c r="Y17" s="18"/>
    </row>
    <row r="18" spans="1:25" x14ac:dyDescent="0.25">
      <c r="A18" s="6" t="s">
        <v>55</v>
      </c>
      <c r="B18" s="7"/>
      <c r="C18" s="7"/>
      <c r="D18" s="88">
        <v>1557.06</v>
      </c>
      <c r="E18" s="85">
        <v>906.4</v>
      </c>
      <c r="F18" s="89">
        <v>335.15</v>
      </c>
      <c r="G18" s="89">
        <v>988.75</v>
      </c>
      <c r="H18" s="89">
        <v>1984.32</v>
      </c>
      <c r="I18" s="89">
        <v>352.66</v>
      </c>
      <c r="J18" s="89">
        <v>235.18</v>
      </c>
      <c r="K18" s="89">
        <v>552.79</v>
      </c>
      <c r="L18" s="89">
        <v>618.99</v>
      </c>
      <c r="M18" s="11"/>
      <c r="N18" s="11"/>
      <c r="O18" s="40" t="s">
        <v>30</v>
      </c>
      <c r="P18" s="45"/>
      <c r="Q18" s="45"/>
      <c r="R18" s="45"/>
      <c r="S18" s="46" t="s">
        <v>5</v>
      </c>
      <c r="T18" s="18"/>
      <c r="U18" s="18"/>
      <c r="V18" s="18"/>
      <c r="W18" s="18"/>
      <c r="X18" s="18"/>
      <c r="Y18" s="18"/>
    </row>
    <row r="19" spans="1:25" ht="22.5" x14ac:dyDescent="0.25">
      <c r="A19" s="6" t="s">
        <v>28</v>
      </c>
      <c r="B19" s="7"/>
      <c r="C19" s="7"/>
      <c r="D19" s="88">
        <v>10908.02</v>
      </c>
      <c r="E19" s="85">
        <v>11363.85</v>
      </c>
      <c r="F19" s="85">
        <v>14711.51</v>
      </c>
      <c r="G19" s="85">
        <v>15628.09</v>
      </c>
      <c r="H19" s="85">
        <v>17088.91</v>
      </c>
      <c r="I19" s="85">
        <v>17459.689999999999</v>
      </c>
      <c r="J19" s="85">
        <v>16956.150000000001</v>
      </c>
      <c r="K19" s="85"/>
      <c r="L19" s="85">
        <v>18157.490000000002</v>
      </c>
      <c r="M19" s="11"/>
      <c r="N19" s="11"/>
      <c r="O19" s="46" t="s">
        <v>95</v>
      </c>
      <c r="P19" s="51"/>
      <c r="Q19" s="51"/>
      <c r="R19" s="52">
        <f>E16/AVERAGE(D22:E22)</f>
        <v>4.8151179613570599E-2</v>
      </c>
      <c r="S19" s="52">
        <f>F16/AVERAGE(E22:F22)</f>
        <v>5.494294597639858E-2</v>
      </c>
      <c r="T19" s="52">
        <f>G16/AVERAGE(F22:G22)</f>
        <v>4.8911283085304735E-2</v>
      </c>
      <c r="U19" s="52">
        <f>H16/AVERAGE(G22:H22)</f>
        <v>4.375153931120955E-2</v>
      </c>
      <c r="V19" s="18"/>
      <c r="W19" s="18"/>
      <c r="X19" s="18"/>
      <c r="Y19" s="18"/>
    </row>
    <row r="20" spans="1:25" x14ac:dyDescent="0.25">
      <c r="A20" s="6" t="s">
        <v>56</v>
      </c>
      <c r="B20" s="7"/>
      <c r="C20" s="7"/>
      <c r="D20" s="88">
        <v>10908.02</v>
      </c>
      <c r="E20" s="85">
        <v>11363.85</v>
      </c>
      <c r="F20" s="85">
        <v>14711.51</v>
      </c>
      <c r="G20" s="85">
        <v>15628.09</v>
      </c>
      <c r="H20" s="85">
        <v>17088.91</v>
      </c>
      <c r="I20" s="89">
        <f>I19-I71</f>
        <v>17459.689999999999</v>
      </c>
      <c r="J20" s="89">
        <f>J19-J71</f>
        <v>16956.150000000001</v>
      </c>
      <c r="K20" s="89">
        <f>K19-K71</f>
        <v>0</v>
      </c>
      <c r="L20" s="89">
        <f>L19-L71</f>
        <v>18157.490000000002</v>
      </c>
      <c r="M20" s="11"/>
      <c r="N20" s="11"/>
      <c r="O20" s="42" t="s">
        <v>31</v>
      </c>
      <c r="P20" s="43">
        <v>4.1799999999999997E-2</v>
      </c>
      <c r="Q20" s="43">
        <v>4.4699999999999997E-2</v>
      </c>
      <c r="R20" s="44">
        <f>E18/AVERAGE(D22:E22)</f>
        <v>1.2843148444564223E-2</v>
      </c>
      <c r="S20" s="44">
        <f>F18/AVERAGE(E22:F22)</f>
        <v>4.4359101318887468E-3</v>
      </c>
      <c r="T20" s="44">
        <f>G18/AVERAGE(F22:G22)</f>
        <v>1.2982095278009847E-2</v>
      </c>
      <c r="U20" s="44">
        <f>H18/AVERAGE(G22:H22)</f>
        <v>2.3140045600928437E-2</v>
      </c>
      <c r="V20" s="48"/>
      <c r="W20" s="18"/>
      <c r="X20" s="18"/>
      <c r="Y20" s="18"/>
    </row>
    <row r="21" spans="1:25" x14ac:dyDescent="0.25">
      <c r="A21" s="6" t="s">
        <v>57</v>
      </c>
      <c r="B21" s="9"/>
      <c r="C21" s="9"/>
      <c r="D21" s="85">
        <f>22319.37+21301.53+5667.18+3558.83</f>
        <v>52846.909999999996</v>
      </c>
      <c r="E21" s="85">
        <f>17744.87+29487.34+8812.13+3417.94</f>
        <v>59462.28</v>
      </c>
      <c r="F21" s="85">
        <f>16834.57+29142.08+6450.66+3149.37</f>
        <v>55576.68</v>
      </c>
      <c r="G21" s="85">
        <f>18252.71+26005.17+8426.19+3129.85</f>
        <v>55813.919999999998</v>
      </c>
      <c r="H21" s="85">
        <f>24745.07+41234.06+5524.6+3442.13</f>
        <v>74945.860000000015</v>
      </c>
      <c r="I21" s="85"/>
      <c r="J21" s="85">
        <f>28720.94+47035.9+5810.89+3302.24</f>
        <v>84869.97</v>
      </c>
      <c r="K21" s="85"/>
      <c r="L21" s="85">
        <f>26725.94+54318.83+7174.74</f>
        <v>88219.510000000009</v>
      </c>
      <c r="M21" s="11"/>
      <c r="N21" s="11"/>
      <c r="O21" s="42" t="s">
        <v>32</v>
      </c>
      <c r="P21" s="43">
        <v>0.21279999999999999</v>
      </c>
      <c r="Q21" s="44">
        <f>D18/AVERAGE(C19:D19)</f>
        <v>0.1427445127530019</v>
      </c>
      <c r="R21" s="44">
        <f>E18/AVERAGE(D19:E19)</f>
        <v>8.1394153252510898E-2</v>
      </c>
      <c r="S21" s="44">
        <f>F18/AVERAGE(E19:F19)</f>
        <v>2.5706260623055633E-2</v>
      </c>
      <c r="T21" s="44">
        <f>G18/AVERAGE(F19:G19)</f>
        <v>6.5178842173265306E-2</v>
      </c>
      <c r="U21" s="44">
        <f>H18/AVERAGE(G19:H19)</f>
        <v>0.12130207537365895</v>
      </c>
      <c r="V21" s="18"/>
      <c r="W21" s="18"/>
      <c r="X21" s="18"/>
      <c r="Y21" s="18"/>
    </row>
    <row r="22" spans="1:25" x14ac:dyDescent="0.25">
      <c r="A22" s="6" t="s">
        <v>29</v>
      </c>
      <c r="B22" s="7"/>
      <c r="C22" s="7"/>
      <c r="D22" s="88">
        <v>67077.98</v>
      </c>
      <c r="E22" s="85">
        <v>74071.210000000006</v>
      </c>
      <c r="F22" s="85">
        <v>77036.45</v>
      </c>
      <c r="G22" s="85">
        <v>75288.73</v>
      </c>
      <c r="H22" s="85">
        <v>96216.55</v>
      </c>
      <c r="I22" s="85"/>
      <c r="J22" s="85">
        <v>105457.75</v>
      </c>
      <c r="K22" s="85"/>
      <c r="L22" s="85">
        <v>115159.21</v>
      </c>
      <c r="M22" s="11"/>
      <c r="N22" s="11"/>
      <c r="O22" s="40" t="s">
        <v>33</v>
      </c>
      <c r="P22" s="45"/>
      <c r="Q22" s="45"/>
      <c r="R22" s="45"/>
      <c r="S22" s="46" t="s">
        <v>5</v>
      </c>
      <c r="T22" s="18"/>
      <c r="U22" s="18"/>
      <c r="V22" s="18"/>
      <c r="W22" s="18"/>
      <c r="X22" s="18"/>
      <c r="Y22" s="18"/>
    </row>
    <row r="23" spans="1:25" x14ac:dyDescent="0.25">
      <c r="A23" s="6" t="s">
        <v>58</v>
      </c>
      <c r="B23" s="7"/>
      <c r="C23" s="7"/>
      <c r="D23" s="88">
        <v>63112.65</v>
      </c>
      <c r="E23" s="85">
        <v>68076.19</v>
      </c>
      <c r="F23" s="85">
        <v>64592.67</v>
      </c>
      <c r="G23" s="85">
        <v>64945.18</v>
      </c>
      <c r="H23" s="85">
        <v>82742.559999999998</v>
      </c>
      <c r="I23" s="85"/>
      <c r="J23" s="85">
        <v>89948.07</v>
      </c>
      <c r="K23" s="85"/>
      <c r="L23" s="85">
        <v>99195.18</v>
      </c>
      <c r="M23" s="11"/>
      <c r="N23" s="11"/>
      <c r="O23" s="42" t="s">
        <v>34</v>
      </c>
      <c r="P23" s="43">
        <v>0.17430000000000001</v>
      </c>
      <c r="Q23" s="44">
        <f>D6/AVERAGE(C23:D23)</f>
        <v>0.13261398467660604</v>
      </c>
      <c r="R23" s="44">
        <f>E6/AVERAGE(D23:E23)</f>
        <v>0.14806076492482134</v>
      </c>
      <c r="S23" s="44">
        <f>F6/AVERAGE(E23:F23)</f>
        <v>0.14749580270758339</v>
      </c>
      <c r="T23" s="44">
        <f>G6/AVERAGE(F23:G23)</f>
        <v>0.13636138009083831</v>
      </c>
      <c r="U23" s="44">
        <f>H6/AVERAGE(G23:H23)</f>
        <v>0.13335230128106776</v>
      </c>
      <c r="V23" s="18"/>
      <c r="W23" s="18"/>
      <c r="X23" s="18"/>
      <c r="Y23" s="18"/>
    </row>
    <row r="24" spans="1:25" x14ac:dyDescent="0.25">
      <c r="A24" s="6" t="s">
        <v>59</v>
      </c>
      <c r="B24" s="10"/>
      <c r="C24" s="10"/>
      <c r="D24" s="89">
        <v>4070.56</v>
      </c>
      <c r="E24" s="89">
        <v>5746.73</v>
      </c>
      <c r="F24" s="89">
        <v>5785.94</v>
      </c>
      <c r="G24" s="89">
        <v>4976.3</v>
      </c>
      <c r="H24" s="89">
        <v>3717.1</v>
      </c>
      <c r="I24" s="89"/>
      <c r="J24" s="89"/>
      <c r="K24" s="89"/>
      <c r="L24" s="89"/>
      <c r="M24" s="11"/>
      <c r="N24" s="11"/>
      <c r="O24" s="42" t="s">
        <v>35</v>
      </c>
      <c r="P24" s="43">
        <v>7.9799999999999996E-2</v>
      </c>
      <c r="Q24" s="44">
        <f>D9/AVERAGE(C21:D21)</f>
        <v>7.4641260955465513E-2</v>
      </c>
      <c r="R24" s="44">
        <f>E9/AVERAGE(D21:E21)</f>
        <v>8.5990113542800894E-2</v>
      </c>
      <c r="S24" s="44">
        <f>F9/AVERAGE(E21:F21)</f>
        <v>8.2288469923580673E-2</v>
      </c>
      <c r="T24" s="44">
        <f>G9/AVERAGE(F21:G21)</f>
        <v>7.0386190576224555E-2</v>
      </c>
      <c r="U24" s="44">
        <f>H9/AVERAGE(G21:H21)</f>
        <v>7.0001953199982439E-2</v>
      </c>
      <c r="V24" s="18"/>
      <c r="W24" s="18"/>
      <c r="X24" s="18"/>
      <c r="Y24" s="18"/>
    </row>
    <row r="25" spans="1:25" x14ac:dyDescent="0.25">
      <c r="A25" s="6" t="s">
        <v>60</v>
      </c>
      <c r="B25" s="10"/>
      <c r="C25" s="10"/>
      <c r="D25" s="89">
        <v>3920.7</v>
      </c>
      <c r="E25" s="89">
        <v>3966.47</v>
      </c>
      <c r="F25" s="89">
        <v>2433.88</v>
      </c>
      <c r="G25" s="89">
        <v>2085.9499999999998</v>
      </c>
      <c r="H25" s="89">
        <v>1507.08</v>
      </c>
      <c r="I25" s="89"/>
      <c r="J25" s="89"/>
      <c r="K25" s="89"/>
      <c r="L25" s="89"/>
      <c r="M25" s="11"/>
      <c r="N25" s="11"/>
      <c r="O25" s="42" t="s">
        <v>36</v>
      </c>
      <c r="P25" s="43">
        <v>9.4600000000000004E-2</v>
      </c>
      <c r="Q25" s="48">
        <f>Q23-Q24</f>
        <v>5.7972723721140526E-2</v>
      </c>
      <c r="R25" s="48">
        <f>R23-R24</f>
        <v>6.2070651382020448E-2</v>
      </c>
      <c r="S25" s="48">
        <f>S23-S24</f>
        <v>6.5207332784002717E-2</v>
      </c>
      <c r="T25" s="48">
        <f>T23-T24</f>
        <v>6.5975189514613758E-2</v>
      </c>
      <c r="U25" s="48">
        <f>U23-U24</f>
        <v>6.335034808108532E-2</v>
      </c>
      <c r="V25" s="18"/>
      <c r="W25" s="18"/>
      <c r="X25" s="18"/>
      <c r="Y25" s="18"/>
    </row>
  </sheetData>
  <mergeCells count="2">
    <mergeCell ref="A2:A4"/>
    <mergeCell ref="J1:L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40"/>
  <sheetViews>
    <sheetView topLeftCell="X1" workbookViewId="0">
      <selection activeCell="AG16" sqref="AG16:AH16"/>
    </sheetView>
  </sheetViews>
  <sheetFormatPr defaultRowHeight="15" x14ac:dyDescent="0.25"/>
  <cols>
    <col min="1" max="1" width="31.140625" customWidth="1"/>
    <col min="4" max="4" width="12.85546875" customWidth="1"/>
    <col min="5" max="5" width="13.7109375" customWidth="1"/>
    <col min="6" max="9" width="11.7109375" customWidth="1"/>
    <col min="10" max="10" width="10" customWidth="1"/>
    <col min="11" max="14" width="10.140625" bestFit="1" customWidth="1"/>
    <col min="15" max="15" width="10.140625" customWidth="1"/>
    <col min="16" max="16" width="11.28515625" bestFit="1" customWidth="1"/>
    <col min="17" max="17" width="11.28515625" customWidth="1"/>
    <col min="19" max="19" width="33.42578125" customWidth="1"/>
    <col min="20" max="21" width="14.85546875" customWidth="1"/>
    <col min="22" max="22" width="15" customWidth="1"/>
    <col min="23" max="23" width="12.7109375" customWidth="1"/>
    <col min="24" max="26" width="15.710937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113</v>
      </c>
      <c r="L1" s="772"/>
      <c r="M1" s="772"/>
    </row>
    <row r="2" spans="1:44" ht="22.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649</v>
      </c>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L2" s="403"/>
      <c r="AM2" s="403"/>
      <c r="AN2" s="403"/>
      <c r="AO2" s="403"/>
      <c r="AP2" s="403"/>
    </row>
    <row r="3" spans="1:44"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v>0.1046</v>
      </c>
      <c r="U3" s="44">
        <f t="shared" ref="U3:Z3" si="0">D10/AVERAGE(C23:D23)</f>
        <v>7.4606881157708652E-2</v>
      </c>
      <c r="V3" s="44">
        <f t="shared" si="0"/>
        <v>7.8153989996648271E-2</v>
      </c>
      <c r="W3" s="44">
        <f t="shared" si="0"/>
        <v>4.8960732977403193E-2</v>
      </c>
      <c r="X3" s="44">
        <f t="shared" si="0"/>
        <v>4.6973392207882936E-2</v>
      </c>
      <c r="Y3" s="44">
        <f t="shared" si="0"/>
        <v>4.2420308311702883E-2</v>
      </c>
      <c r="Z3" s="44">
        <f t="shared" si="0"/>
        <v>6.1951255054828958E-2</v>
      </c>
      <c r="AA3" s="44">
        <f t="shared" ref="AA3:AH3" si="1">(J10*4)/J23</f>
        <v>6.2559295630654529E-2</v>
      </c>
      <c r="AB3" s="44">
        <f t="shared" si="1"/>
        <v>6.4239955679362026E-2</v>
      </c>
      <c r="AC3" s="44">
        <f t="shared" si="1"/>
        <v>5.6520660707582646E-2</v>
      </c>
      <c r="AD3" s="44">
        <f t="shared" si="1"/>
        <v>6.286176001365483E-2</v>
      </c>
      <c r="AE3" s="44">
        <f t="shared" si="1"/>
        <v>5.8592144064398576E-2</v>
      </c>
      <c r="AF3" s="44">
        <f t="shared" si="1"/>
        <v>6.5157713318174451E-2</v>
      </c>
      <c r="AG3" s="44">
        <f t="shared" si="1"/>
        <v>6.5594963606509474E-2</v>
      </c>
      <c r="AH3" s="44">
        <f t="shared" si="1"/>
        <v>6.971961608719407E-2</v>
      </c>
      <c r="AI3" s="464"/>
      <c r="AJ3" s="741" t="s">
        <v>624</v>
      </c>
      <c r="AK3" s="742"/>
      <c r="AL3" s="404" t="s">
        <v>625</v>
      </c>
      <c r="AM3" s="404" t="s">
        <v>626</v>
      </c>
      <c r="AN3" s="404" t="s">
        <v>627</v>
      </c>
      <c r="AO3" s="404" t="s">
        <v>628</v>
      </c>
      <c r="AP3" s="404" t="s">
        <v>629</v>
      </c>
      <c r="AQ3" s="404" t="s">
        <v>630</v>
      </c>
      <c r="AR3" s="404" t="s">
        <v>631</v>
      </c>
    </row>
    <row r="4" spans="1:44"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D5" s="85">
        <v>57233.34</v>
      </c>
      <c r="E5" s="90">
        <v>68239.78</v>
      </c>
      <c r="F5">
        <v>59324.71</v>
      </c>
      <c r="G5">
        <v>65594.47</v>
      </c>
      <c r="H5">
        <v>94609</v>
      </c>
      <c r="I5">
        <v>121715</v>
      </c>
      <c r="J5" s="85">
        <v>27855</v>
      </c>
      <c r="K5" s="85">
        <v>29582</v>
      </c>
      <c r="L5" s="85">
        <v>32364</v>
      </c>
      <c r="M5" s="85">
        <v>32810</v>
      </c>
      <c r="N5" s="11">
        <v>26674</v>
      </c>
      <c r="O5" s="11">
        <v>34592</v>
      </c>
      <c r="P5" s="11">
        <v>36505</v>
      </c>
      <c r="Q5" s="11">
        <v>38971</v>
      </c>
      <c r="R5" s="11"/>
      <c r="S5" s="42" t="s">
        <v>13</v>
      </c>
      <c r="T5" s="46">
        <v>4.2699999999999996</v>
      </c>
      <c r="U5" s="47">
        <f t="shared" ref="U5:Z5" si="2">D21/D20</f>
        <v>2.2198394842039662</v>
      </c>
      <c r="V5" s="47">
        <f t="shared" si="2"/>
        <v>2.4839418742791568</v>
      </c>
      <c r="W5" s="47">
        <f t="shared" si="2"/>
        <v>2.8090752379796595</v>
      </c>
      <c r="X5" s="47">
        <f t="shared" si="2"/>
        <v>3.2343198146032424</v>
      </c>
      <c r="Y5" s="47">
        <f t="shared" si="2"/>
        <v>3.8768703552429717</v>
      </c>
      <c r="Z5" s="47">
        <f t="shared" si="2"/>
        <v>3.98501379341534</v>
      </c>
      <c r="AA5" s="47"/>
      <c r="AB5" s="47">
        <f>K21/K20</f>
        <v>4.06515514736087</v>
      </c>
      <c r="AC5" s="47"/>
      <c r="AD5" s="47">
        <f>M21/M20</f>
        <v>3.98501379341534</v>
      </c>
      <c r="AE5" s="47">
        <f>N21/N20</f>
        <v>3.8768703552429717</v>
      </c>
      <c r="AF5" s="47"/>
      <c r="AG5" s="47">
        <f>P21/P20</f>
        <v>3.2394440983531161</v>
      </c>
      <c r="AH5" s="465"/>
      <c r="AI5" s="465"/>
      <c r="AJ5" s="406" t="s">
        <v>632</v>
      </c>
      <c r="AK5" s="406" t="s">
        <v>557</v>
      </c>
      <c r="AL5" s="745" t="s">
        <v>633</v>
      </c>
      <c r="AM5" s="745"/>
      <c r="AN5" s="745"/>
      <c r="AO5" s="745"/>
      <c r="AP5" s="745"/>
      <c r="AQ5" s="745"/>
      <c r="AR5" s="745"/>
    </row>
    <row r="6" spans="1:44" x14ac:dyDescent="0.25">
      <c r="A6" s="6" t="s">
        <v>50</v>
      </c>
      <c r="B6" s="7"/>
      <c r="C6" s="8"/>
      <c r="D6" s="87">
        <v>44425.83</v>
      </c>
      <c r="E6" s="85">
        <v>52821.760000000002</v>
      </c>
      <c r="F6" s="85">
        <v>43935.16</v>
      </c>
      <c r="G6" s="85">
        <v>51586.89</v>
      </c>
      <c r="H6" s="85">
        <v>69678</v>
      </c>
      <c r="I6" s="85">
        <v>102228</v>
      </c>
      <c r="J6" s="85">
        <v>23623</v>
      </c>
      <c r="K6" s="85">
        <v>24904</v>
      </c>
      <c r="L6" s="85">
        <v>27028</v>
      </c>
      <c r="M6" s="85">
        <v>27569</v>
      </c>
      <c r="N6" s="11">
        <v>23008</v>
      </c>
      <c r="O6" s="11">
        <v>29516</v>
      </c>
      <c r="P6" s="11">
        <v>30783</v>
      </c>
      <c r="Q6" s="11">
        <v>33320</v>
      </c>
      <c r="R6" s="11"/>
      <c r="S6" s="42" t="s">
        <v>14</v>
      </c>
      <c r="T6" s="43"/>
      <c r="U6" s="43">
        <v>0.2913</v>
      </c>
      <c r="V6" s="43">
        <v>0.31969999999999998</v>
      </c>
      <c r="W6" s="43">
        <v>0.26850000000000002</v>
      </c>
      <c r="X6" s="48">
        <v>0.26350000000000001</v>
      </c>
      <c r="Y6" s="48">
        <v>0.2525</v>
      </c>
      <c r="Z6" s="48">
        <v>0.24049999999999999</v>
      </c>
      <c r="AA6" s="48"/>
      <c r="AB6" s="48">
        <v>0.25169999999999998</v>
      </c>
      <c r="AC6" s="48">
        <v>0.2447</v>
      </c>
      <c r="AD6" s="48">
        <v>0.24049999999999999</v>
      </c>
      <c r="AF6" s="80">
        <v>0.28589999999999999</v>
      </c>
      <c r="AG6" s="80">
        <v>0.26519999999999999</v>
      </c>
      <c r="AH6" s="80">
        <v>0.25340000000000001</v>
      </c>
      <c r="AI6" s="80"/>
      <c r="AJ6" s="392">
        <v>1</v>
      </c>
      <c r="AK6" s="108" t="s">
        <v>646</v>
      </c>
      <c r="AL6" s="418">
        <v>6.2899999999999998E-2</v>
      </c>
      <c r="AM6" s="418">
        <v>5.6500000000000002E-2</v>
      </c>
      <c r="AN6" s="81"/>
      <c r="AO6" s="81"/>
      <c r="AP6" s="417">
        <v>5.8599999999999999E-2</v>
      </c>
      <c r="AQ6" s="417">
        <v>6.2E-2</v>
      </c>
      <c r="AR6" s="417">
        <v>4.24E-2</v>
      </c>
    </row>
    <row r="7" spans="1:44" x14ac:dyDescent="0.25">
      <c r="A7" s="6" t="s">
        <v>51</v>
      </c>
      <c r="B7" s="7"/>
      <c r="C7" s="8"/>
      <c r="D7" s="87"/>
      <c r="E7" s="85"/>
      <c r="F7" s="85">
        <v>0</v>
      </c>
      <c r="G7" s="85">
        <v>0</v>
      </c>
      <c r="H7" s="85"/>
      <c r="I7" s="85"/>
      <c r="J7" s="85"/>
      <c r="K7" s="85"/>
      <c r="L7" s="85"/>
      <c r="M7" s="85"/>
      <c r="N7" s="11"/>
      <c r="O7" s="11"/>
      <c r="P7" s="11"/>
      <c r="Q7" s="11"/>
      <c r="R7" s="11"/>
      <c r="S7" s="42" t="s">
        <v>15</v>
      </c>
      <c r="T7" s="43">
        <v>0.19719999999999999</v>
      </c>
      <c r="U7" s="44">
        <f t="shared" ref="U7:Z7" si="3">D20/D23</f>
        <v>0.28268030731603544</v>
      </c>
      <c r="V7" s="44">
        <f t="shared" si="3"/>
        <v>0.311200403048075</v>
      </c>
      <c r="W7" s="44">
        <f t="shared" si="3"/>
        <v>0.30815437774333304</v>
      </c>
      <c r="X7" s="44">
        <f t="shared" si="3"/>
        <v>0.28731387412993409</v>
      </c>
      <c r="Y7" s="44">
        <f t="shared" si="3"/>
        <v>0.25474690772143355</v>
      </c>
      <c r="Z7" s="44">
        <f t="shared" si="3"/>
        <v>0.24349640666058256</v>
      </c>
      <c r="AA7" s="18"/>
      <c r="AB7" s="18"/>
      <c r="AC7" s="18"/>
      <c r="AD7" s="18"/>
      <c r="AJ7" s="392">
        <v>2</v>
      </c>
      <c r="AK7" s="108" t="s">
        <v>634</v>
      </c>
      <c r="AL7" s="410">
        <v>68.05</v>
      </c>
      <c r="AM7" s="410">
        <v>62.44</v>
      </c>
      <c r="AN7" s="410">
        <v>60.01</v>
      </c>
      <c r="AO7" s="410">
        <v>57.25</v>
      </c>
      <c r="AP7" s="81"/>
      <c r="AQ7" s="411">
        <v>247.75</v>
      </c>
      <c r="AR7" s="412">
        <v>200.96</v>
      </c>
    </row>
    <row r="8" spans="1:44" x14ac:dyDescent="0.25">
      <c r="A8" s="6" t="s">
        <v>52</v>
      </c>
      <c r="B8" s="7"/>
      <c r="C8" s="8"/>
      <c r="D8" s="85">
        <f t="shared" ref="D8:Q8" si="4">D5-D6-D7</f>
        <v>12807.509999999995</v>
      </c>
      <c r="E8" s="85">
        <f t="shared" si="4"/>
        <v>15418.019999999997</v>
      </c>
      <c r="F8" s="85">
        <f t="shared" si="4"/>
        <v>15389.549999999996</v>
      </c>
      <c r="G8" s="85">
        <f t="shared" si="4"/>
        <v>14007.580000000002</v>
      </c>
      <c r="H8" s="85">
        <f t="shared" si="4"/>
        <v>24931</v>
      </c>
      <c r="I8" s="85">
        <f t="shared" si="4"/>
        <v>19487</v>
      </c>
      <c r="J8" s="85">
        <f t="shared" si="4"/>
        <v>4232</v>
      </c>
      <c r="K8" s="85">
        <f t="shared" si="4"/>
        <v>4678</v>
      </c>
      <c r="L8" s="85">
        <f t="shared" si="4"/>
        <v>5336</v>
      </c>
      <c r="M8" s="85">
        <f t="shared" si="4"/>
        <v>5241</v>
      </c>
      <c r="N8" s="85">
        <f t="shared" si="4"/>
        <v>3666</v>
      </c>
      <c r="O8" s="85">
        <f t="shared" si="4"/>
        <v>5076</v>
      </c>
      <c r="P8" s="85">
        <f t="shared" si="4"/>
        <v>5722</v>
      </c>
      <c r="Q8" s="85">
        <f t="shared" si="4"/>
        <v>5651</v>
      </c>
      <c r="R8" s="11"/>
      <c r="S8" s="40" t="s">
        <v>16</v>
      </c>
      <c r="T8" s="45"/>
      <c r="U8" s="45"/>
      <c r="V8" s="45"/>
      <c r="W8" s="46" t="s">
        <v>5</v>
      </c>
      <c r="X8" s="18"/>
      <c r="Y8" s="18"/>
      <c r="Z8" s="18"/>
      <c r="AA8" s="18"/>
      <c r="AB8" s="18"/>
      <c r="AC8" s="18"/>
      <c r="AD8" s="18"/>
      <c r="AJ8" s="392">
        <v>3</v>
      </c>
      <c r="AK8" s="108" t="s">
        <v>635</v>
      </c>
      <c r="AL8" s="417">
        <v>2.2499999999999999E-2</v>
      </c>
      <c r="AM8" s="417">
        <v>2.23E-2</v>
      </c>
      <c r="AN8" s="81"/>
      <c r="AO8" s="81"/>
      <c r="AP8" s="417">
        <v>2.2499999999999999E-2</v>
      </c>
      <c r="AQ8" s="417">
        <v>2.2499999999999999E-2</v>
      </c>
      <c r="AR8" s="417">
        <v>2.2499999999999999E-2</v>
      </c>
    </row>
    <row r="9" spans="1:44" ht="22.5" x14ac:dyDescent="0.25">
      <c r="A9" s="6" t="s">
        <v>24</v>
      </c>
      <c r="B9" s="7"/>
      <c r="C9" s="7"/>
      <c r="D9" s="88">
        <v>20413.330000000002</v>
      </c>
      <c r="E9" s="85">
        <v>27201.7</v>
      </c>
      <c r="F9" s="85">
        <v>26449.08</v>
      </c>
      <c r="G9" s="85">
        <v>31953.79</v>
      </c>
      <c r="H9" s="85">
        <v>47482</v>
      </c>
      <c r="I9" s="85">
        <v>61416</v>
      </c>
      <c r="J9" s="85">
        <v>14276</v>
      </c>
      <c r="K9" s="85">
        <v>14613</v>
      </c>
      <c r="L9" s="85">
        <v>16375</v>
      </c>
      <c r="M9" s="85">
        <v>16152</v>
      </c>
      <c r="N9" s="11">
        <v>14350</v>
      </c>
      <c r="O9" s="11">
        <v>17144</v>
      </c>
      <c r="P9" s="11">
        <v>17540</v>
      </c>
      <c r="Q9" s="11">
        <v>18454</v>
      </c>
      <c r="R9" s="11"/>
      <c r="S9" s="49" t="s">
        <v>93</v>
      </c>
      <c r="T9" s="45"/>
      <c r="U9" s="45"/>
      <c r="V9" s="50">
        <f>E14/(E11-E9)</f>
        <v>0.21897759349365273</v>
      </c>
      <c r="W9" s="50">
        <f>F14/(F11-F9)</f>
        <v>0.17674155597930746</v>
      </c>
      <c r="X9" s="50">
        <f>G14/(G11-G9)</f>
        <v>0.27391836312464551</v>
      </c>
      <c r="Y9" s="50">
        <f>H14/(H11-H9)</f>
        <v>0.33222993188617989</v>
      </c>
      <c r="Z9" s="50">
        <f>I14/(I11-I9)</f>
        <v>0.31416773080813942</v>
      </c>
      <c r="AA9" s="50"/>
      <c r="AB9" s="18"/>
      <c r="AC9" s="18"/>
      <c r="AD9" s="18"/>
      <c r="AJ9" s="392">
        <v>4</v>
      </c>
      <c r="AK9" s="108" t="s">
        <v>636</v>
      </c>
      <c r="AL9" s="417">
        <v>1.15E-2</v>
      </c>
      <c r="AM9" s="417">
        <v>1.4800000000000001E-2</v>
      </c>
      <c r="AN9" s="81"/>
      <c r="AO9" s="81"/>
      <c r="AP9" s="417">
        <v>1.34E-2</v>
      </c>
      <c r="AQ9" s="417">
        <v>1.15E-2</v>
      </c>
      <c r="AR9" s="417">
        <v>1.34E-2</v>
      </c>
    </row>
    <row r="10" spans="1:44" ht="22.5" x14ac:dyDescent="0.25">
      <c r="A10" s="6" t="s">
        <v>53</v>
      </c>
      <c r="B10" s="10">
        <f t="shared" ref="B10:K10" si="5">B6-B9</f>
        <v>0</v>
      </c>
      <c r="C10" s="10">
        <f t="shared" si="5"/>
        <v>0</v>
      </c>
      <c r="D10" s="89">
        <f t="shared" si="5"/>
        <v>24012.5</v>
      </c>
      <c r="E10" s="89">
        <f t="shared" si="5"/>
        <v>25620.06</v>
      </c>
      <c r="F10" s="89">
        <f t="shared" si="5"/>
        <v>17486.080000000002</v>
      </c>
      <c r="G10" s="89">
        <f t="shared" si="5"/>
        <v>19633.099999999999</v>
      </c>
      <c r="H10" s="89">
        <f>H6-H9</f>
        <v>22196</v>
      </c>
      <c r="I10" s="89">
        <f>I6-I9</f>
        <v>40812</v>
      </c>
      <c r="J10" s="89">
        <f t="shared" si="5"/>
        <v>9347</v>
      </c>
      <c r="K10" s="89">
        <f t="shared" si="5"/>
        <v>10291</v>
      </c>
      <c r="L10" s="89">
        <f t="shared" ref="L10:Q10" si="6">L6-L9</f>
        <v>10653</v>
      </c>
      <c r="M10" s="89">
        <f t="shared" si="6"/>
        <v>11417</v>
      </c>
      <c r="N10" s="89">
        <f t="shared" si="6"/>
        <v>8658</v>
      </c>
      <c r="O10" s="89">
        <f t="shared" si="6"/>
        <v>12372</v>
      </c>
      <c r="P10" s="89">
        <f t="shared" si="6"/>
        <v>13243</v>
      </c>
      <c r="Q10" s="89">
        <f t="shared" si="6"/>
        <v>14866</v>
      </c>
      <c r="R10" s="11"/>
      <c r="S10" s="42" t="s">
        <v>92</v>
      </c>
      <c r="T10" s="43">
        <v>0.39960000000000001</v>
      </c>
      <c r="U10" s="44">
        <f t="shared" ref="U10:Z10" si="7">D14/D11</f>
        <v>0.13976136985889695</v>
      </c>
      <c r="V10" s="44">
        <f t="shared" si="7"/>
        <v>0.13168887707433993</v>
      </c>
      <c r="W10" s="44">
        <f t="shared" si="7"/>
        <v>9.7943841613385041E-2</v>
      </c>
      <c r="X10" s="44">
        <f t="shared" si="7"/>
        <v>0.14048135460199615</v>
      </c>
      <c r="Y10" s="44">
        <f t="shared" si="7"/>
        <v>0.16549165512794767</v>
      </c>
      <c r="Z10" s="44">
        <f t="shared" si="7"/>
        <v>0.15564227909460626</v>
      </c>
      <c r="AA10" s="18"/>
      <c r="AB10" s="18"/>
      <c r="AC10" s="18"/>
      <c r="AD10" s="18"/>
      <c r="AJ10" s="392">
        <v>5</v>
      </c>
      <c r="AK10" s="108" t="s">
        <v>637</v>
      </c>
      <c r="AL10" s="417">
        <v>1.18E-2</v>
      </c>
      <c r="AM10" s="417">
        <v>1.3599999999999999E-2</v>
      </c>
      <c r="AN10" s="81"/>
      <c r="AO10" s="81"/>
      <c r="AP10" s="417">
        <v>1.23E-2</v>
      </c>
      <c r="AQ10" s="417">
        <v>1.3599999999999999E-2</v>
      </c>
      <c r="AR10" s="417">
        <v>1.01E-2</v>
      </c>
    </row>
    <row r="11" spans="1:44" ht="30" x14ac:dyDescent="0.25">
      <c r="A11" s="6" t="s">
        <v>1</v>
      </c>
      <c r="B11" s="10">
        <f>B5-B9</f>
        <v>0</v>
      </c>
      <c r="C11" s="10">
        <f t="shared" ref="C11:K11" si="8">SUM(C6:C8)</f>
        <v>0</v>
      </c>
      <c r="D11" s="89">
        <f t="shared" si="8"/>
        <v>57233.34</v>
      </c>
      <c r="E11" s="89">
        <f t="shared" si="8"/>
        <v>68239.78</v>
      </c>
      <c r="F11" s="89">
        <f>SUM(F6:F8)</f>
        <v>59324.71</v>
      </c>
      <c r="G11" s="89">
        <f>SUM(G6:G8)</f>
        <v>65594.47</v>
      </c>
      <c r="H11" s="89">
        <f>SUM(H6:H8)</f>
        <v>94609</v>
      </c>
      <c r="I11" s="89">
        <f>SUM(I6:I8)</f>
        <v>121715</v>
      </c>
      <c r="J11" s="89">
        <f t="shared" si="8"/>
        <v>27855</v>
      </c>
      <c r="K11" s="89">
        <f t="shared" si="8"/>
        <v>29582</v>
      </c>
      <c r="L11" s="89">
        <f t="shared" ref="L11:Q11" si="9">SUM(L6:L8)</f>
        <v>32364</v>
      </c>
      <c r="M11" s="89">
        <f t="shared" si="9"/>
        <v>32810</v>
      </c>
      <c r="N11" s="89">
        <f t="shared" si="9"/>
        <v>26674</v>
      </c>
      <c r="O11" s="89">
        <f t="shared" si="9"/>
        <v>34592</v>
      </c>
      <c r="P11" s="89">
        <f t="shared" si="9"/>
        <v>36505</v>
      </c>
      <c r="Q11" s="89">
        <f t="shared" si="9"/>
        <v>38971</v>
      </c>
      <c r="R11" s="11"/>
      <c r="S11" s="42" t="s">
        <v>17</v>
      </c>
      <c r="T11" s="43">
        <v>5.4600000000000003E-2</v>
      </c>
      <c r="U11" s="44">
        <f t="shared" ref="U11:Z11" si="10">D14/AVERAGE(C22:D22)</f>
        <v>2.1598213995452368E-2</v>
      </c>
      <c r="V11" s="44">
        <f t="shared" si="10"/>
        <v>2.1757976630831642E-2</v>
      </c>
      <c r="W11" s="44">
        <f t="shared" si="10"/>
        <v>1.1938065771140691E-2</v>
      </c>
      <c r="X11" s="44">
        <f t="shared" si="10"/>
        <v>1.6378062297564801E-2</v>
      </c>
      <c r="Y11" s="44">
        <f t="shared" si="10"/>
        <v>2.2771274589044269E-2</v>
      </c>
      <c r="Z11" s="44">
        <f t="shared" si="10"/>
        <v>2.2571512996730561E-2</v>
      </c>
      <c r="AA11" s="18"/>
      <c r="AB11" s="18"/>
      <c r="AC11" s="18"/>
      <c r="AD11" s="18"/>
      <c r="AJ11" s="392">
        <v>6</v>
      </c>
      <c r="AK11" s="413" t="s">
        <v>638</v>
      </c>
      <c r="AL11" s="410">
        <v>531.42999999999995</v>
      </c>
      <c r="AM11" s="81"/>
      <c r="AN11" s="81"/>
      <c r="AO11" s="81"/>
      <c r="AP11" s="81"/>
      <c r="AQ11" s="408"/>
      <c r="AR11" s="408"/>
    </row>
    <row r="12" spans="1:44" ht="30" x14ac:dyDescent="0.25">
      <c r="A12" s="6" t="s">
        <v>91</v>
      </c>
      <c r="B12" s="10"/>
      <c r="C12" s="10"/>
      <c r="D12" s="89">
        <v>24.68</v>
      </c>
      <c r="E12" s="89">
        <v>71.75</v>
      </c>
      <c r="F12" s="89">
        <v>64.19</v>
      </c>
      <c r="G12" s="89">
        <v>150.58000000000001</v>
      </c>
      <c r="H12" s="89">
        <v>300</v>
      </c>
      <c r="I12" s="89">
        <v>742</v>
      </c>
      <c r="J12" s="89">
        <v>152</v>
      </c>
      <c r="K12" s="89">
        <v>234</v>
      </c>
      <c r="L12" s="89">
        <v>213</v>
      </c>
      <c r="M12" s="89">
        <v>143</v>
      </c>
      <c r="N12" s="11">
        <v>108</v>
      </c>
      <c r="O12" s="11">
        <v>58</v>
      </c>
      <c r="P12" s="11">
        <v>190</v>
      </c>
      <c r="Q12" s="11">
        <v>38</v>
      </c>
      <c r="R12" s="11"/>
      <c r="S12" s="40" t="s">
        <v>18</v>
      </c>
      <c r="T12" s="45"/>
      <c r="U12" s="45"/>
      <c r="V12" s="45"/>
      <c r="W12" s="46" t="s">
        <v>5</v>
      </c>
      <c r="X12" s="18"/>
      <c r="Y12" s="18"/>
      <c r="Z12" s="18"/>
      <c r="AA12" s="18"/>
      <c r="AB12" s="18"/>
      <c r="AC12" s="53"/>
      <c r="AD12" s="54"/>
      <c r="AJ12" s="392">
        <v>7</v>
      </c>
      <c r="AK12" s="413" t="s">
        <v>639</v>
      </c>
      <c r="AL12" s="410">
        <v>485.74</v>
      </c>
      <c r="AM12" s="81"/>
      <c r="AN12" s="81"/>
      <c r="AO12" s="81"/>
      <c r="AP12" s="81"/>
      <c r="AQ12" s="408"/>
      <c r="AR12" s="408"/>
    </row>
    <row r="13" spans="1:44" x14ac:dyDescent="0.25">
      <c r="A13" s="6" t="s">
        <v>25</v>
      </c>
      <c r="B13" s="7"/>
      <c r="C13" s="7"/>
      <c r="D13" s="88">
        <f t="shared" ref="D13:Q13" si="11">D11+D12</f>
        <v>57258.02</v>
      </c>
      <c r="E13" s="88">
        <f t="shared" si="11"/>
        <v>68311.53</v>
      </c>
      <c r="F13" s="88">
        <f t="shared" si="11"/>
        <v>59388.9</v>
      </c>
      <c r="G13" s="88">
        <f t="shared" si="11"/>
        <v>65745.05</v>
      </c>
      <c r="H13" s="88">
        <f t="shared" si="11"/>
        <v>94909</v>
      </c>
      <c r="I13" s="88">
        <f t="shared" si="11"/>
        <v>122457</v>
      </c>
      <c r="J13" s="88">
        <f t="shared" si="11"/>
        <v>28007</v>
      </c>
      <c r="K13" s="88">
        <f t="shared" si="11"/>
        <v>29816</v>
      </c>
      <c r="L13" s="88">
        <f t="shared" si="11"/>
        <v>32577</v>
      </c>
      <c r="M13" s="88">
        <f t="shared" si="11"/>
        <v>32953</v>
      </c>
      <c r="N13" s="88">
        <f t="shared" si="11"/>
        <v>26782</v>
      </c>
      <c r="O13" s="88">
        <f t="shared" si="11"/>
        <v>34650</v>
      </c>
      <c r="P13" s="88">
        <f t="shared" si="11"/>
        <v>36695</v>
      </c>
      <c r="Q13" s="88">
        <f t="shared" si="11"/>
        <v>39009</v>
      </c>
      <c r="R13" s="11"/>
      <c r="S13" s="42" t="s">
        <v>19</v>
      </c>
      <c r="T13" s="43">
        <v>1.52E-2</v>
      </c>
      <c r="U13" s="44">
        <f t="shared" ref="U13:Z13" si="12">D24/D23</f>
        <v>2.0442829162530343E-2</v>
      </c>
      <c r="V13" s="44">
        <f t="shared" si="12"/>
        <v>1.8850484887255117E-2</v>
      </c>
      <c r="W13" s="44">
        <f t="shared" si="12"/>
        <v>1.6931072598231758E-2</v>
      </c>
      <c r="X13" s="44">
        <f t="shared" si="12"/>
        <v>2.3032825960028622E-2</v>
      </c>
      <c r="Y13" s="44">
        <f t="shared" si="12"/>
        <v>2.2450847532183214E-2</v>
      </c>
      <c r="Z13" s="44">
        <f t="shared" si="12"/>
        <v>0</v>
      </c>
      <c r="AA13" s="48">
        <v>2.1299999999999999E-2</v>
      </c>
      <c r="AB13" s="48">
        <v>2.1700000000000001E-2</v>
      </c>
      <c r="AC13" s="48">
        <v>2.23E-2</v>
      </c>
      <c r="AD13" s="48">
        <v>2.2499999999999999E-2</v>
      </c>
      <c r="AE13" s="402"/>
      <c r="AF13" s="437">
        <v>2.29E-2</v>
      </c>
      <c r="AG13" s="80">
        <v>2.3599999999999999E-2</v>
      </c>
      <c r="AH13" s="80">
        <v>2.41E-2</v>
      </c>
      <c r="AI13" s="80"/>
      <c r="AJ13" s="392">
        <v>8</v>
      </c>
      <c r="AK13" s="108" t="s">
        <v>640</v>
      </c>
      <c r="AL13" s="419">
        <f>AL11/AL12</f>
        <v>1.0940626672705562</v>
      </c>
      <c r="AM13" s="81"/>
      <c r="AN13" s="81"/>
      <c r="AO13" s="81"/>
      <c r="AP13" s="81"/>
      <c r="AQ13" s="81"/>
      <c r="AR13" s="81"/>
    </row>
    <row r="14" spans="1:44" x14ac:dyDescent="0.25">
      <c r="A14" s="6" t="s">
        <v>26</v>
      </c>
      <c r="B14" s="7"/>
      <c r="C14" s="7"/>
      <c r="D14" s="85">
        <f>404.35+4714.63+128.7+2751.33</f>
        <v>7999.01</v>
      </c>
      <c r="E14" s="85">
        <f>601.88+5240.79+231.51+2912.24</f>
        <v>8986.42</v>
      </c>
      <c r="F14" s="85">
        <f>624.36+2972.89+212.98+2000.26</f>
        <v>5810.49</v>
      </c>
      <c r="G14" s="85">
        <f>2309.41+4223.02+177.61+2504.76</f>
        <v>9214.7999999999993</v>
      </c>
      <c r="H14" s="85">
        <f>5724+6249+240+3444</f>
        <v>15657</v>
      </c>
      <c r="I14" s="85">
        <f>4880+8705+381+4978</f>
        <v>18944</v>
      </c>
      <c r="J14" s="85">
        <f>1522+1791+77+878</f>
        <v>4268</v>
      </c>
      <c r="K14" s="85">
        <f>1539+2061+91+1152</f>
        <v>4843</v>
      </c>
      <c r="L14" s="85">
        <f>1527+2248+107+1297</f>
        <v>5179</v>
      </c>
      <c r="M14" s="85">
        <f>1188+2605+106+1651</f>
        <v>5550</v>
      </c>
      <c r="N14" s="11">
        <f>783+1738+66+980</f>
        <v>3567</v>
      </c>
      <c r="O14" s="11">
        <f>1125+2668+111+1769</f>
        <v>5673</v>
      </c>
      <c r="P14" s="11">
        <f>1606+2808+119+1783</f>
        <v>6316</v>
      </c>
      <c r="Q14" s="11">
        <f>1850+2870+127+1881</f>
        <v>6728</v>
      </c>
      <c r="R14" s="11"/>
      <c r="S14" s="42" t="s">
        <v>20</v>
      </c>
      <c r="T14" s="43">
        <v>4.7000000000000002E-3</v>
      </c>
      <c r="U14" s="44">
        <f t="shared" ref="U14:Z14" si="13">D25/D23</f>
        <v>1.623464376002649E-2</v>
      </c>
      <c r="V14" s="44">
        <f t="shared" si="13"/>
        <v>1.3142025311783427E-2</v>
      </c>
      <c r="W14" s="44">
        <f t="shared" si="13"/>
        <v>1.0393589292781804E-2</v>
      </c>
      <c r="X14" s="44">
        <f t="shared" si="13"/>
        <v>1.3217975239503488E-2</v>
      </c>
      <c r="Y14" s="44">
        <f t="shared" si="13"/>
        <v>1.3424828573313775E-2</v>
      </c>
      <c r="Z14" s="44">
        <f t="shared" si="13"/>
        <v>0</v>
      </c>
      <c r="AA14" s="48">
        <v>1.47E-2</v>
      </c>
      <c r="AB14" s="48">
        <v>1.47E-2</v>
      </c>
      <c r="AC14" s="48">
        <v>1.4800000000000001E-2</v>
      </c>
      <c r="AD14" s="48">
        <v>1.15E-2</v>
      </c>
      <c r="AF14" s="80">
        <v>1.52E-2</v>
      </c>
      <c r="AG14" s="80">
        <v>1.5699999999999999E-2</v>
      </c>
      <c r="AH14" s="80">
        <v>1.6199999999999999E-2</v>
      </c>
      <c r="AI14" s="80"/>
      <c r="AJ14" s="392">
        <v>9</v>
      </c>
      <c r="AK14" s="108" t="s">
        <v>641</v>
      </c>
      <c r="AL14" s="417">
        <v>5.4722</v>
      </c>
      <c r="AM14" s="81"/>
      <c r="AN14" s="81"/>
      <c r="AO14" s="81"/>
      <c r="AP14" s="81"/>
      <c r="AQ14" s="408"/>
      <c r="AR14" s="408"/>
    </row>
    <row r="15" spans="1:44" x14ac:dyDescent="0.25">
      <c r="A15" s="6" t="s">
        <v>54</v>
      </c>
      <c r="B15" s="10"/>
      <c r="C15" s="10"/>
      <c r="D15" s="89">
        <f t="shared" ref="D15:K15" si="14">D11-D14</f>
        <v>49234.329999999994</v>
      </c>
      <c r="E15" s="89">
        <f t="shared" si="14"/>
        <v>59253.36</v>
      </c>
      <c r="F15" s="89">
        <f t="shared" si="14"/>
        <v>53514.22</v>
      </c>
      <c r="G15" s="89">
        <f t="shared" si="14"/>
        <v>56379.67</v>
      </c>
      <c r="H15" s="89">
        <f>H11-H14</f>
        <v>78952</v>
      </c>
      <c r="I15" s="89">
        <f>I11-I14</f>
        <v>102771</v>
      </c>
      <c r="J15" s="89">
        <f t="shared" si="14"/>
        <v>23587</v>
      </c>
      <c r="K15" s="89">
        <f t="shared" si="14"/>
        <v>24739</v>
      </c>
      <c r="L15" s="89">
        <f t="shared" ref="L15:Q15" si="15">L11-L14</f>
        <v>27185</v>
      </c>
      <c r="M15" s="89">
        <f t="shared" si="15"/>
        <v>27260</v>
      </c>
      <c r="N15" s="89">
        <f t="shared" si="15"/>
        <v>23107</v>
      </c>
      <c r="O15" s="89">
        <f t="shared" si="15"/>
        <v>28919</v>
      </c>
      <c r="P15" s="89">
        <f t="shared" si="15"/>
        <v>30189</v>
      </c>
      <c r="Q15" s="89">
        <f t="shared" si="15"/>
        <v>32243</v>
      </c>
      <c r="R15" s="11"/>
      <c r="S15" s="42" t="s">
        <v>21</v>
      </c>
      <c r="T15" s="43">
        <v>0.69650000000000001</v>
      </c>
      <c r="U15" s="44">
        <f t="shared" ref="U15:Z15" si="16">(U13-U14)/U13</f>
        <v>0.20585141953918173</v>
      </c>
      <c r="V15" s="44">
        <f t="shared" si="16"/>
        <v>0.30282826195792983</v>
      </c>
      <c r="W15" s="44">
        <f t="shared" si="16"/>
        <v>0.38612339930151346</v>
      </c>
      <c r="X15" s="44">
        <f t="shared" si="16"/>
        <v>0.42612446851106833</v>
      </c>
      <c r="Y15" s="44">
        <f t="shared" si="16"/>
        <v>0.40203466465712134</v>
      </c>
      <c r="Z15" s="44" t="e">
        <f t="shared" si="16"/>
        <v>#DIV/0!</v>
      </c>
      <c r="AA15" s="44"/>
      <c r="AB15" s="18"/>
      <c r="AC15" s="18"/>
      <c r="AD15" s="18"/>
      <c r="AJ15" s="392">
        <v>10</v>
      </c>
      <c r="AK15" s="108" t="s">
        <v>642</v>
      </c>
      <c r="AL15" s="417">
        <v>0.24049999999999999</v>
      </c>
      <c r="AM15" s="81"/>
      <c r="AN15" s="81"/>
      <c r="AO15" s="81"/>
      <c r="AP15" s="81"/>
      <c r="AQ15" s="408"/>
      <c r="AR15" s="408"/>
    </row>
    <row r="16" spans="1:44" x14ac:dyDescent="0.25">
      <c r="A16" s="6" t="s">
        <v>94</v>
      </c>
      <c r="B16" s="10"/>
      <c r="C16" s="10"/>
      <c r="D16" s="89">
        <f t="shared" ref="D16:K16" si="17">D13-D14-D9</f>
        <v>28845.679999999993</v>
      </c>
      <c r="E16" s="89">
        <f t="shared" si="17"/>
        <v>32123.41</v>
      </c>
      <c r="F16" s="89">
        <f t="shared" si="17"/>
        <v>27129.33</v>
      </c>
      <c r="G16" s="89">
        <f t="shared" si="17"/>
        <v>24576.46</v>
      </c>
      <c r="H16" s="89">
        <f>H13-H14-H9</f>
        <v>31770</v>
      </c>
      <c r="I16" s="89">
        <f>I13-I14-I9</f>
        <v>42097</v>
      </c>
      <c r="J16" s="89">
        <f t="shared" si="17"/>
        <v>9463</v>
      </c>
      <c r="K16" s="89">
        <f t="shared" si="17"/>
        <v>10360</v>
      </c>
      <c r="L16" s="89">
        <f t="shared" ref="L16:Q16" si="18">L13-L14-L9</f>
        <v>11023</v>
      </c>
      <c r="M16" s="89">
        <f t="shared" si="18"/>
        <v>11251</v>
      </c>
      <c r="N16" s="89">
        <f t="shared" si="18"/>
        <v>8865</v>
      </c>
      <c r="O16" s="89">
        <f t="shared" si="18"/>
        <v>11833</v>
      </c>
      <c r="P16" s="89">
        <f t="shared" si="18"/>
        <v>12839</v>
      </c>
      <c r="Q16" s="89">
        <f t="shared" si="18"/>
        <v>13827</v>
      </c>
      <c r="R16" s="11"/>
      <c r="S16" s="42" t="s">
        <v>22</v>
      </c>
      <c r="T16" s="43">
        <v>1.5699999999999999E-2</v>
      </c>
      <c r="U16" s="44">
        <f t="shared" ref="U16:Z16" si="19">D17/AVERAGE(C23:D23)</f>
        <v>1.6941642023740662E-2</v>
      </c>
      <c r="V16" s="44">
        <f t="shared" si="19"/>
        <v>2.6465069297824498E-2</v>
      </c>
      <c r="W16" s="44">
        <f t="shared" si="19"/>
        <v>2.1951981517421861E-2</v>
      </c>
      <c r="X16" s="44">
        <f t="shared" si="19"/>
        <v>8.1578200322684705E-3</v>
      </c>
      <c r="Y16" s="44">
        <f t="shared" si="19"/>
        <v>1.0129195983601787E-2</v>
      </c>
      <c r="Z16" s="44">
        <f t="shared" si="19"/>
        <v>1.3593391380378156E-2</v>
      </c>
      <c r="AA16" s="44">
        <f t="shared" ref="AA16:AH16" si="20">(J17*4)/J23</f>
        <v>1.2602883670966349E-2</v>
      </c>
      <c r="AB16" s="44">
        <f t="shared" si="20"/>
        <v>1.4719445679908237E-2</v>
      </c>
      <c r="AC16" s="44">
        <f t="shared" si="20"/>
        <v>1.3646028286858403E-2</v>
      </c>
      <c r="AD16" s="44">
        <f t="shared" si="20"/>
        <v>1.1793806599741495E-2</v>
      </c>
      <c r="AE16" s="44">
        <f t="shared" si="20"/>
        <v>1.2343736518071495E-2</v>
      </c>
      <c r="AF16" s="44">
        <f t="shared" si="20"/>
        <v>1.2608112324903787E-2</v>
      </c>
      <c r="AG16" s="44">
        <f t="shared" si="20"/>
        <v>1.3041723112281162E-2</v>
      </c>
      <c r="AH16" s="44">
        <f t="shared" si="20"/>
        <v>1.5556300723881525E-2</v>
      </c>
      <c r="AI16" s="463"/>
      <c r="AK16" s="414"/>
    </row>
    <row r="17" spans="1:37" x14ac:dyDescent="0.25">
      <c r="A17" s="6" t="s">
        <v>27</v>
      </c>
      <c r="B17" s="7"/>
      <c r="C17" s="7"/>
      <c r="D17" s="88">
        <v>5452.73</v>
      </c>
      <c r="E17" s="85">
        <v>8675.65</v>
      </c>
      <c r="F17" s="85">
        <v>7840.04</v>
      </c>
      <c r="G17" s="85">
        <v>3409.66</v>
      </c>
      <c r="H17" s="85">
        <v>5300</v>
      </c>
      <c r="I17" s="85">
        <v>8955</v>
      </c>
      <c r="J17" s="85">
        <v>1883</v>
      </c>
      <c r="K17" s="85">
        <v>2358</v>
      </c>
      <c r="L17" s="85">
        <v>2572</v>
      </c>
      <c r="M17" s="85">
        <v>2142</v>
      </c>
      <c r="N17" s="11">
        <v>1824</v>
      </c>
      <c r="O17" s="11">
        <v>2394</v>
      </c>
      <c r="P17" s="11">
        <v>2633</v>
      </c>
      <c r="Q17" s="11">
        <v>3317</v>
      </c>
      <c r="R17" s="11"/>
      <c r="S17" s="18"/>
      <c r="T17" s="18"/>
      <c r="U17" s="18"/>
      <c r="V17" s="18"/>
      <c r="W17" s="18"/>
      <c r="X17" s="18"/>
      <c r="Y17" s="18"/>
      <c r="Z17" s="18"/>
      <c r="AA17" s="18"/>
      <c r="AB17" s="18"/>
      <c r="AC17" s="18"/>
      <c r="AD17" s="18"/>
      <c r="AK17" s="415" t="s">
        <v>643</v>
      </c>
    </row>
    <row r="18" spans="1:37" x14ac:dyDescent="0.25">
      <c r="A18" s="6" t="s">
        <v>55</v>
      </c>
      <c r="B18" s="7"/>
      <c r="C18" s="7"/>
      <c r="D18" s="88">
        <v>15211.51</v>
      </c>
      <c r="E18" s="85">
        <v>17821.310000000001</v>
      </c>
      <c r="F18" s="89">
        <v>14350.3</v>
      </c>
      <c r="G18" s="89">
        <v>15782.64</v>
      </c>
      <c r="H18" s="89">
        <v>20096</v>
      </c>
      <c r="I18" s="89">
        <v>24775</v>
      </c>
      <c r="J18" s="89">
        <v>5725</v>
      </c>
      <c r="K18" s="89">
        <v>6001</v>
      </c>
      <c r="L18" s="89">
        <v>6244</v>
      </c>
      <c r="M18" s="89">
        <v>6805</v>
      </c>
      <c r="N18" s="11">
        <v>5555</v>
      </c>
      <c r="O18" s="11">
        <v>7043</v>
      </c>
      <c r="P18" s="11">
        <v>7657</v>
      </c>
      <c r="Q18" s="11">
        <v>7811</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v>90981.7</v>
      </c>
      <c r="E19" s="85">
        <v>103871.4</v>
      </c>
      <c r="F19" s="85">
        <v>117256.87</v>
      </c>
      <c r="G19" s="85">
        <v>130845.87</v>
      </c>
      <c r="H19" s="85">
        <v>150573</v>
      </c>
      <c r="I19" s="85">
        <v>176896</v>
      </c>
      <c r="J19" s="85"/>
      <c r="K19" s="85">
        <v>163103</v>
      </c>
      <c r="L19" s="85"/>
      <c r="M19" s="85">
        <v>176896</v>
      </c>
      <c r="N19" s="85">
        <v>150573</v>
      </c>
      <c r="O19" s="439"/>
      <c r="P19" s="439">
        <f>240115-858-78</f>
        <v>239179</v>
      </c>
      <c r="Q19" s="439"/>
      <c r="R19" s="11"/>
      <c r="S19" s="46" t="s">
        <v>95</v>
      </c>
      <c r="T19" s="51"/>
      <c r="U19" s="51"/>
      <c r="V19" s="52">
        <f>E16/AVERAGE(D22:E22)</f>
        <v>7.7777402356291325E-2</v>
      </c>
      <c r="W19" s="52">
        <f>F16/AVERAGE(E22:F22)</f>
        <v>5.5739141770656225E-2</v>
      </c>
      <c r="X19" s="52">
        <f>G16/AVERAGE(F22:G22)</f>
        <v>4.3681337949126348E-2</v>
      </c>
      <c r="Y19" s="52">
        <f>H16/AVERAGE(G22:H22)</f>
        <v>4.6205747824866611E-2</v>
      </c>
      <c r="Z19" s="52">
        <f>I16/AVERAGE(H22:I22)</f>
        <v>5.0157991059088178E-2</v>
      </c>
      <c r="AA19" s="18"/>
      <c r="AB19" s="18"/>
      <c r="AC19" s="18"/>
      <c r="AD19" s="18"/>
    </row>
    <row r="20" spans="1:37" x14ac:dyDescent="0.25">
      <c r="A20" s="6" t="s">
        <v>56</v>
      </c>
      <c r="B20" s="7"/>
      <c r="C20" s="7"/>
      <c r="D20" s="88">
        <f t="shared" ref="D20:Q20" si="21">D19-D71</f>
        <v>90981.7</v>
      </c>
      <c r="E20" s="89">
        <f t="shared" si="21"/>
        <v>103871.4</v>
      </c>
      <c r="F20" s="89">
        <f t="shared" si="21"/>
        <v>117256.87</v>
      </c>
      <c r="G20" s="89">
        <f t="shared" si="21"/>
        <v>130845.87</v>
      </c>
      <c r="H20" s="89">
        <f t="shared" si="21"/>
        <v>150573</v>
      </c>
      <c r="I20" s="89">
        <v>176896</v>
      </c>
      <c r="J20" s="89">
        <f t="shared" si="21"/>
        <v>0</v>
      </c>
      <c r="K20" s="89">
        <f t="shared" si="21"/>
        <v>163103</v>
      </c>
      <c r="L20" s="89">
        <f t="shared" si="21"/>
        <v>0</v>
      </c>
      <c r="M20" s="89">
        <f t="shared" si="21"/>
        <v>176896</v>
      </c>
      <c r="N20" s="89">
        <f t="shared" si="21"/>
        <v>150573</v>
      </c>
      <c r="O20" s="89">
        <f t="shared" si="21"/>
        <v>0</v>
      </c>
      <c r="P20" s="89">
        <f t="shared" si="21"/>
        <v>239179</v>
      </c>
      <c r="Q20" s="89">
        <f t="shared" si="21"/>
        <v>0</v>
      </c>
      <c r="R20" s="11"/>
      <c r="S20" s="42" t="s">
        <v>31</v>
      </c>
      <c r="T20" s="43">
        <v>4.1799999999999997E-2</v>
      </c>
      <c r="U20" s="43">
        <v>4.4699999999999997E-2</v>
      </c>
      <c r="V20" s="44">
        <f>E18/AVERAGE(D22:E22)</f>
        <v>4.3149067872501654E-2</v>
      </c>
      <c r="W20" s="44">
        <f>F18/AVERAGE(E22:F22)</f>
        <v>2.9483713978614583E-2</v>
      </c>
      <c r="X20" s="44">
        <f>G18/AVERAGE(F22:G22)</f>
        <v>2.8051510737079281E-2</v>
      </c>
      <c r="Y20" s="44">
        <f>H18/AVERAGE(G22:H22)</f>
        <v>2.9227280714149175E-2</v>
      </c>
      <c r="Z20" s="44">
        <f>I18/AVERAGE(H22:I22)</f>
        <v>2.9519068543813327E-2</v>
      </c>
      <c r="AA20" s="48"/>
      <c r="AB20" s="18"/>
      <c r="AC20" s="18"/>
      <c r="AD20" s="18"/>
    </row>
    <row r="21" spans="1:37" x14ac:dyDescent="0.25">
      <c r="A21" s="6" t="s">
        <v>57</v>
      </c>
      <c r="B21" s="9"/>
      <c r="C21" s="9"/>
      <c r="D21" s="85">
        <f>5981.78+195982.99</f>
        <v>201964.77</v>
      </c>
      <c r="E21" s="85">
        <f>5989.18+252021.34</f>
        <v>258010.52</v>
      </c>
      <c r="F21" s="85">
        <f>31411.52+291975.3+5996.55</f>
        <v>329383.37</v>
      </c>
      <c r="G21" s="85">
        <f>36203.05+373272.79+13721.55</f>
        <v>423197.38999999996</v>
      </c>
      <c r="H21" s="85">
        <f>62726+495756+25270</f>
        <v>583752</v>
      </c>
      <c r="I21" s="85">
        <v>704933</v>
      </c>
      <c r="J21" s="85"/>
      <c r="K21" s="85">
        <f>61572+576140+25327</f>
        <v>663039</v>
      </c>
      <c r="L21" s="85"/>
      <c r="M21" s="85">
        <f>62686+612036+30211</f>
        <v>704933</v>
      </c>
      <c r="N21" s="85">
        <v>583752</v>
      </c>
      <c r="O21" s="439"/>
      <c r="P21" s="439">
        <f>89106+655415+30286</f>
        <v>774807</v>
      </c>
      <c r="Q21" s="439"/>
      <c r="R21" s="11"/>
      <c r="S21" s="42" t="s">
        <v>32</v>
      </c>
      <c r="T21" s="43">
        <v>0.21279999999999999</v>
      </c>
      <c r="U21" s="44">
        <f t="shared" ref="U21:Z21" si="22">D18/AVERAGE(C19:D19)</f>
        <v>0.16719307289268062</v>
      </c>
      <c r="V21" s="44">
        <f t="shared" si="22"/>
        <v>0.18292046675161958</v>
      </c>
      <c r="W21" s="44">
        <f t="shared" si="22"/>
        <v>0.12979163632040353</v>
      </c>
      <c r="X21" s="44">
        <f t="shared" si="22"/>
        <v>0.12722664812166121</v>
      </c>
      <c r="Y21" s="44">
        <f t="shared" si="22"/>
        <v>0.14281913647084149</v>
      </c>
      <c r="Z21" s="44">
        <f t="shared" si="22"/>
        <v>0.15131203258934434</v>
      </c>
      <c r="AA21" s="18"/>
      <c r="AB21" s="18"/>
      <c r="AC21" s="18"/>
      <c r="AD21" s="18"/>
    </row>
    <row r="22" spans="1:37" x14ac:dyDescent="0.25">
      <c r="A22" s="6" t="s">
        <v>29</v>
      </c>
      <c r="B22" s="7"/>
      <c r="C22" s="7"/>
      <c r="D22" s="88">
        <v>370355.16</v>
      </c>
      <c r="E22" s="85">
        <v>455679.37</v>
      </c>
      <c r="F22" s="85">
        <v>517759.73</v>
      </c>
      <c r="G22" s="85">
        <v>607501.59</v>
      </c>
      <c r="H22" s="85">
        <v>767652</v>
      </c>
      <c r="I22" s="85">
        <v>910924</v>
      </c>
      <c r="J22" s="85"/>
      <c r="K22" s="85">
        <v>856214</v>
      </c>
      <c r="L22" s="85"/>
      <c r="M22" s="85">
        <v>910924</v>
      </c>
      <c r="N22" s="85">
        <v>767652</v>
      </c>
      <c r="O22" s="439"/>
      <c r="P22" s="439">
        <v>1052365</v>
      </c>
      <c r="Q22" s="439"/>
      <c r="R22" s="11"/>
      <c r="S22" s="40" t="s">
        <v>33</v>
      </c>
      <c r="T22" s="45"/>
      <c r="U22" s="45"/>
      <c r="V22" s="45"/>
      <c r="W22" s="46" t="s">
        <v>5</v>
      </c>
      <c r="X22" s="18"/>
      <c r="Y22" s="18"/>
      <c r="Z22" s="18"/>
      <c r="AA22" s="18"/>
      <c r="AB22" s="18"/>
      <c r="AC22" s="18"/>
      <c r="AD22" s="18"/>
    </row>
    <row r="23" spans="1:37" x14ac:dyDescent="0.25">
      <c r="A23" s="6" t="s">
        <v>58</v>
      </c>
      <c r="B23" s="7"/>
      <c r="C23" s="7"/>
      <c r="D23" s="88">
        <v>321853.69</v>
      </c>
      <c r="E23" s="85">
        <v>333776.56</v>
      </c>
      <c r="F23" s="85">
        <v>380513.4</v>
      </c>
      <c r="G23" s="85">
        <v>455410.9</v>
      </c>
      <c r="H23" s="85">
        <v>591069</v>
      </c>
      <c r="I23" s="85">
        <v>726483</v>
      </c>
      <c r="J23" s="85">
        <v>597641</v>
      </c>
      <c r="K23" s="85">
        <v>640785</v>
      </c>
      <c r="L23" s="85">
        <v>753919</v>
      </c>
      <c r="M23" s="85">
        <v>726483</v>
      </c>
      <c r="N23" s="85">
        <v>591069</v>
      </c>
      <c r="O23" s="439">
        <v>759511</v>
      </c>
      <c r="P23" s="439">
        <v>807562</v>
      </c>
      <c r="Q23" s="439">
        <v>852902</v>
      </c>
      <c r="R23" s="11"/>
      <c r="S23" s="42" t="s">
        <v>34</v>
      </c>
      <c r="T23" s="43">
        <v>0.17430000000000001</v>
      </c>
      <c r="U23" s="44">
        <f t="shared" ref="U23:Z23" si="23">D6/AVERAGE(C23:D23)</f>
        <v>0.13803113458167904</v>
      </c>
      <c r="V23" s="44">
        <f t="shared" si="23"/>
        <v>0.16113277262603426</v>
      </c>
      <c r="W23" s="44">
        <f t="shared" si="23"/>
        <v>0.12301771678269147</v>
      </c>
      <c r="X23" s="44">
        <f t="shared" si="23"/>
        <v>0.12342478858432515</v>
      </c>
      <c r="Y23" s="44">
        <f t="shared" si="23"/>
        <v>0.13316643731045383</v>
      </c>
      <c r="Z23" s="44">
        <f t="shared" si="23"/>
        <v>0.15517869503442749</v>
      </c>
      <c r="AA23" s="18"/>
      <c r="AB23" s="18"/>
      <c r="AC23" s="18"/>
      <c r="AD23" s="18"/>
    </row>
    <row r="24" spans="1:37" x14ac:dyDescent="0.25">
      <c r="A24" s="6" t="s">
        <v>59</v>
      </c>
      <c r="B24" s="10"/>
      <c r="C24" s="10"/>
      <c r="D24" s="89">
        <v>6579.6</v>
      </c>
      <c r="E24" s="89">
        <v>6291.85</v>
      </c>
      <c r="F24" s="89">
        <v>6442.5</v>
      </c>
      <c r="G24" s="89">
        <v>10489.4</v>
      </c>
      <c r="H24" s="89">
        <v>13270</v>
      </c>
      <c r="I24" s="89"/>
      <c r="J24" s="89"/>
      <c r="K24" s="89"/>
      <c r="L24" s="89"/>
      <c r="M24" s="89"/>
      <c r="N24" s="89">
        <v>13270</v>
      </c>
      <c r="O24" s="440"/>
      <c r="P24" s="440"/>
      <c r="Q24" s="440"/>
      <c r="R24" s="11"/>
      <c r="S24" s="42" t="s">
        <v>35</v>
      </c>
      <c r="T24" s="43">
        <v>7.9799999999999996E-2</v>
      </c>
      <c r="U24" s="44">
        <f t="shared" ref="U24:Z24" si="24">D9/AVERAGE(C21:D21)</f>
        <v>0.10107371696558763</v>
      </c>
      <c r="V24" s="44">
        <f t="shared" si="24"/>
        <v>0.11827461427330152</v>
      </c>
      <c r="W24" s="44">
        <f t="shared" si="24"/>
        <v>9.0055686483221681E-2</v>
      </c>
      <c r="X24" s="44">
        <f t="shared" si="24"/>
        <v>8.4917903030101383E-2</v>
      </c>
      <c r="Y24" s="44">
        <f t="shared" si="24"/>
        <v>9.4308612670195871E-2</v>
      </c>
      <c r="Z24" s="44">
        <f t="shared" si="24"/>
        <v>9.5315767623585276E-2</v>
      </c>
      <c r="AA24" s="18"/>
      <c r="AB24" s="18"/>
      <c r="AC24" s="18"/>
      <c r="AD24" s="18"/>
    </row>
    <row r="25" spans="1:37" x14ac:dyDescent="0.25">
      <c r="A25" s="6" t="s">
        <v>60</v>
      </c>
      <c r="B25" s="10"/>
      <c r="C25" s="10"/>
      <c r="D25" s="89">
        <v>5225.18</v>
      </c>
      <c r="E25" s="89">
        <v>4386.5</v>
      </c>
      <c r="F25" s="89">
        <v>3954.9</v>
      </c>
      <c r="G25" s="89">
        <v>6019.61</v>
      </c>
      <c r="H25" s="89">
        <v>7935</v>
      </c>
      <c r="I25" s="89"/>
      <c r="J25" s="89"/>
      <c r="K25" s="89"/>
      <c r="L25" s="89"/>
      <c r="M25" s="89"/>
      <c r="N25" s="89">
        <v>7935</v>
      </c>
      <c r="O25" s="440"/>
      <c r="P25" s="440"/>
      <c r="Q25" s="440"/>
      <c r="R25" s="11"/>
      <c r="S25" s="42" t="s">
        <v>36</v>
      </c>
      <c r="T25" s="43">
        <v>9.4600000000000004E-2</v>
      </c>
      <c r="U25" s="48">
        <f t="shared" ref="U25:Z25" si="25">U23-U24</f>
        <v>3.6957417616091406E-2</v>
      </c>
      <c r="V25" s="48">
        <f t="shared" si="25"/>
        <v>4.2858158352732739E-2</v>
      </c>
      <c r="W25" s="48">
        <f t="shared" si="25"/>
        <v>3.2962030299469786E-2</v>
      </c>
      <c r="X25" s="48">
        <f t="shared" si="25"/>
        <v>3.8506885554223769E-2</v>
      </c>
      <c r="Y25" s="48">
        <f t="shared" si="25"/>
        <v>3.8857824640257957E-2</v>
      </c>
      <c r="Z25" s="48">
        <f t="shared" si="25"/>
        <v>5.9862927410842218E-2</v>
      </c>
      <c r="AA25" s="18"/>
      <c r="AB25" s="18"/>
      <c r="AC25" s="18"/>
      <c r="AD25" s="18"/>
    </row>
    <row r="27" spans="1:37" ht="15" customHeight="1" x14ac:dyDescent="0.25">
      <c r="C27" s="733" t="s">
        <v>210</v>
      </c>
      <c r="D27" s="733"/>
      <c r="E27" s="733"/>
      <c r="F27" s="733"/>
      <c r="G27" s="733"/>
      <c r="H27" s="733"/>
      <c r="I27" s="733"/>
      <c r="J27" s="733"/>
      <c r="K27" s="733"/>
      <c r="L27" s="733"/>
      <c r="M27" s="733"/>
      <c r="N27" s="733"/>
      <c r="O27" s="733"/>
      <c r="P27" s="733"/>
      <c r="Q27" s="733"/>
      <c r="R27" s="733"/>
      <c r="S27" s="733"/>
      <c r="T27" s="733"/>
      <c r="U27">
        <v>55522.99</v>
      </c>
      <c r="V27" t="s">
        <v>685</v>
      </c>
    </row>
    <row r="28" spans="1:37" x14ac:dyDescent="0.25">
      <c r="C28" s="733"/>
      <c r="D28" s="733"/>
      <c r="E28" s="733"/>
      <c r="F28" s="733"/>
      <c r="G28" s="733"/>
      <c r="H28" s="733"/>
      <c r="I28" s="733"/>
      <c r="J28" s="733"/>
      <c r="K28" s="733"/>
      <c r="L28" s="733"/>
      <c r="M28" s="733"/>
      <c r="N28" s="733"/>
      <c r="O28" s="733"/>
      <c r="P28" s="733"/>
      <c r="Q28" s="733"/>
      <c r="R28" s="733"/>
      <c r="S28" s="733"/>
      <c r="T28" s="733"/>
      <c r="U28">
        <v>56910.76</v>
      </c>
    </row>
    <row r="29" spans="1:37" x14ac:dyDescent="0.25">
      <c r="C29" s="733"/>
      <c r="D29" s="733"/>
      <c r="E29" s="733"/>
      <c r="F29" s="733"/>
      <c r="G29" s="733"/>
      <c r="H29" s="733"/>
      <c r="I29" s="733"/>
      <c r="J29" s="733"/>
      <c r="K29" s="733"/>
      <c r="L29" s="733"/>
      <c r="M29" s="733"/>
      <c r="N29" s="733"/>
      <c r="O29" s="733"/>
      <c r="P29" s="733"/>
      <c r="Q29" s="733"/>
      <c r="R29" s="733"/>
      <c r="S29" s="733"/>
      <c r="T29" s="733"/>
    </row>
    <row r="30" spans="1:37" x14ac:dyDescent="0.25">
      <c r="C30" s="733"/>
      <c r="D30" s="733"/>
      <c r="E30" s="733"/>
      <c r="F30" s="733"/>
      <c r="G30" s="733"/>
      <c r="H30" s="733"/>
      <c r="I30" s="733"/>
      <c r="J30" s="733"/>
      <c r="K30" s="733"/>
      <c r="L30" s="733"/>
      <c r="M30" s="733"/>
      <c r="N30" s="733"/>
      <c r="O30" s="733"/>
      <c r="P30" s="733"/>
      <c r="Q30" s="733"/>
      <c r="R30" s="733"/>
      <c r="S30" s="733"/>
      <c r="T30" s="733"/>
    </row>
    <row r="31" spans="1:37" x14ac:dyDescent="0.25">
      <c r="C31" s="733"/>
      <c r="D31" s="733"/>
      <c r="E31" s="733"/>
      <c r="F31" s="733"/>
      <c r="G31" s="733"/>
      <c r="H31" s="733"/>
      <c r="I31" s="733"/>
      <c r="J31" s="733"/>
      <c r="K31" s="733"/>
      <c r="L31" s="733"/>
      <c r="M31" s="733"/>
      <c r="N31" s="733"/>
      <c r="O31" s="733"/>
      <c r="P31" s="733"/>
      <c r="Q31" s="733"/>
      <c r="R31" s="733"/>
      <c r="S31" s="733"/>
      <c r="T31" s="733"/>
    </row>
    <row r="32" spans="1:37" x14ac:dyDescent="0.25">
      <c r="C32" s="733"/>
      <c r="D32" s="733"/>
      <c r="E32" s="733"/>
      <c r="F32" s="733"/>
      <c r="G32" s="733"/>
      <c r="H32" s="733"/>
      <c r="I32" s="733"/>
      <c r="J32" s="733"/>
      <c r="K32" s="733"/>
      <c r="L32" s="733"/>
      <c r="M32" s="733"/>
      <c r="N32" s="733"/>
      <c r="O32" s="733"/>
      <c r="P32" s="733"/>
      <c r="Q32" s="733"/>
      <c r="R32" s="733"/>
      <c r="S32" s="733"/>
      <c r="T32" s="733"/>
    </row>
    <row r="33" spans="3:20" x14ac:dyDescent="0.25">
      <c r="C33" s="733"/>
      <c r="D33" s="733"/>
      <c r="E33" s="733"/>
      <c r="F33" s="733"/>
      <c r="G33" s="733"/>
      <c r="H33" s="733"/>
      <c r="I33" s="733"/>
      <c r="J33" s="733"/>
      <c r="K33" s="733"/>
      <c r="L33" s="733"/>
      <c r="M33" s="733"/>
      <c r="N33" s="733"/>
      <c r="O33" s="733"/>
      <c r="P33" s="733"/>
      <c r="Q33" s="733"/>
      <c r="R33" s="733"/>
      <c r="S33" s="733"/>
      <c r="T33" s="733"/>
    </row>
    <row r="34" spans="3:20" x14ac:dyDescent="0.25">
      <c r="C34" s="733"/>
      <c r="D34" s="733"/>
      <c r="E34" s="733"/>
      <c r="F34" s="733"/>
      <c r="G34" s="733"/>
      <c r="H34" s="733"/>
      <c r="I34" s="733"/>
      <c r="J34" s="733"/>
      <c r="K34" s="733"/>
      <c r="L34" s="733"/>
      <c r="M34" s="733"/>
      <c r="N34" s="733"/>
      <c r="O34" s="733"/>
      <c r="P34" s="733"/>
      <c r="Q34" s="733"/>
      <c r="R34" s="733"/>
      <c r="S34" s="733"/>
      <c r="T34" s="733"/>
    </row>
    <row r="35" spans="3:20" x14ac:dyDescent="0.25">
      <c r="C35" s="733"/>
      <c r="D35" s="733"/>
      <c r="E35" s="733"/>
      <c r="F35" s="733"/>
      <c r="G35" s="733"/>
      <c r="H35" s="733"/>
      <c r="I35" s="733"/>
      <c r="J35" s="733"/>
      <c r="K35" s="733"/>
      <c r="L35" s="733"/>
      <c r="M35" s="733"/>
      <c r="N35" s="733"/>
      <c r="O35" s="733"/>
      <c r="P35" s="733"/>
      <c r="Q35" s="733"/>
      <c r="R35" s="733"/>
      <c r="S35" s="733"/>
      <c r="T35" s="733"/>
    </row>
    <row r="36" spans="3:20" x14ac:dyDescent="0.25">
      <c r="C36" s="733"/>
      <c r="D36" s="733"/>
      <c r="E36" s="733"/>
      <c r="F36" s="733"/>
      <c r="G36" s="733"/>
      <c r="H36" s="733"/>
      <c r="I36" s="733"/>
      <c r="J36" s="733"/>
      <c r="K36" s="733"/>
      <c r="L36" s="733"/>
      <c r="M36" s="733"/>
      <c r="N36" s="733"/>
      <c r="O36" s="733"/>
      <c r="P36" s="733"/>
      <c r="Q36" s="733"/>
      <c r="R36" s="733"/>
      <c r="S36" s="733"/>
      <c r="T36" s="733"/>
    </row>
    <row r="37" spans="3:20" x14ac:dyDescent="0.25">
      <c r="C37" s="733"/>
      <c r="D37" s="733"/>
      <c r="E37" s="733"/>
      <c r="F37" s="733"/>
      <c r="G37" s="733"/>
      <c r="H37" s="733"/>
      <c r="I37" s="733"/>
      <c r="J37" s="733"/>
      <c r="K37" s="733"/>
      <c r="L37" s="733"/>
      <c r="M37" s="733"/>
      <c r="N37" s="733"/>
      <c r="O37" s="733"/>
      <c r="P37" s="733"/>
      <c r="Q37" s="733"/>
      <c r="R37" s="733"/>
      <c r="S37" s="733"/>
      <c r="T37" s="733"/>
    </row>
    <row r="38" spans="3:20" x14ac:dyDescent="0.25">
      <c r="C38" s="733"/>
      <c r="D38" s="733"/>
      <c r="E38" s="733"/>
      <c r="F38" s="733"/>
      <c r="G38" s="733"/>
      <c r="H38" s="733"/>
      <c r="I38" s="733"/>
      <c r="J38" s="733"/>
      <c r="K38" s="733"/>
      <c r="L38" s="733"/>
      <c r="M38" s="733"/>
      <c r="N38" s="733"/>
      <c r="O38" s="733"/>
      <c r="P38" s="733"/>
      <c r="Q38" s="733"/>
      <c r="R38" s="733"/>
      <c r="S38" s="733"/>
      <c r="T38" s="733"/>
    </row>
    <row r="39" spans="3:20" x14ac:dyDescent="0.25">
      <c r="C39" s="733"/>
      <c r="D39" s="733"/>
      <c r="E39" s="733"/>
      <c r="F39" s="733"/>
      <c r="G39" s="733"/>
      <c r="H39" s="733"/>
      <c r="I39" s="733"/>
      <c r="J39" s="733"/>
      <c r="K39" s="733"/>
      <c r="L39" s="733"/>
      <c r="M39" s="733"/>
      <c r="N39" s="733"/>
      <c r="O39" s="733"/>
      <c r="P39" s="733"/>
      <c r="Q39" s="733"/>
      <c r="R39" s="733"/>
      <c r="S39" s="733"/>
      <c r="T39" s="733"/>
    </row>
    <row r="40" spans="3:20" x14ac:dyDescent="0.25">
      <c r="C40" s="733"/>
      <c r="D40" s="733"/>
      <c r="E40" s="733"/>
      <c r="F40" s="733"/>
      <c r="G40" s="733"/>
      <c r="H40" s="733"/>
      <c r="I40" s="733"/>
      <c r="J40" s="733"/>
      <c r="K40" s="733"/>
      <c r="L40" s="733"/>
      <c r="M40" s="733"/>
      <c r="N40" s="733"/>
      <c r="O40" s="733"/>
      <c r="P40" s="733"/>
      <c r="Q40" s="733"/>
      <c r="R40" s="733"/>
      <c r="S40" s="733"/>
      <c r="T40" s="733"/>
    </row>
  </sheetData>
  <mergeCells count="5">
    <mergeCell ref="A2:A4"/>
    <mergeCell ref="K1:M1"/>
    <mergeCell ref="C27:T40"/>
    <mergeCell ref="AJ3:AK4"/>
    <mergeCell ref="AL5:AR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32"/>
  <sheetViews>
    <sheetView workbookViewId="0">
      <selection activeCell="AG6" sqref="AG6"/>
    </sheetView>
  </sheetViews>
  <sheetFormatPr defaultRowHeight="15" x14ac:dyDescent="0.25"/>
  <cols>
    <col min="1" max="1" width="32.5703125" customWidth="1"/>
    <col min="4" max="4" width="12.85546875" customWidth="1"/>
    <col min="5" max="5" width="13.28515625" customWidth="1"/>
    <col min="6" max="6" width="12.5703125" customWidth="1"/>
    <col min="7" max="8" width="11.7109375" customWidth="1"/>
    <col min="9" max="9" width="9.5703125" customWidth="1"/>
    <col min="15" max="15" width="31.7109375" customWidth="1"/>
    <col min="16" max="16" width="14.140625" customWidth="1"/>
    <col min="17" max="17" width="14.42578125" customWidth="1"/>
    <col min="18" max="18" width="12.28515625" customWidth="1"/>
    <col min="19" max="19" width="12.140625" customWidth="1"/>
    <col min="20" max="21" width="14.42578125" customWidth="1"/>
    <col min="22" max="22" width="11.42578125" customWidth="1"/>
  </cols>
  <sheetData>
    <row r="1" spans="1:25" x14ac:dyDescent="0.25">
      <c r="J1" s="772" t="s">
        <v>114</v>
      </c>
      <c r="K1" s="772"/>
      <c r="L1" s="772"/>
    </row>
    <row r="2" spans="1:25" ht="22.5" x14ac:dyDescent="0.25">
      <c r="A2" s="771" t="s">
        <v>4</v>
      </c>
      <c r="B2" s="1" t="s">
        <v>43</v>
      </c>
      <c r="C2" s="1" t="s">
        <v>41</v>
      </c>
      <c r="D2" s="2" t="s">
        <v>44</v>
      </c>
      <c r="E2" s="2" t="s">
        <v>0</v>
      </c>
      <c r="F2" s="3" t="s">
        <v>45</v>
      </c>
      <c r="G2" s="3" t="s">
        <v>42</v>
      </c>
      <c r="H2" s="3" t="s">
        <v>495</v>
      </c>
      <c r="I2" s="3" t="s">
        <v>37</v>
      </c>
      <c r="J2" s="3" t="s">
        <v>38</v>
      </c>
      <c r="K2" s="3" t="s">
        <v>39</v>
      </c>
      <c r="L2" s="3" t="s">
        <v>40</v>
      </c>
      <c r="M2" s="11"/>
      <c r="N2" s="11"/>
      <c r="O2" s="40" t="s">
        <v>6</v>
      </c>
      <c r="P2" s="41" t="s">
        <v>7</v>
      </c>
      <c r="Q2" s="41" t="s">
        <v>8</v>
      </c>
      <c r="R2" s="41" t="s">
        <v>9</v>
      </c>
      <c r="S2" s="40" t="s">
        <v>10</v>
      </c>
      <c r="T2" s="41" t="s">
        <v>90</v>
      </c>
      <c r="U2" s="41" t="s">
        <v>496</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v>0.1046</v>
      </c>
      <c r="Q3" s="44">
        <f>D10/AVERAGE(C23:D23)</f>
        <v>1.9572993636014172E-2</v>
      </c>
      <c r="R3" s="44">
        <f>E10/AVERAGE(D23:E23)</f>
        <v>2.2494783960757804E-2</v>
      </c>
      <c r="S3" s="44">
        <f>F10/AVERAGE(E23:F23)</f>
        <v>2.8662268966165697E-2</v>
      </c>
      <c r="T3" s="44">
        <f>G10/AVERAGE(F23:G23)</f>
        <v>2.4268976215132371E-2</v>
      </c>
      <c r="U3" s="44">
        <f>H10/AVERAGE(G23:H23)</f>
        <v>3.2687804210484131E-2</v>
      </c>
      <c r="V3" s="44"/>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7480.86</v>
      </c>
      <c r="E5">
        <v>8478.32</v>
      </c>
      <c r="F5" s="85">
        <v>7565.2</v>
      </c>
      <c r="G5" s="90">
        <v>6141.09</v>
      </c>
      <c r="H5" s="90">
        <v>6490.55</v>
      </c>
      <c r="I5" s="85">
        <v>1698.83</v>
      </c>
      <c r="J5" s="85">
        <v>1766.14</v>
      </c>
      <c r="K5" s="85">
        <v>1787.22</v>
      </c>
      <c r="L5" s="85">
        <v>1626.81</v>
      </c>
      <c r="M5" s="11"/>
      <c r="N5" s="11"/>
      <c r="O5" s="42" t="s">
        <v>13</v>
      </c>
      <c r="P5" s="46">
        <v>4.2699999999999996</v>
      </c>
      <c r="Q5" s="47">
        <f>D21/D20</f>
        <v>9.664929838695576</v>
      </c>
      <c r="R5" s="47">
        <f>E21/E20</f>
        <v>8.5232762395623105</v>
      </c>
      <c r="S5" s="47">
        <f>F21/F20</f>
        <v>6.6981633394156876</v>
      </c>
      <c r="T5" s="47">
        <f>G21/G20</f>
        <v>5.4083713754548217</v>
      </c>
      <c r="U5" s="47">
        <f>H21/H20</f>
        <v>4.8957550602278737</v>
      </c>
      <c r="V5" s="47"/>
      <c r="W5" s="18"/>
      <c r="X5" s="18"/>
      <c r="Y5" s="18"/>
    </row>
    <row r="6" spans="1:25" x14ac:dyDescent="0.25">
      <c r="A6" s="6" t="s">
        <v>50</v>
      </c>
      <c r="B6" s="7"/>
      <c r="C6" s="8"/>
      <c r="D6">
        <v>6632.9</v>
      </c>
      <c r="E6">
        <v>7487.68</v>
      </c>
      <c r="F6" s="85">
        <v>6987.32</v>
      </c>
      <c r="G6" s="85">
        <v>5535.98</v>
      </c>
      <c r="H6" s="85">
        <v>5816.41</v>
      </c>
      <c r="I6" s="85">
        <v>1658.39</v>
      </c>
      <c r="J6" s="85">
        <v>1691.31</v>
      </c>
      <c r="K6" s="85">
        <v>1707.05</v>
      </c>
      <c r="L6" s="85">
        <v>1580.59</v>
      </c>
      <c r="M6" s="11"/>
      <c r="N6" s="11"/>
      <c r="O6" s="42" t="s">
        <v>14</v>
      </c>
      <c r="P6" s="43"/>
      <c r="Q6" s="43">
        <v>0.13980000000000001</v>
      </c>
      <c r="R6" s="43">
        <v>0.17979999999999999</v>
      </c>
      <c r="S6" s="43">
        <v>0.18729999999999999</v>
      </c>
      <c r="T6" s="48">
        <v>0.23400000000000001</v>
      </c>
      <c r="U6" s="48">
        <v>0.24429999999999999</v>
      </c>
      <c r="V6" s="48"/>
      <c r="W6" s="48">
        <v>0.30380000000000001</v>
      </c>
      <c r="X6" s="48">
        <v>0.246</v>
      </c>
      <c r="Y6" s="48">
        <v>0.24429999999999999</v>
      </c>
    </row>
    <row r="7" spans="1:25" x14ac:dyDescent="0.25">
      <c r="A7" s="6" t="s">
        <v>51</v>
      </c>
      <c r="B7" s="7"/>
      <c r="C7" s="8"/>
      <c r="D7" s="87"/>
      <c r="E7" s="85"/>
      <c r="F7" s="85">
        <v>0</v>
      </c>
      <c r="G7" s="85">
        <v>0</v>
      </c>
      <c r="H7" s="85"/>
      <c r="I7" s="85"/>
      <c r="J7" s="85"/>
      <c r="K7" s="85"/>
      <c r="L7" s="85"/>
      <c r="M7" s="11"/>
      <c r="N7" s="11"/>
      <c r="O7" s="42" t="s">
        <v>15</v>
      </c>
      <c r="P7" s="43">
        <v>0.19719999999999999</v>
      </c>
      <c r="Q7" s="44">
        <f>D20/D23</f>
        <v>9.9237202622474693E-2</v>
      </c>
      <c r="R7" s="44">
        <f>E20/E23</f>
        <v>0.11612831577147716</v>
      </c>
      <c r="S7" s="44">
        <f>F20/F23</f>
        <v>0.14023363046381326</v>
      </c>
      <c r="T7" s="44">
        <f>G20/G23</f>
        <v>0.16915074436034166</v>
      </c>
      <c r="U7" s="44">
        <f>H20/H23</f>
        <v>0.18456887665384197</v>
      </c>
      <c r="V7" s="44"/>
      <c r="W7" s="18"/>
      <c r="X7" s="18"/>
      <c r="Y7" s="18"/>
    </row>
    <row r="8" spans="1:25" x14ac:dyDescent="0.25">
      <c r="A8" s="6" t="s">
        <v>52</v>
      </c>
      <c r="B8" s="7"/>
      <c r="C8" s="8"/>
      <c r="D8" s="85">
        <f t="shared" ref="D8:L8" si="0">D5-D6-D7</f>
        <v>847.96</v>
      </c>
      <c r="E8" s="85">
        <f t="shared" si="0"/>
        <v>990.63999999999942</v>
      </c>
      <c r="F8" s="85">
        <f t="shared" si="0"/>
        <v>577.88000000000011</v>
      </c>
      <c r="G8" s="85">
        <f t="shared" si="0"/>
        <v>605.11000000000058</v>
      </c>
      <c r="H8" s="85">
        <f t="shared" si="0"/>
        <v>674.14000000000033</v>
      </c>
      <c r="I8" s="85">
        <f t="shared" si="0"/>
        <v>40.439999999999827</v>
      </c>
      <c r="J8" s="85">
        <f t="shared" si="0"/>
        <v>74.830000000000155</v>
      </c>
      <c r="K8" s="85">
        <f t="shared" si="0"/>
        <v>80.170000000000073</v>
      </c>
      <c r="L8" s="85">
        <f t="shared" si="0"/>
        <v>46.220000000000027</v>
      </c>
      <c r="M8" s="11"/>
      <c r="N8" s="11"/>
      <c r="O8" s="40" t="s">
        <v>16</v>
      </c>
      <c r="P8" s="45"/>
      <c r="Q8" s="45"/>
      <c r="R8" s="45"/>
      <c r="S8" s="46" t="s">
        <v>5</v>
      </c>
      <c r="T8" s="18"/>
      <c r="U8" s="18"/>
      <c r="V8" s="18"/>
      <c r="W8" s="18"/>
      <c r="X8" s="18"/>
      <c r="Y8" s="18"/>
    </row>
    <row r="9" spans="1:25" ht="33.75" x14ac:dyDescent="0.25">
      <c r="A9" s="6" t="s">
        <v>24</v>
      </c>
      <c r="B9" s="7"/>
      <c r="C9" s="7"/>
      <c r="D9" s="88">
        <v>5166.46</v>
      </c>
      <c r="E9" s="85">
        <v>5875.3</v>
      </c>
      <c r="F9" s="85">
        <v>5100.3999999999996</v>
      </c>
      <c r="G9" s="85">
        <v>4065.63</v>
      </c>
      <c r="H9" s="85">
        <v>3899.58</v>
      </c>
      <c r="I9" s="85">
        <v>1047.82</v>
      </c>
      <c r="J9" s="85">
        <v>1057.6199999999999</v>
      </c>
      <c r="K9" s="85">
        <v>996.64</v>
      </c>
      <c r="L9" s="85">
        <v>1008.33</v>
      </c>
      <c r="M9" s="11"/>
      <c r="N9" s="11"/>
      <c r="O9" s="49" t="s">
        <v>93</v>
      </c>
      <c r="P9" s="45"/>
      <c r="Q9" s="50">
        <f t="shared" ref="Q9:V9" si="1">D14/(D11-D9)</f>
        <v>0.23813515381956454</v>
      </c>
      <c r="R9" s="50">
        <f t="shared" si="1"/>
        <v>0.20557275779671308</v>
      </c>
      <c r="S9" s="50">
        <f t="shared" si="1"/>
        <v>0.17649707887049657</v>
      </c>
      <c r="T9" s="50">
        <f t="shared" si="1"/>
        <v>0.21255047073901689</v>
      </c>
      <c r="U9" s="50">
        <f t="shared" si="1"/>
        <v>0.18800294870260945</v>
      </c>
      <c r="V9" s="50">
        <f t="shared" si="1"/>
        <v>0.1949125205449993</v>
      </c>
      <c r="W9" s="18"/>
      <c r="X9" s="18"/>
      <c r="Y9" s="18"/>
    </row>
    <row r="10" spans="1:25" ht="22.5" x14ac:dyDescent="0.25">
      <c r="A10" s="6" t="s">
        <v>53</v>
      </c>
      <c r="B10" s="10">
        <f t="shared" ref="B10:J10" si="2">B6-B9</f>
        <v>0</v>
      </c>
      <c r="C10" s="10">
        <f t="shared" si="2"/>
        <v>0</v>
      </c>
      <c r="D10" s="89">
        <f t="shared" si="2"/>
        <v>1466.4399999999996</v>
      </c>
      <c r="E10" s="89">
        <f t="shared" si="2"/>
        <v>1612.38</v>
      </c>
      <c r="F10" s="89">
        <f t="shared" si="2"/>
        <v>1886.92</v>
      </c>
      <c r="G10" s="89">
        <f t="shared" si="2"/>
        <v>1470.3499999999995</v>
      </c>
      <c r="H10" s="89">
        <f>H6-H9</f>
        <v>1916.83</v>
      </c>
      <c r="I10" s="89">
        <f t="shared" si="2"/>
        <v>610.57000000000016</v>
      </c>
      <c r="J10" s="89">
        <f t="shared" si="2"/>
        <v>633.69000000000005</v>
      </c>
      <c r="K10" s="89">
        <f>K6-K9</f>
        <v>710.41</v>
      </c>
      <c r="L10" s="89">
        <f>L6-L9</f>
        <v>572.25999999999988</v>
      </c>
      <c r="M10" s="11"/>
      <c r="N10" s="11"/>
      <c r="O10" s="42" t="s">
        <v>92</v>
      </c>
      <c r="P10" s="43">
        <v>0.39960000000000001</v>
      </c>
      <c r="Q10" s="44">
        <f t="shared" ref="Q10:V10" si="3">D14/D11</f>
        <v>7.3673347716706389E-2</v>
      </c>
      <c r="R10" s="44">
        <f t="shared" si="3"/>
        <v>6.3115098274186404E-2</v>
      </c>
      <c r="S10" s="44">
        <f t="shared" si="3"/>
        <v>5.7504097710569448E-2</v>
      </c>
      <c r="T10" s="44">
        <f t="shared" si="3"/>
        <v>7.1834153220356647E-2</v>
      </c>
      <c r="U10" s="44">
        <f t="shared" si="3"/>
        <v>7.5049109859719132E-2</v>
      </c>
      <c r="V10" s="44">
        <f t="shared" si="3"/>
        <v>7.4692582542102509E-2</v>
      </c>
      <c r="W10" s="18"/>
      <c r="X10" s="18"/>
      <c r="Y10" s="18"/>
    </row>
    <row r="11" spans="1:25" x14ac:dyDescent="0.25">
      <c r="A11" s="6" t="s">
        <v>1</v>
      </c>
      <c r="B11" s="10">
        <f>B5-B9</f>
        <v>0</v>
      </c>
      <c r="C11" s="10">
        <f t="shared" ref="C11:J11" si="4">SUM(C6:C8)</f>
        <v>0</v>
      </c>
      <c r="D11" s="89">
        <f t="shared" si="4"/>
        <v>7480.86</v>
      </c>
      <c r="E11" s="89">
        <f t="shared" si="4"/>
        <v>8478.32</v>
      </c>
      <c r="F11" s="89">
        <f>SUM(F6:F8)</f>
        <v>7565.2</v>
      </c>
      <c r="G11" s="89">
        <f>SUM(G6:G8)</f>
        <v>6141.09</v>
      </c>
      <c r="H11" s="89">
        <f>SUM(H6:H8)</f>
        <v>6490.55</v>
      </c>
      <c r="I11" s="89">
        <f t="shared" si="4"/>
        <v>1698.83</v>
      </c>
      <c r="J11" s="89">
        <f t="shared" si="4"/>
        <v>1766.14</v>
      </c>
      <c r="K11" s="89">
        <f>SUM(K6:K8)</f>
        <v>1787.22</v>
      </c>
      <c r="L11" s="89">
        <f>SUM(L6:L8)</f>
        <v>1626.81</v>
      </c>
      <c r="M11" s="11"/>
      <c r="N11" s="11"/>
      <c r="O11" s="42" t="s">
        <v>17</v>
      </c>
      <c r="P11" s="43">
        <v>5.4600000000000003E-2</v>
      </c>
      <c r="Q11" s="44">
        <f t="shared" ref="Q11:V11" si="5">D14/AVERAGE(C22:D22)</f>
        <v>6.580757261113521E-3</v>
      </c>
      <c r="R11" s="44">
        <f t="shared" si="5"/>
        <v>6.5809304654245665E-3</v>
      </c>
      <c r="S11" s="44">
        <f t="shared" si="5"/>
        <v>5.7924180479299514E-3</v>
      </c>
      <c r="T11" s="44">
        <f t="shared" si="5"/>
        <v>6.4408547061208556E-3</v>
      </c>
      <c r="U11" s="44">
        <f t="shared" si="5"/>
        <v>7.3551428243983996E-3</v>
      </c>
      <c r="V11" s="44">
        <f t="shared" si="5"/>
        <v>1.8994098641777494E-3</v>
      </c>
      <c r="W11" s="18"/>
      <c r="X11" s="18"/>
      <c r="Y11" s="18"/>
    </row>
    <row r="12" spans="1:25" x14ac:dyDescent="0.25">
      <c r="A12" s="6" t="s">
        <v>91</v>
      </c>
      <c r="B12" s="10"/>
      <c r="C12" s="10"/>
      <c r="D12" s="89">
        <v>3.74</v>
      </c>
      <c r="E12" s="89">
        <v>7.6</v>
      </c>
      <c r="F12" s="89">
        <v>18.78</v>
      </c>
      <c r="G12" s="89">
        <v>4.83</v>
      </c>
      <c r="H12" s="89">
        <v>1.84</v>
      </c>
      <c r="I12" s="89">
        <v>0.13</v>
      </c>
      <c r="J12" s="89">
        <v>1.67</v>
      </c>
      <c r="K12" s="89">
        <v>0.18</v>
      </c>
      <c r="L12" s="89">
        <v>1</v>
      </c>
      <c r="M12" s="11"/>
      <c r="N12" s="11"/>
      <c r="O12" s="40" t="s">
        <v>18</v>
      </c>
      <c r="P12" s="45"/>
      <c r="Q12" s="45"/>
      <c r="R12" s="45"/>
      <c r="S12" s="46" t="s">
        <v>5</v>
      </c>
      <c r="T12" s="18"/>
      <c r="U12" s="18"/>
      <c r="V12" s="18"/>
      <c r="W12" s="18"/>
      <c r="X12" s="53"/>
      <c r="Y12" s="54"/>
    </row>
    <row r="13" spans="1:25" x14ac:dyDescent="0.25">
      <c r="A13" s="6" t="s">
        <v>25</v>
      </c>
      <c r="B13" s="7"/>
      <c r="C13" s="7"/>
      <c r="D13" s="88">
        <f t="shared" ref="D13:L13" si="6">D11+D12</f>
        <v>7484.5999999999995</v>
      </c>
      <c r="E13" s="88">
        <f t="shared" si="6"/>
        <v>8485.92</v>
      </c>
      <c r="F13" s="88">
        <f t="shared" si="6"/>
        <v>7583.98</v>
      </c>
      <c r="G13" s="88">
        <f t="shared" si="6"/>
        <v>6145.92</v>
      </c>
      <c r="H13" s="88">
        <f t="shared" si="6"/>
        <v>6492.39</v>
      </c>
      <c r="I13" s="88">
        <f t="shared" si="6"/>
        <v>1698.96</v>
      </c>
      <c r="J13" s="88">
        <f t="shared" si="6"/>
        <v>1767.8100000000002</v>
      </c>
      <c r="K13" s="88">
        <f t="shared" si="6"/>
        <v>1787.4</v>
      </c>
      <c r="L13" s="88">
        <f t="shared" si="6"/>
        <v>1627.81</v>
      </c>
      <c r="M13" s="11"/>
      <c r="N13" s="11"/>
      <c r="O13" s="42" t="s">
        <v>19</v>
      </c>
      <c r="P13" s="43">
        <v>1.52E-2</v>
      </c>
      <c r="Q13" s="44">
        <f>D24/D23</f>
        <v>4.7365512749327297E-3</v>
      </c>
      <c r="R13" s="44">
        <f>E24/E23</f>
        <v>2.7124263709864788E-2</v>
      </c>
      <c r="S13" s="44">
        <f>F24/F23</f>
        <v>4.7419576451476382E-2</v>
      </c>
      <c r="T13" s="44">
        <f>G24/G23</f>
        <v>8.122533641884111E-2</v>
      </c>
      <c r="U13" s="44">
        <f>H24/H23</f>
        <v>3.8276163829719469E-2</v>
      </c>
      <c r="V13" s="44"/>
      <c r="W13" s="48">
        <v>1.78E-2</v>
      </c>
      <c r="X13" s="48">
        <v>4.8599999999999997E-2</v>
      </c>
      <c r="Y13" s="48">
        <v>3.8300000000000001E-2</v>
      </c>
    </row>
    <row r="14" spans="1:25" x14ac:dyDescent="0.25">
      <c r="A14" s="6" t="s">
        <v>26</v>
      </c>
      <c r="B14" s="7"/>
      <c r="C14" s="7"/>
      <c r="D14" s="85">
        <f>211.33+82.75+31.29+225.77</f>
        <v>551.1400000000001</v>
      </c>
      <c r="E14" s="85">
        <f>195.28+8.03+65.64+266.16</f>
        <v>535.11</v>
      </c>
      <c r="F14" s="85">
        <f>176.37+6.68+58.78+193.2</f>
        <v>435.03</v>
      </c>
      <c r="G14" s="85">
        <f>180.05+9+53.18+198.91</f>
        <v>441.14</v>
      </c>
      <c r="H14" s="85">
        <f>214.34+8.91+51.23+212.63</f>
        <v>487.11</v>
      </c>
      <c r="I14" s="85">
        <f>64.26+3.41+59.22</f>
        <v>126.89</v>
      </c>
      <c r="J14" s="85">
        <f>67.23+2.17+75.53</f>
        <v>144.93</v>
      </c>
      <c r="K14" s="85">
        <f>46.05+12.55+2.3+52.24+53.67</f>
        <v>166.81</v>
      </c>
      <c r="L14" s="85">
        <f>62.99+12.57+2.33+51</f>
        <v>128.88999999999999</v>
      </c>
      <c r="M14" s="11"/>
      <c r="N14" s="11"/>
      <c r="O14" s="42" t="s">
        <v>20</v>
      </c>
      <c r="P14" s="43">
        <v>4.7000000000000002E-3</v>
      </c>
      <c r="Q14" s="44">
        <f>D25/D23</f>
        <v>3.7164182291889118E-3</v>
      </c>
      <c r="R14" s="44">
        <f>E25/E23</f>
        <v>2.2426765525474797E-2</v>
      </c>
      <c r="S14" s="44">
        <f>F25/F23</f>
        <v>2.7662645252016876E-2</v>
      </c>
      <c r="T14" s="44">
        <f>G25/G23</f>
        <v>5.0586402962529309E-2</v>
      </c>
      <c r="U14" s="44">
        <f>H25/H23</f>
        <v>2.7265464211561008E-2</v>
      </c>
      <c r="V14" s="44"/>
      <c r="W14" s="48">
        <v>1.1900000000000001E-2</v>
      </c>
      <c r="X14" s="48">
        <v>3.2199999999999999E-2</v>
      </c>
      <c r="Y14" s="48">
        <v>2.76E-2</v>
      </c>
    </row>
    <row r="15" spans="1:25" x14ac:dyDescent="0.25">
      <c r="A15" s="6" t="s">
        <v>54</v>
      </c>
      <c r="B15" s="10"/>
      <c r="C15" s="10"/>
      <c r="D15" s="89">
        <f t="shared" ref="D15:J15" si="7">D11-D14</f>
        <v>6929.7199999999993</v>
      </c>
      <c r="E15" s="89">
        <f t="shared" si="7"/>
        <v>7943.21</v>
      </c>
      <c r="F15" s="89">
        <f t="shared" si="7"/>
        <v>7130.17</v>
      </c>
      <c r="G15" s="89">
        <f t="shared" si="7"/>
        <v>5699.95</v>
      </c>
      <c r="H15" s="89">
        <f>H11-H14</f>
        <v>6003.4400000000005</v>
      </c>
      <c r="I15" s="89">
        <f t="shared" si="7"/>
        <v>1571.9399999999998</v>
      </c>
      <c r="J15" s="89">
        <f t="shared" si="7"/>
        <v>1621.21</v>
      </c>
      <c r="K15" s="89">
        <f>K11-K14</f>
        <v>1620.41</v>
      </c>
      <c r="L15" s="89">
        <f>L11-L14</f>
        <v>1497.92</v>
      </c>
      <c r="M15" s="11"/>
      <c r="N15" s="11"/>
      <c r="O15" s="42" t="s">
        <v>21</v>
      </c>
      <c r="P15" s="43">
        <v>0.69650000000000001</v>
      </c>
      <c r="Q15" s="44">
        <f>(Q13-Q14)/Q13</f>
        <v>0.21537464423591746</v>
      </c>
      <c r="R15" s="44">
        <f>(R13-R14)/R13</f>
        <v>0.17318435754189943</v>
      </c>
      <c r="S15" s="44">
        <f>(S13-S14)/S13</f>
        <v>0.41664081963440619</v>
      </c>
      <c r="T15" s="44">
        <f>(T13-T14)/T13</f>
        <v>0.37720906809571259</v>
      </c>
      <c r="U15" s="44">
        <f>(U13-U14)/U13</f>
        <v>0.28766465905888983</v>
      </c>
      <c r="V15" s="44"/>
      <c r="W15" s="44"/>
      <c r="X15" s="44">
        <f>(X13-X14)/X13</f>
        <v>0.33744855967078186</v>
      </c>
      <c r="Y15" s="44">
        <f>(Y13-Y14)/Y13</f>
        <v>0.27937336814621411</v>
      </c>
    </row>
    <row r="16" spans="1:25" x14ac:dyDescent="0.25">
      <c r="A16" s="6" t="s">
        <v>94</v>
      </c>
      <c r="B16" s="10"/>
      <c r="C16" s="10"/>
      <c r="D16" s="89">
        <f t="shared" ref="D16:J16" si="8">D13-D14-D9</f>
        <v>1766.9999999999991</v>
      </c>
      <c r="E16" s="89">
        <f t="shared" si="8"/>
        <v>2075.5100000000002</v>
      </c>
      <c r="F16" s="89">
        <f t="shared" si="8"/>
        <v>2048.5500000000002</v>
      </c>
      <c r="G16" s="89">
        <f t="shared" si="8"/>
        <v>1639.1499999999996</v>
      </c>
      <c r="H16" s="89">
        <f>H13-H14-H9</f>
        <v>2105.7000000000007</v>
      </c>
      <c r="I16" s="89">
        <f t="shared" si="8"/>
        <v>524.25</v>
      </c>
      <c r="J16" s="89">
        <f t="shared" si="8"/>
        <v>565.26000000000022</v>
      </c>
      <c r="K16" s="89">
        <f>K13-K14-K9</f>
        <v>623.95000000000016</v>
      </c>
      <c r="L16" s="89">
        <f>L13-L14-L9</f>
        <v>490.59000000000003</v>
      </c>
      <c r="M16" s="11"/>
      <c r="N16" s="11"/>
      <c r="O16" s="42" t="s">
        <v>22</v>
      </c>
      <c r="P16" s="43">
        <v>1.5699999999999999E-2</v>
      </c>
      <c r="Q16" s="44">
        <f t="shared" ref="Q16:V16" si="9">D17/AVERAGE(C23:D23)</f>
        <v>2.521969632255584E-3</v>
      </c>
      <c r="R16" s="44">
        <f t="shared" si="9"/>
        <v>1.744622997728032E-2</v>
      </c>
      <c r="S16" s="44">
        <f t="shared" si="9"/>
        <v>1.3091176765899234E-2</v>
      </c>
      <c r="T16" s="44">
        <f t="shared" si="9"/>
        <v>9.5134848919495359E-3</v>
      </c>
      <c r="U16" s="44">
        <f t="shared" si="9"/>
        <v>1.1787752582365182E-2</v>
      </c>
      <c r="V16" s="44">
        <f t="shared" si="9"/>
        <v>1.0188507612817162E-3</v>
      </c>
      <c r="W16" s="18"/>
      <c r="X16" s="18"/>
      <c r="Y16" s="18"/>
    </row>
    <row r="17" spans="1:25" x14ac:dyDescent="0.25">
      <c r="A17" s="6" t="s">
        <v>27</v>
      </c>
      <c r="B17" s="7"/>
      <c r="C17" s="7"/>
      <c r="D17" s="88">
        <v>188.95</v>
      </c>
      <c r="E17" s="85">
        <v>1250.51</v>
      </c>
      <c r="F17" s="85">
        <v>861.83</v>
      </c>
      <c r="G17" s="85">
        <v>576.38</v>
      </c>
      <c r="H17" s="85">
        <v>691.24</v>
      </c>
      <c r="I17" s="85">
        <v>60.46</v>
      </c>
      <c r="J17" s="85">
        <v>44.82</v>
      </c>
      <c r="K17" s="85">
        <v>254.84</v>
      </c>
      <c r="L17" s="85">
        <v>144.88</v>
      </c>
      <c r="M17" s="11"/>
      <c r="N17" s="11"/>
      <c r="O17" s="18"/>
      <c r="P17" s="18"/>
      <c r="Q17" s="18"/>
      <c r="R17" s="18"/>
      <c r="S17" s="18"/>
      <c r="T17" s="18"/>
      <c r="U17" s="18"/>
      <c r="V17" s="18"/>
      <c r="W17" s="18"/>
      <c r="X17" s="18"/>
      <c r="Y17" s="18"/>
    </row>
    <row r="18" spans="1:25" x14ac:dyDescent="0.25">
      <c r="A18" s="6" t="s">
        <v>55</v>
      </c>
      <c r="B18" s="7"/>
      <c r="C18" s="7"/>
      <c r="D18" s="88">
        <v>1081.3800000000001</v>
      </c>
      <c r="E18" s="85">
        <v>682.31</v>
      </c>
      <c r="F18" s="89">
        <v>925.22</v>
      </c>
      <c r="G18" s="89">
        <v>821.92</v>
      </c>
      <c r="H18" s="89">
        <v>1056.27</v>
      </c>
      <c r="I18" s="89">
        <v>352.68</v>
      </c>
      <c r="J18" s="89">
        <v>384.4</v>
      </c>
      <c r="K18" s="89">
        <v>272.26</v>
      </c>
      <c r="L18" s="89">
        <v>282.91000000000003</v>
      </c>
      <c r="M18" s="11"/>
      <c r="N18" s="11"/>
      <c r="O18" s="40" t="s">
        <v>30</v>
      </c>
      <c r="P18" s="45"/>
      <c r="Q18" s="45"/>
      <c r="R18" s="45"/>
      <c r="S18" s="46" t="s">
        <v>5</v>
      </c>
      <c r="T18" s="18"/>
      <c r="U18" s="18"/>
      <c r="V18" s="18"/>
      <c r="W18" s="18"/>
      <c r="X18" s="18"/>
      <c r="Y18" s="18"/>
    </row>
    <row r="19" spans="1:25" ht="22.5" x14ac:dyDescent="0.25">
      <c r="A19" s="6" t="s">
        <v>28</v>
      </c>
      <c r="B19" s="7"/>
      <c r="C19" s="7"/>
      <c r="D19" s="88">
        <v>7435.01</v>
      </c>
      <c r="E19" s="85">
        <v>7947.16</v>
      </c>
      <c r="F19" s="85">
        <v>8867.18</v>
      </c>
      <c r="G19" s="85">
        <v>9800.5400000000009</v>
      </c>
      <c r="H19" s="85">
        <v>10952.57</v>
      </c>
      <c r="I19" s="85"/>
      <c r="J19" s="85">
        <v>14155</v>
      </c>
      <c r="K19" s="85">
        <v>10642.65</v>
      </c>
      <c r="L19" s="85">
        <v>10952.57</v>
      </c>
      <c r="M19" s="11"/>
      <c r="N19" s="11"/>
      <c r="O19" s="46" t="s">
        <v>95</v>
      </c>
      <c r="P19" s="51"/>
      <c r="Q19" s="51"/>
      <c r="R19" s="52">
        <f>E16/AVERAGE(D22:E22)</f>
        <v>2.5525194801617131E-2</v>
      </c>
      <c r="S19" s="52">
        <f>F16/AVERAGE(E22:F22)</f>
        <v>2.727641310274442E-2</v>
      </c>
      <c r="T19" s="52">
        <f>G16/AVERAGE(F22:G22)</f>
        <v>2.3932372923647818E-2</v>
      </c>
      <c r="U19" s="52">
        <f>H16/AVERAGE(G22:H22)</f>
        <v>3.1795126861151927E-2</v>
      </c>
      <c r="V19" s="52"/>
      <c r="W19" s="18"/>
      <c r="X19" s="18"/>
      <c r="Y19" s="18"/>
    </row>
    <row r="20" spans="1:25" x14ac:dyDescent="0.25">
      <c r="A20" s="6" t="s">
        <v>56</v>
      </c>
      <c r="B20" s="7"/>
      <c r="C20" s="7"/>
      <c r="D20" s="88">
        <f t="shared" ref="D20:J20" si="10">D19-D71</f>
        <v>7435.01</v>
      </c>
      <c r="E20" s="89">
        <f t="shared" si="10"/>
        <v>7947.16</v>
      </c>
      <c r="F20" s="89">
        <f t="shared" si="10"/>
        <v>8867.18</v>
      </c>
      <c r="G20" s="89">
        <f t="shared" si="10"/>
        <v>9800.5400000000009</v>
      </c>
      <c r="H20" s="89">
        <f t="shared" si="10"/>
        <v>10952.57</v>
      </c>
      <c r="I20" s="89">
        <f t="shared" si="10"/>
        <v>0</v>
      </c>
      <c r="J20" s="89">
        <f t="shared" si="10"/>
        <v>14155</v>
      </c>
      <c r="K20" s="89"/>
      <c r="L20" s="89">
        <v>10952.57</v>
      </c>
      <c r="M20" s="11"/>
      <c r="N20" s="11"/>
      <c r="O20" s="42" t="s">
        <v>31</v>
      </c>
      <c r="P20" s="43">
        <v>4.1799999999999997E-2</v>
      </c>
      <c r="Q20" s="43">
        <v>4.4699999999999997E-2</v>
      </c>
      <c r="R20" s="44">
        <f>E18/AVERAGE(D22:E22)</f>
        <v>8.3912366912669081E-3</v>
      </c>
      <c r="S20" s="44">
        <f>F18/AVERAGE(E22:F22)</f>
        <v>1.2319290684103971E-2</v>
      </c>
      <c r="T20" s="44">
        <f>G18/AVERAGE(F22:G22)</f>
        <v>1.2000424581889772E-2</v>
      </c>
      <c r="U20" s="44">
        <f>H18/AVERAGE(G22:H22)</f>
        <v>1.5949203898764749E-2</v>
      </c>
      <c r="V20" s="44"/>
      <c r="W20" s="18"/>
      <c r="X20" s="18"/>
      <c r="Y20" s="18"/>
    </row>
    <row r="21" spans="1:25" x14ac:dyDescent="0.25">
      <c r="A21" s="6" t="s">
        <v>57</v>
      </c>
      <c r="B21" s="9"/>
      <c r="C21" s="9"/>
      <c r="D21" s="85">
        <f>29604.94+26793.19+14023.04+1437.68</f>
        <v>71858.849999999991</v>
      </c>
      <c r="E21" s="85">
        <f>17836.46+32328.12+16132.68+1438.58</f>
        <v>67735.840000000011</v>
      </c>
      <c r="F21" s="85">
        <f>11461.48+29746.34+16747.42+1438.58</f>
        <v>59393.82</v>
      </c>
      <c r="G21" s="85">
        <f>6201.97+27715.84+17648.97+1438.18</f>
        <v>53004.959999999999</v>
      </c>
      <c r="H21" s="85">
        <f>3994.09+31174.7+17213.96+1238.35</f>
        <v>53621.1</v>
      </c>
      <c r="I21" s="85"/>
      <c r="J21" s="85">
        <f>6578.98+29427.03+16788.74+739.42</f>
        <v>53534.17</v>
      </c>
      <c r="K21" s="85"/>
      <c r="L21" s="85">
        <f>3994.09+31174.7+17213.96+1238.35</f>
        <v>53621.1</v>
      </c>
      <c r="M21" s="11"/>
      <c r="N21" s="11"/>
      <c r="O21" s="42" t="s">
        <v>32</v>
      </c>
      <c r="P21" s="43">
        <v>0.21279999999999999</v>
      </c>
      <c r="Q21" s="44">
        <f>D18/AVERAGE(C19:D19)</f>
        <v>0.14544432354495826</v>
      </c>
      <c r="R21" s="44">
        <f>E18/AVERAGE(D19:E19)</f>
        <v>8.8714401154063427E-2</v>
      </c>
      <c r="S21" s="44">
        <f>F18/AVERAGE(E19:F19)</f>
        <v>0.11005130144864443</v>
      </c>
      <c r="T21" s="44">
        <f>G18/AVERAGE(F19:G19)</f>
        <v>8.805788816202513E-2</v>
      </c>
      <c r="U21" s="44">
        <f>H18/AVERAGE(G19:H19)</f>
        <v>0.10179389980586041</v>
      </c>
      <c r="V21" s="44"/>
      <c r="W21" s="18"/>
      <c r="X21" s="18"/>
      <c r="Y21" s="18"/>
    </row>
    <row r="22" spans="1:25" x14ac:dyDescent="0.25">
      <c r="A22" s="6" t="s">
        <v>29</v>
      </c>
      <c r="B22" s="7"/>
      <c r="C22" s="7"/>
      <c r="D22" s="88">
        <v>83750.240000000005</v>
      </c>
      <c r="E22" s="85">
        <v>78874.179999999993</v>
      </c>
      <c r="F22" s="85">
        <v>71332.52</v>
      </c>
      <c r="G22" s="85">
        <v>65649.3</v>
      </c>
      <c r="H22" s="85">
        <v>66804.960000000006</v>
      </c>
      <c r="I22" s="85"/>
      <c r="J22" s="85">
        <v>70271.77</v>
      </c>
      <c r="K22" s="85"/>
      <c r="L22" s="85">
        <v>66804.960000000006</v>
      </c>
      <c r="M22" s="11"/>
      <c r="N22" s="11"/>
      <c r="O22" s="40" t="s">
        <v>33</v>
      </c>
      <c r="P22" s="45"/>
      <c r="Q22" s="45"/>
      <c r="R22" s="45"/>
      <c r="S22" s="46" t="s">
        <v>5</v>
      </c>
      <c r="T22" s="18"/>
      <c r="U22" s="18"/>
      <c r="V22" s="18"/>
      <c r="W22" s="18"/>
      <c r="X22" s="18"/>
      <c r="Y22" s="18"/>
    </row>
    <row r="23" spans="1:25" x14ac:dyDescent="0.25">
      <c r="A23" s="6" t="s">
        <v>58</v>
      </c>
      <c r="B23" s="7"/>
      <c r="C23" s="7"/>
      <c r="D23" s="88">
        <v>74921.600000000006</v>
      </c>
      <c r="E23" s="85">
        <v>68434.3</v>
      </c>
      <c r="F23" s="85">
        <v>63231.48</v>
      </c>
      <c r="G23" s="85">
        <v>57939.68</v>
      </c>
      <c r="H23" s="85">
        <v>59341.37</v>
      </c>
      <c r="I23" s="85"/>
      <c r="J23" s="85">
        <v>59732.08</v>
      </c>
      <c r="K23" s="85"/>
      <c r="L23" s="85">
        <v>57908.53</v>
      </c>
      <c r="M23" s="11"/>
      <c r="N23" s="11"/>
      <c r="O23" s="42" t="s">
        <v>34</v>
      </c>
      <c r="P23" s="43">
        <v>0.17430000000000001</v>
      </c>
      <c r="Q23" s="44">
        <f>D6/AVERAGE(C23:D23)</f>
        <v>8.8531211292871476E-2</v>
      </c>
      <c r="R23" s="44">
        <f>E6/AVERAGE(D23:E23)</f>
        <v>0.1044628089949559</v>
      </c>
      <c r="S23" s="44">
        <f>F6/AVERAGE(E23:F23)</f>
        <v>0.10613722107596978</v>
      </c>
      <c r="T23" s="44">
        <f>G6/AVERAGE(F23:G23)</f>
        <v>9.1374548201073574E-2</v>
      </c>
      <c r="U23" s="44">
        <f>H6/AVERAGE(G23:H23)</f>
        <v>9.9187549906826378E-2</v>
      </c>
      <c r="V23" s="44"/>
      <c r="W23" s="18"/>
      <c r="X23" s="18"/>
      <c r="Y23" s="18"/>
    </row>
    <row r="24" spans="1:25" x14ac:dyDescent="0.25">
      <c r="A24" s="6" t="s">
        <v>59</v>
      </c>
      <c r="B24" s="10"/>
      <c r="C24" s="10"/>
      <c r="D24" s="89">
        <v>354.87</v>
      </c>
      <c r="E24" s="89">
        <v>1856.23</v>
      </c>
      <c r="F24" s="89">
        <v>2998.41</v>
      </c>
      <c r="G24" s="89">
        <v>4706.17</v>
      </c>
      <c r="H24" s="89">
        <v>2271.36</v>
      </c>
      <c r="I24" s="89"/>
      <c r="J24" s="89"/>
      <c r="K24" s="89"/>
      <c r="L24" s="89"/>
      <c r="M24" s="11"/>
      <c r="N24" s="11"/>
      <c r="O24" s="42" t="s">
        <v>35</v>
      </c>
      <c r="P24" s="43">
        <v>7.9799999999999996E-2</v>
      </c>
      <c r="Q24" s="44">
        <f>D9/AVERAGE(C21:D21)</f>
        <v>7.1897337627863517E-2</v>
      </c>
      <c r="R24" s="44">
        <f>E9/AVERAGE(D21:E21)</f>
        <v>8.4176554280109075E-2</v>
      </c>
      <c r="S24" s="44">
        <f>F9/AVERAGE(E21:F21)</f>
        <v>8.0239339899123449E-2</v>
      </c>
      <c r="T24" s="44">
        <f>G9/AVERAGE(F21:G21)</f>
        <v>7.2342956035643807E-2</v>
      </c>
      <c r="U24" s="44">
        <f>H9/AVERAGE(G21:H21)</f>
        <v>7.3144970375909973E-2</v>
      </c>
      <c r="V24" s="44"/>
      <c r="W24" s="18"/>
      <c r="X24" s="18"/>
      <c r="Y24" s="18"/>
    </row>
    <row r="25" spans="1:25" x14ac:dyDescent="0.25">
      <c r="A25" s="6" t="s">
        <v>60</v>
      </c>
      <c r="B25" s="10"/>
      <c r="C25" s="10"/>
      <c r="D25" s="89">
        <v>278.44</v>
      </c>
      <c r="E25" s="89">
        <v>1534.76</v>
      </c>
      <c r="F25" s="89">
        <v>1749.15</v>
      </c>
      <c r="G25" s="89">
        <v>2930.96</v>
      </c>
      <c r="H25" s="89">
        <v>1617.97</v>
      </c>
      <c r="I25" s="89"/>
      <c r="J25" s="89"/>
      <c r="K25" s="89"/>
      <c r="L25" s="89"/>
      <c r="M25" s="11"/>
      <c r="N25" s="11"/>
      <c r="O25" s="42" t="s">
        <v>36</v>
      </c>
      <c r="P25" s="43">
        <v>9.4600000000000004E-2</v>
      </c>
      <c r="Q25" s="48">
        <f>Q23-Q24</f>
        <v>1.6633873665007959E-2</v>
      </c>
      <c r="R25" s="48">
        <f>R23-R24</f>
        <v>2.0286254714846824E-2</v>
      </c>
      <c r="S25" s="48">
        <f>S23-S24</f>
        <v>2.5897881176846327E-2</v>
      </c>
      <c r="T25" s="48">
        <f>T23-T24</f>
        <v>1.9031592165429767E-2</v>
      </c>
      <c r="U25" s="48">
        <f>U23-U24</f>
        <v>2.6042579530916404E-2</v>
      </c>
      <c r="V25" s="48"/>
      <c r="W25" s="18"/>
      <c r="X25" s="18"/>
      <c r="Y25" s="18"/>
    </row>
    <row r="28" spans="1:25" x14ac:dyDescent="0.25">
      <c r="D28" s="732" t="s">
        <v>211</v>
      </c>
      <c r="E28" s="732"/>
      <c r="F28" s="732"/>
      <c r="G28" s="732"/>
      <c r="H28" s="732"/>
      <c r="I28" s="732"/>
      <c r="J28" s="732"/>
      <c r="K28" s="732"/>
      <c r="L28" s="732"/>
      <c r="M28" s="732"/>
      <c r="N28" s="732"/>
    </row>
    <row r="29" spans="1:25" x14ac:dyDescent="0.25">
      <c r="D29" s="732"/>
      <c r="E29" s="732"/>
      <c r="F29" s="732"/>
      <c r="G29" s="732"/>
      <c r="H29" s="732"/>
      <c r="I29" s="732"/>
      <c r="J29" s="732"/>
      <c r="K29" s="732"/>
      <c r="L29" s="732"/>
      <c r="M29" s="732"/>
      <c r="N29" s="732"/>
    </row>
    <row r="30" spans="1:25" x14ac:dyDescent="0.25">
      <c r="D30" s="732"/>
      <c r="E30" s="732"/>
      <c r="F30" s="732"/>
      <c r="G30" s="732"/>
      <c r="H30" s="732"/>
      <c r="I30" s="732"/>
      <c r="J30" s="732"/>
      <c r="K30" s="732"/>
      <c r="L30" s="732"/>
      <c r="M30" s="732"/>
      <c r="N30" s="732"/>
    </row>
    <row r="31" spans="1:25" x14ac:dyDescent="0.25">
      <c r="D31" s="732"/>
      <c r="E31" s="732"/>
      <c r="F31" s="732"/>
      <c r="G31" s="732"/>
      <c r="H31" s="732"/>
      <c r="I31" s="732"/>
      <c r="J31" s="732"/>
      <c r="K31" s="732"/>
      <c r="L31" s="732"/>
      <c r="M31" s="732"/>
      <c r="N31" s="732"/>
    </row>
    <row r="32" spans="1:25" x14ac:dyDescent="0.25">
      <c r="D32" s="732"/>
      <c r="E32" s="732"/>
      <c r="F32" s="732"/>
      <c r="G32" s="732"/>
      <c r="H32" s="732"/>
      <c r="I32" s="732"/>
      <c r="J32" s="732"/>
      <c r="K32" s="732"/>
      <c r="L32" s="732"/>
      <c r="M32" s="732"/>
      <c r="N32" s="732"/>
    </row>
  </sheetData>
  <mergeCells count="3">
    <mergeCell ref="A2:A4"/>
    <mergeCell ref="J1:L1"/>
    <mergeCell ref="D28:N3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34"/>
  <sheetViews>
    <sheetView zoomScale="96" workbookViewId="0">
      <selection activeCell="Q24" sqref="Q24"/>
    </sheetView>
  </sheetViews>
  <sheetFormatPr defaultRowHeight="15" x14ac:dyDescent="0.25"/>
  <cols>
    <col min="1" max="1" width="32.7109375" customWidth="1"/>
    <col min="4" max="4" width="11.85546875" customWidth="1"/>
    <col min="5" max="5" width="12" customWidth="1"/>
    <col min="6" max="6" width="13.7109375" customWidth="1"/>
    <col min="7" max="9" width="11.5703125" customWidth="1"/>
    <col min="10" max="14" width="11.28515625" bestFit="1" customWidth="1"/>
    <col min="15" max="17" width="11.28515625" customWidth="1"/>
    <col min="19" max="19" width="34.5703125" customWidth="1"/>
    <col min="20" max="20" width="11.140625" customWidth="1"/>
    <col min="21" max="21" width="13.28515625" customWidth="1"/>
    <col min="22" max="22" width="13.5703125" customWidth="1"/>
    <col min="23" max="23" width="12.140625" customWidth="1"/>
    <col min="24" max="26" width="12.7109375" customWidth="1"/>
    <col min="29" max="29" width="10.28515625" bestFit="1" customWidth="1"/>
    <col min="36" max="36" width="36.7109375" bestFit="1" customWidth="1"/>
    <col min="37" max="37" width="27.5703125" bestFit="1" customWidth="1"/>
    <col min="38" max="38" width="34.140625" bestFit="1" customWidth="1"/>
    <col min="39" max="40" width="12.140625" bestFit="1" customWidth="1"/>
    <col min="41" max="41" width="23.140625" bestFit="1" customWidth="1"/>
    <col min="42" max="42" width="22.85546875" bestFit="1" customWidth="1"/>
    <col min="43" max="43" width="25.140625" bestFit="1" customWidth="1"/>
  </cols>
  <sheetData>
    <row r="1" spans="1:43" x14ac:dyDescent="0.25">
      <c r="K1" s="772" t="s">
        <v>113</v>
      </c>
      <c r="L1" s="772"/>
      <c r="M1" s="772"/>
      <c r="AK1" s="403"/>
      <c r="AL1" s="403"/>
      <c r="AM1" s="403"/>
      <c r="AN1" s="403"/>
      <c r="AO1" s="403"/>
    </row>
    <row r="2" spans="1:43" ht="33.75" x14ac:dyDescent="0.25">
      <c r="A2" s="771" t="s">
        <v>4</v>
      </c>
      <c r="B2" s="1" t="s">
        <v>43</v>
      </c>
      <c r="C2" s="1" t="s">
        <v>41</v>
      </c>
      <c r="D2" s="2" t="s">
        <v>44</v>
      </c>
      <c r="E2" s="2" t="s">
        <v>0</v>
      </c>
      <c r="F2" s="3" t="s">
        <v>45</v>
      </c>
      <c r="G2" s="3" t="s">
        <v>42</v>
      </c>
      <c r="H2" s="3" t="s">
        <v>366</v>
      </c>
      <c r="I2" s="3" t="s">
        <v>367</v>
      </c>
      <c r="J2" s="3" t="s">
        <v>37</v>
      </c>
      <c r="K2" s="3" t="s">
        <v>38</v>
      </c>
      <c r="L2" s="3" t="s">
        <v>39</v>
      </c>
      <c r="M2" s="3" t="s">
        <v>660</v>
      </c>
      <c r="N2" s="11" t="s">
        <v>682</v>
      </c>
      <c r="O2" s="11" t="s">
        <v>683</v>
      </c>
      <c r="P2" s="11" t="s">
        <v>686</v>
      </c>
      <c r="Q2" s="11" t="s">
        <v>692</v>
      </c>
      <c r="R2" s="11"/>
      <c r="S2" s="40" t="s">
        <v>6</v>
      </c>
      <c r="T2" s="41" t="s">
        <v>7</v>
      </c>
      <c r="U2" s="41" t="s">
        <v>8</v>
      </c>
      <c r="V2" s="41" t="s">
        <v>9</v>
      </c>
      <c r="W2" s="40" t="s">
        <v>10</v>
      </c>
      <c r="X2" s="41" t="s">
        <v>90</v>
      </c>
      <c r="Y2" s="41" t="s">
        <v>492</v>
      </c>
      <c r="Z2" s="41" t="s">
        <v>623</v>
      </c>
      <c r="AA2" s="40" t="s">
        <v>37</v>
      </c>
      <c r="AB2" s="41" t="s">
        <v>38</v>
      </c>
      <c r="AC2" s="41" t="s">
        <v>39</v>
      </c>
      <c r="AD2" s="41" t="s">
        <v>40</v>
      </c>
      <c r="AI2" s="741" t="s">
        <v>624</v>
      </c>
      <c r="AJ2" s="742"/>
      <c r="AK2" s="404" t="s">
        <v>625</v>
      </c>
      <c r="AL2" s="404" t="s">
        <v>626</v>
      </c>
      <c r="AM2" s="404" t="s">
        <v>627</v>
      </c>
      <c r="AN2" s="404" t="s">
        <v>628</v>
      </c>
      <c r="AO2" s="404" t="s">
        <v>629</v>
      </c>
      <c r="AP2" s="404" t="s">
        <v>630</v>
      </c>
      <c r="AQ2" s="404" t="s">
        <v>631</v>
      </c>
    </row>
    <row r="3" spans="1:43"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6.4259978322896386E-2</v>
      </c>
      <c r="V3" s="44">
        <f t="shared" si="0"/>
        <v>6.9602013441077235E-2</v>
      </c>
      <c r="W3" s="44">
        <f t="shared" si="0"/>
        <v>6.405227972417496E-2</v>
      </c>
      <c r="X3" s="44">
        <f t="shared" si="0"/>
        <v>7.0341551384092177E-2</v>
      </c>
      <c r="Y3" s="44">
        <f t="shared" si="0"/>
        <v>6.8306073610602647E-2</v>
      </c>
      <c r="Z3" s="44">
        <f t="shared" si="0"/>
        <v>5.9671872648912341E-2</v>
      </c>
      <c r="AA3" s="44">
        <f t="shared" ref="AA3:AH3" si="1">(J10*4)/J23</f>
        <v>7.5935704226698569E-2</v>
      </c>
      <c r="AB3" s="44">
        <f t="shared" si="1"/>
        <v>7.1686356315437849E-2</v>
      </c>
      <c r="AC3" s="44">
        <f t="shared" si="1"/>
        <v>6.7967244404765564E-2</v>
      </c>
      <c r="AD3" s="44">
        <f t="shared" si="1"/>
        <v>7.7077870523225997E-2</v>
      </c>
      <c r="AE3" s="44">
        <f t="shared" si="1"/>
        <v>6.7708880632860902E-2</v>
      </c>
      <c r="AF3" s="44">
        <f t="shared" si="1"/>
        <v>6.7727480195098777E-2</v>
      </c>
      <c r="AG3" s="44">
        <f t="shared" si="1"/>
        <v>6.572031257457539E-2</v>
      </c>
      <c r="AH3" s="44">
        <f t="shared" si="1"/>
        <v>6.6161371145685766E-2</v>
      </c>
      <c r="AI3" s="743"/>
      <c r="AJ3" s="744"/>
      <c r="AK3" s="405"/>
      <c r="AL3" s="405"/>
      <c r="AM3" s="405"/>
      <c r="AN3" s="405"/>
      <c r="AO3" s="405"/>
      <c r="AP3" s="405"/>
      <c r="AQ3" s="405"/>
    </row>
    <row r="4" spans="1:43"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I4" s="406" t="s">
        <v>632</v>
      </c>
      <c r="AJ4" s="406" t="s">
        <v>557</v>
      </c>
      <c r="AK4" s="745" t="s">
        <v>633</v>
      </c>
      <c r="AL4" s="745"/>
      <c r="AM4" s="745"/>
      <c r="AN4" s="745"/>
      <c r="AO4" s="745"/>
      <c r="AP4" s="745"/>
      <c r="AQ4" s="745"/>
    </row>
    <row r="5" spans="1:43" x14ac:dyDescent="0.25">
      <c r="A5" s="6" t="s">
        <v>23</v>
      </c>
      <c r="B5" s="7"/>
      <c r="C5" s="8"/>
      <c r="D5">
        <v>70996.98</v>
      </c>
      <c r="E5">
        <v>90229.42</v>
      </c>
      <c r="F5" s="85">
        <v>110317.46</v>
      </c>
      <c r="G5" s="90">
        <v>130435.89</v>
      </c>
      <c r="H5" s="90">
        <v>160830.17000000001</v>
      </c>
      <c r="I5" s="90">
        <v>201749.82</v>
      </c>
      <c r="J5" s="85">
        <v>46681.19</v>
      </c>
      <c r="K5" s="85">
        <v>49666.07</v>
      </c>
      <c r="L5" s="85">
        <v>50800.56</v>
      </c>
      <c r="M5" s="85">
        <v>44950.31</v>
      </c>
      <c r="N5" s="11">
        <v>54601.99</v>
      </c>
      <c r="O5" s="11">
        <v>54238.83</v>
      </c>
      <c r="P5" s="11">
        <v>57916.22</v>
      </c>
      <c r="Q5" s="11">
        <v>59674.17</v>
      </c>
      <c r="R5" s="11"/>
      <c r="S5" s="42" t="s">
        <v>13</v>
      </c>
      <c r="T5" s="46"/>
      <c r="U5" s="47">
        <f>D21/D20</f>
        <v>1.9887489613950622</v>
      </c>
      <c r="V5" s="47">
        <f>E21/E20</f>
        <v>2.5654598141018474</v>
      </c>
      <c r="W5" s="47">
        <f>F21/F20</f>
        <v>2.6558292462811766</v>
      </c>
      <c r="X5" s="47">
        <f>G21/G20</f>
        <v>2.8526155367391954</v>
      </c>
      <c r="Y5" s="47">
        <f>H21/H20</f>
        <v>3.0239470158976776</v>
      </c>
      <c r="Z5" s="47"/>
      <c r="AA5" s="18"/>
      <c r="AB5" s="18"/>
      <c r="AC5" s="18"/>
      <c r="AD5" s="18"/>
      <c r="AI5" s="392">
        <v>1</v>
      </c>
      <c r="AJ5" s="108" t="s">
        <v>646</v>
      </c>
      <c r="AK5" s="418">
        <v>6.7699999999999996E-2</v>
      </c>
      <c r="AL5" s="417">
        <v>6.8000000000000005E-2</v>
      </c>
      <c r="AM5" s="81"/>
      <c r="AN5" s="81"/>
      <c r="AO5" s="417">
        <v>7.7100000000000002E-2</v>
      </c>
      <c r="AP5" s="417">
        <v>7.0900000000000005E-2</v>
      </c>
      <c r="AQ5" s="417">
        <v>6.83E-2</v>
      </c>
    </row>
    <row r="6" spans="1:43" x14ac:dyDescent="0.25">
      <c r="A6" s="6" t="s">
        <v>50</v>
      </c>
      <c r="B6" s="7"/>
      <c r="C6" s="8"/>
      <c r="D6">
        <v>55978.31</v>
      </c>
      <c r="E6">
        <v>73676.399999999994</v>
      </c>
      <c r="F6" s="85">
        <v>89939.42</v>
      </c>
      <c r="G6" s="85">
        <v>106452.48</v>
      </c>
      <c r="H6" s="85">
        <v>129684.13</v>
      </c>
      <c r="I6" s="85">
        <v>159326.67000000001</v>
      </c>
      <c r="J6" s="85">
        <v>41281.629999999997</v>
      </c>
      <c r="K6" s="85">
        <v>42587.28</v>
      </c>
      <c r="L6" s="85">
        <v>43734.32</v>
      </c>
      <c r="M6" s="85">
        <v>38614.400000000001</v>
      </c>
      <c r="N6" s="11">
        <v>45861.8</v>
      </c>
      <c r="O6" s="11">
        <v>47974.63</v>
      </c>
      <c r="P6" s="11">
        <v>49061.32</v>
      </c>
      <c r="Q6" s="11">
        <v>51205.52</v>
      </c>
      <c r="R6" s="11"/>
      <c r="S6" s="42" t="s">
        <v>14</v>
      </c>
      <c r="T6" s="43"/>
      <c r="U6" s="43">
        <v>0.67769999999999997</v>
      </c>
      <c r="V6" s="43">
        <v>0.55859999999999999</v>
      </c>
      <c r="W6" s="43">
        <v>0.54379999999999995</v>
      </c>
      <c r="X6" s="48">
        <v>0.51929999999999998</v>
      </c>
      <c r="Y6" s="48">
        <v>0.46960000000000002</v>
      </c>
      <c r="Z6" s="48"/>
      <c r="AA6" s="48">
        <v>0.47320000000000001</v>
      </c>
      <c r="AB6" s="48">
        <v>0.48159999999999997</v>
      </c>
      <c r="AC6" s="48">
        <v>45.01</v>
      </c>
      <c r="AD6" s="48">
        <v>0.46939999999999998</v>
      </c>
      <c r="AE6" s="80">
        <v>0.43990000000000001</v>
      </c>
      <c r="AF6" s="80">
        <v>0.44479999999999997</v>
      </c>
      <c r="AG6" s="80">
        <v>0.46479999999999999</v>
      </c>
      <c r="AH6" s="80">
        <v>0.4556</v>
      </c>
      <c r="AI6" s="392">
        <v>2</v>
      </c>
      <c r="AJ6" s="108" t="s">
        <v>634</v>
      </c>
      <c r="AK6" s="410">
        <v>142.61000000000001</v>
      </c>
      <c r="AL6" s="410">
        <v>116.65</v>
      </c>
      <c r="AM6" s="410">
        <v>121.72</v>
      </c>
      <c r="AN6" s="410">
        <v>109.71</v>
      </c>
      <c r="AO6" s="81"/>
      <c r="AP6" s="411">
        <v>490.69</v>
      </c>
      <c r="AQ6" s="412">
        <v>430.07</v>
      </c>
    </row>
    <row r="7" spans="1:43" x14ac:dyDescent="0.25">
      <c r="A7" s="6" t="s">
        <v>51</v>
      </c>
      <c r="B7" s="7"/>
      <c r="C7" s="8"/>
      <c r="D7" s="87"/>
      <c r="E7" s="85"/>
      <c r="F7" s="85">
        <v>0</v>
      </c>
      <c r="G7" s="85">
        <v>0</v>
      </c>
      <c r="H7" s="85"/>
      <c r="I7" s="85"/>
      <c r="J7" s="85"/>
      <c r="K7" s="85"/>
      <c r="L7" s="85"/>
      <c r="M7" s="85"/>
      <c r="N7" s="11"/>
      <c r="O7" s="11"/>
      <c r="P7" s="11"/>
      <c r="Q7" s="11"/>
      <c r="R7" s="11"/>
      <c r="S7" s="42" t="s">
        <v>15</v>
      </c>
      <c r="T7" s="43"/>
      <c r="U7" s="44">
        <f>D20/D23</f>
        <v>0.38776859559958382</v>
      </c>
      <c r="V7" s="44">
        <f>E20/E23</f>
        <v>0.33827455530445372</v>
      </c>
      <c r="W7" s="44">
        <f>F20/F23</f>
        <v>0.31710649027108695</v>
      </c>
      <c r="X7" s="44">
        <f>G20/G23</f>
        <v>0.30804166050468568</v>
      </c>
      <c r="Y7" s="44">
        <f>H20/H23</f>
        <v>0.28313930082796895</v>
      </c>
      <c r="Z7" s="44"/>
      <c r="AA7" s="18"/>
      <c r="AB7" s="18"/>
      <c r="AC7" s="18"/>
      <c r="AD7" s="18"/>
      <c r="AI7" s="392">
        <v>3</v>
      </c>
      <c r="AJ7" s="108" t="s">
        <v>635</v>
      </c>
      <c r="AK7" s="417">
        <v>9.4000000000000004E-3</v>
      </c>
      <c r="AL7" s="417">
        <v>1.09E-2</v>
      </c>
      <c r="AM7" s="81"/>
      <c r="AN7" s="81"/>
      <c r="AO7" s="417">
        <v>9.1999999999999998E-3</v>
      </c>
      <c r="AP7" s="417">
        <v>9.4000000000000004E-3</v>
      </c>
      <c r="AQ7" s="417">
        <v>9.1999999999999998E-3</v>
      </c>
    </row>
    <row r="8" spans="1:43" x14ac:dyDescent="0.25">
      <c r="A8" s="6" t="s">
        <v>52</v>
      </c>
      <c r="B8" s="7"/>
      <c r="C8" s="8"/>
      <c r="D8" s="85">
        <f t="shared" ref="D8:Q8" si="2">D5-D6-D7</f>
        <v>15018.669999999998</v>
      </c>
      <c r="E8" s="85">
        <f t="shared" si="2"/>
        <v>16553.020000000004</v>
      </c>
      <c r="F8" s="85">
        <f t="shared" si="2"/>
        <v>20378.040000000008</v>
      </c>
      <c r="G8" s="85">
        <f t="shared" si="2"/>
        <v>23983.410000000003</v>
      </c>
      <c r="H8" s="85">
        <f t="shared" si="2"/>
        <v>31146.040000000008</v>
      </c>
      <c r="I8" s="85">
        <f t="shared" si="2"/>
        <v>42423.149999999994</v>
      </c>
      <c r="J8" s="85">
        <f t="shared" si="2"/>
        <v>5399.5600000000049</v>
      </c>
      <c r="K8" s="85">
        <f t="shared" si="2"/>
        <v>7078.7900000000009</v>
      </c>
      <c r="L8" s="85">
        <f t="shared" si="2"/>
        <v>7066.239999999998</v>
      </c>
      <c r="M8" s="85">
        <f t="shared" si="2"/>
        <v>6335.9099999999962</v>
      </c>
      <c r="N8" s="85">
        <f t="shared" si="2"/>
        <v>8740.1899999999951</v>
      </c>
      <c r="O8" s="85">
        <f t="shared" si="2"/>
        <v>6264.2000000000044</v>
      </c>
      <c r="P8" s="85">
        <f t="shared" si="2"/>
        <v>8854.9000000000015</v>
      </c>
      <c r="Q8" s="85">
        <f t="shared" si="2"/>
        <v>8468.6500000000015</v>
      </c>
      <c r="R8" s="11"/>
      <c r="S8" s="40" t="s">
        <v>16</v>
      </c>
      <c r="T8" s="45"/>
      <c r="U8" s="45"/>
      <c r="V8" s="45"/>
      <c r="W8" s="46" t="s">
        <v>5</v>
      </c>
      <c r="X8" s="18"/>
      <c r="Y8" s="18"/>
      <c r="Z8" s="18"/>
      <c r="AA8" s="18"/>
      <c r="AB8" s="18"/>
      <c r="AC8" s="18"/>
      <c r="AD8" s="18"/>
      <c r="AI8" s="392">
        <v>4</v>
      </c>
      <c r="AJ8" s="108" t="s">
        <v>636</v>
      </c>
      <c r="AK8" s="417">
        <v>6.7000000000000002E-3</v>
      </c>
      <c r="AL8" s="417">
        <v>7.9000000000000008E-3</v>
      </c>
      <c r="AM8" s="81"/>
      <c r="AN8" s="81"/>
      <c r="AO8" s="417">
        <v>6.7999999999999996E-3</v>
      </c>
      <c r="AP8" s="417">
        <v>6.7000000000000002E-3</v>
      </c>
      <c r="AQ8" s="417">
        <v>6.7999999999999996E-3</v>
      </c>
    </row>
    <row r="9" spans="1:43" ht="22.5" x14ac:dyDescent="0.25">
      <c r="A9" s="6" t="s">
        <v>24</v>
      </c>
      <c r="B9" s="7"/>
      <c r="C9" s="7"/>
      <c r="D9" s="88">
        <v>25536.71</v>
      </c>
      <c r="E9" s="85">
        <v>35607.15</v>
      </c>
      <c r="F9" s="85">
        <v>45824.27</v>
      </c>
      <c r="G9" s="85">
        <v>47750.33</v>
      </c>
      <c r="H9" s="85">
        <v>59104.75</v>
      </c>
      <c r="I9" s="85">
        <v>82836.070000000007</v>
      </c>
      <c r="J9" s="85">
        <v>18663.419999999998</v>
      </c>
      <c r="K9" s="85">
        <v>20359.82</v>
      </c>
      <c r="L9" s="85">
        <v>21656.52</v>
      </c>
      <c r="M9" s="85">
        <v>16500.23</v>
      </c>
      <c r="N9" s="11">
        <v>22156.3</v>
      </c>
      <c r="O9" s="11">
        <v>23517.360000000001</v>
      </c>
      <c r="P9" s="11">
        <v>24885.19</v>
      </c>
      <c r="Q9" s="11">
        <v>25870.54</v>
      </c>
      <c r="R9" s="11"/>
      <c r="S9" s="49" t="s">
        <v>93</v>
      </c>
      <c r="T9" s="45"/>
      <c r="U9" s="50">
        <f>D14/(D11-D9)</f>
        <v>0.41578173644811184</v>
      </c>
      <c r="V9" s="50">
        <f>E14/(E11-E9)</f>
        <v>0.42041112535235176</v>
      </c>
      <c r="W9" s="50">
        <f>F14/(F11-F9)</f>
        <v>0.39790929864067809</v>
      </c>
      <c r="X9" s="50">
        <f>G14/(G11-G9)</f>
        <v>0.42400656172613455</v>
      </c>
      <c r="Y9" s="50">
        <f>H14/(H11-H9)</f>
        <v>0.44991674647300545</v>
      </c>
      <c r="Z9" s="50"/>
      <c r="AA9" s="18"/>
      <c r="AB9" s="18"/>
      <c r="AC9" s="18"/>
      <c r="AD9" s="18"/>
      <c r="AI9" s="392">
        <v>5</v>
      </c>
      <c r="AJ9" s="108" t="s">
        <v>637</v>
      </c>
      <c r="AK9" s="417">
        <v>1.1999999999999999E-3</v>
      </c>
      <c r="AL9" s="417">
        <v>2.5000000000000001E-3</v>
      </c>
      <c r="AM9" s="81"/>
      <c r="AN9" s="81"/>
      <c r="AO9" s="417">
        <v>2.2000000000000001E-3</v>
      </c>
      <c r="AP9" s="417">
        <v>1.9E-3</v>
      </c>
      <c r="AQ9" s="417">
        <v>1.1999999999999999E-3</v>
      </c>
    </row>
    <row r="10" spans="1:43" ht="30" x14ac:dyDescent="0.25">
      <c r="A10" s="6" t="s">
        <v>53</v>
      </c>
      <c r="B10" s="10">
        <f t="shared" ref="B10:K10" si="3">B6-B9</f>
        <v>0</v>
      </c>
      <c r="C10" s="10">
        <f t="shared" si="3"/>
        <v>0</v>
      </c>
      <c r="D10" s="89">
        <f t="shared" si="3"/>
        <v>30441.599999999999</v>
      </c>
      <c r="E10" s="89">
        <f t="shared" si="3"/>
        <v>38069.249999999993</v>
      </c>
      <c r="F10" s="89">
        <f t="shared" si="3"/>
        <v>44115.15</v>
      </c>
      <c r="G10" s="89">
        <f t="shared" si="3"/>
        <v>58702.149999999994</v>
      </c>
      <c r="H10" s="89">
        <f>H6-H9</f>
        <v>70579.38</v>
      </c>
      <c r="I10" s="89">
        <f>I6-I9</f>
        <v>76490.600000000006</v>
      </c>
      <c r="J10" s="89">
        <f t="shared" si="3"/>
        <v>22618.21</v>
      </c>
      <c r="K10" s="89">
        <f t="shared" si="3"/>
        <v>22227.46</v>
      </c>
      <c r="L10" s="89">
        <f t="shared" ref="L10:Q10" si="4">L6-L9</f>
        <v>22077.8</v>
      </c>
      <c r="M10" s="89">
        <f t="shared" si="4"/>
        <v>22114.170000000002</v>
      </c>
      <c r="N10" s="89">
        <f t="shared" si="4"/>
        <v>23705.500000000004</v>
      </c>
      <c r="O10" s="89">
        <f t="shared" si="4"/>
        <v>24457.269999999997</v>
      </c>
      <c r="P10" s="89">
        <f t="shared" si="4"/>
        <v>24176.13</v>
      </c>
      <c r="Q10" s="89">
        <f t="shared" si="4"/>
        <v>25334.979999999996</v>
      </c>
      <c r="R10" s="11"/>
      <c r="S10" s="42" t="s">
        <v>92</v>
      </c>
      <c r="T10" s="43"/>
      <c r="U10" s="44">
        <f>D14/D11</f>
        <v>0.26623033824819031</v>
      </c>
      <c r="V10" s="44">
        <f>E14/E11</f>
        <v>0.25450468372732532</v>
      </c>
      <c r="W10" s="44">
        <f>F14/F11</f>
        <v>0.23262355750395267</v>
      </c>
      <c r="X10" s="44">
        <f>G14/G11</f>
        <v>0.26878507134807761</v>
      </c>
      <c r="Y10" s="44">
        <f>H14/H11</f>
        <v>0.28457328621862427</v>
      </c>
      <c r="Z10" s="44"/>
      <c r="AA10" s="18"/>
      <c r="AB10" s="18"/>
      <c r="AC10" s="18"/>
      <c r="AD10" s="18"/>
      <c r="AI10" s="392">
        <v>6</v>
      </c>
      <c r="AJ10" s="413" t="s">
        <v>638</v>
      </c>
      <c r="AK10" s="410"/>
      <c r="AL10" s="81"/>
      <c r="AM10" s="81"/>
      <c r="AN10" s="81"/>
      <c r="AO10" s="81"/>
      <c r="AP10" s="408"/>
      <c r="AQ10" s="408"/>
    </row>
    <row r="11" spans="1:43" ht="30" x14ac:dyDescent="0.25">
      <c r="A11" s="6" t="s">
        <v>1</v>
      </c>
      <c r="B11" s="10">
        <f>B5-B9</f>
        <v>0</v>
      </c>
      <c r="C11" s="10">
        <f t="shared" ref="C11:K11" si="5">SUM(C6:C8)</f>
        <v>0</v>
      </c>
      <c r="D11" s="89">
        <f t="shared" si="5"/>
        <v>70996.98</v>
      </c>
      <c r="E11" s="89">
        <f t="shared" si="5"/>
        <v>90229.42</v>
      </c>
      <c r="F11" s="89">
        <f>SUM(F6:F8)</f>
        <v>110317.46</v>
      </c>
      <c r="G11" s="89">
        <f>SUM(G6:G8)</f>
        <v>130435.89</v>
      </c>
      <c r="H11" s="89">
        <f>SUM(H6:H8)</f>
        <v>160830.17000000001</v>
      </c>
      <c r="I11" s="89">
        <f>SUM(I6:I8)</f>
        <v>201749.82</v>
      </c>
      <c r="J11" s="89">
        <f t="shared" si="5"/>
        <v>46681.19</v>
      </c>
      <c r="K11" s="89">
        <f t="shared" si="5"/>
        <v>49666.07</v>
      </c>
      <c r="L11" s="89">
        <f t="shared" ref="L11:Q11" si="6">SUM(L6:L8)</f>
        <v>50800.56</v>
      </c>
      <c r="M11" s="89">
        <f t="shared" si="6"/>
        <v>44950.31</v>
      </c>
      <c r="N11" s="89">
        <f t="shared" si="6"/>
        <v>54601.99</v>
      </c>
      <c r="O11" s="89">
        <f t="shared" si="6"/>
        <v>54238.83</v>
      </c>
      <c r="P11" s="89">
        <f t="shared" si="6"/>
        <v>57916.22</v>
      </c>
      <c r="Q11" s="89">
        <f t="shared" si="6"/>
        <v>59674.17</v>
      </c>
      <c r="R11" s="11"/>
      <c r="S11" s="42" t="s">
        <v>17</v>
      </c>
      <c r="T11" s="43"/>
      <c r="U11" s="44">
        <f>D14/AVERAGE(C22:D22)</f>
        <v>3.3591839551374944E-2</v>
      </c>
      <c r="V11" s="44">
        <f>E14/AVERAGE(D22:E22)</f>
        <v>3.457138240719243E-2</v>
      </c>
      <c r="W11" s="44">
        <f>F14/AVERAGE(E22:F22)</f>
        <v>3.0884953438920785E-2</v>
      </c>
      <c r="X11" s="44">
        <f>G14/AVERAGE(F22:G22)</f>
        <v>3.509355887188835E-2</v>
      </c>
      <c r="Y11" s="44">
        <f>H14/AVERAGE(G22:H22)</f>
        <v>3.7467259565208001E-2</v>
      </c>
      <c r="Z11" s="44"/>
      <c r="AA11" s="18"/>
      <c r="AB11" s="18"/>
      <c r="AC11" s="18"/>
      <c r="AD11" s="18"/>
      <c r="AI11" s="392">
        <v>7</v>
      </c>
      <c r="AJ11" s="413" t="s">
        <v>639</v>
      </c>
      <c r="AK11" s="410"/>
      <c r="AL11" s="81"/>
      <c r="AM11" s="81"/>
      <c r="AN11" s="81"/>
      <c r="AO11" s="81"/>
      <c r="AP11" s="408"/>
      <c r="AQ11" s="408"/>
    </row>
    <row r="12" spans="1:43" x14ac:dyDescent="0.25">
      <c r="A12" s="6" t="s">
        <v>91</v>
      </c>
      <c r="B12" s="10"/>
      <c r="C12" s="10"/>
      <c r="D12" s="89">
        <v>100.27</v>
      </c>
      <c r="E12" s="89">
        <v>79.989999999999995</v>
      </c>
      <c r="F12" s="89">
        <v>216.05</v>
      </c>
      <c r="G12" s="89">
        <v>119.91</v>
      </c>
      <c r="H12" s="89">
        <v>184.39</v>
      </c>
      <c r="I12" s="89">
        <v>279.82</v>
      </c>
      <c r="J12" s="89">
        <v>4.3</v>
      </c>
      <c r="K12" s="89">
        <v>78.23</v>
      </c>
      <c r="L12" s="89">
        <v>119.08</v>
      </c>
      <c r="M12" s="89">
        <v>71.23</v>
      </c>
      <c r="N12" s="11">
        <v>78.22</v>
      </c>
      <c r="O12" s="11">
        <v>16.670000000000002</v>
      </c>
      <c r="P12" s="11">
        <v>129.24</v>
      </c>
      <c r="Q12" s="11">
        <v>117.56</v>
      </c>
      <c r="R12" s="11"/>
      <c r="S12" s="40" t="s">
        <v>18</v>
      </c>
      <c r="T12" s="45"/>
      <c r="U12" s="45"/>
      <c r="V12" s="45"/>
      <c r="W12" s="46" t="s">
        <v>5</v>
      </c>
      <c r="X12" s="18"/>
      <c r="Y12" s="18"/>
      <c r="Z12" s="18"/>
      <c r="AA12" s="18"/>
      <c r="AB12" s="18"/>
      <c r="AC12" s="53"/>
      <c r="AD12" s="54"/>
      <c r="AI12" s="392">
        <v>8</v>
      </c>
      <c r="AJ12" s="108" t="s">
        <v>640</v>
      </c>
      <c r="AK12" s="95" t="e">
        <f>AK10/AK11</f>
        <v>#DIV/0!</v>
      </c>
      <c r="AL12" s="81"/>
      <c r="AM12" s="81"/>
      <c r="AN12" s="81"/>
      <c r="AO12" s="81"/>
      <c r="AP12" s="81"/>
      <c r="AQ12" s="81"/>
    </row>
    <row r="13" spans="1:43" x14ac:dyDescent="0.25">
      <c r="A13" s="6" t="s">
        <v>25</v>
      </c>
      <c r="B13" s="7"/>
      <c r="C13" s="7"/>
      <c r="D13" s="88">
        <f t="shared" ref="D13:Q13" si="7">D11+D12</f>
        <v>71097.25</v>
      </c>
      <c r="E13" s="88">
        <f t="shared" si="7"/>
        <v>90309.41</v>
      </c>
      <c r="F13" s="88">
        <f t="shared" si="7"/>
        <v>110533.51000000001</v>
      </c>
      <c r="G13" s="88">
        <f t="shared" si="7"/>
        <v>130555.8</v>
      </c>
      <c r="H13" s="88">
        <f>H11+H12</f>
        <v>161014.56000000003</v>
      </c>
      <c r="I13" s="88">
        <f>I11+I12</f>
        <v>202029.64</v>
      </c>
      <c r="J13" s="88">
        <f t="shared" si="7"/>
        <v>46685.490000000005</v>
      </c>
      <c r="K13" s="88">
        <f t="shared" si="7"/>
        <v>49744.3</v>
      </c>
      <c r="L13" s="88">
        <f t="shared" si="7"/>
        <v>50919.64</v>
      </c>
      <c r="M13" s="88">
        <f t="shared" si="7"/>
        <v>45021.54</v>
      </c>
      <c r="N13" s="88">
        <f t="shared" si="7"/>
        <v>54680.21</v>
      </c>
      <c r="O13" s="88">
        <f t="shared" si="7"/>
        <v>54255.5</v>
      </c>
      <c r="P13" s="88">
        <f t="shared" si="7"/>
        <v>58045.46</v>
      </c>
      <c r="Q13" s="88">
        <f t="shared" si="7"/>
        <v>59791.729999999996</v>
      </c>
      <c r="R13" s="11"/>
      <c r="S13" s="42" t="s">
        <v>19</v>
      </c>
      <c r="T13" s="43"/>
      <c r="U13" s="44">
        <f>D24/D23</f>
        <v>3.3415332270904053E-3</v>
      </c>
      <c r="V13" s="44">
        <f>E24/E23</f>
        <v>3.379837235134383E-3</v>
      </c>
      <c r="W13" s="44">
        <f>F24/F23</f>
        <v>9.760308036634217E-3</v>
      </c>
      <c r="X13" s="44">
        <f>G24/G23</f>
        <v>9.9102751221607707E-3</v>
      </c>
      <c r="Y13" s="44">
        <f>H24/H23</f>
        <v>9.2389128201115483E-3</v>
      </c>
      <c r="Z13" s="44"/>
      <c r="AA13" s="48">
        <v>0.01</v>
      </c>
      <c r="AB13" s="48">
        <v>1.04E-2</v>
      </c>
      <c r="AC13" s="48">
        <v>1.09E-2</v>
      </c>
      <c r="AD13" s="48">
        <v>9.1999999999999998E-3</v>
      </c>
      <c r="AE13" s="80">
        <v>9.4000000000000004E-3</v>
      </c>
      <c r="AF13" s="80">
        <v>1.01E-2</v>
      </c>
      <c r="AG13" s="80">
        <v>1.0800000000000001E-2</v>
      </c>
      <c r="AH13" s="80">
        <v>1.14E-2</v>
      </c>
      <c r="AI13" s="392">
        <v>9</v>
      </c>
      <c r="AJ13" s="108" t="s">
        <v>641</v>
      </c>
      <c r="AK13" s="417">
        <v>1.0311999999999999</v>
      </c>
      <c r="AL13" s="81"/>
      <c r="AM13" s="81"/>
      <c r="AN13" s="81"/>
      <c r="AO13" s="81"/>
      <c r="AP13" s="408"/>
      <c r="AQ13" s="408"/>
    </row>
    <row r="14" spans="1:43" x14ac:dyDescent="0.25">
      <c r="A14" s="6" t="s">
        <v>26</v>
      </c>
      <c r="B14" s="7"/>
      <c r="C14" s="7"/>
      <c r="D14" s="85">
        <f>492.2+11723.54+972.34+5713.47</f>
        <v>18901.550000000003</v>
      </c>
      <c r="E14" s="85">
        <f>490.05+14707.45+1956.13+5810.18</f>
        <v>22963.81</v>
      </c>
      <c r="F14" s="85">
        <f>618.46+17213.61+2060.37+5770</f>
        <v>25662.44</v>
      </c>
      <c r="G14" s="85">
        <f>571.23+23223.53+2375.76+8888.7</f>
        <v>35059.22</v>
      </c>
      <c r="H14" s="85">
        <f>756.47+30059.03+2871.95+12080.52</f>
        <v>45767.97</v>
      </c>
      <c r="I14" s="85">
        <f>755.31+35591.03+3265.98+14688.9</f>
        <v>54301.22</v>
      </c>
      <c r="J14" s="85">
        <f>216.47+9490.6+727.66+2951.96</f>
        <v>13386.689999999999</v>
      </c>
      <c r="K14" s="85">
        <f>309.95+8202.46+763.05+3803.36</f>
        <v>13078.82</v>
      </c>
      <c r="L14" s="85">
        <f>201.24+8311.98+865.47+4114.07</f>
        <v>13492.759999999998</v>
      </c>
      <c r="M14" s="85">
        <f>183.16+7553.88+868.07+3421.96</f>
        <v>12027.07</v>
      </c>
      <c r="N14" s="11">
        <f>123.17+9585.99+909.8+3724</f>
        <v>14342.96</v>
      </c>
      <c r="O14" s="11">
        <f>102.42+9155.2+850.82+3676.57</f>
        <v>13785.01</v>
      </c>
      <c r="P14" s="11">
        <f>217.93+8360.9+893.07+4203.48</f>
        <v>13675.38</v>
      </c>
      <c r="Q14" s="11">
        <f>253.7+9064.47+922.23+4233.86</f>
        <v>14474.259999999998</v>
      </c>
      <c r="R14" s="11"/>
      <c r="S14" s="42" t="s">
        <v>20</v>
      </c>
      <c r="T14" s="43"/>
      <c r="U14" s="44">
        <f>D25/D23</f>
        <v>2.3583903468178259E-3</v>
      </c>
      <c r="V14" s="44">
        <f>E25/E23</f>
        <v>2.7577825882649167E-3</v>
      </c>
      <c r="W14" s="44">
        <f>F25/F23</f>
        <v>7.1010768644973292E-3</v>
      </c>
      <c r="X14" s="44">
        <f>G25/G23</f>
        <v>7.6253226293343688E-3</v>
      </c>
      <c r="Y14" s="44">
        <f>H25/H23</f>
        <v>6.7531502111378029E-3</v>
      </c>
      <c r="Z14" s="44"/>
      <c r="AA14" s="48">
        <v>7.3000000000000001E-3</v>
      </c>
      <c r="AB14" s="48">
        <v>7.6E-3</v>
      </c>
      <c r="AC14" s="48">
        <v>7.9000000000000008E-3</v>
      </c>
      <c r="AD14" s="48">
        <v>6.7999999999999996E-3</v>
      </c>
      <c r="AE14" s="80">
        <v>6.7000000000000002E-3</v>
      </c>
      <c r="AF14" s="80">
        <v>7.1999999999999998E-3</v>
      </c>
      <c r="AG14" s="80">
        <v>7.7999999999999996E-3</v>
      </c>
      <c r="AH14" s="80">
        <v>8.0999999999999996E-3</v>
      </c>
      <c r="AI14" s="392">
        <v>10</v>
      </c>
      <c r="AJ14" s="108" t="s">
        <v>642</v>
      </c>
      <c r="AK14" s="417">
        <v>0.43990000000000001</v>
      </c>
      <c r="AL14" s="81"/>
      <c r="AM14" s="81"/>
      <c r="AN14" s="81"/>
      <c r="AO14" s="81"/>
      <c r="AP14" s="408"/>
      <c r="AQ14" s="408"/>
    </row>
    <row r="15" spans="1:43" x14ac:dyDescent="0.25">
      <c r="A15" s="6" t="s">
        <v>54</v>
      </c>
      <c r="B15" s="10"/>
      <c r="C15" s="10"/>
      <c r="D15" s="89">
        <f t="shared" ref="D15:K15" si="8">D11-D14</f>
        <v>52095.429999999993</v>
      </c>
      <c r="E15" s="89">
        <f t="shared" si="8"/>
        <v>67265.61</v>
      </c>
      <c r="F15" s="89">
        <f t="shared" si="8"/>
        <v>84655.02</v>
      </c>
      <c r="G15" s="89">
        <f t="shared" si="8"/>
        <v>95376.67</v>
      </c>
      <c r="H15" s="89">
        <f>H11-H14</f>
        <v>115062.20000000001</v>
      </c>
      <c r="I15" s="89">
        <f>I11-I14</f>
        <v>147448.6</v>
      </c>
      <c r="J15" s="89">
        <f t="shared" si="8"/>
        <v>33294.5</v>
      </c>
      <c r="K15" s="89">
        <f t="shared" si="8"/>
        <v>36587.25</v>
      </c>
      <c r="L15" s="89">
        <f t="shared" ref="L15:Q15" si="9">L11-L14</f>
        <v>37307.800000000003</v>
      </c>
      <c r="M15" s="89">
        <f t="shared" si="9"/>
        <v>32923.24</v>
      </c>
      <c r="N15" s="89">
        <f t="shared" si="9"/>
        <v>40259.03</v>
      </c>
      <c r="O15" s="89">
        <f t="shared" si="9"/>
        <v>40453.82</v>
      </c>
      <c r="P15" s="89">
        <f t="shared" si="9"/>
        <v>44240.840000000004</v>
      </c>
      <c r="Q15" s="89">
        <f t="shared" si="9"/>
        <v>45199.91</v>
      </c>
      <c r="R15" s="11"/>
      <c r="S15" s="42" t="s">
        <v>21</v>
      </c>
      <c r="T15" s="43"/>
      <c r="U15" s="44">
        <f t="shared" ref="U15:AA15" si="10">(U13-U14)/U13</f>
        <v>0.29421909448694539</v>
      </c>
      <c r="V15" s="44">
        <f t="shared" si="10"/>
        <v>0.18404869926960649</v>
      </c>
      <c r="W15" s="44">
        <f t="shared" si="10"/>
        <v>0.2724536113159301</v>
      </c>
      <c r="X15" s="44">
        <f t="shared" si="10"/>
        <v>0.23056398179268772</v>
      </c>
      <c r="Y15" s="44">
        <f t="shared" si="10"/>
        <v>0.26905358426617698</v>
      </c>
      <c r="Z15" s="44"/>
      <c r="AA15" s="44">
        <f t="shared" si="10"/>
        <v>0.27</v>
      </c>
      <c r="AB15" s="18"/>
      <c r="AC15" s="18"/>
      <c r="AD15" s="18"/>
      <c r="AJ15" s="414"/>
    </row>
    <row r="16" spans="1:43" x14ac:dyDescent="0.25">
      <c r="A16" s="6" t="s">
        <v>94</v>
      </c>
      <c r="B16" s="10"/>
      <c r="C16" s="10"/>
      <c r="D16" s="89">
        <f t="shared" ref="D16:K16" si="11">D13-D14-D9</f>
        <v>26658.989999999998</v>
      </c>
      <c r="E16" s="89">
        <f t="shared" si="11"/>
        <v>31738.450000000004</v>
      </c>
      <c r="F16" s="89">
        <f t="shared" si="11"/>
        <v>39046.80000000001</v>
      </c>
      <c r="G16" s="89">
        <f t="shared" si="11"/>
        <v>47746.25</v>
      </c>
      <c r="H16" s="89">
        <f>H13-H14-H9</f>
        <v>56141.840000000026</v>
      </c>
      <c r="I16" s="89">
        <f>I13-I14-I9</f>
        <v>64892.350000000006</v>
      </c>
      <c r="J16" s="89">
        <f t="shared" si="11"/>
        <v>14635.380000000005</v>
      </c>
      <c r="K16" s="89">
        <f t="shared" si="11"/>
        <v>16305.660000000003</v>
      </c>
      <c r="L16" s="89">
        <f t="shared" ref="L16:Q16" si="12">L13-L14-L9</f>
        <v>15770.360000000004</v>
      </c>
      <c r="M16" s="89">
        <f t="shared" si="12"/>
        <v>16494.240000000002</v>
      </c>
      <c r="N16" s="89">
        <f t="shared" si="12"/>
        <v>18180.95</v>
      </c>
      <c r="O16" s="89">
        <f t="shared" si="12"/>
        <v>16953.129999999997</v>
      </c>
      <c r="P16" s="89">
        <f t="shared" si="12"/>
        <v>19484.890000000003</v>
      </c>
      <c r="Q16" s="89">
        <f t="shared" si="12"/>
        <v>19446.93</v>
      </c>
      <c r="R16" s="11"/>
      <c r="S16" s="42" t="s">
        <v>22</v>
      </c>
      <c r="T16" s="43"/>
      <c r="U16" s="44">
        <f t="shared" ref="U16:Z16" si="13">D17/AVERAGE(C23:D23)</f>
        <v>1.8782390187231785E-3</v>
      </c>
      <c r="V16" s="44">
        <f t="shared" si="13"/>
        <v>2.8042101217033554E-3</v>
      </c>
      <c r="W16" s="44">
        <f t="shared" si="13"/>
        <v>5.3922790600604191E-3</v>
      </c>
      <c r="X16" s="44">
        <f t="shared" si="13"/>
        <v>2.708733559754933E-3</v>
      </c>
      <c r="Y16" s="44">
        <f t="shared" si="13"/>
        <v>1.2022284253847941E-3</v>
      </c>
      <c r="Z16" s="44">
        <f t="shared" si="13"/>
        <v>1.909243109150256E-3</v>
      </c>
      <c r="AA16" s="44">
        <f t="shared" ref="AA16:AH16" si="14">(J17*4)/J23</f>
        <v>1.9052574075778515E-3</v>
      </c>
      <c r="AB16" s="44">
        <f t="shared" si="14"/>
        <v>2.1019112845759398E-3</v>
      </c>
      <c r="AC16" s="44">
        <f t="shared" si="14"/>
        <v>2.4523596958409013E-3</v>
      </c>
      <c r="AD16" s="44">
        <f t="shared" si="14"/>
        <v>2.2244501035593041E-3</v>
      </c>
      <c r="AE16" s="44">
        <f t="shared" si="14"/>
        <v>1.2325869670880088E-3</v>
      </c>
      <c r="AF16" s="44">
        <f t="shared" si="14"/>
        <v>2.3769294508610771E-3</v>
      </c>
      <c r="AG16" s="44">
        <f t="shared" si="14"/>
        <v>1.3124691219864695E-3</v>
      </c>
      <c r="AH16" s="44">
        <f t="shared" si="14"/>
        <v>1.5859155635040373E-3</v>
      </c>
      <c r="AJ16" s="415" t="s">
        <v>643</v>
      </c>
    </row>
    <row r="17" spans="1:36" x14ac:dyDescent="0.25">
      <c r="A17" s="6" t="s">
        <v>27</v>
      </c>
      <c r="B17" s="7"/>
      <c r="C17" s="7"/>
      <c r="D17" s="88">
        <v>889.77</v>
      </c>
      <c r="E17" s="85">
        <v>1533.78</v>
      </c>
      <c r="F17" s="85">
        <v>3713.86</v>
      </c>
      <c r="G17" s="85">
        <v>2260.52</v>
      </c>
      <c r="H17" s="85">
        <v>1242.24</v>
      </c>
      <c r="I17" s="85">
        <v>2447.37</v>
      </c>
      <c r="J17" s="85">
        <v>567.5</v>
      </c>
      <c r="K17" s="85">
        <v>651.73</v>
      </c>
      <c r="L17" s="85">
        <v>796.6</v>
      </c>
      <c r="M17" s="85">
        <v>638.21</v>
      </c>
      <c r="N17" s="11">
        <v>431.54</v>
      </c>
      <c r="O17" s="11">
        <v>858.34</v>
      </c>
      <c r="P17" s="11">
        <v>482.81</v>
      </c>
      <c r="Q17" s="11">
        <v>607.29</v>
      </c>
      <c r="R17" s="11"/>
      <c r="S17" s="18"/>
      <c r="T17" s="18"/>
      <c r="U17" s="18"/>
      <c r="V17" s="18"/>
      <c r="W17" s="18"/>
      <c r="X17" s="18"/>
      <c r="Y17" s="18"/>
      <c r="Z17" s="18"/>
      <c r="AA17" s="18"/>
      <c r="AB17" s="18"/>
      <c r="AC17" s="18"/>
      <c r="AD17" s="18"/>
      <c r="AJ17" s="416" t="s">
        <v>644</v>
      </c>
    </row>
    <row r="18" spans="1:36" x14ac:dyDescent="0.25">
      <c r="A18" s="6" t="s">
        <v>55</v>
      </c>
      <c r="B18" s="7"/>
      <c r="C18" s="7"/>
      <c r="D18" s="88">
        <v>17591.23</v>
      </c>
      <c r="E18" s="85">
        <v>24912.09</v>
      </c>
      <c r="F18" s="89">
        <v>28949.52</v>
      </c>
      <c r="G18" s="89">
        <v>35679.919999999998</v>
      </c>
      <c r="H18" s="89">
        <v>43007.21</v>
      </c>
      <c r="I18" s="89">
        <v>49069.42</v>
      </c>
      <c r="J18" s="89">
        <v>10971.09</v>
      </c>
      <c r="K18" s="89">
        <v>12172.2</v>
      </c>
      <c r="L18" s="89">
        <v>11664.6</v>
      </c>
      <c r="M18" s="89">
        <v>12675.04</v>
      </c>
      <c r="N18" s="11">
        <v>14261.53</v>
      </c>
      <c r="O18" s="11">
        <v>12610.07</v>
      </c>
      <c r="P18" s="11">
        <v>14790.5</v>
      </c>
      <c r="Q18" s="11">
        <v>14642.29</v>
      </c>
      <c r="R18" s="11"/>
      <c r="S18" s="40" t="s">
        <v>30</v>
      </c>
      <c r="T18" s="45"/>
      <c r="U18" s="45"/>
      <c r="V18" s="45"/>
      <c r="W18" s="46" t="s">
        <v>5</v>
      </c>
      <c r="X18" s="18"/>
      <c r="Y18" s="18"/>
      <c r="Z18" s="18"/>
      <c r="AA18" s="18"/>
      <c r="AB18" s="18"/>
      <c r="AC18" s="18"/>
      <c r="AD18" s="18"/>
    </row>
    <row r="19" spans="1:36" ht="22.5" x14ac:dyDescent="0.25">
      <c r="A19" s="6" t="s">
        <v>28</v>
      </c>
      <c r="B19" s="7"/>
      <c r="C19" s="7"/>
      <c r="D19" s="88">
        <v>183695.93</v>
      </c>
      <c r="E19" s="85">
        <v>209793.37</v>
      </c>
      <c r="F19" s="85">
        <v>240140.48</v>
      </c>
      <c r="G19" s="85">
        <v>280864.34000000003</v>
      </c>
      <c r="H19" s="85">
        <v>326966</v>
      </c>
      <c r="I19" s="85">
        <f>337331.52-3061.2</f>
        <v>334270.32</v>
      </c>
      <c r="J19" s="85"/>
      <c r="K19" s="85">
        <v>351356.37</v>
      </c>
      <c r="L19" s="85"/>
      <c r="M19" s="85">
        <v>326996</v>
      </c>
      <c r="N19" s="11">
        <v>377331.52</v>
      </c>
      <c r="O19" s="11"/>
      <c r="P19" s="11">
        <f>404836.96-2884.37</f>
        <v>401952.59</v>
      </c>
      <c r="Q19" s="11"/>
      <c r="R19" s="11"/>
      <c r="S19" s="46" t="s">
        <v>95</v>
      </c>
      <c r="T19" s="51"/>
      <c r="U19" s="51"/>
      <c r="V19" s="52">
        <f>E16/AVERAGE(D22:E22)</f>
        <v>4.7781360843934723E-2</v>
      </c>
      <c r="W19" s="52">
        <f>F16/AVERAGE(E22:F22)</f>
        <v>4.699313860797541E-2</v>
      </c>
      <c r="X19" s="52">
        <f>G16/AVERAGE(F22:G22)</f>
        <v>4.7793015226433991E-2</v>
      </c>
      <c r="Y19" s="52">
        <f>H16/AVERAGE(G22:H22)</f>
        <v>4.5959672053367845E-2</v>
      </c>
      <c r="Z19" s="52"/>
      <c r="AA19" s="18"/>
      <c r="AB19" s="18"/>
      <c r="AC19" s="18"/>
      <c r="AD19" s="18"/>
    </row>
    <row r="20" spans="1:36" x14ac:dyDescent="0.25">
      <c r="A20" s="6" t="s">
        <v>56</v>
      </c>
      <c r="B20" s="7"/>
      <c r="C20" s="7"/>
      <c r="D20" s="88">
        <f t="shared" ref="D20:P20" si="15">D19-D71</f>
        <v>183695.93</v>
      </c>
      <c r="E20" s="89">
        <f t="shared" si="15"/>
        <v>209793.37</v>
      </c>
      <c r="F20" s="89">
        <f t="shared" si="15"/>
        <v>240140.48</v>
      </c>
      <c r="G20" s="89">
        <f t="shared" si="15"/>
        <v>280864.34000000003</v>
      </c>
      <c r="H20" s="89">
        <f t="shared" si="15"/>
        <v>326966</v>
      </c>
      <c r="I20" s="89">
        <f t="shared" si="15"/>
        <v>334270.32</v>
      </c>
      <c r="J20" s="89">
        <f t="shared" si="15"/>
        <v>0</v>
      </c>
      <c r="K20" s="89">
        <f t="shared" si="15"/>
        <v>351356.37</v>
      </c>
      <c r="L20" s="89">
        <f t="shared" si="15"/>
        <v>0</v>
      </c>
      <c r="M20" s="89">
        <f t="shared" si="15"/>
        <v>326996</v>
      </c>
      <c r="N20" s="89">
        <f t="shared" si="15"/>
        <v>377331.52</v>
      </c>
      <c r="O20" s="89">
        <f t="shared" si="15"/>
        <v>0</v>
      </c>
      <c r="P20" s="89">
        <f t="shared" si="15"/>
        <v>401952.59</v>
      </c>
      <c r="Q20" s="440"/>
      <c r="R20" s="11"/>
      <c r="S20" s="42" t="s">
        <v>31</v>
      </c>
      <c r="T20" s="43"/>
      <c r="U20" s="43">
        <v>4.4699999999999997E-2</v>
      </c>
      <c r="V20" s="44">
        <f>E18/AVERAGE(D22:E22)</f>
        <v>3.750446419615884E-2</v>
      </c>
      <c r="W20" s="44">
        <f>F18/AVERAGE(E22:F22)</f>
        <v>3.4840980720426663E-2</v>
      </c>
      <c r="X20" s="44">
        <f>G18/AVERAGE(F22:G22)</f>
        <v>3.5714866818607673E-2</v>
      </c>
      <c r="Y20" s="44">
        <f>H18/AVERAGE(G22:H22)</f>
        <v>3.5207204956772369E-2</v>
      </c>
      <c r="Z20" s="44"/>
      <c r="AA20" s="48"/>
      <c r="AB20" s="18"/>
      <c r="AC20" s="18"/>
      <c r="AD20" s="18"/>
    </row>
    <row r="21" spans="1:36" x14ac:dyDescent="0.25">
      <c r="A21" s="6" t="s">
        <v>57</v>
      </c>
      <c r="B21" s="9"/>
      <c r="C21" s="9"/>
      <c r="D21" s="85">
        <f>43705.08+311661.71+9958.3</f>
        <v>365325.09</v>
      </c>
      <c r="E21" s="85">
        <f>116846.54+408391.4+9965.61+3012.91</f>
        <v>538216.46000000008</v>
      </c>
      <c r="F21" s="85">
        <f>146466.15+478102.49+9973.65+3229.82</f>
        <v>637772.11</v>
      </c>
      <c r="G21" s="85">
        <f>170946.09+616321.15+9982.5+3948.24</f>
        <v>801197.98</v>
      </c>
      <c r="H21" s="85">
        <f>142451.9+831624.91+9992.26+4658.79</f>
        <v>988727.8600000001</v>
      </c>
      <c r="I21" s="85">
        <f>140351.31+1093298.26</f>
        <v>1233649.57</v>
      </c>
      <c r="J21" s="85"/>
      <c r="K21" s="85">
        <f>149652.27+954790.91+9997.55</f>
        <v>1114440.73</v>
      </c>
      <c r="L21" s="85"/>
      <c r="M21" s="85">
        <f>142451.9+831624.91+9992.26</f>
        <v>984069.07000000007</v>
      </c>
      <c r="N21" s="11">
        <f>140351.31+1093298.26</f>
        <v>1233649.57</v>
      </c>
      <c r="O21" s="11"/>
      <c r="P21" s="11">
        <f>96554.6+1144253.19</f>
        <v>1240807.79</v>
      </c>
      <c r="Q21" s="11"/>
      <c r="R21" s="11"/>
      <c r="S21" s="42" t="s">
        <v>32</v>
      </c>
      <c r="T21" s="43"/>
      <c r="U21" s="44">
        <f>D18/AVERAGE(C19:D19)</f>
        <v>9.5762764041642079E-2</v>
      </c>
      <c r="V21" s="44">
        <f>E18/AVERAGE(D19:E19)</f>
        <v>0.12662143544945187</v>
      </c>
      <c r="W21" s="44">
        <f>F18/AVERAGE(E19:F19)</f>
        <v>0.12868344980045401</v>
      </c>
      <c r="X21" s="44">
        <f>G18/AVERAGE(F19:G19)</f>
        <v>0.13696579620894866</v>
      </c>
      <c r="Y21" s="44">
        <f>H18/AVERAGE(G19:H19)</f>
        <v>0.14151057349325469</v>
      </c>
      <c r="Z21" s="44"/>
      <c r="AA21" s="18"/>
      <c r="AB21" s="18"/>
      <c r="AC21" s="18"/>
      <c r="AD21" s="18"/>
    </row>
    <row r="22" spans="1:36" x14ac:dyDescent="0.25">
      <c r="A22" s="6" t="s">
        <v>29</v>
      </c>
      <c r="B22" s="7"/>
      <c r="C22" s="7"/>
      <c r="D22" s="88">
        <v>562682.79</v>
      </c>
      <c r="E22" s="85">
        <v>765803.86</v>
      </c>
      <c r="F22" s="85">
        <v>896004.7</v>
      </c>
      <c r="G22" s="85">
        <v>1102038.31</v>
      </c>
      <c r="H22" s="85">
        <v>1341053.1000000001</v>
      </c>
      <c r="I22" s="85">
        <v>1651945.36</v>
      </c>
      <c r="J22" s="85"/>
      <c r="K22" s="85">
        <v>1503760.67</v>
      </c>
      <c r="L22" s="85"/>
      <c r="M22" s="85">
        <v>1341053.1000000001</v>
      </c>
      <c r="N22" s="11">
        <v>1651945.36</v>
      </c>
      <c r="O22" s="11"/>
      <c r="P22" s="11">
        <v>1688512.07</v>
      </c>
      <c r="Q22" s="11"/>
      <c r="R22" s="11"/>
      <c r="S22" s="40" t="s">
        <v>33</v>
      </c>
      <c r="T22" s="45"/>
      <c r="U22" s="45"/>
      <c r="V22" s="45"/>
      <c r="W22" s="46" t="s">
        <v>5</v>
      </c>
      <c r="X22" s="18"/>
      <c r="Y22" s="18"/>
      <c r="Z22" s="18"/>
      <c r="AA22" s="18"/>
      <c r="AB22" s="18"/>
      <c r="AC22" s="18"/>
      <c r="AD22" s="18"/>
    </row>
    <row r="23" spans="1:36" x14ac:dyDescent="0.25">
      <c r="A23" s="6" t="s">
        <v>58</v>
      </c>
      <c r="B23" s="7"/>
      <c r="C23" s="7"/>
      <c r="D23" s="88">
        <v>473725.65</v>
      </c>
      <c r="E23" s="85">
        <v>620186.67000000004</v>
      </c>
      <c r="F23" s="85">
        <v>757286.55</v>
      </c>
      <c r="G23" s="85">
        <v>911773.88</v>
      </c>
      <c r="H23" s="85">
        <v>1154788.47</v>
      </c>
      <c r="I23" s="85">
        <v>1408918.57</v>
      </c>
      <c r="J23" s="85">
        <v>1191440.06</v>
      </c>
      <c r="K23" s="85">
        <v>1240261.67</v>
      </c>
      <c r="L23" s="85">
        <v>1299320</v>
      </c>
      <c r="M23" s="85">
        <v>1147627.45</v>
      </c>
      <c r="N23" s="11">
        <v>1400436.68</v>
      </c>
      <c r="O23" s="11">
        <v>1444451.79</v>
      </c>
      <c r="P23" s="11">
        <v>1471455.57</v>
      </c>
      <c r="Q23" s="11">
        <v>1531708.28</v>
      </c>
      <c r="R23" s="11"/>
      <c r="S23" s="42" t="s">
        <v>34</v>
      </c>
      <c r="T23" s="43"/>
      <c r="U23" s="44">
        <f>D6/AVERAGE(C23:D23)</f>
        <v>0.11816609465837452</v>
      </c>
      <c r="V23" s="44">
        <f>E6/AVERAGE(D23:E23)</f>
        <v>0.13470256921505372</v>
      </c>
      <c r="W23" s="44">
        <f>F6/AVERAGE(E23:F23)</f>
        <v>0.13058608863553803</v>
      </c>
      <c r="X23" s="44">
        <f>G6/AVERAGE(F23:G23)</f>
        <v>0.12755976726378923</v>
      </c>
      <c r="Y23" s="44">
        <f>H6/AVERAGE(G23:H23)</f>
        <v>0.12550710604013471</v>
      </c>
      <c r="Z23" s="44"/>
      <c r="AA23" s="18"/>
      <c r="AB23" s="18"/>
      <c r="AC23" s="18"/>
      <c r="AD23" s="18"/>
    </row>
    <row r="24" spans="1:36" x14ac:dyDescent="0.25">
      <c r="A24" s="6" t="s">
        <v>59</v>
      </c>
      <c r="B24" s="10"/>
      <c r="C24" s="10"/>
      <c r="D24" s="89">
        <v>1582.97</v>
      </c>
      <c r="E24" s="89">
        <v>2096.13</v>
      </c>
      <c r="F24" s="89">
        <v>7391.35</v>
      </c>
      <c r="G24" s="89">
        <v>9035.93</v>
      </c>
      <c r="H24" s="89">
        <v>10668.99</v>
      </c>
      <c r="I24" s="89">
        <v>13185.78</v>
      </c>
      <c r="J24" s="89"/>
      <c r="K24" s="89"/>
      <c r="L24" s="89"/>
      <c r="M24" s="89"/>
      <c r="N24" s="11"/>
      <c r="O24" s="11"/>
      <c r="P24" s="11"/>
      <c r="Q24" s="11"/>
      <c r="R24" s="11"/>
      <c r="S24" s="42" t="s">
        <v>35</v>
      </c>
      <c r="T24" s="43"/>
      <c r="U24" s="44">
        <f>D9/AVERAGE(C21:D21)</f>
        <v>6.9901330894081209E-2</v>
      </c>
      <c r="V24" s="44">
        <f>E9/AVERAGE(D21:E21)</f>
        <v>7.881685131137578E-2</v>
      </c>
      <c r="W24" s="44">
        <f>F9/AVERAGE(E21:F21)</f>
        <v>7.7933189435676217E-2</v>
      </c>
      <c r="X24" s="44">
        <f>G9/AVERAGE(F21:G21)</f>
        <v>6.6367369734557868E-2</v>
      </c>
      <c r="Y24" s="44">
        <f>H9/AVERAGE(G21:H21)</f>
        <v>6.6041562928663006E-2</v>
      </c>
      <c r="Z24" s="44"/>
      <c r="AA24" s="18"/>
      <c r="AB24" s="18"/>
      <c r="AC24" s="18"/>
      <c r="AD24" s="18"/>
    </row>
    <row r="25" spans="1:36" x14ac:dyDescent="0.25">
      <c r="A25" s="6" t="s">
        <v>60</v>
      </c>
      <c r="B25" s="10"/>
      <c r="C25" s="10"/>
      <c r="D25" s="89">
        <v>1117.23</v>
      </c>
      <c r="E25" s="89">
        <v>1710.34</v>
      </c>
      <c r="F25" s="89">
        <v>5377.55</v>
      </c>
      <c r="G25" s="89">
        <v>6952.57</v>
      </c>
      <c r="H25" s="89">
        <v>7798.46</v>
      </c>
      <c r="I25" s="89">
        <v>9386.6200000000008</v>
      </c>
      <c r="J25" s="89"/>
      <c r="K25" s="89"/>
      <c r="L25" s="89"/>
      <c r="M25" s="89"/>
      <c r="N25" s="11"/>
      <c r="O25" s="11"/>
      <c r="P25" s="11"/>
      <c r="Q25" s="11"/>
      <c r="R25" s="11"/>
      <c r="S25" s="42" t="s">
        <v>36</v>
      </c>
      <c r="T25" s="43"/>
      <c r="U25" s="48">
        <f>U23-U24</f>
        <v>4.8264763764293311E-2</v>
      </c>
      <c r="V25" s="48">
        <f>V23-V24</f>
        <v>5.5885717903677939E-2</v>
      </c>
      <c r="W25" s="48">
        <f>W23-W24</f>
        <v>5.2652899199861811E-2</v>
      </c>
      <c r="X25" s="48">
        <f>X23-X24</f>
        <v>6.1192397529231363E-2</v>
      </c>
      <c r="Y25" s="48">
        <f>Y23-Y24</f>
        <v>5.9465543111471703E-2</v>
      </c>
      <c r="Z25" s="48"/>
      <c r="AA25" s="18"/>
      <c r="AB25" s="18"/>
      <c r="AC25" s="18"/>
      <c r="AD25" s="18"/>
    </row>
    <row r="26" spans="1:36" x14ac:dyDescent="0.25">
      <c r="S26" s="407" t="s">
        <v>645</v>
      </c>
      <c r="AF26" s="80">
        <v>1.1920999999999999</v>
      </c>
      <c r="AG26" s="80">
        <v>1.3184</v>
      </c>
      <c r="AH26" s="80">
        <v>1.3687</v>
      </c>
    </row>
    <row r="27" spans="1:36" ht="15" customHeight="1" x14ac:dyDescent="0.25">
      <c r="A27" s="739" t="s">
        <v>212</v>
      </c>
      <c r="B27" s="739"/>
      <c r="C27" s="739"/>
      <c r="D27" s="739"/>
      <c r="E27" s="739"/>
      <c r="F27" s="739"/>
      <c r="G27" s="739"/>
      <c r="H27" s="739"/>
      <c r="I27" s="739"/>
      <c r="J27" s="739"/>
      <c r="K27" s="739"/>
      <c r="L27" s="739"/>
      <c r="M27" s="739"/>
      <c r="N27" s="739"/>
      <c r="O27" s="739"/>
      <c r="P27" s="739"/>
      <c r="Q27" s="739"/>
      <c r="R27" s="739"/>
      <c r="S27" s="739"/>
    </row>
    <row r="28" spans="1:36" x14ac:dyDescent="0.25">
      <c r="A28" s="739"/>
      <c r="B28" s="739"/>
      <c r="C28" s="739"/>
      <c r="D28" s="739"/>
      <c r="E28" s="739"/>
      <c r="F28" s="739"/>
      <c r="G28" s="739"/>
      <c r="H28" s="739"/>
      <c r="I28" s="739"/>
      <c r="J28" s="739"/>
      <c r="K28" s="739"/>
      <c r="L28" s="739"/>
      <c r="M28" s="739"/>
      <c r="N28" s="739"/>
      <c r="O28" s="739"/>
      <c r="P28" s="739"/>
      <c r="Q28" s="739"/>
      <c r="R28" s="739"/>
      <c r="S28" s="739"/>
    </row>
    <row r="29" spans="1:36" x14ac:dyDescent="0.25">
      <c r="A29" s="739"/>
      <c r="B29" s="739"/>
      <c r="C29" s="739"/>
      <c r="D29" s="739"/>
      <c r="E29" s="739"/>
      <c r="F29" s="739"/>
      <c r="G29" s="739"/>
      <c r="H29" s="739"/>
      <c r="I29" s="739"/>
      <c r="J29" s="739"/>
      <c r="K29" s="739"/>
      <c r="L29" s="739"/>
      <c r="M29" s="739"/>
      <c r="N29" s="739"/>
      <c r="O29" s="739"/>
      <c r="P29" s="739"/>
      <c r="Q29" s="739"/>
      <c r="R29" s="739"/>
      <c r="S29" s="739"/>
    </row>
    <row r="30" spans="1:36" x14ac:dyDescent="0.25">
      <c r="A30" s="739"/>
      <c r="B30" s="739"/>
      <c r="C30" s="739"/>
      <c r="D30" s="739"/>
      <c r="E30" s="739"/>
      <c r="F30" s="739"/>
      <c r="G30" s="739"/>
      <c r="H30" s="739"/>
      <c r="I30" s="739"/>
      <c r="J30" s="739"/>
      <c r="K30" s="739"/>
      <c r="L30" s="739"/>
      <c r="M30" s="739"/>
      <c r="N30" s="739"/>
      <c r="O30" s="739"/>
      <c r="P30" s="739"/>
      <c r="Q30" s="739"/>
      <c r="R30" s="739"/>
      <c r="S30" s="739"/>
    </row>
    <row r="31" spans="1:36" x14ac:dyDescent="0.25">
      <c r="A31" s="739"/>
      <c r="B31" s="739"/>
      <c r="C31" s="739"/>
      <c r="D31" s="739"/>
      <c r="E31" s="739"/>
      <c r="F31" s="739"/>
      <c r="G31" s="739"/>
      <c r="H31" s="739"/>
      <c r="I31" s="739"/>
      <c r="J31" s="739"/>
      <c r="K31" s="739"/>
      <c r="L31" s="739"/>
      <c r="M31" s="739"/>
      <c r="N31" s="739"/>
      <c r="O31" s="739"/>
      <c r="P31" s="739"/>
      <c r="Q31" s="739"/>
      <c r="R31" s="739"/>
      <c r="S31" s="739"/>
    </row>
    <row r="32" spans="1:36" x14ac:dyDescent="0.25">
      <c r="A32" s="732" t="s">
        <v>284</v>
      </c>
      <c r="B32" s="732"/>
      <c r="C32" s="732"/>
      <c r="D32" s="732"/>
      <c r="E32" s="732"/>
      <c r="F32" s="732"/>
      <c r="G32" s="732"/>
      <c r="H32" s="732"/>
      <c r="I32" s="732"/>
      <c r="J32" s="732"/>
      <c r="K32" s="732"/>
      <c r="L32" s="732"/>
      <c r="M32" s="732"/>
      <c r="N32" s="732"/>
      <c r="O32" s="732"/>
      <c r="P32" s="732"/>
      <c r="Q32" s="732"/>
      <c r="R32" s="732"/>
      <c r="S32" s="732"/>
    </row>
    <row r="33" spans="1:19" x14ac:dyDescent="0.25">
      <c r="A33" s="732"/>
      <c r="B33" s="732"/>
      <c r="C33" s="732"/>
      <c r="D33" s="732"/>
      <c r="E33" s="732"/>
      <c r="F33" s="732"/>
      <c r="G33" s="732"/>
      <c r="H33" s="732"/>
      <c r="I33" s="732"/>
      <c r="J33" s="732"/>
      <c r="K33" s="732"/>
      <c r="L33" s="732"/>
      <c r="M33" s="732"/>
      <c r="N33" s="732"/>
      <c r="O33" s="732"/>
      <c r="P33" s="732"/>
      <c r="Q33" s="732"/>
      <c r="R33" s="732"/>
      <c r="S33" s="732"/>
    </row>
    <row r="34" spans="1:19" x14ac:dyDescent="0.25">
      <c r="A34" s="732"/>
      <c r="B34" s="732"/>
      <c r="C34" s="732"/>
      <c r="D34" s="732"/>
      <c r="E34" s="732"/>
      <c r="F34" s="732"/>
      <c r="G34" s="732"/>
      <c r="H34" s="732"/>
      <c r="I34" s="732"/>
      <c r="J34" s="732"/>
      <c r="K34" s="732"/>
      <c r="L34" s="732"/>
      <c r="M34" s="732"/>
      <c r="N34" s="732"/>
      <c r="O34" s="732"/>
      <c r="P34" s="732"/>
      <c r="Q34" s="732"/>
      <c r="R34" s="732"/>
      <c r="S34" s="732"/>
    </row>
  </sheetData>
  <mergeCells count="6">
    <mergeCell ref="AK4:AQ4"/>
    <mergeCell ref="A2:A4"/>
    <mergeCell ref="K1:M1"/>
    <mergeCell ref="A27:S31"/>
    <mergeCell ref="A32:S34"/>
    <mergeCell ref="AI2:AJ3"/>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35"/>
  <sheetViews>
    <sheetView workbookViewId="0">
      <selection activeCell="AG6" sqref="AG6"/>
    </sheetView>
  </sheetViews>
  <sheetFormatPr defaultRowHeight="15" x14ac:dyDescent="0.25"/>
  <cols>
    <col min="1" max="1" width="33" customWidth="1"/>
    <col min="2" max="2" width="9.42578125" customWidth="1"/>
    <col min="4" max="4" width="18.85546875" customWidth="1"/>
    <col min="5" max="5" width="12.5703125" customWidth="1"/>
    <col min="6" max="6" width="11.85546875" customWidth="1"/>
    <col min="7" max="7" width="13" customWidth="1"/>
    <col min="14" max="14" width="34.28515625" customWidth="1"/>
    <col min="16" max="16" width="14.7109375" customWidth="1"/>
    <col min="17" max="17" width="16.7109375" customWidth="1"/>
    <col min="18" max="18" width="14" customWidth="1"/>
    <col min="19" max="19" width="14.42578125" customWidth="1"/>
  </cols>
  <sheetData>
    <row r="1" spans="1:23" x14ac:dyDescent="0.25">
      <c r="D1" t="s">
        <v>491</v>
      </c>
      <c r="I1" s="772" t="s">
        <v>115</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4.0302042641527938E-2</v>
      </c>
      <c r="Q3" s="44">
        <f>E10/AVERAGE(D23:E23)</f>
        <v>4.3184396469577571E-2</v>
      </c>
      <c r="R3" s="44">
        <f>F10/AVERAGE(E23:F23)</f>
        <v>4.5522273589215352E-2</v>
      </c>
      <c r="S3" s="44">
        <f>G10/AVERAGE(F23:G23)</f>
        <v>4.7576048711363408E-2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1189.25</v>
      </c>
      <c r="E5">
        <v>1345.46</v>
      </c>
      <c r="F5" s="85">
        <v>1373.46</v>
      </c>
      <c r="G5" s="90">
        <v>1290.19</v>
      </c>
      <c r="H5" s="85">
        <v>302.32</v>
      </c>
      <c r="I5" s="85">
        <v>314.12</v>
      </c>
      <c r="J5" s="85">
        <v>326.99</v>
      </c>
      <c r="K5" s="85"/>
      <c r="L5" s="11"/>
      <c r="M5" s="11"/>
      <c r="N5" s="42" t="s">
        <v>13</v>
      </c>
      <c r="O5" s="46"/>
      <c r="P5" s="47">
        <f>D21/D20</f>
        <v>6.1207688983749948</v>
      </c>
      <c r="Q5" s="47">
        <f>E21/E20</f>
        <v>5.657400930118027</v>
      </c>
      <c r="R5" s="47">
        <f>F21/F20</f>
        <v>4.9518960418396629</v>
      </c>
      <c r="S5" s="47">
        <f>G21/G20</f>
        <v>4.3352970119878336</v>
      </c>
      <c r="T5" s="18"/>
      <c r="U5" s="18"/>
      <c r="V5" s="18"/>
      <c r="W5" s="18"/>
    </row>
    <row r="6" spans="1:23" x14ac:dyDescent="0.25">
      <c r="A6" s="6" t="s">
        <v>50</v>
      </c>
      <c r="B6" s="7"/>
      <c r="C6" s="8"/>
      <c r="D6">
        <v>1163.3699999999999</v>
      </c>
      <c r="E6">
        <v>1317.36</v>
      </c>
      <c r="F6" s="85">
        <v>1351.82</v>
      </c>
      <c r="G6" s="85">
        <v>1258.17</v>
      </c>
      <c r="H6" s="85">
        <v>297.97000000000003</v>
      </c>
      <c r="I6" s="85">
        <v>306.37</v>
      </c>
      <c r="J6" s="85">
        <v>319.70999999999998</v>
      </c>
      <c r="K6" s="85"/>
      <c r="L6" s="11"/>
      <c r="M6" s="11"/>
      <c r="N6" s="42" t="s">
        <v>14</v>
      </c>
      <c r="O6" s="43"/>
      <c r="P6" s="43">
        <v>0.24079999999999999</v>
      </c>
      <c r="Q6" s="43">
        <v>0.25850000000000001</v>
      </c>
      <c r="R6" s="43">
        <v>0.30719999999999997</v>
      </c>
      <c r="S6" s="48">
        <v>0.33329999999999999</v>
      </c>
      <c r="T6" s="48"/>
      <c r="U6" s="18"/>
      <c r="V6" s="18"/>
      <c r="W6" s="18"/>
    </row>
    <row r="7" spans="1:23" x14ac:dyDescent="0.25">
      <c r="A7" s="6" t="s">
        <v>51</v>
      </c>
      <c r="B7" s="7"/>
      <c r="C7" s="8"/>
      <c r="D7" s="87"/>
      <c r="E7" s="85"/>
      <c r="F7" s="85">
        <v>0</v>
      </c>
      <c r="G7" s="85">
        <v>0</v>
      </c>
      <c r="H7" s="85"/>
      <c r="I7" s="85"/>
      <c r="J7" s="85"/>
      <c r="K7" s="85"/>
      <c r="L7" s="11"/>
      <c r="M7" s="11"/>
      <c r="N7" s="42" t="s">
        <v>15</v>
      </c>
      <c r="O7" s="43"/>
      <c r="P7" s="44">
        <f>D20/D23</f>
        <v>0.13882218639172111</v>
      </c>
      <c r="Q7" s="44">
        <f>E20/E23</f>
        <v>0.15140848949087626</v>
      </c>
      <c r="R7" s="44">
        <f>F20/F23</f>
        <v>0.1698492769019368</v>
      </c>
      <c r="S7" s="44">
        <f>G20/G23</f>
        <v>0.19004661055491467</v>
      </c>
      <c r="T7" s="18"/>
      <c r="U7" s="18"/>
      <c r="V7" s="18"/>
      <c r="W7" s="18"/>
    </row>
    <row r="8" spans="1:23" x14ac:dyDescent="0.25">
      <c r="A8" s="6" t="s">
        <v>52</v>
      </c>
      <c r="B8" s="7"/>
      <c r="C8" s="8"/>
      <c r="D8" s="85">
        <f t="shared" ref="D8:J8" si="0">D5-D6-D7</f>
        <v>25.880000000000109</v>
      </c>
      <c r="E8" s="85">
        <f t="shared" si="0"/>
        <v>28.100000000000136</v>
      </c>
      <c r="F8" s="85">
        <f t="shared" si="0"/>
        <v>21.6400000000001</v>
      </c>
      <c r="G8" s="85">
        <f t="shared" si="0"/>
        <v>32.019999999999982</v>
      </c>
      <c r="H8" s="85">
        <f t="shared" si="0"/>
        <v>4.3499999999999659</v>
      </c>
      <c r="I8" s="85">
        <f t="shared" si="0"/>
        <v>7.75</v>
      </c>
      <c r="J8" s="85">
        <f t="shared" si="0"/>
        <v>7.2800000000000296</v>
      </c>
      <c r="K8" s="85"/>
      <c r="L8" s="11"/>
      <c r="M8" s="11"/>
      <c r="N8" s="40" t="s">
        <v>16</v>
      </c>
      <c r="O8" s="45"/>
      <c r="P8" s="45"/>
      <c r="Q8" s="45"/>
      <c r="R8" s="46" t="s">
        <v>5</v>
      </c>
      <c r="S8" s="18"/>
      <c r="T8" s="18"/>
      <c r="U8" s="18"/>
      <c r="V8" s="18"/>
      <c r="W8" s="18"/>
    </row>
    <row r="9" spans="1:23" ht="22.5" x14ac:dyDescent="0.25">
      <c r="A9" s="6" t="s">
        <v>24</v>
      </c>
      <c r="B9" s="7"/>
      <c r="C9" s="7"/>
      <c r="D9" s="88">
        <v>719.95</v>
      </c>
      <c r="E9" s="85">
        <v>824.97</v>
      </c>
      <c r="F9" s="85">
        <v>807.24</v>
      </c>
      <c r="G9" s="85">
        <v>689.93</v>
      </c>
      <c r="H9" s="85">
        <v>165.31</v>
      </c>
      <c r="I9" s="85">
        <v>169.18</v>
      </c>
      <c r="J9" s="85">
        <v>180.99</v>
      </c>
      <c r="K9" s="85"/>
      <c r="L9" s="11"/>
      <c r="M9" s="11"/>
      <c r="N9" s="49" t="s">
        <v>93</v>
      </c>
      <c r="O9" s="45"/>
      <c r="P9" s="50">
        <f>D14/(D11-D9)</f>
        <v>0.20971659919028343</v>
      </c>
      <c r="Q9" s="50">
        <f>E14/(E11-E9)</f>
        <v>0.20461488213030032</v>
      </c>
      <c r="R9" s="50">
        <f>F14/(F11-F9)</f>
        <v>0.20211225318780685</v>
      </c>
      <c r="S9" s="50">
        <f>G14/(G11-G9)</f>
        <v>0.20669376603471823</v>
      </c>
      <c r="T9" s="18"/>
      <c r="U9" s="18"/>
      <c r="V9" s="18"/>
      <c r="W9" s="18"/>
    </row>
    <row r="10" spans="1:23" ht="22.5" x14ac:dyDescent="0.25">
      <c r="A10" s="6" t="s">
        <v>53</v>
      </c>
      <c r="B10" s="10">
        <f t="shared" ref="B10:I10" si="1">B6-B9</f>
        <v>0</v>
      </c>
      <c r="C10" s="10">
        <f t="shared" si="1"/>
        <v>0</v>
      </c>
      <c r="D10" s="89">
        <f t="shared" si="1"/>
        <v>443.41999999999985</v>
      </c>
      <c r="E10" s="89">
        <f t="shared" si="1"/>
        <v>492.38999999999987</v>
      </c>
      <c r="F10" s="89">
        <f t="shared" si="1"/>
        <v>544.57999999999993</v>
      </c>
      <c r="G10" s="89">
        <f t="shared" si="1"/>
        <v>568.24000000000012</v>
      </c>
      <c r="H10" s="89">
        <f t="shared" si="1"/>
        <v>132.66000000000003</v>
      </c>
      <c r="I10" s="89">
        <f t="shared" si="1"/>
        <v>137.19</v>
      </c>
      <c r="J10" s="89">
        <f>J6-J9</f>
        <v>138.71999999999997</v>
      </c>
      <c r="K10" s="89"/>
      <c r="L10" s="11"/>
      <c r="M10" s="11"/>
      <c r="N10" s="42" t="s">
        <v>92</v>
      </c>
      <c r="O10" s="43"/>
      <c r="P10" s="44">
        <f>D14/D11</f>
        <v>8.2758040782005465E-2</v>
      </c>
      <c r="Q10" s="44">
        <f>E14/E11</f>
        <v>7.9155084506414175E-2</v>
      </c>
      <c r="R10" s="44">
        <f>F14/F11</f>
        <v>8.3322412010542718E-2</v>
      </c>
      <c r="S10" s="44">
        <f>G14/G11</f>
        <v>9.6164130864446307E-2</v>
      </c>
      <c r="T10" s="18"/>
      <c r="U10" s="18"/>
      <c r="V10" s="18"/>
      <c r="W10" s="18"/>
    </row>
    <row r="11" spans="1:23" x14ac:dyDescent="0.25">
      <c r="A11" s="6" t="s">
        <v>1</v>
      </c>
      <c r="B11" s="10">
        <f>B5-B9</f>
        <v>0</v>
      </c>
      <c r="C11" s="10">
        <f t="shared" ref="C11:I11" si="2">SUM(C6:C8)</f>
        <v>0</v>
      </c>
      <c r="D11" s="89">
        <f t="shared" si="2"/>
        <v>1189.25</v>
      </c>
      <c r="E11" s="89">
        <f t="shared" si="2"/>
        <v>1345.46</v>
      </c>
      <c r="F11" s="89">
        <f>SUM(F6:F8)</f>
        <v>1373.46</v>
      </c>
      <c r="G11" s="89">
        <f>SUM(G6:G8)</f>
        <v>1290.19</v>
      </c>
      <c r="H11" s="89">
        <f t="shared" si="2"/>
        <v>302.32</v>
      </c>
      <c r="I11" s="89">
        <f t="shared" si="2"/>
        <v>314.12</v>
      </c>
      <c r="J11" s="89">
        <f>SUM(J6:J8)</f>
        <v>326.99</v>
      </c>
      <c r="K11" s="89"/>
      <c r="L11" s="11"/>
      <c r="M11" s="11"/>
      <c r="N11" s="42" t="s">
        <v>17</v>
      </c>
      <c r="O11" s="43"/>
      <c r="P11" s="44">
        <f>D14/AVERAGE(C22:D22)</f>
        <v>8.9824102831348451E-3</v>
      </c>
      <c r="Q11" s="44">
        <f>E14/AVERAGE(D22:E22)</f>
        <v>9.2806818033279743E-3</v>
      </c>
      <c r="R11" s="44">
        <f>F14/AVERAGE(E22:F22)</f>
        <v>9.3963285841258369E-3</v>
      </c>
      <c r="S11" s="44">
        <f>G14/AVERAGE(F22:G22)</f>
        <v>1.0185572477691609E-2</v>
      </c>
      <c r="T11" s="18"/>
      <c r="U11" s="18"/>
      <c r="V11" s="18"/>
      <c r="W11" s="18"/>
    </row>
    <row r="12" spans="1:23" x14ac:dyDescent="0.25">
      <c r="A12" s="6" t="s">
        <v>91</v>
      </c>
      <c r="B12" s="10"/>
      <c r="C12" s="10"/>
      <c r="D12" s="89">
        <v>5.92</v>
      </c>
      <c r="E12" s="89">
        <v>5.64</v>
      </c>
      <c r="F12" s="89">
        <v>18.77</v>
      </c>
      <c r="G12" s="89">
        <v>16.38</v>
      </c>
      <c r="H12" s="89">
        <v>4.68</v>
      </c>
      <c r="I12" s="89">
        <v>3.46</v>
      </c>
      <c r="J12" s="89">
        <v>3.86</v>
      </c>
      <c r="K12" s="89"/>
      <c r="L12" s="11"/>
      <c r="M12" s="11"/>
      <c r="N12" s="40" t="s">
        <v>18</v>
      </c>
      <c r="O12" s="45"/>
      <c r="P12" s="45"/>
      <c r="Q12" s="45"/>
      <c r="R12" s="46" t="s">
        <v>5</v>
      </c>
      <c r="S12" s="18"/>
      <c r="T12" s="18"/>
      <c r="U12" s="18"/>
      <c r="V12" s="53"/>
      <c r="W12" s="54"/>
    </row>
    <row r="13" spans="1:23" x14ac:dyDescent="0.25">
      <c r="A13" s="6" t="s">
        <v>25</v>
      </c>
      <c r="B13" s="7"/>
      <c r="C13" s="7"/>
      <c r="D13" s="88">
        <f t="shared" ref="D13:J13" si="3">D11+D12</f>
        <v>1195.17</v>
      </c>
      <c r="E13" s="88">
        <f t="shared" si="3"/>
        <v>1351.1000000000001</v>
      </c>
      <c r="F13" s="88">
        <f t="shared" si="3"/>
        <v>1392.23</v>
      </c>
      <c r="G13" s="88">
        <f t="shared" si="3"/>
        <v>1306.5700000000002</v>
      </c>
      <c r="H13" s="88">
        <f t="shared" si="3"/>
        <v>307</v>
      </c>
      <c r="I13" s="88">
        <f t="shared" si="3"/>
        <v>317.58</v>
      </c>
      <c r="J13" s="88">
        <f t="shared" si="3"/>
        <v>330.85</v>
      </c>
      <c r="K13" s="88"/>
      <c r="L13" s="11"/>
      <c r="M13" s="11"/>
      <c r="N13" s="42" t="s">
        <v>19</v>
      </c>
      <c r="O13" s="43"/>
      <c r="P13" s="44">
        <f>D24/D23</f>
        <v>2.9607122796621105E-2</v>
      </c>
      <c r="Q13" s="44">
        <f>E24/E23</f>
        <v>4.3354107264662142E-2</v>
      </c>
      <c r="R13" s="44">
        <f>F24/F23</f>
        <v>4.1541641441676255E-2</v>
      </c>
      <c r="S13" s="44">
        <f>G24/G23</f>
        <v>7.4977281286155481E-2</v>
      </c>
      <c r="T13" s="48"/>
      <c r="U13" s="18"/>
      <c r="V13" s="18"/>
      <c r="W13" s="18"/>
    </row>
    <row r="14" spans="1:23" x14ac:dyDescent="0.25">
      <c r="A14" s="6" t="s">
        <v>26</v>
      </c>
      <c r="B14" s="7"/>
      <c r="C14" s="7"/>
      <c r="D14" s="85">
        <f>58.52+5.03+34.87</f>
        <v>98.42</v>
      </c>
      <c r="E14" s="85">
        <f>66.43+12.93+27.14</f>
        <v>106.50000000000001</v>
      </c>
      <c r="F14" s="85">
        <f>71.35+12.98+30.11</f>
        <v>114.44</v>
      </c>
      <c r="G14" s="85">
        <f>78.63+12.88+32.56</f>
        <v>124.07</v>
      </c>
      <c r="H14" s="85">
        <f>20.28+4.14+9.46</f>
        <v>33.880000000000003</v>
      </c>
      <c r="I14" s="85">
        <f>21.09+3.34+9.85</f>
        <v>34.28</v>
      </c>
      <c r="J14" s="85">
        <f>22.8+3.66+13.34</f>
        <v>39.799999999999997</v>
      </c>
      <c r="K14" s="85"/>
      <c r="L14" s="11"/>
      <c r="M14" s="11"/>
      <c r="N14" s="42" t="s">
        <v>20</v>
      </c>
      <c r="O14" s="43"/>
      <c r="P14" s="44">
        <f>D25/D23</f>
        <v>1.3696077771981074E-2</v>
      </c>
      <c r="Q14" s="44">
        <f>E25/E23</f>
        <v>1.8928709121182209E-2</v>
      </c>
      <c r="R14" s="44">
        <f>F25/F23</f>
        <v>2.6810796900749081E-2</v>
      </c>
      <c r="S14" s="44">
        <f>G25/G23</f>
        <v>5.2778823863447989E-2</v>
      </c>
      <c r="T14" s="48"/>
      <c r="U14" s="18"/>
      <c r="V14" s="18"/>
      <c r="W14" s="18"/>
    </row>
    <row r="15" spans="1:23" x14ac:dyDescent="0.25">
      <c r="A15" s="6" t="s">
        <v>54</v>
      </c>
      <c r="B15" s="10"/>
      <c r="C15" s="10"/>
      <c r="D15" s="89">
        <f t="shared" ref="D15:I15" si="4">D11-D14</f>
        <v>1090.83</v>
      </c>
      <c r="E15" s="89">
        <f t="shared" si="4"/>
        <v>1238.96</v>
      </c>
      <c r="F15" s="89">
        <f t="shared" si="4"/>
        <v>1259.02</v>
      </c>
      <c r="G15" s="89">
        <f t="shared" si="4"/>
        <v>1166.1200000000001</v>
      </c>
      <c r="H15" s="89">
        <f t="shared" si="4"/>
        <v>268.44</v>
      </c>
      <c r="I15" s="89">
        <f t="shared" si="4"/>
        <v>279.84000000000003</v>
      </c>
      <c r="J15" s="89">
        <f>J11-J14</f>
        <v>287.19</v>
      </c>
      <c r="K15" s="89"/>
      <c r="L15" s="11"/>
      <c r="M15" s="11"/>
      <c r="N15" s="42" t="s">
        <v>21</v>
      </c>
      <c r="O15" s="43"/>
      <c r="P15" s="44">
        <f>(P13-P14)/P13</f>
        <v>0.53740598618572522</v>
      </c>
      <c r="Q15" s="44">
        <f>(Q13-Q14)/Q13</f>
        <v>0.56339294439558285</v>
      </c>
      <c r="R15" s="44">
        <f>(R13-R14)/R13</f>
        <v>0.35460429654925951</v>
      </c>
      <c r="S15" s="44">
        <f>(S13-S14)/S13</f>
        <v>0.29606911642989148</v>
      </c>
      <c r="T15" s="44" t="e">
        <f>(T13-T14)/T13</f>
        <v>#DIV/0!</v>
      </c>
      <c r="U15" s="18"/>
      <c r="V15" s="18"/>
      <c r="W15" s="18"/>
    </row>
    <row r="16" spans="1:23" x14ac:dyDescent="0.25">
      <c r="A16" s="6" t="s">
        <v>94</v>
      </c>
      <c r="B16" s="10"/>
      <c r="C16" s="10"/>
      <c r="D16" s="89">
        <f t="shared" ref="D16:I16" si="5">D13-D14-D9</f>
        <v>376.79999999999995</v>
      </c>
      <c r="E16" s="89">
        <f t="shared" si="5"/>
        <v>419.63000000000011</v>
      </c>
      <c r="F16" s="89">
        <f t="shared" si="5"/>
        <v>470.54999999999995</v>
      </c>
      <c r="G16" s="89">
        <f t="shared" si="5"/>
        <v>492.57000000000028</v>
      </c>
      <c r="H16" s="89">
        <f t="shared" si="5"/>
        <v>107.81</v>
      </c>
      <c r="I16" s="89">
        <f t="shared" si="5"/>
        <v>114.11999999999995</v>
      </c>
      <c r="J16" s="89">
        <f>J13-J14-J9</f>
        <v>110.06</v>
      </c>
      <c r="K16" s="89"/>
      <c r="L16" s="11"/>
      <c r="M16" s="11"/>
      <c r="N16" s="42" t="s">
        <v>22</v>
      </c>
      <c r="O16" s="43"/>
      <c r="P16" s="44">
        <f>D17/AVERAGE(C23:D23)</f>
        <v>1.5432968383319306E-3</v>
      </c>
      <c r="Q16" s="44">
        <f>E17/AVERAGE(D23:E23)</f>
        <v>5.213104502836555E-3</v>
      </c>
      <c r="R16" s="44">
        <f>F17/AVERAGE(E23:F23)</f>
        <v>6.7508516931672714E-3</v>
      </c>
      <c r="S16" s="44">
        <f>G17/AVERAGE(F23:G23)</f>
        <v>1.9513011953875746E-2</v>
      </c>
      <c r="T16" s="18"/>
      <c r="U16" s="18"/>
      <c r="V16" s="18"/>
      <c r="W16" s="18"/>
    </row>
    <row r="17" spans="1:23" x14ac:dyDescent="0.25">
      <c r="A17" s="6" t="s">
        <v>27</v>
      </c>
      <c r="B17" s="7"/>
      <c r="C17" s="7"/>
      <c r="D17" s="88">
        <v>16.98</v>
      </c>
      <c r="E17" s="85">
        <v>59.44</v>
      </c>
      <c r="F17" s="85">
        <v>80.760000000000005</v>
      </c>
      <c r="G17" s="85">
        <v>233.06</v>
      </c>
      <c r="H17" s="85">
        <v>23.71</v>
      </c>
      <c r="I17" s="85">
        <v>18.760000000000002</v>
      </c>
      <c r="J17" s="85">
        <v>1.1499999999999999</v>
      </c>
      <c r="K17" s="85"/>
      <c r="L17" s="11"/>
      <c r="M17" s="11"/>
      <c r="N17" s="18"/>
      <c r="O17" s="18"/>
      <c r="P17" s="18"/>
      <c r="Q17" s="18"/>
      <c r="R17" s="18"/>
      <c r="S17" s="18"/>
      <c r="T17" s="18"/>
      <c r="U17" s="18"/>
      <c r="V17" s="18"/>
      <c r="W17" s="18"/>
    </row>
    <row r="18" spans="1:23" x14ac:dyDescent="0.25">
      <c r="A18" s="6" t="s">
        <v>55</v>
      </c>
      <c r="B18" s="7"/>
      <c r="C18" s="7"/>
      <c r="D18" s="88">
        <v>234.64</v>
      </c>
      <c r="E18" s="85">
        <v>280.35000000000002</v>
      </c>
      <c r="F18" s="89">
        <v>287.60000000000002</v>
      </c>
      <c r="G18" s="89">
        <v>191.54</v>
      </c>
      <c r="H18" s="89">
        <v>62.07</v>
      </c>
      <c r="I18" s="89">
        <v>71.150000000000006</v>
      </c>
      <c r="J18" s="89">
        <v>80.760000000000005</v>
      </c>
      <c r="K18" s="89"/>
      <c r="L18" s="11"/>
      <c r="M18" s="11"/>
      <c r="N18" s="40" t="s">
        <v>30</v>
      </c>
      <c r="O18" s="45"/>
      <c r="P18" s="45"/>
      <c r="Q18" s="45"/>
      <c r="R18" s="46" t="s">
        <v>5</v>
      </c>
      <c r="S18" s="18"/>
      <c r="T18" s="18"/>
      <c r="U18" s="18"/>
      <c r="V18" s="18"/>
      <c r="W18" s="18"/>
    </row>
    <row r="19" spans="1:23" ht="22.5" x14ac:dyDescent="0.25">
      <c r="A19" s="6" t="s">
        <v>28</v>
      </c>
      <c r="B19" s="7"/>
      <c r="C19" s="7"/>
      <c r="D19" s="88">
        <v>1527.38</v>
      </c>
      <c r="E19" s="85">
        <v>1786.87</v>
      </c>
      <c r="F19" s="85">
        <v>2059.29</v>
      </c>
      <c r="G19" s="85">
        <v>2235.6</v>
      </c>
      <c r="H19" s="85"/>
      <c r="I19" s="85">
        <v>2353.4699999999998</v>
      </c>
      <c r="J19" s="85"/>
      <c r="K19" s="85"/>
      <c r="L19" s="11"/>
      <c r="M19" s="11"/>
      <c r="N19" s="46" t="s">
        <v>95</v>
      </c>
      <c r="O19" s="51"/>
      <c r="P19" s="51"/>
      <c r="Q19" s="52">
        <f>E16/AVERAGE(D22:E22)</f>
        <v>3.65676291561551E-2</v>
      </c>
      <c r="R19" s="52">
        <f>F16/AVERAGE(E22:F22)</f>
        <v>3.863546325813013E-2</v>
      </c>
      <c r="S19" s="52">
        <f>G16/AVERAGE(F22:G22)</f>
        <v>4.0437716090405085E-2</v>
      </c>
      <c r="T19" s="18"/>
      <c r="U19" s="18"/>
      <c r="V19" s="18"/>
      <c r="W19" s="18"/>
    </row>
    <row r="20" spans="1:23" x14ac:dyDescent="0.25">
      <c r="A20" s="6" t="s">
        <v>56</v>
      </c>
      <c r="B20" s="7"/>
      <c r="C20" s="7"/>
      <c r="D20" s="88">
        <f t="shared" ref="D20:I20" si="6">D19-D71</f>
        <v>1527.38</v>
      </c>
      <c r="E20" s="89">
        <f t="shared" si="6"/>
        <v>1786.87</v>
      </c>
      <c r="F20" s="89">
        <f t="shared" si="6"/>
        <v>2059.29</v>
      </c>
      <c r="G20" s="89">
        <f t="shared" si="6"/>
        <v>2235.6</v>
      </c>
      <c r="H20" s="89">
        <f t="shared" si="6"/>
        <v>0</v>
      </c>
      <c r="I20" s="89">
        <f t="shared" si="6"/>
        <v>2353.4699999999998</v>
      </c>
      <c r="J20" s="89"/>
      <c r="K20" s="89"/>
      <c r="L20" s="11"/>
      <c r="M20" s="11"/>
      <c r="N20" s="42" t="s">
        <v>31</v>
      </c>
      <c r="O20" s="43"/>
      <c r="P20" s="43">
        <v>4.4699999999999997E-2</v>
      </c>
      <c r="Q20" s="44">
        <f>E18/AVERAGE(D22:E22)</f>
        <v>2.4430414493549272E-2</v>
      </c>
      <c r="R20" s="44">
        <f>F18/AVERAGE(E22:F22)</f>
        <v>2.361398200624424E-2</v>
      </c>
      <c r="S20" s="44">
        <f>G18/AVERAGE(F22:G22)</f>
        <v>1.5724547049061424E-2</v>
      </c>
      <c r="T20" s="48"/>
      <c r="U20" s="18"/>
      <c r="V20" s="18"/>
      <c r="W20" s="18"/>
    </row>
    <row r="21" spans="1:23" x14ac:dyDescent="0.25">
      <c r="A21" s="6" t="s">
        <v>57</v>
      </c>
      <c r="B21" s="9"/>
      <c r="C21" s="9"/>
      <c r="D21" s="85">
        <f>876.02+8472.72</f>
        <v>9348.74</v>
      </c>
      <c r="E21" s="85">
        <f>680.24+9428.8</f>
        <v>10109.039999999999</v>
      </c>
      <c r="F21" s="85">
        <v>10197.39</v>
      </c>
      <c r="G21" s="85">
        <v>9691.99</v>
      </c>
      <c r="H21" s="85"/>
      <c r="I21" s="85">
        <v>9645.27</v>
      </c>
      <c r="J21" s="85"/>
      <c r="K21" s="85"/>
      <c r="L21" s="11"/>
      <c r="M21" s="11"/>
      <c r="N21" s="42" t="s">
        <v>32</v>
      </c>
      <c r="O21" s="43"/>
      <c r="P21" s="44">
        <f>D18/AVERAGE(C19:D19)</f>
        <v>0.15362254317851481</v>
      </c>
      <c r="Q21" s="44">
        <f>E18/AVERAGE(D19:E19)</f>
        <v>0.16917854718262051</v>
      </c>
      <c r="R21" s="44">
        <f>F18/AVERAGE(E19:F19)</f>
        <v>0.14955176071718287</v>
      </c>
      <c r="S21" s="44">
        <f>G18/AVERAGE(F19:G19)</f>
        <v>8.9194368191036336E-2</v>
      </c>
      <c r="T21" s="18"/>
      <c r="U21" s="18"/>
      <c r="V21" s="18"/>
      <c r="W21" s="18"/>
    </row>
    <row r="22" spans="1:23" x14ac:dyDescent="0.25">
      <c r="A22" s="6" t="s">
        <v>29</v>
      </c>
      <c r="B22" s="7"/>
      <c r="C22" s="7"/>
      <c r="D22" s="88">
        <v>10956.97</v>
      </c>
      <c r="E22" s="85">
        <v>11993.93</v>
      </c>
      <c r="F22" s="85">
        <v>12364.52</v>
      </c>
      <c r="G22" s="85">
        <v>11997.39</v>
      </c>
      <c r="H22" s="85"/>
      <c r="I22" s="85">
        <v>12101.48</v>
      </c>
      <c r="J22" s="85"/>
      <c r="K22" s="85"/>
      <c r="L22" s="11"/>
      <c r="M22" s="11"/>
      <c r="N22" s="40" t="s">
        <v>33</v>
      </c>
      <c r="O22" s="45"/>
      <c r="P22" s="45"/>
      <c r="Q22" s="45"/>
      <c r="R22" s="46" t="s">
        <v>5</v>
      </c>
      <c r="S22" s="18"/>
      <c r="T22" s="18"/>
      <c r="U22" s="18"/>
      <c r="V22" s="18"/>
      <c r="W22" s="18"/>
    </row>
    <row r="23" spans="1:23" x14ac:dyDescent="0.25">
      <c r="A23" s="6" t="s">
        <v>58</v>
      </c>
      <c r="B23" s="7"/>
      <c r="C23" s="7"/>
      <c r="D23" s="88">
        <v>11002.42</v>
      </c>
      <c r="E23" s="85">
        <v>11801.65</v>
      </c>
      <c r="F23" s="85">
        <v>12124.22</v>
      </c>
      <c r="G23" s="85">
        <v>11763.43</v>
      </c>
      <c r="H23" s="85"/>
      <c r="I23" s="85">
        <v>11572.24</v>
      </c>
      <c r="J23" s="85"/>
      <c r="K23" s="85"/>
      <c r="L23" s="11"/>
      <c r="M23" s="11"/>
      <c r="N23" s="42" t="s">
        <v>34</v>
      </c>
      <c r="O23" s="43"/>
      <c r="P23" s="44">
        <f>D6/AVERAGE(C23:D23)</f>
        <v>0.10573764680861118</v>
      </c>
      <c r="Q23" s="44">
        <f>E6/AVERAGE(D23:E23)</f>
        <v>0.11553727032060504</v>
      </c>
      <c r="R23" s="44">
        <f>F6/AVERAGE(E23:F23)</f>
        <v>0.11300069757128998</v>
      </c>
      <c r="S23" s="44">
        <f>G6/AVERAGE(F23:G23)</f>
        <v>0.10534062580454753</v>
      </c>
      <c r="T23" s="18"/>
      <c r="U23" s="18"/>
      <c r="V23" s="18"/>
      <c r="W23" s="18"/>
    </row>
    <row r="24" spans="1:23" x14ac:dyDescent="0.25">
      <c r="A24" s="6" t="s">
        <v>59</v>
      </c>
      <c r="B24" s="10"/>
      <c r="C24" s="10"/>
      <c r="D24" s="89">
        <v>325.75</v>
      </c>
      <c r="E24" s="89">
        <v>511.65</v>
      </c>
      <c r="F24" s="89">
        <v>503.66</v>
      </c>
      <c r="G24" s="89">
        <v>881.99</v>
      </c>
      <c r="H24" s="89"/>
      <c r="I24" s="89"/>
      <c r="J24" s="89"/>
      <c r="K24" s="89"/>
      <c r="L24" s="11"/>
      <c r="M24" s="11"/>
      <c r="N24" s="42" t="s">
        <v>35</v>
      </c>
      <c r="O24" s="43"/>
      <c r="P24" s="44">
        <f>D9/AVERAGE(C21:D21)</f>
        <v>7.7010377869103225E-2</v>
      </c>
      <c r="Q24" s="44">
        <f>E9/AVERAGE(D21:E21)</f>
        <v>8.4795901690737599E-2</v>
      </c>
      <c r="R24" s="44">
        <f>F9/AVERAGE(E21:F21)</f>
        <v>7.9505851102335559E-2</v>
      </c>
      <c r="S24" s="44">
        <f>G9/AVERAGE(F21:G21)</f>
        <v>6.9376722652993716E-2</v>
      </c>
      <c r="T24" s="18"/>
      <c r="U24" s="18"/>
      <c r="V24" s="18"/>
      <c r="W24" s="18"/>
    </row>
    <row r="25" spans="1:23" x14ac:dyDescent="0.25">
      <c r="A25" s="6" t="s">
        <v>60</v>
      </c>
      <c r="B25" s="10"/>
      <c r="C25" s="10"/>
      <c r="D25" s="89">
        <v>150.69</v>
      </c>
      <c r="E25" s="89">
        <v>223.39</v>
      </c>
      <c r="F25" s="89">
        <v>325.06</v>
      </c>
      <c r="G25" s="89">
        <v>620.86</v>
      </c>
      <c r="H25" s="89"/>
      <c r="I25" s="89"/>
      <c r="J25" s="89"/>
      <c r="K25" s="89"/>
      <c r="L25" s="11"/>
      <c r="M25" s="11"/>
      <c r="N25" s="42" t="s">
        <v>36</v>
      </c>
      <c r="O25" s="43"/>
      <c r="P25" s="48">
        <f>P23-P24</f>
        <v>2.8727268939507958E-2</v>
      </c>
      <c r="Q25" s="48">
        <f>Q23-Q24</f>
        <v>3.0741368629867441E-2</v>
      </c>
      <c r="R25" s="48">
        <f>R23-R24</f>
        <v>3.3494846468954426E-2</v>
      </c>
      <c r="S25" s="48">
        <f>S23-S24</f>
        <v>3.5963903151553817E-2</v>
      </c>
      <c r="T25" s="18"/>
      <c r="U25" s="18"/>
      <c r="V25" s="18"/>
      <c r="W25" s="18"/>
    </row>
    <row r="27" spans="1:23" x14ac:dyDescent="0.25">
      <c r="B27" s="732" t="s">
        <v>219</v>
      </c>
      <c r="C27" s="732"/>
      <c r="D27" s="732"/>
      <c r="E27" s="732"/>
      <c r="F27" s="732"/>
      <c r="G27" s="732"/>
      <c r="H27" s="732"/>
      <c r="I27" s="732"/>
      <c r="J27" s="732"/>
      <c r="K27" s="732"/>
      <c r="L27" s="732"/>
      <c r="M27" s="732"/>
    </row>
    <row r="28" spans="1:23" x14ac:dyDescent="0.25">
      <c r="B28" s="732"/>
      <c r="C28" s="732"/>
      <c r="D28" s="732"/>
      <c r="E28" s="732"/>
      <c r="F28" s="732"/>
      <c r="G28" s="732"/>
      <c r="H28" s="732"/>
      <c r="I28" s="732"/>
      <c r="J28" s="732"/>
      <c r="K28" s="732"/>
      <c r="L28" s="732"/>
      <c r="M28" s="732"/>
    </row>
    <row r="29" spans="1:23" x14ac:dyDescent="0.25">
      <c r="B29" s="732"/>
      <c r="C29" s="732"/>
      <c r="D29" s="732"/>
      <c r="E29" s="732"/>
      <c r="F29" s="732"/>
      <c r="G29" s="732"/>
      <c r="H29" s="732"/>
      <c r="I29" s="732"/>
      <c r="J29" s="732"/>
      <c r="K29" s="732"/>
      <c r="L29" s="732"/>
      <c r="M29" s="732"/>
    </row>
    <row r="30" spans="1:23" x14ac:dyDescent="0.25">
      <c r="B30" s="732"/>
      <c r="C30" s="732"/>
      <c r="D30" s="732"/>
      <c r="E30" s="732"/>
      <c r="F30" s="732"/>
      <c r="G30" s="732"/>
      <c r="H30" s="732"/>
      <c r="I30" s="732"/>
      <c r="J30" s="732"/>
      <c r="K30" s="732"/>
      <c r="L30" s="732"/>
      <c r="M30" s="732"/>
    </row>
    <row r="31" spans="1:23" x14ac:dyDescent="0.25">
      <c r="B31" s="732"/>
      <c r="C31" s="732"/>
      <c r="D31" s="732"/>
      <c r="E31" s="732"/>
      <c r="F31" s="732"/>
      <c r="G31" s="732"/>
      <c r="H31" s="732"/>
      <c r="I31" s="732"/>
      <c r="J31" s="732"/>
      <c r="K31" s="732"/>
      <c r="L31" s="732"/>
      <c r="M31" s="732"/>
    </row>
    <row r="32" spans="1:23" x14ac:dyDescent="0.25">
      <c r="D32" s="111" t="s">
        <v>226</v>
      </c>
      <c r="E32" s="111" t="s">
        <v>215</v>
      </c>
      <c r="F32" s="111" t="s">
        <v>0</v>
      </c>
      <c r="G32" s="111" t="s">
        <v>216</v>
      </c>
      <c r="H32" s="111" t="s">
        <v>217</v>
      </c>
    </row>
    <row r="33" spans="4:8" x14ac:dyDescent="0.25">
      <c r="D33" s="81" t="s">
        <v>213</v>
      </c>
      <c r="E33" s="81">
        <v>2357.02</v>
      </c>
      <c r="F33" s="81">
        <v>2019.53</v>
      </c>
      <c r="G33" s="81">
        <v>1395.94</v>
      </c>
      <c r="H33" s="81">
        <v>193.68</v>
      </c>
    </row>
    <row r="34" spans="4:8" x14ac:dyDescent="0.25">
      <c r="D34" s="81" t="s">
        <v>214</v>
      </c>
      <c r="E34" s="81">
        <v>677.17</v>
      </c>
      <c r="F34" s="81">
        <v>607.34</v>
      </c>
      <c r="G34" s="81">
        <v>378.52</v>
      </c>
      <c r="H34" s="81">
        <v>46.04</v>
      </c>
    </row>
    <row r="35" spans="4:8" x14ac:dyDescent="0.25">
      <c r="D35" s="81" t="s">
        <v>218</v>
      </c>
      <c r="E35" s="81">
        <f>SUM(E33:E34)</f>
        <v>3034.19</v>
      </c>
      <c r="F35" s="81">
        <f>SUM(F33:F34)</f>
        <v>2626.87</v>
      </c>
      <c r="G35" s="81">
        <f>SUM(G33:G34)</f>
        <v>1774.46</v>
      </c>
      <c r="H35" s="81">
        <f>SUM(H33:H34)</f>
        <v>239.72</v>
      </c>
    </row>
  </sheetData>
  <mergeCells count="3">
    <mergeCell ref="A2:A4"/>
    <mergeCell ref="I1:K1"/>
    <mergeCell ref="B27:M3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41"/>
  <sheetViews>
    <sheetView topLeftCell="S1" workbookViewId="0">
      <selection activeCell="AE16" sqref="AE16:AF16"/>
    </sheetView>
  </sheetViews>
  <sheetFormatPr defaultRowHeight="15" x14ac:dyDescent="0.25"/>
  <cols>
    <col min="1" max="1" width="32.42578125" customWidth="1"/>
    <col min="4" max="4" width="37.42578125" customWidth="1"/>
    <col min="5" max="5" width="12.42578125" customWidth="1"/>
    <col min="6" max="6" width="11" customWidth="1"/>
    <col min="7" max="7" width="10.140625" bestFit="1" customWidth="1"/>
    <col min="8" max="9" width="10.140625" customWidth="1"/>
    <col min="10" max="13" width="10.140625" bestFit="1" customWidth="1"/>
    <col min="15" max="15" width="11.28515625" bestFit="1" customWidth="1"/>
    <col min="16" max="16" width="11.28515625" customWidth="1"/>
    <col min="18" max="18" width="33.5703125" customWidth="1"/>
    <col min="20" max="20" width="13.85546875" customWidth="1"/>
    <col min="21" max="21" width="11.85546875" customWidth="1"/>
    <col min="22" max="22" width="12.140625" customWidth="1"/>
    <col min="23" max="25" width="12.85546875" customWidth="1"/>
  </cols>
  <sheetData>
    <row r="1" spans="1:32" x14ac:dyDescent="0.25">
      <c r="K1" s="772" t="s">
        <v>116</v>
      </c>
      <c r="L1" s="772"/>
      <c r="M1" s="772"/>
    </row>
    <row r="2" spans="1:32"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37</v>
      </c>
      <c r="O2" s="11" t="s">
        <v>38</v>
      </c>
      <c r="P2" s="11"/>
      <c r="Q2" s="11"/>
      <c r="R2" s="40" t="s">
        <v>6</v>
      </c>
      <c r="S2" s="41" t="s">
        <v>7</v>
      </c>
      <c r="T2" s="41" t="s">
        <v>8</v>
      </c>
      <c r="U2" s="41" t="s">
        <v>9</v>
      </c>
      <c r="V2" s="40" t="s">
        <v>10</v>
      </c>
      <c r="W2" s="41" t="s">
        <v>90</v>
      </c>
      <c r="X2" s="41" t="s">
        <v>492</v>
      </c>
      <c r="Y2" s="41" t="s">
        <v>623</v>
      </c>
      <c r="Z2" s="40" t="s">
        <v>37</v>
      </c>
      <c r="AA2" s="41" t="s">
        <v>38</v>
      </c>
      <c r="AB2" s="41" t="s">
        <v>39</v>
      </c>
      <c r="AC2" s="41" t="s">
        <v>40</v>
      </c>
    </row>
    <row r="3" spans="1:32" x14ac:dyDescent="0.25">
      <c r="A3" s="771"/>
      <c r="B3" s="1" t="s">
        <v>46</v>
      </c>
      <c r="C3" s="4" t="s">
        <v>47</v>
      </c>
      <c r="D3" s="5" t="s">
        <v>47</v>
      </c>
      <c r="E3" s="5" t="s">
        <v>47</v>
      </c>
      <c r="F3" s="1" t="s">
        <v>46</v>
      </c>
      <c r="G3" s="1" t="s">
        <v>46</v>
      </c>
      <c r="H3" s="1" t="s">
        <v>46</v>
      </c>
      <c r="I3" s="1" t="s">
        <v>46</v>
      </c>
      <c r="J3" s="1" t="s">
        <v>96</v>
      </c>
      <c r="K3" s="1"/>
      <c r="L3" s="1"/>
      <c r="M3" s="1"/>
      <c r="N3" s="11"/>
      <c r="O3" s="11"/>
      <c r="P3" s="11"/>
      <c r="Q3" s="11"/>
      <c r="R3" s="42" t="s">
        <v>11</v>
      </c>
      <c r="S3" s="43"/>
      <c r="T3" s="44">
        <f>D10/AVERAGE(C23:D23)</f>
        <v>1.1271378658933391E-3</v>
      </c>
      <c r="U3" s="44">
        <f>E10/AVERAGE(D23:E23)</f>
        <v>0.12463015120199772</v>
      </c>
      <c r="V3" s="44">
        <f>F10/AVERAGE(E23:F23)</f>
        <v>8.1422998397155791E-2</v>
      </c>
      <c r="W3" s="44">
        <f>G10/AVERAGE(F23:G23)</f>
        <v>6.5264505183456473E-2</v>
      </c>
      <c r="X3" s="44">
        <f>H10/H23</f>
        <v>4.4995098041733156E-2</v>
      </c>
      <c r="Y3" s="44">
        <f>I10/AVERAGE(H23:I23)</f>
        <v>4.9333730295126367E-2</v>
      </c>
      <c r="Z3" s="44">
        <f t="shared" ref="Z3:AF3" si="0">(J10*4)/J23</f>
        <v>6.7133365853658533E-2</v>
      </c>
      <c r="AA3" s="44">
        <f t="shared" si="0"/>
        <v>5.963777467951098E-2</v>
      </c>
      <c r="AB3" s="44">
        <f t="shared" si="0"/>
        <v>5.2897199999999998E-2</v>
      </c>
      <c r="AC3" s="44">
        <f t="shared" si="0"/>
        <v>4.6850837126095786E-2</v>
      </c>
      <c r="AD3" s="44">
        <f t="shared" si="0"/>
        <v>7.5076593935570576E-2</v>
      </c>
      <c r="AE3" s="44">
        <f t="shared" si="0"/>
        <v>4.0808621224156134E-2</v>
      </c>
      <c r="AF3" s="44">
        <f t="shared" si="0"/>
        <v>5.6538978102189781E-2</v>
      </c>
    </row>
    <row r="4" spans="1:32" x14ac:dyDescent="0.25">
      <c r="A4" s="771"/>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D5">
        <v>3893.6</v>
      </c>
      <c r="E5">
        <v>9669.3700000000008</v>
      </c>
      <c r="F5" s="85">
        <v>14981.07</v>
      </c>
      <c r="G5" s="90">
        <v>30727.46</v>
      </c>
      <c r="H5" s="90">
        <v>65645.37</v>
      </c>
      <c r="I5" s="90">
        <v>104796.18</v>
      </c>
      <c r="J5" s="85">
        <f>21834.9-507.59</f>
        <v>21327.31</v>
      </c>
      <c r="K5" s="85">
        <f>25363.1-906.38</f>
        <v>24456.719999999998</v>
      </c>
      <c r="L5" s="85">
        <f>27931.04-1159.62</f>
        <v>26771.420000000002</v>
      </c>
      <c r="M5" s="85">
        <f>33039.07-798.35</f>
        <v>32240.720000000001</v>
      </c>
      <c r="N5" s="11">
        <f>30157.88-1013.43</f>
        <v>29144.45</v>
      </c>
      <c r="O5" s="11">
        <f>34286.4-1270.75</f>
        <v>33015.65</v>
      </c>
      <c r="P5" s="11">
        <v>38496.449999999997</v>
      </c>
      <c r="Q5" s="11"/>
      <c r="R5" s="42" t="s">
        <v>13</v>
      </c>
      <c r="S5" s="46"/>
      <c r="T5" s="47">
        <f t="shared" ref="T5:Y5" si="1">D21/D20</f>
        <v>1.1689340176607969E-2</v>
      </c>
      <c r="U5" s="47">
        <f t="shared" si="1"/>
        <v>0.27621506383558703</v>
      </c>
      <c r="V5" s="47">
        <f t="shared" si="1"/>
        <v>0.80393132068831341</v>
      </c>
      <c r="W5" s="47">
        <f t="shared" si="1"/>
        <v>1.8641704960420589</v>
      </c>
      <c r="X5" s="47">
        <f t="shared" si="1"/>
        <v>3.1999965245424717</v>
      </c>
      <c r="Y5" s="47">
        <f t="shared" si="1"/>
        <v>3.2106347103096531</v>
      </c>
      <c r="Z5" s="18"/>
      <c r="AA5" s="18"/>
      <c r="AB5" s="18"/>
      <c r="AC5" s="18"/>
      <c r="AD5">
        <v>2.36</v>
      </c>
    </row>
    <row r="6" spans="1:32" x14ac:dyDescent="0.25">
      <c r="A6" s="6" t="s">
        <v>50</v>
      </c>
      <c r="B6" s="7"/>
      <c r="C6" s="8"/>
      <c r="D6">
        <v>113.67</v>
      </c>
      <c r="E6">
        <v>7112.74</v>
      </c>
      <c r="F6" s="85">
        <v>13214</v>
      </c>
      <c r="G6" s="85">
        <v>26137.360000000001</v>
      </c>
      <c r="H6" s="85">
        <v>46850.12</v>
      </c>
      <c r="I6" s="85">
        <v>67587.95</v>
      </c>
      <c r="J6" s="85">
        <v>16149.85</v>
      </c>
      <c r="K6" s="85">
        <v>17185.689999999999</v>
      </c>
      <c r="L6" s="85">
        <v>18281.82</v>
      </c>
      <c r="M6" s="85">
        <v>19177.009999999998</v>
      </c>
      <c r="N6" s="11">
        <v>23195.01</v>
      </c>
      <c r="O6" s="11">
        <v>20798.330000000002</v>
      </c>
      <c r="P6" s="11">
        <v>25444.86</v>
      </c>
      <c r="Q6" s="11"/>
      <c r="R6" s="42" t="s">
        <v>14</v>
      </c>
      <c r="S6" s="43"/>
      <c r="T6" s="43"/>
      <c r="U6" s="43">
        <v>0.88249999999999995</v>
      </c>
      <c r="V6" s="43">
        <v>0.65549999999999997</v>
      </c>
      <c r="W6" s="48">
        <v>0.34370000000000001</v>
      </c>
      <c r="X6" s="48">
        <v>0.20230000000000001</v>
      </c>
      <c r="Y6" s="48">
        <v>0.20749999999999999</v>
      </c>
      <c r="Z6" s="48">
        <v>0.2656</v>
      </c>
      <c r="AA6" s="48">
        <v>0.24840000000000001</v>
      </c>
      <c r="AB6" s="48">
        <v>0.22270000000000001</v>
      </c>
      <c r="AC6" s="48">
        <v>0.20749999999999999</v>
      </c>
      <c r="AD6" s="80">
        <v>0.27939999999999998</v>
      </c>
      <c r="AE6" s="80">
        <v>0.2445</v>
      </c>
      <c r="AF6" s="80">
        <v>0.2152</v>
      </c>
    </row>
    <row r="7" spans="1:32" x14ac:dyDescent="0.25">
      <c r="A7" s="6" t="s">
        <v>51</v>
      </c>
      <c r="B7" s="7"/>
      <c r="C7" s="8"/>
      <c r="D7" s="87"/>
      <c r="E7" s="85"/>
      <c r="F7" s="85">
        <v>0</v>
      </c>
      <c r="G7" s="85">
        <v>0</v>
      </c>
      <c r="H7" s="85"/>
      <c r="I7" s="85"/>
      <c r="J7" s="85"/>
      <c r="K7" s="85"/>
      <c r="L7" s="85"/>
      <c r="M7" s="85"/>
      <c r="N7" s="11"/>
      <c r="O7" s="11"/>
      <c r="P7" s="11"/>
      <c r="Q7" s="11"/>
      <c r="R7" s="42" t="s">
        <v>15</v>
      </c>
      <c r="S7" s="43"/>
      <c r="T7" s="44">
        <f t="shared" ref="T7:Y7" si="2">D20/D23</f>
        <v>10.524531043676591</v>
      </c>
      <c r="U7" s="44">
        <f t="shared" si="2"/>
        <v>1.0933295082611001</v>
      </c>
      <c r="V7" s="44">
        <f t="shared" si="2"/>
        <v>0.72798783107538012</v>
      </c>
      <c r="W7" s="44">
        <f t="shared" si="2"/>
        <v>0.38800231573864913</v>
      </c>
      <c r="X7" s="44">
        <f t="shared" si="2"/>
        <v>0.25268403399581241</v>
      </c>
      <c r="Y7" s="44">
        <f t="shared" si="2"/>
        <v>0.25917809777202711</v>
      </c>
      <c r="Z7" s="18"/>
      <c r="AA7" s="18"/>
      <c r="AB7" s="18"/>
      <c r="AC7" s="18"/>
    </row>
    <row r="8" spans="1:32" x14ac:dyDescent="0.25">
      <c r="A8" s="6" t="s">
        <v>52</v>
      </c>
      <c r="B8" s="7"/>
      <c r="C8" s="8"/>
      <c r="D8" s="85">
        <f t="shared" ref="D8:P8" si="3">D5-D6-D7</f>
        <v>3779.93</v>
      </c>
      <c r="E8" s="85">
        <f t="shared" si="3"/>
        <v>2556.630000000001</v>
      </c>
      <c r="F8" s="85">
        <f t="shared" si="3"/>
        <v>1767.0699999999997</v>
      </c>
      <c r="G8" s="85">
        <f t="shared" si="3"/>
        <v>4590.0999999999985</v>
      </c>
      <c r="H8" s="85">
        <f t="shared" si="3"/>
        <v>18795.249999999993</v>
      </c>
      <c r="I8" s="85">
        <f t="shared" si="3"/>
        <v>37208.229999999996</v>
      </c>
      <c r="J8" s="85">
        <f t="shared" si="3"/>
        <v>5177.4600000000009</v>
      </c>
      <c r="K8" s="85">
        <f t="shared" si="3"/>
        <v>7271.0299999999988</v>
      </c>
      <c r="L8" s="85">
        <f t="shared" si="3"/>
        <v>8489.6000000000022</v>
      </c>
      <c r="M8" s="85">
        <f t="shared" si="3"/>
        <v>13063.710000000003</v>
      </c>
      <c r="N8" s="85">
        <f t="shared" si="3"/>
        <v>5949.4400000000023</v>
      </c>
      <c r="O8" s="85">
        <f t="shared" si="3"/>
        <v>12217.32</v>
      </c>
      <c r="P8" s="85">
        <f t="shared" si="3"/>
        <v>13051.589999999997</v>
      </c>
      <c r="Q8" s="11"/>
      <c r="R8" s="40" t="s">
        <v>16</v>
      </c>
      <c r="S8" s="45"/>
      <c r="T8" s="45"/>
      <c r="U8" s="45"/>
      <c r="V8" s="46" t="s">
        <v>5</v>
      </c>
      <c r="W8" s="18"/>
      <c r="X8" s="18"/>
      <c r="Y8" s="18"/>
      <c r="Z8" s="18"/>
      <c r="AA8" s="18"/>
      <c r="AB8" s="18"/>
      <c r="AC8" s="18"/>
    </row>
    <row r="9" spans="1:32" ht="22.5" x14ac:dyDescent="0.25">
      <c r="A9" s="6" t="s">
        <v>24</v>
      </c>
      <c r="B9" s="7"/>
      <c r="C9" s="7"/>
      <c r="D9" s="88">
        <v>104.75</v>
      </c>
      <c r="E9" s="85">
        <v>1367.3</v>
      </c>
      <c r="F9" s="85">
        <v>4456.24</v>
      </c>
      <c r="G9" s="85">
        <v>13738.92</v>
      </c>
      <c r="H9" s="85">
        <v>29327.4</v>
      </c>
      <c r="I9" s="85">
        <v>44292.4</v>
      </c>
      <c r="J9" s="85">
        <v>9268.68</v>
      </c>
      <c r="K9" s="85">
        <v>10539.63</v>
      </c>
      <c r="L9" s="85">
        <v>11669.67</v>
      </c>
      <c r="M9" s="85">
        <v>12814.42</v>
      </c>
      <c r="N9" s="11">
        <v>13614.88</v>
      </c>
      <c r="O9" s="11">
        <v>14309.98</v>
      </c>
      <c r="P9" s="11">
        <v>16730.79</v>
      </c>
      <c r="Q9" s="11"/>
      <c r="R9" s="49" t="s">
        <v>93</v>
      </c>
      <c r="S9" s="45"/>
      <c r="T9" s="50">
        <f t="shared" ref="T9:Y9" si="4">D14/(D11-D9)</f>
        <v>0.98791717803555168</v>
      </c>
      <c r="U9" s="50">
        <f t="shared" si="4"/>
        <v>0.93854544709933785</v>
      </c>
      <c r="V9" s="50">
        <f t="shared" si="4"/>
        <v>0.73188640576617381</v>
      </c>
      <c r="W9" s="50">
        <f t="shared" si="4"/>
        <v>0.74422816792967483</v>
      </c>
      <c r="X9" s="50">
        <f t="shared" si="4"/>
        <v>0.67035519881755512</v>
      </c>
      <c r="Y9" s="50">
        <f t="shared" si="4"/>
        <v>0.56806318547370105</v>
      </c>
      <c r="Z9" s="18"/>
      <c r="AA9" s="18"/>
      <c r="AB9" s="18"/>
      <c r="AC9" s="18"/>
    </row>
    <row r="10" spans="1:32" ht="22.5" x14ac:dyDescent="0.25">
      <c r="A10" s="6" t="s">
        <v>53</v>
      </c>
      <c r="B10" s="10">
        <f t="shared" ref="B10:K10" si="5">B6-B9</f>
        <v>0</v>
      </c>
      <c r="C10" s="10">
        <f t="shared" si="5"/>
        <v>0</v>
      </c>
      <c r="D10" s="89">
        <f t="shared" si="5"/>
        <v>8.9200000000000017</v>
      </c>
      <c r="E10" s="89">
        <f t="shared" si="5"/>
        <v>5745.44</v>
      </c>
      <c r="F10" s="89">
        <f t="shared" si="5"/>
        <v>8757.76</v>
      </c>
      <c r="G10" s="89">
        <f t="shared" si="5"/>
        <v>12398.44</v>
      </c>
      <c r="H10" s="89">
        <f>H6-H9</f>
        <v>17522.72</v>
      </c>
      <c r="I10" s="89">
        <f>I6-I9</f>
        <v>23295.549999999996</v>
      </c>
      <c r="J10" s="89">
        <f t="shared" si="5"/>
        <v>6881.17</v>
      </c>
      <c r="K10" s="89">
        <f t="shared" si="5"/>
        <v>6646.0599999999995</v>
      </c>
      <c r="L10" s="89">
        <f>L6-L9</f>
        <v>6612.15</v>
      </c>
      <c r="M10" s="89">
        <f>M6-M9</f>
        <v>6362.5899999999983</v>
      </c>
      <c r="N10" s="89">
        <f>N6-N9</f>
        <v>9580.1299999999992</v>
      </c>
      <c r="O10" s="89">
        <f>O6-O9</f>
        <v>6488.3500000000022</v>
      </c>
      <c r="P10" s="89">
        <f>P6-P9</f>
        <v>8714.07</v>
      </c>
      <c r="Q10" s="11"/>
      <c r="R10" s="42" t="s">
        <v>92</v>
      </c>
      <c r="S10" s="43"/>
      <c r="T10" s="44">
        <f t="shared" ref="T10:Y10" si="6">D14/D11</f>
        <v>0.9613391206081775</v>
      </c>
      <c r="U10" s="44">
        <f t="shared" si="6"/>
        <v>0.8058301626683021</v>
      </c>
      <c r="V10" s="44">
        <f t="shared" si="6"/>
        <v>0.5141808962911194</v>
      </c>
      <c r="W10" s="44">
        <f t="shared" si="6"/>
        <v>0.41146746265392581</v>
      </c>
      <c r="X10" s="44">
        <f t="shared" si="6"/>
        <v>0.37087063413611654</v>
      </c>
      <c r="Y10" s="44">
        <f t="shared" si="6"/>
        <v>0.32796968362778112</v>
      </c>
      <c r="Z10" s="18"/>
      <c r="AA10" s="18"/>
      <c r="AB10" s="18"/>
      <c r="AC10" s="18"/>
    </row>
    <row r="11" spans="1:32" x14ac:dyDescent="0.25">
      <c r="A11" s="6" t="s">
        <v>1</v>
      </c>
      <c r="B11" s="10">
        <f>B5-B9</f>
        <v>0</v>
      </c>
      <c r="C11" s="10">
        <f t="shared" ref="C11:K11" si="7">SUM(C6:C8)</f>
        <v>0</v>
      </c>
      <c r="D11" s="89">
        <f t="shared" si="7"/>
        <v>3893.6</v>
      </c>
      <c r="E11" s="89">
        <f t="shared" si="7"/>
        <v>9669.3700000000008</v>
      </c>
      <c r="F11" s="89">
        <f>SUM(F6:F8)</f>
        <v>14981.07</v>
      </c>
      <c r="G11" s="89">
        <f>SUM(G6:G8)</f>
        <v>30727.46</v>
      </c>
      <c r="H11" s="89">
        <f>SUM(H6:H8)</f>
        <v>65645.37</v>
      </c>
      <c r="I11" s="89">
        <f>SUM(I6:I8)</f>
        <v>104796.18</v>
      </c>
      <c r="J11" s="89">
        <f t="shared" si="7"/>
        <v>21327.31</v>
      </c>
      <c r="K11" s="89">
        <f t="shared" si="7"/>
        <v>24456.719999999998</v>
      </c>
      <c r="L11" s="89">
        <f>SUM(L6:L8)</f>
        <v>26771.420000000002</v>
      </c>
      <c r="M11" s="89">
        <f>SUM(M6:M8)</f>
        <v>32240.720000000001</v>
      </c>
      <c r="N11" s="89">
        <f>SUM(N6:N8)</f>
        <v>29144.45</v>
      </c>
      <c r="O11" s="89">
        <f>SUM(O6:O8)</f>
        <v>33015.65</v>
      </c>
      <c r="P11" s="89">
        <f>SUM(P6:P8)</f>
        <v>38496.449999999997</v>
      </c>
      <c r="Q11" s="11"/>
      <c r="R11" s="42" t="s">
        <v>17</v>
      </c>
      <c r="S11" s="43"/>
      <c r="T11" s="44">
        <f t="shared" ref="T11:Y11" si="8">D14/AVERAGE(C22:D22)</f>
        <v>4.3099266358963079E-2</v>
      </c>
      <c r="U11" s="44">
        <f t="shared" si="8"/>
        <v>7.4888019302824363E-2</v>
      </c>
      <c r="V11" s="44">
        <f t="shared" si="8"/>
        <v>5.1920023005826647E-2</v>
      </c>
      <c r="W11" s="44">
        <f t="shared" si="8"/>
        <v>5.486360914620432E-2</v>
      </c>
      <c r="X11" s="44">
        <f t="shared" si="8"/>
        <v>6.8007200859061617E-2</v>
      </c>
      <c r="Y11" s="44">
        <f t="shared" si="8"/>
        <v>7.595882939451909E-2</v>
      </c>
      <c r="Z11" s="18"/>
      <c r="AA11" s="18"/>
      <c r="AB11" s="18"/>
      <c r="AC11" s="18"/>
    </row>
    <row r="12" spans="1:32" x14ac:dyDescent="0.25">
      <c r="A12" s="6" t="s">
        <v>91</v>
      </c>
      <c r="B12" s="10"/>
      <c r="C12" s="10"/>
      <c r="D12" s="89">
        <v>500</v>
      </c>
      <c r="E12" s="89">
        <v>845</v>
      </c>
      <c r="F12" s="89">
        <v>352.77</v>
      </c>
      <c r="G12" s="89">
        <v>614.13</v>
      </c>
      <c r="H12" s="89">
        <v>2730.91</v>
      </c>
      <c r="I12" s="89">
        <v>3371.94</v>
      </c>
      <c r="J12" s="89">
        <v>507.59</v>
      </c>
      <c r="K12" s="89">
        <v>906.38</v>
      </c>
      <c r="L12" s="89">
        <v>1159.6199999999999</v>
      </c>
      <c r="M12" s="89">
        <v>798.35</v>
      </c>
      <c r="N12" s="11">
        <v>1013.43</v>
      </c>
      <c r="O12" s="11">
        <v>1270.75</v>
      </c>
      <c r="P12" s="11"/>
      <c r="Q12" s="11"/>
      <c r="R12" s="40" t="s">
        <v>18</v>
      </c>
      <c r="S12" s="45"/>
      <c r="T12" s="45"/>
      <c r="U12" s="45"/>
      <c r="V12" s="46" t="s">
        <v>5</v>
      </c>
      <c r="W12" s="18"/>
      <c r="X12" s="18"/>
      <c r="Y12" s="18"/>
      <c r="Z12" s="18"/>
      <c r="AA12" s="18"/>
      <c r="AB12" s="53"/>
      <c r="AC12" s="54"/>
    </row>
    <row r="13" spans="1:32" x14ac:dyDescent="0.25">
      <c r="A13" s="6" t="s">
        <v>25</v>
      </c>
      <c r="B13" s="7"/>
      <c r="C13" s="7"/>
      <c r="D13" s="88">
        <f t="shared" ref="D13:P13" si="9">D11+D12</f>
        <v>4393.6000000000004</v>
      </c>
      <c r="E13" s="88">
        <f t="shared" si="9"/>
        <v>10514.37</v>
      </c>
      <c r="F13" s="88">
        <f t="shared" si="9"/>
        <v>15333.84</v>
      </c>
      <c r="G13" s="88">
        <f t="shared" si="9"/>
        <v>31341.59</v>
      </c>
      <c r="H13" s="88">
        <f t="shared" si="9"/>
        <v>68376.28</v>
      </c>
      <c r="I13" s="88">
        <f t="shared" si="9"/>
        <v>108168.12</v>
      </c>
      <c r="J13" s="88">
        <f t="shared" si="9"/>
        <v>21834.9</v>
      </c>
      <c r="K13" s="88">
        <f t="shared" si="9"/>
        <v>25363.1</v>
      </c>
      <c r="L13" s="88">
        <f t="shared" si="9"/>
        <v>27931.040000000001</v>
      </c>
      <c r="M13" s="88">
        <f t="shared" si="9"/>
        <v>33039.07</v>
      </c>
      <c r="N13" s="88">
        <f t="shared" si="9"/>
        <v>30157.88</v>
      </c>
      <c r="O13" s="88">
        <f t="shared" si="9"/>
        <v>34286.400000000001</v>
      </c>
      <c r="P13" s="88">
        <f t="shared" si="9"/>
        <v>38496.449999999997</v>
      </c>
      <c r="Q13" s="11"/>
      <c r="R13" s="42" t="s">
        <v>19</v>
      </c>
      <c r="S13" s="43"/>
      <c r="T13" s="44">
        <f t="shared" ref="T13:Y13" si="10">D24/D23</f>
        <v>0</v>
      </c>
      <c r="U13" s="44">
        <f t="shared" si="10"/>
        <v>9.7022055504123513E-3</v>
      </c>
      <c r="V13" s="44">
        <f t="shared" si="10"/>
        <v>2.7878660210632584E-2</v>
      </c>
      <c r="W13" s="44">
        <f t="shared" si="10"/>
        <v>2.2644967896864689E-2</v>
      </c>
      <c r="X13" s="44">
        <f t="shared" si="10"/>
        <v>2.4571547277833953E-2</v>
      </c>
      <c r="Y13" s="44">
        <f t="shared" si="10"/>
        <v>3.0898783626996749E-2</v>
      </c>
      <c r="Z13" s="48">
        <v>2.6700000000000002E-2</v>
      </c>
      <c r="AA13" s="48">
        <v>2.8500000000000001E-2</v>
      </c>
      <c r="AB13" s="48">
        <v>3.15E-2</v>
      </c>
      <c r="AC13" s="48">
        <v>3.09E-2</v>
      </c>
      <c r="AD13" s="80">
        <v>2.9000000000000001E-2</v>
      </c>
      <c r="AE13" s="80">
        <v>2.6700000000000002E-2</v>
      </c>
      <c r="AF13" s="80">
        <v>2.1100000000000001E-2</v>
      </c>
    </row>
    <row r="14" spans="1:32" x14ac:dyDescent="0.25">
      <c r="A14" s="6" t="s">
        <v>26</v>
      </c>
      <c r="B14" s="7"/>
      <c r="C14" s="7"/>
      <c r="D14" s="85">
        <f>2480.62+178.33+1084.12</f>
        <v>3743.0699999999997</v>
      </c>
      <c r="E14" s="85">
        <f>4714.8+739.35+2337.72</f>
        <v>7791.8700000000008</v>
      </c>
      <c r="F14" s="85">
        <f>4532.67+1173.91+1996.4</f>
        <v>7702.98</v>
      </c>
      <c r="G14" s="85">
        <f>7289.06+1233.26+4121.03</f>
        <v>12643.349999999999</v>
      </c>
      <c r="H14" s="85">
        <f>14071.48+1763.74+8510.72</f>
        <v>24345.94</v>
      </c>
      <c r="I14" s="85">
        <f>18285.41+3533.1+12551.46</f>
        <v>34369.97</v>
      </c>
      <c r="J14" s="85">
        <f>3693.3+755.14+2459.91</f>
        <v>6908.35</v>
      </c>
      <c r="K14" s="85">
        <f>4602.54+877.49+2806.51</f>
        <v>8286.5400000000009</v>
      </c>
      <c r="L14" s="85">
        <f>4848.69+910.63+2891.98</f>
        <v>8651.2999999999993</v>
      </c>
      <c r="M14" s="85">
        <f>5140.88+989.83+4393.06</f>
        <v>10523.77</v>
      </c>
      <c r="N14" s="11">
        <f>5454.64+994.53+2492.31</f>
        <v>8941.48</v>
      </c>
      <c r="O14" s="11">
        <f>6163.07+1071.21+3295.8</f>
        <v>10530.08</v>
      </c>
      <c r="P14" s="11"/>
      <c r="Q14" s="11"/>
      <c r="R14" s="42" t="s">
        <v>20</v>
      </c>
      <c r="S14" s="43"/>
      <c r="T14" s="44">
        <f t="shared" ref="T14:Y14" si="11">D25/D23</f>
        <v>0</v>
      </c>
      <c r="U14" s="44">
        <f t="shared" si="11"/>
        <v>5.4348296792859638E-3</v>
      </c>
      <c r="V14" s="44">
        <f t="shared" si="11"/>
        <v>1.7560358693132338E-2</v>
      </c>
      <c r="W14" s="44">
        <f t="shared" si="11"/>
        <v>1.6668436949471149E-2</v>
      </c>
      <c r="X14" s="44">
        <f t="shared" si="11"/>
        <v>1.2810776193892605E-2</v>
      </c>
      <c r="Y14" s="44">
        <f t="shared" si="11"/>
        <v>1.6075920735158501E-2</v>
      </c>
      <c r="Z14" s="48">
        <v>1.4500000000000001E-2</v>
      </c>
      <c r="AA14" s="48">
        <v>1.52E-2</v>
      </c>
      <c r="AB14" s="48">
        <v>1.67E-2</v>
      </c>
      <c r="AC14" s="48">
        <v>1.6400000000000001E-2</v>
      </c>
      <c r="AD14" s="80">
        <v>1.5900000000000001E-2</v>
      </c>
      <c r="AE14" s="80">
        <v>1.46E-2</v>
      </c>
      <c r="AF14" s="80">
        <v>1.1599999999999999E-2</v>
      </c>
    </row>
    <row r="15" spans="1:32" x14ac:dyDescent="0.25">
      <c r="A15" s="6" t="s">
        <v>54</v>
      </c>
      <c r="B15" s="10"/>
      <c r="C15" s="10"/>
      <c r="D15" s="89">
        <f t="shared" ref="D15:K15" si="12">D11-D14</f>
        <v>150.5300000000002</v>
      </c>
      <c r="E15" s="89">
        <f t="shared" si="12"/>
        <v>1877.5</v>
      </c>
      <c r="F15" s="89">
        <f t="shared" si="12"/>
        <v>7278.09</v>
      </c>
      <c r="G15" s="89">
        <f t="shared" si="12"/>
        <v>18084.11</v>
      </c>
      <c r="H15" s="89">
        <f>H11-H14</f>
        <v>41299.429999999993</v>
      </c>
      <c r="I15" s="89">
        <f>I11-I14</f>
        <v>70426.209999999992</v>
      </c>
      <c r="J15" s="89">
        <f t="shared" si="12"/>
        <v>14418.960000000001</v>
      </c>
      <c r="K15" s="89">
        <f t="shared" si="12"/>
        <v>16170.179999999997</v>
      </c>
      <c r="L15" s="89">
        <f>L11-L14</f>
        <v>18120.120000000003</v>
      </c>
      <c r="M15" s="89">
        <f>M11-M14</f>
        <v>21716.95</v>
      </c>
      <c r="N15" s="89">
        <f>N11-N14</f>
        <v>20202.97</v>
      </c>
      <c r="O15" s="89">
        <f>O11-O14</f>
        <v>22485.57</v>
      </c>
      <c r="P15" s="89">
        <f>P11-P14</f>
        <v>38496.449999999997</v>
      </c>
      <c r="Q15" s="11"/>
      <c r="R15" s="42" t="s">
        <v>21</v>
      </c>
      <c r="S15" s="43"/>
      <c r="T15" s="44" t="e">
        <f t="shared" ref="T15:AA15" si="13">(T13-T14)/T13</f>
        <v>#DIV/0!</v>
      </c>
      <c r="U15" s="44">
        <f t="shared" si="13"/>
        <v>0.43983564860105656</v>
      </c>
      <c r="V15" s="44">
        <f t="shared" si="13"/>
        <v>0.37011468411831966</v>
      </c>
      <c r="W15" s="44">
        <f t="shared" si="13"/>
        <v>0.26392313623995117</v>
      </c>
      <c r="X15" s="44">
        <f t="shared" si="13"/>
        <v>0.47863372017075889</v>
      </c>
      <c r="Y15" s="44">
        <f t="shared" ref="Y15" si="14">(Y13-Y14)/Y13</f>
        <v>0.47972318492457683</v>
      </c>
      <c r="Z15" s="44"/>
      <c r="AA15" s="44">
        <f t="shared" si="13"/>
        <v>0.46666666666666667</v>
      </c>
      <c r="AB15" s="18"/>
      <c r="AC15" s="18"/>
    </row>
    <row r="16" spans="1:32" x14ac:dyDescent="0.25">
      <c r="A16" s="6" t="s">
        <v>94</v>
      </c>
      <c r="B16" s="10"/>
      <c r="C16" s="10"/>
      <c r="D16" s="89">
        <f t="shared" ref="D16:K16" si="15">D13-D14-D9</f>
        <v>545.78000000000065</v>
      </c>
      <c r="E16" s="89">
        <f t="shared" si="15"/>
        <v>1355.2</v>
      </c>
      <c r="F16" s="89">
        <f t="shared" si="15"/>
        <v>3174.6200000000008</v>
      </c>
      <c r="G16" s="89">
        <f t="shared" si="15"/>
        <v>4959.3200000000015</v>
      </c>
      <c r="H16" s="89">
        <f>H13-H14-H9</f>
        <v>14702.939999999995</v>
      </c>
      <c r="I16" s="89">
        <f>I13-I14-I9</f>
        <v>29505.749999999993</v>
      </c>
      <c r="J16" s="89">
        <f t="shared" si="15"/>
        <v>5657.8700000000008</v>
      </c>
      <c r="K16" s="89">
        <f t="shared" si="15"/>
        <v>6536.9299999999985</v>
      </c>
      <c r="L16" s="89">
        <f>L13-L14-L9</f>
        <v>7610.0700000000015</v>
      </c>
      <c r="M16" s="89">
        <f>M13-M14-M9</f>
        <v>9700.8799999999992</v>
      </c>
      <c r="N16" s="89">
        <f>N13-N14-N9</f>
        <v>7601.5200000000023</v>
      </c>
      <c r="O16" s="89">
        <f>O13-O14-O9</f>
        <v>9446.34</v>
      </c>
      <c r="P16" s="89">
        <f>P13-P14-P9</f>
        <v>21765.659999999996</v>
      </c>
      <c r="Q16" s="11"/>
      <c r="R16" s="42" t="s">
        <v>22</v>
      </c>
      <c r="S16" s="43"/>
      <c r="T16" s="44">
        <f>D17/AVERAGE(C23:D23)</f>
        <v>3.0819386265850375E-3</v>
      </c>
      <c r="U16" s="44">
        <f>E17/AVERAGE(D23:E23)</f>
        <v>2.2199821604896492E-2</v>
      </c>
      <c r="V16" s="44">
        <f>F17/AVERAGE(E23:F23)</f>
        <v>1.8238489086899446E-2</v>
      </c>
      <c r="W16" s="44">
        <f>G17/AVERAGE(F23:G23)</f>
        <v>1.5484057073095048E-2</v>
      </c>
      <c r="X16" s="44">
        <f>H17/H23</f>
        <v>1.4585161831385987E-2</v>
      </c>
      <c r="Y16" s="44">
        <f>I17/AVERAGE(H23:I23)</f>
        <v>2.4624902289171868E-2</v>
      </c>
      <c r="Z16" s="44">
        <f t="shared" ref="Z16:AF16" si="16">(J17*4)/J23</f>
        <v>2.0420682926829269E-2</v>
      </c>
      <c r="AA16" s="44">
        <f t="shared" si="16"/>
        <v>2.2040651893499075E-2</v>
      </c>
      <c r="AB16" s="44">
        <f t="shared" si="16"/>
        <v>2.3779119999999997E-2</v>
      </c>
      <c r="AC16" s="44">
        <f t="shared" si="16"/>
        <v>3.0236163721422932E-2</v>
      </c>
      <c r="AD16" s="44">
        <f t="shared" si="16"/>
        <v>2.5993154643537957E-2</v>
      </c>
      <c r="AE16" s="44">
        <f t="shared" si="16"/>
        <v>2.7888496080275434E-2</v>
      </c>
      <c r="AF16" s="44">
        <f t="shared" si="16"/>
        <v>2.6783065693430655E-2</v>
      </c>
    </row>
    <row r="17" spans="1:31" x14ac:dyDescent="0.25">
      <c r="A17" s="6" t="s">
        <v>27</v>
      </c>
      <c r="B17" s="7"/>
      <c r="C17" s="7"/>
      <c r="D17" s="88">
        <v>24.39</v>
      </c>
      <c r="E17" s="85">
        <v>1023.41</v>
      </c>
      <c r="F17" s="85">
        <v>1961.71</v>
      </c>
      <c r="G17" s="85">
        <v>2941.54</v>
      </c>
      <c r="H17" s="85">
        <v>5679.99</v>
      </c>
      <c r="I17" s="85">
        <v>11627.96</v>
      </c>
      <c r="J17" s="85">
        <v>2093.12</v>
      </c>
      <c r="K17" s="85">
        <v>2456.2199999999998</v>
      </c>
      <c r="L17" s="85">
        <v>2972.39</v>
      </c>
      <c r="M17" s="85">
        <v>4106.2299999999996</v>
      </c>
      <c r="N17" s="11">
        <v>3316.85</v>
      </c>
      <c r="O17" s="11">
        <v>4434.12</v>
      </c>
      <c r="P17" s="11">
        <v>4127.9399999999996</v>
      </c>
      <c r="Q17" s="11"/>
      <c r="R17" s="18"/>
      <c r="S17" s="18"/>
      <c r="T17" s="18"/>
      <c r="U17" s="18"/>
      <c r="V17" s="18"/>
      <c r="W17" s="18"/>
      <c r="X17" s="18"/>
      <c r="Y17" s="18"/>
      <c r="Z17" s="18"/>
      <c r="AA17" s="18"/>
      <c r="AB17" s="18"/>
      <c r="AC17" s="18"/>
    </row>
    <row r="18" spans="1:31" x14ac:dyDescent="0.25">
      <c r="A18" s="6" t="s">
        <v>55</v>
      </c>
      <c r="B18" s="7"/>
      <c r="C18" s="7"/>
      <c r="D18" s="88">
        <v>394.64</v>
      </c>
      <c r="E18" s="85">
        <v>1951.86</v>
      </c>
      <c r="F18" s="89">
        <v>2872.75</v>
      </c>
      <c r="G18" s="89">
        <v>1455.06</v>
      </c>
      <c r="H18" s="89">
        <v>3977.64</v>
      </c>
      <c r="I18" s="89">
        <v>11934.48</v>
      </c>
      <c r="J18" s="89">
        <v>2523.59</v>
      </c>
      <c r="K18" s="89">
        <v>2889.27</v>
      </c>
      <c r="L18" s="89">
        <v>3252.89</v>
      </c>
      <c r="M18" s="89">
        <v>3268.73</v>
      </c>
      <c r="N18" s="11">
        <v>3035.59</v>
      </c>
      <c r="O18" s="11">
        <v>3552.14</v>
      </c>
      <c r="P18" s="11">
        <v>3750.5</v>
      </c>
      <c r="Q18" s="11"/>
      <c r="R18" s="40" t="s">
        <v>30</v>
      </c>
      <c r="S18" s="45"/>
      <c r="T18" s="45"/>
      <c r="U18" s="45"/>
      <c r="V18" s="46" t="s">
        <v>5</v>
      </c>
      <c r="W18" s="18"/>
      <c r="X18" s="18"/>
      <c r="Y18" s="18"/>
      <c r="Z18" s="18"/>
      <c r="AA18" s="18"/>
      <c r="AB18" s="18"/>
      <c r="AC18" s="18"/>
    </row>
    <row r="19" spans="1:31" ht="22.5" x14ac:dyDescent="0.25">
      <c r="A19" s="6" t="s">
        <v>28</v>
      </c>
      <c r="B19" s="7"/>
      <c r="C19" s="7"/>
      <c r="D19" s="88">
        <v>83289.56</v>
      </c>
      <c r="E19" s="85">
        <v>92152.36</v>
      </c>
      <c r="F19" s="85">
        <v>95243.82</v>
      </c>
      <c r="G19" s="85">
        <v>96656.320000000007</v>
      </c>
      <c r="H19" s="85">
        <v>98404.31</v>
      </c>
      <c r="I19" s="85">
        <v>143836.17000000001</v>
      </c>
      <c r="J19" s="85"/>
      <c r="K19" s="85">
        <v>137103.15</v>
      </c>
      <c r="L19" s="85"/>
      <c r="M19" s="85">
        <v>143836.17000000001</v>
      </c>
      <c r="N19" s="11"/>
      <c r="O19" s="11">
        <f>195781.5-7507.75</f>
        <v>188273.75</v>
      </c>
      <c r="P19" s="11"/>
      <c r="Q19" s="11"/>
      <c r="R19" s="46" t="s">
        <v>95</v>
      </c>
      <c r="S19" s="51"/>
      <c r="T19" s="51"/>
      <c r="U19" s="52">
        <f>E16/AVERAGE(D22:E22)</f>
        <v>1.3024889244711162E-2</v>
      </c>
      <c r="V19" s="52">
        <f>F16/AVERAGE(E22:F22)</f>
        <v>2.1397737425614172E-2</v>
      </c>
      <c r="W19" s="52">
        <f>G16/AVERAGE(F22:G22)</f>
        <v>2.1520102987812099E-2</v>
      </c>
      <c r="X19" s="52">
        <f>H16/AVERAGE(G22:H22)</f>
        <v>4.1070740903770032E-2</v>
      </c>
      <c r="Y19" s="52">
        <f>I16/AVERAGE(H22:I22)</f>
        <v>6.5208733973504518E-2</v>
      </c>
      <c r="Z19" s="18"/>
      <c r="AA19" s="18"/>
      <c r="AB19" s="18"/>
      <c r="AC19" s="18"/>
    </row>
    <row r="20" spans="1:31" x14ac:dyDescent="0.25">
      <c r="A20" s="6" t="s">
        <v>56</v>
      </c>
      <c r="B20" s="7"/>
      <c r="C20" s="7"/>
      <c r="D20" s="88">
        <f t="shared" ref="D20:O20" si="17">D19-D71</f>
        <v>83289.56</v>
      </c>
      <c r="E20" s="89">
        <f t="shared" si="17"/>
        <v>92152.36</v>
      </c>
      <c r="F20" s="89">
        <f t="shared" si="17"/>
        <v>95243.82</v>
      </c>
      <c r="G20" s="89">
        <f t="shared" si="17"/>
        <v>96656.320000000007</v>
      </c>
      <c r="H20" s="89">
        <f t="shared" si="17"/>
        <v>98404.31</v>
      </c>
      <c r="I20" s="89">
        <f t="shared" si="17"/>
        <v>143836.17000000001</v>
      </c>
      <c r="J20" s="89">
        <f t="shared" si="17"/>
        <v>0</v>
      </c>
      <c r="K20" s="89">
        <f t="shared" si="17"/>
        <v>137103.15</v>
      </c>
      <c r="L20" s="89">
        <f t="shared" si="17"/>
        <v>0</v>
      </c>
      <c r="M20" s="89">
        <f t="shared" si="17"/>
        <v>143836.17000000001</v>
      </c>
      <c r="N20" s="89">
        <f t="shared" si="17"/>
        <v>0</v>
      </c>
      <c r="O20" s="89">
        <f t="shared" si="17"/>
        <v>188273.75</v>
      </c>
      <c r="P20" s="440"/>
      <c r="Q20" s="11"/>
      <c r="R20" s="42" t="s">
        <v>31</v>
      </c>
      <c r="S20" s="43"/>
      <c r="T20" s="43">
        <v>4.4699999999999997E-2</v>
      </c>
      <c r="U20" s="44">
        <f>E18/AVERAGE(D22:E22)</f>
        <v>1.8759415821415236E-2</v>
      </c>
      <c r="V20" s="44">
        <f>F18/AVERAGE(E22:F22)</f>
        <v>1.9363057685465691E-2</v>
      </c>
      <c r="W20" s="44">
        <f>G18/AVERAGE(F22:G22)</f>
        <v>6.3139787417319029E-3</v>
      </c>
      <c r="X20" s="44">
        <f>H18/AVERAGE(G22:H22)</f>
        <v>1.111101737805309E-2</v>
      </c>
      <c r="Y20" s="44">
        <f>I18/AVERAGE(H22:I22)</f>
        <v>2.637561598780273E-2</v>
      </c>
      <c r="Z20" s="48"/>
      <c r="AA20" s="18"/>
      <c r="AB20" s="18"/>
      <c r="AC20" s="18"/>
    </row>
    <row r="21" spans="1:31" x14ac:dyDescent="0.25">
      <c r="A21" s="6" t="s">
        <v>57</v>
      </c>
      <c r="B21" s="9"/>
      <c r="C21" s="9"/>
      <c r="D21" s="85">
        <f>973.6</f>
        <v>973.6</v>
      </c>
      <c r="E21" s="85">
        <f>5009.41+20444.46</f>
        <v>25453.87</v>
      </c>
      <c r="F21" s="85">
        <f>31557.55+45011.94</f>
        <v>76569.490000000005</v>
      </c>
      <c r="G21" s="85">
        <f>70376.77+109807.09</f>
        <v>180183.86</v>
      </c>
      <c r="H21" s="85">
        <f>114434.45+200459</f>
        <v>314893.45</v>
      </c>
      <c r="I21" s="85">
        <f>139483.13+322322.27</f>
        <v>461805.4</v>
      </c>
      <c r="J21" s="85"/>
      <c r="K21" s="85">
        <f>103644.88+276175.78</f>
        <v>379820.66000000003</v>
      </c>
      <c r="L21" s="85"/>
      <c r="M21" s="85">
        <f>139483.13+322322.27+3519.13</f>
        <v>465324.53</v>
      </c>
      <c r="N21" s="11"/>
      <c r="O21" s="11">
        <f>166372.82+364649.54+3357.94</f>
        <v>534380.29999999993</v>
      </c>
      <c r="P21" s="11"/>
      <c r="Q21" s="11"/>
      <c r="R21" s="42" t="s">
        <v>32</v>
      </c>
      <c r="S21" s="43"/>
      <c r="T21" s="44">
        <f t="shared" ref="T21:Y21" si="18">D18/AVERAGE(C19:D19)</f>
        <v>4.7381688653415866E-3</v>
      </c>
      <c r="U21" s="44">
        <f t="shared" si="18"/>
        <v>2.2250782481176679E-2</v>
      </c>
      <c r="V21" s="44">
        <f t="shared" si="18"/>
        <v>3.0659643115457318E-2</v>
      </c>
      <c r="W21" s="44">
        <f t="shared" si="18"/>
        <v>1.5164762256035871E-2</v>
      </c>
      <c r="X21" s="44">
        <f t="shared" si="18"/>
        <v>4.0783627121475E-2</v>
      </c>
      <c r="Y21" s="44">
        <f t="shared" si="18"/>
        <v>9.853415085703264E-2</v>
      </c>
      <c r="Z21" s="18"/>
      <c r="AA21" s="18"/>
      <c r="AB21" s="18"/>
      <c r="AC21" s="18"/>
    </row>
    <row r="22" spans="1:31" x14ac:dyDescent="0.25">
      <c r="A22" s="6" t="s">
        <v>29</v>
      </c>
      <c r="B22" s="7"/>
      <c r="C22" s="7"/>
      <c r="D22" s="88">
        <v>86847.65</v>
      </c>
      <c r="E22" s="85">
        <v>121246.25</v>
      </c>
      <c r="F22" s="85">
        <v>175478.58</v>
      </c>
      <c r="G22" s="85">
        <v>285422.56</v>
      </c>
      <c r="H22" s="85">
        <v>430558.68</v>
      </c>
      <c r="I22" s="85">
        <v>474404.45</v>
      </c>
      <c r="J22" s="85"/>
      <c r="K22" s="85">
        <v>533068.78</v>
      </c>
      <c r="L22" s="85"/>
      <c r="M22" s="85">
        <v>627997.94999999995</v>
      </c>
      <c r="N22" s="11"/>
      <c r="O22" s="11">
        <v>750894.59</v>
      </c>
      <c r="P22" s="11"/>
      <c r="Q22" s="11"/>
      <c r="R22" s="40" t="s">
        <v>33</v>
      </c>
      <c r="S22" s="45"/>
      <c r="T22" s="45"/>
      <c r="U22" s="45"/>
      <c r="V22" s="46" t="s">
        <v>5</v>
      </c>
      <c r="W22" s="18"/>
      <c r="X22" s="18"/>
      <c r="Y22" s="18"/>
      <c r="Z22" s="18"/>
      <c r="AA22" s="18"/>
      <c r="AB22" s="18"/>
      <c r="AC22" s="18"/>
    </row>
    <row r="23" spans="1:31" x14ac:dyDescent="0.25">
      <c r="A23" s="6" t="s">
        <v>58</v>
      </c>
      <c r="B23" s="7"/>
      <c r="C23" s="7"/>
      <c r="D23" s="88">
        <v>7913.85</v>
      </c>
      <c r="E23" s="85">
        <v>84285.99</v>
      </c>
      <c r="F23" s="85">
        <v>130831.61</v>
      </c>
      <c r="G23" s="85">
        <v>249112.74</v>
      </c>
      <c r="H23" s="85">
        <v>389436.2</v>
      </c>
      <c r="I23" s="85">
        <v>554970.39</v>
      </c>
      <c r="J23" s="85">
        <v>410000</v>
      </c>
      <c r="K23" s="85">
        <v>445761.77</v>
      </c>
      <c r="L23" s="85">
        <v>500000</v>
      </c>
      <c r="M23" s="85">
        <v>543221.03</v>
      </c>
      <c r="N23" s="11">
        <v>510419</v>
      </c>
      <c r="O23" s="11">
        <v>635978.36</v>
      </c>
      <c r="P23" s="11">
        <f>1106700-490200</f>
        <v>616500</v>
      </c>
      <c r="Q23" s="11"/>
      <c r="R23" s="42" t="s">
        <v>34</v>
      </c>
      <c r="S23" s="43"/>
      <c r="T23" s="44">
        <f t="shared" ref="T23:Y23" si="19">D6/AVERAGE(C23:D23)</f>
        <v>1.4363426145302224E-2</v>
      </c>
      <c r="U23" s="44">
        <f t="shared" si="19"/>
        <v>0.15428963868050094</v>
      </c>
      <c r="V23" s="44">
        <f t="shared" si="19"/>
        <v>0.12285373209816398</v>
      </c>
      <c r="W23" s="44">
        <f t="shared" si="19"/>
        <v>0.13758520162229021</v>
      </c>
      <c r="X23" s="44">
        <f t="shared" si="19"/>
        <v>0.1467393243186654</v>
      </c>
      <c r="Y23" s="44">
        <f t="shared" si="19"/>
        <v>0.14313316047487554</v>
      </c>
      <c r="Z23" s="18"/>
      <c r="AA23" s="18"/>
      <c r="AB23" s="18"/>
      <c r="AC23" s="18"/>
    </row>
    <row r="24" spans="1:31" x14ac:dyDescent="0.25">
      <c r="A24" s="6" t="s">
        <v>59</v>
      </c>
      <c r="B24" s="10"/>
      <c r="C24" s="10"/>
      <c r="D24" s="89"/>
      <c r="E24" s="89">
        <v>817.76</v>
      </c>
      <c r="F24" s="89">
        <v>3647.41</v>
      </c>
      <c r="G24" s="89">
        <v>5641.15</v>
      </c>
      <c r="H24" s="89">
        <v>9569.0499999999993</v>
      </c>
      <c r="I24" s="89">
        <v>17147.91</v>
      </c>
      <c r="J24" s="89"/>
      <c r="K24" s="89"/>
      <c r="L24" s="89"/>
      <c r="M24" s="89"/>
      <c r="N24" s="11"/>
      <c r="O24" s="11"/>
      <c r="P24" s="11"/>
      <c r="Q24" s="11"/>
      <c r="R24" s="42" t="s">
        <v>35</v>
      </c>
      <c r="S24" s="43"/>
      <c r="T24" s="44">
        <f t="shared" ref="T24:Y24" si="20">D9/AVERAGE(C21:D21)</f>
        <v>0.10759038619556285</v>
      </c>
      <c r="U24" s="44">
        <f t="shared" si="20"/>
        <v>0.10347566376955494</v>
      </c>
      <c r="V24" s="44">
        <f t="shared" si="20"/>
        <v>8.7357248379194716E-2</v>
      </c>
      <c r="W24" s="44">
        <f t="shared" si="20"/>
        <v>0.10702037578088076</v>
      </c>
      <c r="X24" s="44">
        <f t="shared" si="20"/>
        <v>0.11847604165094944</v>
      </c>
      <c r="Y24" s="44">
        <f t="shared" si="20"/>
        <v>0.11405295630346304</v>
      </c>
      <c r="Z24" s="18"/>
      <c r="AA24" s="18"/>
      <c r="AB24" s="18"/>
      <c r="AC24" s="18"/>
    </row>
    <row r="25" spans="1:31" x14ac:dyDescent="0.25">
      <c r="A25" s="6" t="s">
        <v>60</v>
      </c>
      <c r="B25" s="10"/>
      <c r="C25" s="10"/>
      <c r="D25" s="89"/>
      <c r="E25" s="89">
        <v>458.08</v>
      </c>
      <c r="F25" s="89">
        <v>2297.4499999999998</v>
      </c>
      <c r="G25" s="89">
        <v>4152.32</v>
      </c>
      <c r="H25" s="89">
        <v>4988.9799999999996</v>
      </c>
      <c r="I25" s="89">
        <v>8921.66</v>
      </c>
      <c r="J25" s="89"/>
      <c r="K25" s="89"/>
      <c r="L25" s="89"/>
      <c r="M25" s="89"/>
      <c r="N25" s="11"/>
      <c r="O25" s="11"/>
      <c r="P25" s="11"/>
      <c r="Q25" s="11"/>
      <c r="R25" s="42" t="s">
        <v>36</v>
      </c>
      <c r="S25" s="43"/>
      <c r="T25" s="48">
        <f t="shared" ref="T25:Y25" si="21">T23-T24</f>
        <v>-9.3226960050260627E-2</v>
      </c>
      <c r="U25" s="48">
        <f t="shared" si="21"/>
        <v>5.0813974910945997E-2</v>
      </c>
      <c r="V25" s="48">
        <f t="shared" si="21"/>
        <v>3.5496483718969268E-2</v>
      </c>
      <c r="W25" s="48">
        <f t="shared" si="21"/>
        <v>3.0564825841409446E-2</v>
      </c>
      <c r="X25" s="48">
        <f t="shared" si="21"/>
        <v>2.8263282667715967E-2</v>
      </c>
      <c r="Y25" s="48">
        <f t="shared" si="21"/>
        <v>2.9080204171412494E-2</v>
      </c>
      <c r="Z25" s="18"/>
      <c r="AA25" s="18"/>
      <c r="AB25" s="18"/>
      <c r="AC25" s="18"/>
    </row>
    <row r="26" spans="1:31" x14ac:dyDescent="0.25">
      <c r="R26" s="407" t="s">
        <v>690</v>
      </c>
      <c r="AD26" s="436">
        <v>0.41</v>
      </c>
      <c r="AE26" s="436">
        <v>0.45</v>
      </c>
    </row>
    <row r="27" spans="1:31" x14ac:dyDescent="0.25">
      <c r="B27" s="739" t="s">
        <v>220</v>
      </c>
      <c r="C27" s="739"/>
      <c r="D27" s="739"/>
      <c r="E27" s="739"/>
      <c r="F27" s="739"/>
      <c r="G27" s="739"/>
      <c r="H27" s="739"/>
      <c r="I27" s="739"/>
      <c r="J27" s="739"/>
      <c r="K27" s="739"/>
      <c r="L27" s="739"/>
      <c r="M27" s="739"/>
      <c r="N27" s="739"/>
      <c r="O27" s="739"/>
      <c r="P27" s="739"/>
      <c r="Q27" s="739"/>
      <c r="R27" s="739"/>
    </row>
    <row r="28" spans="1:31" x14ac:dyDescent="0.25">
      <c r="B28" s="739"/>
      <c r="C28" s="739"/>
      <c r="D28" s="739"/>
      <c r="E28" s="739"/>
      <c r="F28" s="739"/>
      <c r="G28" s="739"/>
      <c r="H28" s="739"/>
      <c r="I28" s="739"/>
      <c r="J28" s="739"/>
      <c r="K28" s="739"/>
      <c r="L28" s="739"/>
      <c r="M28" s="739"/>
      <c r="N28" s="739"/>
      <c r="O28" s="739"/>
      <c r="P28" s="739"/>
      <c r="Q28" s="739"/>
      <c r="R28" s="739"/>
    </row>
    <row r="29" spans="1:31" x14ac:dyDescent="0.25">
      <c r="B29" s="739"/>
      <c r="C29" s="739"/>
      <c r="D29" s="739"/>
      <c r="E29" s="739"/>
      <c r="F29" s="739"/>
      <c r="G29" s="739"/>
      <c r="H29" s="739"/>
      <c r="I29" s="739"/>
      <c r="J29" s="739"/>
      <c r="K29" s="739"/>
      <c r="L29" s="739"/>
      <c r="M29" s="739"/>
      <c r="N29" s="739"/>
      <c r="O29" s="739"/>
      <c r="P29" s="739"/>
      <c r="Q29" s="739"/>
      <c r="R29" s="739"/>
    </row>
    <row r="30" spans="1:31" x14ac:dyDescent="0.25">
      <c r="B30" s="739"/>
      <c r="C30" s="739"/>
      <c r="D30" s="739"/>
      <c r="E30" s="739"/>
      <c r="F30" s="739"/>
      <c r="G30" s="739"/>
      <c r="H30" s="739"/>
      <c r="I30" s="739"/>
      <c r="J30" s="739"/>
      <c r="K30" s="739"/>
      <c r="L30" s="739"/>
      <c r="M30" s="739"/>
      <c r="N30" s="739"/>
      <c r="O30" s="739"/>
      <c r="P30" s="739"/>
      <c r="Q30" s="739"/>
      <c r="R30" s="739"/>
    </row>
    <row r="31" spans="1:31" x14ac:dyDescent="0.25">
      <c r="B31" s="739"/>
      <c r="C31" s="739"/>
      <c r="D31" s="739"/>
      <c r="E31" s="739"/>
      <c r="F31" s="739"/>
      <c r="G31" s="739"/>
      <c r="H31" s="739"/>
      <c r="I31" s="739"/>
      <c r="J31" s="739"/>
      <c r="K31" s="739"/>
      <c r="L31" s="739"/>
      <c r="M31" s="739"/>
      <c r="N31" s="739"/>
      <c r="O31" s="739"/>
      <c r="P31" s="739"/>
      <c r="Q31" s="739"/>
      <c r="R31" s="739"/>
    </row>
    <row r="32" spans="1:31" x14ac:dyDescent="0.25">
      <c r="B32" s="739"/>
      <c r="C32" s="739"/>
      <c r="D32" s="739"/>
      <c r="E32" s="739"/>
      <c r="F32" s="739"/>
      <c r="G32" s="739"/>
      <c r="H32" s="739"/>
      <c r="I32" s="739"/>
      <c r="J32" s="739"/>
      <c r="K32" s="739"/>
      <c r="L32" s="739"/>
      <c r="M32" s="739"/>
      <c r="N32" s="739"/>
      <c r="O32" s="739"/>
      <c r="P32" s="739"/>
      <c r="Q32" s="739"/>
      <c r="R32" s="739"/>
    </row>
    <row r="33" spans="2:18" x14ac:dyDescent="0.25">
      <c r="B33" s="739"/>
      <c r="C33" s="739"/>
      <c r="D33" s="739"/>
      <c r="E33" s="739"/>
      <c r="F33" s="739"/>
      <c r="G33" s="739"/>
      <c r="H33" s="739"/>
      <c r="I33" s="739"/>
      <c r="J33" s="739"/>
      <c r="K33" s="739"/>
      <c r="L33" s="739"/>
      <c r="M33" s="739"/>
      <c r="N33" s="739"/>
      <c r="O33" s="739"/>
      <c r="P33" s="739"/>
      <c r="Q33" s="739"/>
      <c r="R33" s="739"/>
    </row>
    <row r="34" spans="2:18" x14ac:dyDescent="0.25">
      <c r="B34" s="739"/>
      <c r="C34" s="739"/>
      <c r="D34" s="739"/>
      <c r="E34" s="739"/>
      <c r="F34" s="739"/>
      <c r="G34" s="739"/>
      <c r="H34" s="739"/>
      <c r="I34" s="739"/>
      <c r="J34" s="739"/>
      <c r="K34" s="739"/>
      <c r="L34" s="739"/>
      <c r="M34" s="739"/>
      <c r="N34" s="739"/>
      <c r="O34" s="739"/>
      <c r="P34" s="739"/>
      <c r="Q34" s="739"/>
      <c r="R34" s="739"/>
    </row>
    <row r="35" spans="2:18" x14ac:dyDescent="0.25">
      <c r="E35" s="127">
        <v>44440</v>
      </c>
    </row>
    <row r="36" spans="2:18" x14ac:dyDescent="0.25">
      <c r="D36" s="111" t="s">
        <v>4</v>
      </c>
      <c r="E36" s="111" t="s">
        <v>221</v>
      </c>
    </row>
    <row r="37" spans="2:18" x14ac:dyDescent="0.25">
      <c r="D37" s="81" t="s">
        <v>222</v>
      </c>
      <c r="E37" s="81">
        <v>1224</v>
      </c>
    </row>
    <row r="38" spans="2:18" x14ac:dyDescent="0.25">
      <c r="D38" s="81" t="s">
        <v>223</v>
      </c>
      <c r="E38" s="81">
        <v>120</v>
      </c>
    </row>
    <row r="39" spans="2:18" x14ac:dyDescent="0.25">
      <c r="D39" s="81" t="s">
        <v>224</v>
      </c>
      <c r="E39" s="81">
        <v>215</v>
      </c>
    </row>
    <row r="40" spans="2:18" x14ac:dyDescent="0.25">
      <c r="D40" s="81" t="s">
        <v>225</v>
      </c>
      <c r="E40" s="81">
        <v>374</v>
      </c>
    </row>
    <row r="41" spans="2:18" x14ac:dyDescent="0.25">
      <c r="D41" s="81" t="s">
        <v>68</v>
      </c>
      <c r="E41" s="81">
        <v>1933</v>
      </c>
    </row>
  </sheetData>
  <mergeCells count="3">
    <mergeCell ref="A2:A4"/>
    <mergeCell ref="K1:M1"/>
    <mergeCell ref="B27:R3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32"/>
  <sheetViews>
    <sheetView topLeftCell="E1" workbookViewId="0">
      <selection activeCell="P18" sqref="P18"/>
    </sheetView>
  </sheetViews>
  <sheetFormatPr defaultRowHeight="15" x14ac:dyDescent="0.25"/>
  <cols>
    <col min="1" max="1" width="31.85546875" customWidth="1"/>
    <col min="3" max="3" width="10.140625" customWidth="1"/>
    <col min="4" max="4" width="15" customWidth="1"/>
    <col min="5" max="5" width="12.5703125" customWidth="1"/>
    <col min="6" max="6" width="13.7109375" customWidth="1"/>
    <col min="7" max="9" width="12.140625" customWidth="1"/>
    <col min="10" max="10" width="11.28515625" customWidth="1"/>
    <col min="11" max="11" width="10.140625" bestFit="1" customWidth="1"/>
    <col min="13" max="13" width="10.140625" bestFit="1" customWidth="1"/>
    <col min="15" max="15" width="12" bestFit="1" customWidth="1"/>
    <col min="16" max="16" width="12" customWidth="1"/>
    <col min="18" max="18" width="32.42578125" customWidth="1"/>
    <col min="20" max="20" width="12.42578125" customWidth="1"/>
    <col min="21" max="21" width="12.85546875" customWidth="1"/>
    <col min="22" max="22" width="14" customWidth="1"/>
    <col min="23" max="25" width="12" customWidth="1"/>
  </cols>
  <sheetData>
    <row r="1" spans="1:31" x14ac:dyDescent="0.25">
      <c r="K1" s="772" t="s">
        <v>113</v>
      </c>
      <c r="L1" s="772"/>
      <c r="M1" s="772"/>
      <c r="N1" t="s">
        <v>355</v>
      </c>
    </row>
    <row r="2" spans="1:31"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c r="P2" s="11"/>
      <c r="Q2" s="11"/>
      <c r="R2" s="40" t="s">
        <v>6</v>
      </c>
      <c r="S2" s="41" t="s">
        <v>7</v>
      </c>
      <c r="T2" s="41" t="s">
        <v>8</v>
      </c>
      <c r="U2" s="41" t="s">
        <v>9</v>
      </c>
      <c r="V2" s="40" t="s">
        <v>10</v>
      </c>
      <c r="W2" s="41" t="s">
        <v>90</v>
      </c>
      <c r="X2" s="41" t="s">
        <v>492</v>
      </c>
      <c r="Y2" s="41" t="s">
        <v>623</v>
      </c>
      <c r="Z2" s="40" t="s">
        <v>37</v>
      </c>
      <c r="AA2" s="41" t="s">
        <v>38</v>
      </c>
      <c r="AB2" s="41" t="s">
        <v>39</v>
      </c>
      <c r="AC2" s="41" t="s">
        <v>40</v>
      </c>
    </row>
    <row r="3" spans="1:31" x14ac:dyDescent="0.25">
      <c r="A3" s="771"/>
      <c r="B3" s="1" t="s">
        <v>46</v>
      </c>
      <c r="C3" s="4" t="s">
        <v>47</v>
      </c>
      <c r="D3" s="5" t="s">
        <v>47</v>
      </c>
      <c r="E3" s="5" t="s">
        <v>47</v>
      </c>
      <c r="F3" s="1" t="s">
        <v>46</v>
      </c>
      <c r="G3" s="1" t="s">
        <v>46</v>
      </c>
      <c r="H3" s="1" t="s">
        <v>46</v>
      </c>
      <c r="I3" s="1" t="s">
        <v>46</v>
      </c>
      <c r="J3" s="1" t="s">
        <v>96</v>
      </c>
      <c r="K3" s="1"/>
      <c r="L3" s="1"/>
      <c r="M3" s="1"/>
      <c r="N3" s="11"/>
      <c r="O3" s="11"/>
      <c r="P3" s="11"/>
      <c r="Q3" s="11"/>
      <c r="R3" s="42" t="s">
        <v>11</v>
      </c>
      <c r="S3" s="43"/>
      <c r="T3" s="44">
        <f t="shared" ref="T3:Y3" si="0">D10/AVERAGE(C23:D23)</f>
        <v>6.9610334269854482E-2</v>
      </c>
      <c r="U3" s="44">
        <f t="shared" si="0"/>
        <v>9.5516978906353647E-2</v>
      </c>
      <c r="V3" s="44">
        <f t="shared" si="0"/>
        <v>0.10126173484185942</v>
      </c>
      <c r="W3" s="44">
        <f t="shared" si="0"/>
        <v>8.6998003751954225E-2</v>
      </c>
      <c r="X3" s="44">
        <f t="shared" si="0"/>
        <v>7.2605284885664395E-2</v>
      </c>
      <c r="Y3" s="44">
        <f t="shared" si="0"/>
        <v>8.2895784627337016E-2</v>
      </c>
      <c r="Z3" s="44" t="e">
        <f t="shared" ref="Z3:AE3" si="1">(J10*4)/J23</f>
        <v>#DIV/0!</v>
      </c>
      <c r="AA3" s="44">
        <f t="shared" si="1"/>
        <v>8.9866894629212921E-2</v>
      </c>
      <c r="AB3" s="44" t="e">
        <f t="shared" si="1"/>
        <v>#DIV/0!</v>
      </c>
      <c r="AC3" s="44">
        <f t="shared" si="1"/>
        <v>9.1676149341639049E-2</v>
      </c>
      <c r="AD3" s="44" t="e">
        <f t="shared" si="1"/>
        <v>#DIV/0!</v>
      </c>
      <c r="AE3" s="44">
        <f t="shared" si="1"/>
        <v>0.10041059724478024</v>
      </c>
    </row>
    <row r="4" spans="1:31" x14ac:dyDescent="0.25">
      <c r="A4" s="771"/>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1" x14ac:dyDescent="0.25">
      <c r="A5" s="6" t="s">
        <v>23</v>
      </c>
      <c r="B5" s="7"/>
      <c r="C5" s="8"/>
      <c r="D5">
        <v>8219.24</v>
      </c>
      <c r="E5">
        <v>12795.17</v>
      </c>
      <c r="F5" s="85">
        <v>14312.84</v>
      </c>
      <c r="G5" s="90">
        <v>20302.22</v>
      </c>
      <c r="H5" s="90">
        <v>34033.449999999997</v>
      </c>
      <c r="I5" s="90">
        <v>54593.24</v>
      </c>
      <c r="J5" s="85">
        <v>11328.76</v>
      </c>
      <c r="K5" s="85">
        <v>13392.06</v>
      </c>
      <c r="L5" s="85">
        <v>14125.92</v>
      </c>
      <c r="M5" s="85">
        <v>15661.15</v>
      </c>
      <c r="N5" s="11">
        <v>15750.03</v>
      </c>
      <c r="O5" s="11">
        <v>15924.04</v>
      </c>
      <c r="P5" s="11">
        <v>16418.54</v>
      </c>
      <c r="Q5" s="11"/>
      <c r="R5" s="42" t="s">
        <v>13</v>
      </c>
      <c r="S5" s="46"/>
      <c r="T5" s="47">
        <f t="shared" ref="T5:Y5" si="2">D21/D20</f>
        <v>1.0996483671670025</v>
      </c>
      <c r="U5" s="47">
        <f t="shared" si="2"/>
        <v>0.62528890488080979</v>
      </c>
      <c r="V5" s="47">
        <f t="shared" si="2"/>
        <v>0.80835429261074376</v>
      </c>
      <c r="W5" s="47">
        <f t="shared" si="2"/>
        <v>1.6141697853357682</v>
      </c>
      <c r="X5" s="47">
        <f t="shared" si="2"/>
        <v>2.5481446627119819</v>
      </c>
      <c r="Y5" s="47">
        <f t="shared" si="2"/>
        <v>2.4282382599076651</v>
      </c>
      <c r="Z5" s="47"/>
      <c r="AA5" s="47">
        <v>2.52</v>
      </c>
      <c r="AB5" s="47"/>
      <c r="AC5" s="47">
        <f>M21/M20</f>
        <v>2.4330620480748837</v>
      </c>
      <c r="AD5" s="47" t="e">
        <f>N21/N20</f>
        <v>#DIV/0!</v>
      </c>
      <c r="AE5" s="47">
        <f>O21/O20</f>
        <v>1.6315379005856967</v>
      </c>
    </row>
    <row r="6" spans="1:31" x14ac:dyDescent="0.25">
      <c r="A6" s="6" t="s">
        <v>50</v>
      </c>
      <c r="B6" s="7"/>
      <c r="C6" s="8"/>
      <c r="D6">
        <v>7951.92</v>
      </c>
      <c r="E6">
        <v>12557.37</v>
      </c>
      <c r="F6" s="85">
        <v>13171.35</v>
      </c>
      <c r="G6" s="85">
        <v>16745.919999999998</v>
      </c>
      <c r="H6" s="85">
        <v>25851.69</v>
      </c>
      <c r="I6" s="85">
        <v>42547.57</v>
      </c>
      <c r="J6" s="85">
        <v>10030.370000000001</v>
      </c>
      <c r="K6" s="85">
        <v>10521.46</v>
      </c>
      <c r="L6" s="85">
        <v>10999.46</v>
      </c>
      <c r="M6" s="85">
        <v>12422.07</v>
      </c>
      <c r="N6" s="11">
        <v>13116.72</v>
      </c>
      <c r="O6" s="11">
        <v>13503.98</v>
      </c>
      <c r="P6" s="11">
        <v>14545.81</v>
      </c>
      <c r="Q6" s="11"/>
      <c r="R6" s="42" t="s">
        <v>14</v>
      </c>
      <c r="S6" s="43"/>
      <c r="T6" s="43"/>
      <c r="U6" s="43"/>
      <c r="V6" s="43">
        <v>0.56920000000000004</v>
      </c>
      <c r="W6" s="48">
        <v>0.38450000000000001</v>
      </c>
      <c r="X6" s="48">
        <v>0.27610000000000001</v>
      </c>
      <c r="Y6" s="48">
        <v>0.2944</v>
      </c>
      <c r="Z6" s="48"/>
      <c r="AA6" s="48">
        <v>0.29620000000000002</v>
      </c>
      <c r="AB6" s="48"/>
      <c r="AC6" s="48">
        <v>0.29189999999999999</v>
      </c>
      <c r="AD6" s="80">
        <v>0.40400000000000003</v>
      </c>
      <c r="AE6" s="80">
        <v>0.36409999999999998</v>
      </c>
    </row>
    <row r="7" spans="1:31" x14ac:dyDescent="0.25">
      <c r="A7" s="6" t="s">
        <v>51</v>
      </c>
      <c r="B7" s="7"/>
      <c r="C7" s="8"/>
      <c r="D7" s="87"/>
      <c r="E7" s="85"/>
      <c r="F7" s="85">
        <v>0</v>
      </c>
      <c r="G7" s="85">
        <v>0</v>
      </c>
      <c r="H7" s="85"/>
      <c r="I7" s="85"/>
      <c r="J7" s="85"/>
      <c r="K7" s="85"/>
      <c r="L7" s="85"/>
      <c r="M7" s="85"/>
      <c r="N7" s="11"/>
      <c r="O7" s="11"/>
      <c r="P7" s="11"/>
      <c r="Q7" s="11"/>
      <c r="R7" s="42" t="s">
        <v>15</v>
      </c>
      <c r="S7" s="43"/>
      <c r="T7" s="44">
        <f t="shared" ref="T7:Y7" si="3">D20/D23</f>
        <v>0.487887270097141</v>
      </c>
      <c r="U7" s="44">
        <f t="shared" si="3"/>
        <v>0.85907651316958122</v>
      </c>
      <c r="V7" s="44">
        <f t="shared" si="3"/>
        <v>0.64535621822139655</v>
      </c>
      <c r="W7" s="44">
        <f t="shared" si="3"/>
        <v>0.50126667346507991</v>
      </c>
      <c r="X7" s="44">
        <f t="shared" si="3"/>
        <v>0.30839860667920505</v>
      </c>
      <c r="Y7" s="44">
        <f t="shared" si="3"/>
        <v>0.31829196651370795</v>
      </c>
      <c r="Z7" s="18"/>
      <c r="AA7" s="18"/>
      <c r="AB7" s="18"/>
      <c r="AC7" s="18"/>
    </row>
    <row r="8" spans="1:31" x14ac:dyDescent="0.25">
      <c r="A8" s="6" t="s">
        <v>52</v>
      </c>
      <c r="B8" s="7"/>
      <c r="C8" s="8"/>
      <c r="D8" s="85">
        <f t="shared" ref="D8:P8" si="4">D5-D6-D7</f>
        <v>267.31999999999971</v>
      </c>
      <c r="E8" s="85">
        <f t="shared" si="4"/>
        <v>237.79999999999927</v>
      </c>
      <c r="F8" s="85">
        <f t="shared" si="4"/>
        <v>1141.4899999999998</v>
      </c>
      <c r="G8" s="85">
        <f t="shared" si="4"/>
        <v>3556.3000000000029</v>
      </c>
      <c r="H8" s="85">
        <f t="shared" si="4"/>
        <v>8181.7599999999984</v>
      </c>
      <c r="I8" s="85">
        <f t="shared" si="4"/>
        <v>12045.669999999998</v>
      </c>
      <c r="J8" s="85">
        <f t="shared" si="4"/>
        <v>1298.3899999999994</v>
      </c>
      <c r="K8" s="85">
        <f t="shared" si="4"/>
        <v>2870.6000000000004</v>
      </c>
      <c r="L8" s="85">
        <f t="shared" si="4"/>
        <v>3126.4600000000009</v>
      </c>
      <c r="M8" s="85">
        <f t="shared" si="4"/>
        <v>3239.08</v>
      </c>
      <c r="N8" s="85">
        <f t="shared" si="4"/>
        <v>2633.3100000000013</v>
      </c>
      <c r="O8" s="85">
        <f t="shared" si="4"/>
        <v>2420.0600000000013</v>
      </c>
      <c r="P8" s="85">
        <f t="shared" si="4"/>
        <v>1872.7300000000014</v>
      </c>
      <c r="Q8" s="11"/>
      <c r="R8" s="40" t="s">
        <v>16</v>
      </c>
      <c r="S8" s="45"/>
      <c r="T8" s="45"/>
      <c r="U8" s="45"/>
      <c r="V8" s="46" t="s">
        <v>5</v>
      </c>
      <c r="W8" s="18"/>
      <c r="X8" s="18"/>
      <c r="Y8" s="18"/>
      <c r="Z8" s="18"/>
      <c r="AA8" s="18"/>
      <c r="AB8" s="18"/>
      <c r="AC8" s="18"/>
    </row>
    <row r="9" spans="1:31" ht="33.75" x14ac:dyDescent="0.25">
      <c r="A9" s="6" t="s">
        <v>24</v>
      </c>
      <c r="B9" s="7"/>
      <c r="C9" s="7"/>
      <c r="D9" s="88">
        <v>2613.39</v>
      </c>
      <c r="E9" s="85">
        <v>5004.32</v>
      </c>
      <c r="F9" s="85">
        <v>4015.55</v>
      </c>
      <c r="G9" s="85">
        <v>6626.25</v>
      </c>
      <c r="H9" s="85">
        <v>12738.15</v>
      </c>
      <c r="I9" s="85">
        <v>20404.150000000001</v>
      </c>
      <c r="J9" s="85">
        <v>4606.95</v>
      </c>
      <c r="K9" s="85">
        <v>4915.42</v>
      </c>
      <c r="L9" s="85">
        <v>5318.98</v>
      </c>
      <c r="M9" s="85">
        <v>5562.8</v>
      </c>
      <c r="N9" s="11">
        <v>5758.99</v>
      </c>
      <c r="O9" s="11">
        <v>5330.28</v>
      </c>
      <c r="P9" s="11">
        <v>5838.64</v>
      </c>
      <c r="Q9" s="11"/>
      <c r="R9" s="49" t="s">
        <v>93</v>
      </c>
      <c r="S9" s="45"/>
      <c r="T9" s="50">
        <f t="shared" ref="T9:Y9" si="5">D14/(D11-D9)</f>
        <v>0.40906731360988968</v>
      </c>
      <c r="U9" s="50">
        <f t="shared" si="5"/>
        <v>0.5236232246802337</v>
      </c>
      <c r="V9" s="50">
        <f t="shared" si="5"/>
        <v>0.55541409438794087</v>
      </c>
      <c r="W9" s="50">
        <f t="shared" si="5"/>
        <v>0.70362467890760205</v>
      </c>
      <c r="X9" s="50">
        <f t="shared" si="5"/>
        <v>0.73482552488107722</v>
      </c>
      <c r="Y9" s="50">
        <f t="shared" si="5"/>
        <v>0.6861092237318982</v>
      </c>
      <c r="Z9" s="18"/>
      <c r="AA9" s="18"/>
      <c r="AB9" s="18"/>
      <c r="AC9" s="18"/>
    </row>
    <row r="10" spans="1:31" ht="22.5" x14ac:dyDescent="0.25">
      <c r="A10" s="6" t="s">
        <v>53</v>
      </c>
      <c r="B10" s="10">
        <f t="shared" ref="B10:K10" si="6">B6-B9</f>
        <v>0</v>
      </c>
      <c r="C10" s="10">
        <f t="shared" si="6"/>
        <v>0</v>
      </c>
      <c r="D10" s="89">
        <f t="shared" si="6"/>
        <v>5338.5300000000007</v>
      </c>
      <c r="E10" s="89">
        <f t="shared" si="6"/>
        <v>7553.0500000000011</v>
      </c>
      <c r="F10" s="89">
        <f t="shared" si="6"/>
        <v>9155.7999999999993</v>
      </c>
      <c r="G10" s="89">
        <f t="shared" si="6"/>
        <v>10119.669999999998</v>
      </c>
      <c r="H10" s="89">
        <f>H6-H9</f>
        <v>13113.539999999999</v>
      </c>
      <c r="I10" s="89">
        <f>I6-I9</f>
        <v>22143.42</v>
      </c>
      <c r="J10" s="89">
        <f t="shared" si="6"/>
        <v>5423.420000000001</v>
      </c>
      <c r="K10" s="89">
        <f t="shared" si="6"/>
        <v>5606.0399999999991</v>
      </c>
      <c r="L10" s="89">
        <f>L6-L9</f>
        <v>5680.48</v>
      </c>
      <c r="M10" s="89">
        <f>M6-M9</f>
        <v>6859.2699999999995</v>
      </c>
      <c r="N10" s="89">
        <f>N6-N9</f>
        <v>7357.73</v>
      </c>
      <c r="O10" s="89">
        <f>O6-O9</f>
        <v>8173.7</v>
      </c>
      <c r="P10" s="89">
        <f>P6-P9</f>
        <v>8707.1699999999983</v>
      </c>
      <c r="Q10" s="11"/>
      <c r="R10" s="42" t="s">
        <v>92</v>
      </c>
      <c r="S10" s="43"/>
      <c r="T10" s="44">
        <f t="shared" ref="T10:Y10" si="7">D14/D11</f>
        <v>0.27900024819813024</v>
      </c>
      <c r="U10" s="44">
        <f t="shared" si="7"/>
        <v>0.31882890184342993</v>
      </c>
      <c r="V10" s="44">
        <f t="shared" si="7"/>
        <v>0.39958945953423641</v>
      </c>
      <c r="W10" s="44">
        <f t="shared" si="7"/>
        <v>0.47397525984843036</v>
      </c>
      <c r="X10" s="44">
        <f t="shared" si="7"/>
        <v>0.45979264517702439</v>
      </c>
      <c r="Y10" s="44">
        <f t="shared" si="7"/>
        <v>0.42967682445665439</v>
      </c>
      <c r="Z10" s="18"/>
      <c r="AA10" s="18"/>
      <c r="AB10" s="18"/>
      <c r="AC10" s="18"/>
    </row>
    <row r="11" spans="1:31" x14ac:dyDescent="0.25">
      <c r="A11" s="6" t="s">
        <v>1</v>
      </c>
      <c r="B11" s="10">
        <f>B5-B9</f>
        <v>0</v>
      </c>
      <c r="C11" s="10">
        <f t="shared" ref="C11:K11" si="8">SUM(C6:C8)</f>
        <v>0</v>
      </c>
      <c r="D11" s="89">
        <f t="shared" si="8"/>
        <v>8219.24</v>
      </c>
      <c r="E11" s="89">
        <f t="shared" si="8"/>
        <v>12795.17</v>
      </c>
      <c r="F11" s="89">
        <f>SUM(F6:F8)</f>
        <v>14312.84</v>
      </c>
      <c r="G11" s="89">
        <f>SUM(G6:G8)</f>
        <v>20302.22</v>
      </c>
      <c r="H11" s="89">
        <f>SUM(H6:H8)</f>
        <v>34033.449999999997</v>
      </c>
      <c r="I11" s="89">
        <f>SUM(I6:I8)</f>
        <v>54593.24</v>
      </c>
      <c r="J11" s="89">
        <f t="shared" si="8"/>
        <v>11328.76</v>
      </c>
      <c r="K11" s="89">
        <f t="shared" si="8"/>
        <v>13392.06</v>
      </c>
      <c r="L11" s="89">
        <f>SUM(L6:L8)</f>
        <v>14125.92</v>
      </c>
      <c r="M11" s="89">
        <f>SUM(M6:M8)</f>
        <v>15661.15</v>
      </c>
      <c r="N11" s="89">
        <f>SUM(N6:N8)</f>
        <v>15750.03</v>
      </c>
      <c r="O11" s="89">
        <f>SUM(O6:O8)</f>
        <v>15924.04</v>
      </c>
      <c r="P11" s="89">
        <f>SUM(P6:P8)</f>
        <v>16418.54</v>
      </c>
      <c r="Q11" s="11"/>
      <c r="R11" s="42" t="s">
        <v>17</v>
      </c>
      <c r="S11" s="43"/>
      <c r="T11" s="44">
        <f t="shared" ref="T11:Y11" si="9">D14/AVERAGE(C22:D22)</f>
        <v>2.8337941666229004E-2</v>
      </c>
      <c r="U11" s="44">
        <f t="shared" si="9"/>
        <v>4.3317691279090194E-2</v>
      </c>
      <c r="V11" s="44">
        <f t="shared" si="9"/>
        <v>5.0422519565499133E-2</v>
      </c>
      <c r="W11" s="44">
        <f t="shared" si="9"/>
        <v>6.3985809051025508E-2</v>
      </c>
      <c r="X11" s="44">
        <f t="shared" si="9"/>
        <v>7.000566234012344E-2</v>
      </c>
      <c r="Y11" s="44">
        <f t="shared" si="9"/>
        <v>7.531371886901235E-2</v>
      </c>
      <c r="Z11" s="18"/>
      <c r="AA11" s="18"/>
      <c r="AB11" s="18"/>
      <c r="AC11" s="18"/>
    </row>
    <row r="12" spans="1:31" x14ac:dyDescent="0.25">
      <c r="A12" s="6" t="s">
        <v>91</v>
      </c>
      <c r="B12" s="10"/>
      <c r="C12" s="10"/>
      <c r="D12" s="89">
        <v>440.88</v>
      </c>
      <c r="E12" s="89">
        <v>183.09</v>
      </c>
      <c r="F12" s="89">
        <v>199.06</v>
      </c>
      <c r="G12" s="89">
        <v>136.88</v>
      </c>
      <c r="H12" s="89">
        <v>921.64</v>
      </c>
      <c r="I12" s="89">
        <v>1584.12</v>
      </c>
      <c r="J12" s="89">
        <v>207.38</v>
      </c>
      <c r="K12" s="89">
        <v>372.22</v>
      </c>
      <c r="L12" s="89">
        <v>409.42</v>
      </c>
      <c r="M12" s="89">
        <v>595.1</v>
      </c>
      <c r="N12" s="11">
        <v>372.6</v>
      </c>
      <c r="O12" s="11">
        <v>520.29</v>
      </c>
      <c r="P12" s="11">
        <v>460.98</v>
      </c>
      <c r="Q12" s="11"/>
      <c r="R12" s="40" t="s">
        <v>18</v>
      </c>
      <c r="S12" s="45"/>
      <c r="T12" s="45"/>
      <c r="U12" s="45"/>
      <c r="V12" s="46" t="s">
        <v>5</v>
      </c>
      <c r="W12" s="18"/>
      <c r="X12" s="18"/>
      <c r="Y12" s="18"/>
      <c r="Z12" s="18"/>
      <c r="AA12" s="18"/>
      <c r="AB12" s="53"/>
      <c r="AC12" s="54"/>
    </row>
    <row r="13" spans="1:31" x14ac:dyDescent="0.25">
      <c r="A13" s="6" t="s">
        <v>25</v>
      </c>
      <c r="B13" s="7"/>
      <c r="C13" s="7"/>
      <c r="D13" s="88">
        <f t="shared" ref="D13:P13" si="10">D11+D12</f>
        <v>8660.119999999999</v>
      </c>
      <c r="E13" s="88">
        <f t="shared" si="10"/>
        <v>12978.26</v>
      </c>
      <c r="F13" s="88">
        <f t="shared" si="10"/>
        <v>14511.9</v>
      </c>
      <c r="G13" s="88">
        <f t="shared" si="10"/>
        <v>20439.100000000002</v>
      </c>
      <c r="H13" s="88">
        <f t="shared" si="10"/>
        <v>34955.089999999997</v>
      </c>
      <c r="I13" s="88">
        <f t="shared" si="10"/>
        <v>56177.36</v>
      </c>
      <c r="J13" s="88">
        <f t="shared" si="10"/>
        <v>11536.14</v>
      </c>
      <c r="K13" s="88">
        <f t="shared" si="10"/>
        <v>13764.279999999999</v>
      </c>
      <c r="L13" s="88">
        <f t="shared" si="10"/>
        <v>14535.34</v>
      </c>
      <c r="M13" s="88">
        <f t="shared" si="10"/>
        <v>16256.25</v>
      </c>
      <c r="N13" s="88">
        <f t="shared" si="10"/>
        <v>16122.630000000001</v>
      </c>
      <c r="O13" s="88">
        <f t="shared" si="10"/>
        <v>16444.330000000002</v>
      </c>
      <c r="P13" s="88">
        <f t="shared" si="10"/>
        <v>16879.52</v>
      </c>
      <c r="Q13" s="11"/>
      <c r="R13" s="42" t="s">
        <v>19</v>
      </c>
      <c r="S13" s="43"/>
      <c r="T13" s="44">
        <f t="shared" ref="T13:Y13" si="11">D24/D23</f>
        <v>5.9259400276144864E-3</v>
      </c>
      <c r="U13" s="44">
        <f t="shared" si="11"/>
        <v>1.5938018625495355E-2</v>
      </c>
      <c r="V13" s="44">
        <f t="shared" si="11"/>
        <v>2.6675712533046531E-2</v>
      </c>
      <c r="W13" s="44">
        <f t="shared" si="11"/>
        <v>2.8399583720996716E-2</v>
      </c>
      <c r="X13" s="44">
        <f t="shared" si="11"/>
        <v>2.2421820913375596E-2</v>
      </c>
      <c r="Y13" s="44">
        <f t="shared" si="11"/>
        <v>2.5651440766033422E-2</v>
      </c>
      <c r="Z13" s="48"/>
      <c r="AA13" s="48">
        <v>2.9600000000000001E-2</v>
      </c>
      <c r="AB13" s="48"/>
      <c r="AC13" s="48">
        <v>2.5700000000000001E-2</v>
      </c>
      <c r="AD13" s="80">
        <v>2.87E-2</v>
      </c>
      <c r="AE13" s="80">
        <v>2.9000000000000001E-2</v>
      </c>
    </row>
    <row r="14" spans="1:31" x14ac:dyDescent="0.25">
      <c r="A14" s="6" t="s">
        <v>26</v>
      </c>
      <c r="B14" s="7"/>
      <c r="C14" s="7"/>
      <c r="D14" s="85">
        <f>1495.03+29.14+769</f>
        <v>2293.17</v>
      </c>
      <c r="E14" s="85">
        <f>2519.58+345.78+1214.11</f>
        <v>4079.4699999999993</v>
      </c>
      <c r="F14" s="85">
        <f>3758.43+476.36+1484.47</f>
        <v>5719.26</v>
      </c>
      <c r="G14" s="85">
        <f>6558.85+726.06+2337.84</f>
        <v>9622.75</v>
      </c>
      <c r="H14" s="85">
        <f>10015.22+1058.36+4574.75</f>
        <v>15648.33</v>
      </c>
      <c r="I14" s="85">
        <f>14952.78+1700.36+6804.31</f>
        <v>23457.45</v>
      </c>
      <c r="J14" s="85">
        <f>3161.05+401.14+1401.08</f>
        <v>4963.2700000000004</v>
      </c>
      <c r="K14" s="85">
        <f>3618.11+424.55+1679.36</f>
        <v>5722.02</v>
      </c>
      <c r="L14" s="85">
        <f>3955.08+436.33+1528.82</f>
        <v>5920.23</v>
      </c>
      <c r="M14" s="85">
        <f>4218.54+438.34+2194.11</f>
        <v>6850.99</v>
      </c>
      <c r="N14" s="11">
        <f>4492.9+400.45+1605.58</f>
        <v>6498.9299999999994</v>
      </c>
      <c r="O14" s="11">
        <f>4675.52+418.42+1852.83</f>
        <v>6946.77</v>
      </c>
      <c r="P14" s="11">
        <f>5075.83+430.5+1967.22</f>
        <v>7473.55</v>
      </c>
      <c r="Q14" s="11"/>
      <c r="R14" s="42" t="s">
        <v>20</v>
      </c>
      <c r="S14" s="43"/>
      <c r="T14" s="44">
        <f t="shared" ref="T14:Y14" si="12">D25/D23</f>
        <v>2.4439433612246865E-3</v>
      </c>
      <c r="U14" s="44">
        <f t="shared" si="12"/>
        <v>9.6206314539123896E-3</v>
      </c>
      <c r="V14" s="44">
        <f t="shared" si="12"/>
        <v>1.6767087590606255E-2</v>
      </c>
      <c r="W14" s="44">
        <f t="shared" si="12"/>
        <v>1.7498485552133587E-2</v>
      </c>
      <c r="X14" s="44">
        <f t="shared" si="12"/>
        <v>1.313496038328517E-2</v>
      </c>
      <c r="Y14" s="44">
        <f t="shared" si="12"/>
        <v>1.3207227391530635E-2</v>
      </c>
      <c r="Z14" s="48"/>
      <c r="AA14" s="48">
        <v>1.8599999999999998E-2</v>
      </c>
      <c r="AB14" s="48"/>
      <c r="AC14" s="48">
        <v>1.34E-2</v>
      </c>
      <c r="AD14" s="80">
        <v>1.6199999999999999E-2</v>
      </c>
      <c r="AE14" s="80">
        <v>1.6400000000000001E-2</v>
      </c>
    </row>
    <row r="15" spans="1:31" x14ac:dyDescent="0.25">
      <c r="A15" s="6" t="s">
        <v>54</v>
      </c>
      <c r="B15" s="10"/>
      <c r="C15" s="10"/>
      <c r="D15" s="89">
        <f t="shared" ref="D15:K15" si="13">D11-D14</f>
        <v>5926.07</v>
      </c>
      <c r="E15" s="89">
        <f t="shared" si="13"/>
        <v>8715.7000000000007</v>
      </c>
      <c r="F15" s="89">
        <f t="shared" si="13"/>
        <v>8593.58</v>
      </c>
      <c r="G15" s="89">
        <f t="shared" si="13"/>
        <v>10679.470000000001</v>
      </c>
      <c r="H15" s="89">
        <f>H11-H14</f>
        <v>18385.119999999995</v>
      </c>
      <c r="I15" s="89">
        <f>I11-I14</f>
        <v>31135.789999999997</v>
      </c>
      <c r="J15" s="89">
        <f t="shared" si="13"/>
        <v>6365.49</v>
      </c>
      <c r="K15" s="89">
        <f t="shared" si="13"/>
        <v>7670.0399999999991</v>
      </c>
      <c r="L15" s="89">
        <f>L11-L14</f>
        <v>8205.69</v>
      </c>
      <c r="M15" s="89">
        <f>M11-M14</f>
        <v>8810.16</v>
      </c>
      <c r="N15" s="89">
        <f>N11-N14</f>
        <v>9251.1000000000022</v>
      </c>
      <c r="O15" s="89">
        <f>O11-O14</f>
        <v>8977.27</v>
      </c>
      <c r="P15" s="89">
        <f>P11-P14</f>
        <v>8944.9900000000016</v>
      </c>
      <c r="Q15" s="11"/>
      <c r="R15" s="42" t="s">
        <v>21</v>
      </c>
      <c r="S15" s="43"/>
      <c r="T15" s="44">
        <f t="shared" ref="T15:X15" si="14">(T13-T14)/T13</f>
        <v>0.58758553919950707</v>
      </c>
      <c r="U15" s="44">
        <f t="shared" si="14"/>
        <v>0.39637217900331201</v>
      </c>
      <c r="V15" s="44">
        <f t="shared" si="14"/>
        <v>0.37144743294730093</v>
      </c>
      <c r="W15" s="44">
        <f t="shared" si="14"/>
        <v>0.38384711113929465</v>
      </c>
      <c r="X15" s="44">
        <f t="shared" si="14"/>
        <v>0.41418850707840627</v>
      </c>
      <c r="Y15" s="44">
        <f t="shared" ref="Y15" si="15">(Y13-Y14)/Y13</f>
        <v>0.48512726782118609</v>
      </c>
      <c r="Z15" s="44"/>
      <c r="AA15" s="18"/>
      <c r="AB15" s="18"/>
      <c r="AC15" s="18"/>
    </row>
    <row r="16" spans="1:31" x14ac:dyDescent="0.25">
      <c r="A16" s="6" t="s">
        <v>94</v>
      </c>
      <c r="B16" s="10"/>
      <c r="C16" s="10"/>
      <c r="D16" s="89">
        <f t="shared" ref="D16:K16" si="16">D13-D14-D9</f>
        <v>3753.559999999999</v>
      </c>
      <c r="E16" s="89">
        <f t="shared" si="16"/>
        <v>3894.4700000000012</v>
      </c>
      <c r="F16" s="89">
        <f t="shared" si="16"/>
        <v>4777.0899999999992</v>
      </c>
      <c r="G16" s="89">
        <f t="shared" si="16"/>
        <v>4190.1000000000022</v>
      </c>
      <c r="H16" s="89">
        <f>H13-H14-H9</f>
        <v>6568.6099999999951</v>
      </c>
      <c r="I16" s="89">
        <f>I13-I14-I9</f>
        <v>12315.759999999998</v>
      </c>
      <c r="J16" s="89">
        <f t="shared" si="16"/>
        <v>1965.9199999999992</v>
      </c>
      <c r="K16" s="89">
        <f t="shared" si="16"/>
        <v>3126.8399999999983</v>
      </c>
      <c r="L16" s="89">
        <f>L13-L14-L9</f>
        <v>3296.130000000001</v>
      </c>
      <c r="M16" s="89">
        <f>M13-M14-M9</f>
        <v>3842.46</v>
      </c>
      <c r="N16" s="89">
        <f>N13-N14-N9</f>
        <v>3864.7100000000009</v>
      </c>
      <c r="O16" s="89">
        <f>O13-O14-O9</f>
        <v>4167.2800000000016</v>
      </c>
      <c r="P16" s="89">
        <f>P13-P14-P9</f>
        <v>3567.3300000000008</v>
      </c>
      <c r="Q16" s="11"/>
      <c r="R16" s="42" t="s">
        <v>22</v>
      </c>
      <c r="S16" s="43"/>
      <c r="T16" s="44">
        <f t="shared" ref="T16:Y16" si="17">D17/AVERAGE(C23:D23)</f>
        <v>1.393411510486868E-2</v>
      </c>
      <c r="U16" s="44">
        <f t="shared" si="17"/>
        <v>2.1871005003195051E-2</v>
      </c>
      <c r="V16" s="44">
        <f t="shared" si="17"/>
        <v>2.5376152263107098E-2</v>
      </c>
      <c r="W16" s="44">
        <f t="shared" si="17"/>
        <v>6.4562017178109677E-3</v>
      </c>
      <c r="X16" s="44">
        <f t="shared" si="17"/>
        <v>1.6013697710519595E-2</v>
      </c>
      <c r="Y16" s="44">
        <f t="shared" si="17"/>
        <v>2.4886083163114064E-2</v>
      </c>
      <c r="Z16" s="44" t="e">
        <f t="shared" ref="Z16:AE16" si="18">(J17*4)/J23</f>
        <v>#DIV/0!</v>
      </c>
      <c r="AA16" s="44">
        <f t="shared" si="18"/>
        <v>2.172211297747809E-2</v>
      </c>
      <c r="AB16" s="44" t="e">
        <f t="shared" si="18"/>
        <v>#DIV/0!</v>
      </c>
      <c r="AC16" s="44">
        <f t="shared" si="18"/>
        <v>3.1570023573702768E-2</v>
      </c>
      <c r="AD16" s="44" t="e">
        <f t="shared" si="18"/>
        <v>#DIV/0!</v>
      </c>
      <c r="AE16" s="44">
        <f t="shared" si="18"/>
        <v>2.150332428828813E-2</v>
      </c>
    </row>
    <row r="17" spans="1:29" x14ac:dyDescent="0.25">
      <c r="A17" s="6" t="s">
        <v>27</v>
      </c>
      <c r="B17" s="7"/>
      <c r="C17" s="7"/>
      <c r="D17" s="88">
        <v>1068.6300000000001</v>
      </c>
      <c r="E17" s="85">
        <v>1729.46</v>
      </c>
      <c r="F17" s="85">
        <v>2294.44</v>
      </c>
      <c r="G17" s="85">
        <v>750.99</v>
      </c>
      <c r="H17" s="85">
        <v>2892.3</v>
      </c>
      <c r="I17" s="85">
        <v>6647.66</v>
      </c>
      <c r="J17" s="85">
        <v>1454.51</v>
      </c>
      <c r="K17" s="85">
        <v>1355.06</v>
      </c>
      <c r="L17" s="85">
        <v>1474.71</v>
      </c>
      <c r="M17" s="85">
        <v>2362.09</v>
      </c>
      <c r="N17" s="11">
        <v>1383.97</v>
      </c>
      <c r="O17" s="11">
        <v>1750.43</v>
      </c>
      <c r="P17" s="11">
        <v>2003.81</v>
      </c>
      <c r="Q17" s="11"/>
      <c r="R17" s="18"/>
      <c r="S17" s="18"/>
      <c r="T17" s="18"/>
      <c r="U17" s="18"/>
      <c r="V17" s="18"/>
      <c r="W17" s="18"/>
      <c r="X17" s="18"/>
      <c r="Y17" s="18"/>
      <c r="Z17" s="18"/>
      <c r="AA17" s="18"/>
      <c r="AB17" s="18"/>
      <c r="AC17" s="18"/>
    </row>
    <row r="18" spans="1:29" x14ac:dyDescent="0.25">
      <c r="A18" s="6" t="s">
        <v>55</v>
      </c>
      <c r="B18" s="7"/>
      <c r="C18" s="7"/>
      <c r="D18" s="88">
        <v>1974.03</v>
      </c>
      <c r="E18" s="85">
        <v>1596.2</v>
      </c>
      <c r="F18" s="89">
        <v>2123.5700000000002</v>
      </c>
      <c r="G18" s="89">
        <v>2578.2199999999998</v>
      </c>
      <c r="H18" s="89">
        <v>3307.32</v>
      </c>
      <c r="I18" s="89">
        <v>4111.33</v>
      </c>
      <c r="J18" s="89">
        <v>380.38</v>
      </c>
      <c r="K18" s="89">
        <v>1320.4</v>
      </c>
      <c r="L18" s="89">
        <v>1188.74</v>
      </c>
      <c r="M18" s="89">
        <v>1115.9000000000001</v>
      </c>
      <c r="N18" s="11">
        <v>1852.62</v>
      </c>
      <c r="O18" s="11">
        <v>1808.02</v>
      </c>
      <c r="P18" s="11"/>
      <c r="Q18" s="11"/>
      <c r="R18" s="40" t="s">
        <v>30</v>
      </c>
      <c r="S18" s="45"/>
      <c r="T18" s="45"/>
      <c r="U18" s="45"/>
      <c r="V18" s="46" t="s">
        <v>5</v>
      </c>
      <c r="W18" s="18"/>
      <c r="X18" s="18"/>
      <c r="Y18" s="18"/>
      <c r="Z18" s="18"/>
      <c r="AA18" s="18"/>
      <c r="AB18" s="18"/>
      <c r="AC18" s="18"/>
    </row>
    <row r="19" spans="1:29" ht="22.5" x14ac:dyDescent="0.25">
      <c r="A19" s="6" t="s">
        <v>28</v>
      </c>
      <c r="B19" s="7"/>
      <c r="C19" s="7"/>
      <c r="D19" s="88">
        <v>37416.870000000003</v>
      </c>
      <c r="E19" s="85">
        <v>69979.78</v>
      </c>
      <c r="F19" s="85">
        <v>64132.3</v>
      </c>
      <c r="G19" s="85">
        <v>66802</v>
      </c>
      <c r="H19" s="85">
        <v>70303.12</v>
      </c>
      <c r="I19" s="85">
        <f>102225.12-4736.96</f>
        <v>97488.159999999989</v>
      </c>
      <c r="J19" s="85"/>
      <c r="K19" s="85">
        <v>84792.61</v>
      </c>
      <c r="L19" s="85"/>
      <c r="M19" s="85">
        <f>102031.84-4736.96</f>
        <v>97294.87999999999</v>
      </c>
      <c r="N19" s="11"/>
      <c r="O19" s="11">
        <f>148270.23-4736.96</f>
        <v>143533.27000000002</v>
      </c>
      <c r="P19" s="11"/>
      <c r="Q19" s="11"/>
      <c r="R19" s="46" t="s">
        <v>95</v>
      </c>
      <c r="S19" s="51"/>
      <c r="T19" s="51"/>
      <c r="U19" s="52">
        <f>E16/AVERAGE(D22:E22)</f>
        <v>4.1353276076470345E-2</v>
      </c>
      <c r="V19" s="52">
        <f>F16/AVERAGE(E22:F22)</f>
        <v>4.2116097885242183E-2</v>
      </c>
      <c r="W19" s="52">
        <f>G16/AVERAGE(F22:G22)</f>
        <v>2.7861779481406262E-2</v>
      </c>
      <c r="X19" s="52">
        <f>H16/AVERAGE(G22:H22)</f>
        <v>2.9385876557048444E-2</v>
      </c>
      <c r="Y19" s="52">
        <f>I16/AVERAGE(H22:I22)</f>
        <v>3.9541624784374577E-2</v>
      </c>
      <c r="Z19" s="18"/>
      <c r="AA19" s="18"/>
      <c r="AB19" s="18"/>
      <c r="AC19" s="18"/>
    </row>
    <row r="20" spans="1:29" x14ac:dyDescent="0.25">
      <c r="A20" s="6" t="s">
        <v>56</v>
      </c>
      <c r="B20" s="7"/>
      <c r="C20" s="7"/>
      <c r="D20" s="88">
        <f t="shared" ref="D20:O20" si="19">D19-D71</f>
        <v>37416.870000000003</v>
      </c>
      <c r="E20" s="89">
        <f t="shared" si="19"/>
        <v>69979.78</v>
      </c>
      <c r="F20" s="89">
        <f t="shared" si="19"/>
        <v>64132.3</v>
      </c>
      <c r="G20" s="89">
        <f t="shared" si="19"/>
        <v>66802</v>
      </c>
      <c r="H20" s="89">
        <f t="shared" si="19"/>
        <v>70303.12</v>
      </c>
      <c r="I20" s="89">
        <f t="shared" si="19"/>
        <v>97488.159999999989</v>
      </c>
      <c r="J20" s="89">
        <f t="shared" si="19"/>
        <v>0</v>
      </c>
      <c r="K20" s="89">
        <f t="shared" si="19"/>
        <v>84792.61</v>
      </c>
      <c r="L20" s="89">
        <f t="shared" si="19"/>
        <v>0</v>
      </c>
      <c r="M20" s="89">
        <f t="shared" si="19"/>
        <v>97294.87999999999</v>
      </c>
      <c r="N20" s="89">
        <f t="shared" si="19"/>
        <v>0</v>
      </c>
      <c r="O20" s="89">
        <f t="shared" si="19"/>
        <v>143533.27000000002</v>
      </c>
      <c r="P20" s="440"/>
      <c r="Q20" s="11"/>
      <c r="R20" s="42" t="s">
        <v>31</v>
      </c>
      <c r="S20" s="43"/>
      <c r="T20" s="43">
        <v>4.4699999999999997E-2</v>
      </c>
      <c r="U20" s="44">
        <f>E18/AVERAGE(D22:E22)</f>
        <v>1.6949186737415346E-2</v>
      </c>
      <c r="V20" s="44">
        <f>F18/AVERAGE(E22:F22)</f>
        <v>1.8721958762795709E-2</v>
      </c>
      <c r="W20" s="44">
        <f>G18/AVERAGE(F22:G22)</f>
        <v>1.714369516110623E-2</v>
      </c>
      <c r="X20" s="44">
        <f>H18/AVERAGE(G22:H22)</f>
        <v>1.4795900084592865E-2</v>
      </c>
      <c r="Y20" s="44">
        <f>I18/AVERAGE(H22:I22)</f>
        <v>1.3200051659397614E-2</v>
      </c>
      <c r="Z20" s="48"/>
      <c r="AA20" s="18"/>
      <c r="AB20" s="18"/>
      <c r="AC20" s="18"/>
    </row>
    <row r="21" spans="1:29" x14ac:dyDescent="0.25">
      <c r="A21" s="6" t="s">
        <v>57</v>
      </c>
      <c r="B21" s="9"/>
      <c r="C21" s="9"/>
      <c r="D21" s="85">
        <f>40110.46+1034.94</f>
        <v>41145.4</v>
      </c>
      <c r="E21" s="85">
        <f>4203.6+38548.64+1005.34</f>
        <v>43757.579999999994</v>
      </c>
      <c r="F21" s="85">
        <f>12587.98+38022.4+1231.24</f>
        <v>51841.62</v>
      </c>
      <c r="G21" s="85">
        <f>17024.54+89100.8+1704.43</f>
        <v>107829.76999999999</v>
      </c>
      <c r="H21" s="85">
        <f>29951.62+149190.9</f>
        <v>179142.52</v>
      </c>
      <c r="I21" s="85">
        <f>32377.79+204346.69</f>
        <v>236724.48000000001</v>
      </c>
      <c r="J21" s="85"/>
      <c r="K21" s="85">
        <f>30956.81+182879.12+2737.04</f>
        <v>216572.97</v>
      </c>
      <c r="L21" s="85"/>
      <c r="M21" s="85">
        <f>32377.79+204346.69</f>
        <v>236724.48000000001</v>
      </c>
      <c r="N21" s="11"/>
      <c r="O21" s="11">
        <f>23933.43+210246.54</f>
        <v>234179.97</v>
      </c>
      <c r="P21" s="11"/>
      <c r="Q21" s="11"/>
      <c r="R21" s="42" t="s">
        <v>32</v>
      </c>
      <c r="S21" s="43"/>
      <c r="T21" s="44">
        <f t="shared" ref="T21:Y21" si="20">D18/AVERAGE(C19:D19)</f>
        <v>5.2757753387709869E-2</v>
      </c>
      <c r="U21" s="44">
        <f t="shared" si="20"/>
        <v>2.9725321972333404E-2</v>
      </c>
      <c r="V21" s="44">
        <f t="shared" si="20"/>
        <v>3.1668586453957016E-2</v>
      </c>
      <c r="W21" s="44">
        <f t="shared" si="20"/>
        <v>3.938188847383764E-2</v>
      </c>
      <c r="X21" s="44">
        <f t="shared" si="20"/>
        <v>4.8245025422828852E-2</v>
      </c>
      <c r="Y21" s="44">
        <f t="shared" si="20"/>
        <v>4.9005287998279773E-2</v>
      </c>
      <c r="Z21" s="18"/>
      <c r="AA21" s="18"/>
      <c r="AB21" s="18"/>
      <c r="AC21" s="18"/>
    </row>
    <row r="22" spans="1:29" x14ac:dyDescent="0.25">
      <c r="A22" s="6" t="s">
        <v>29</v>
      </c>
      <c r="B22" s="7"/>
      <c r="C22" s="7"/>
      <c r="D22" s="88">
        <v>80922.25</v>
      </c>
      <c r="E22" s="85">
        <v>107428.97</v>
      </c>
      <c r="F22" s="85">
        <v>119424.43</v>
      </c>
      <c r="G22" s="85">
        <v>181353.2</v>
      </c>
      <c r="H22" s="85">
        <v>265705.78000000003</v>
      </c>
      <c r="I22" s="85">
        <v>357220.57</v>
      </c>
      <c r="J22" s="85"/>
      <c r="K22" s="85">
        <v>315282.26</v>
      </c>
      <c r="L22" s="85"/>
      <c r="M22" s="85">
        <v>357027.56</v>
      </c>
      <c r="N22" s="11"/>
      <c r="O22" s="11">
        <v>403566.92</v>
      </c>
      <c r="P22" s="11"/>
      <c r="Q22" s="11"/>
      <c r="R22" s="40" t="s">
        <v>33</v>
      </c>
      <c r="S22" s="45"/>
      <c r="T22" s="45"/>
      <c r="U22" s="45"/>
      <c r="V22" s="46" t="s">
        <v>5</v>
      </c>
      <c r="W22" s="18"/>
      <c r="X22" s="18"/>
      <c r="Y22" s="18"/>
      <c r="Z22" s="18"/>
      <c r="AA22" s="18"/>
      <c r="AB22" s="18"/>
      <c r="AC22" s="18"/>
    </row>
    <row r="23" spans="1:29" x14ac:dyDescent="0.25">
      <c r="A23" s="6" t="s">
        <v>58</v>
      </c>
      <c r="B23" s="7"/>
      <c r="C23" s="7"/>
      <c r="D23" s="88">
        <v>76691.63</v>
      </c>
      <c r="E23" s="85">
        <v>81459.31</v>
      </c>
      <c r="F23" s="85">
        <v>99375.039999999994</v>
      </c>
      <c r="G23" s="85">
        <v>133266.39000000001</v>
      </c>
      <c r="H23" s="85">
        <v>227961.86</v>
      </c>
      <c r="I23" s="85">
        <v>306285.33</v>
      </c>
      <c r="J23" s="85"/>
      <c r="K23" s="85">
        <v>249526.37</v>
      </c>
      <c r="L23" s="85"/>
      <c r="M23" s="85">
        <v>299282.64</v>
      </c>
      <c r="N23" s="309"/>
      <c r="O23" s="448">
        <v>325611.05</v>
      </c>
      <c r="P23" s="448"/>
      <c r="Q23" s="11"/>
      <c r="R23" s="42" t="s">
        <v>34</v>
      </c>
      <c r="S23" s="43"/>
      <c r="T23" s="44">
        <f t="shared" ref="T23:Y23" si="21">D6/AVERAGE(C23:D23)</f>
        <v>0.10368693428474528</v>
      </c>
      <c r="U23" s="44">
        <f t="shared" si="21"/>
        <v>0.15880234414035099</v>
      </c>
      <c r="V23" s="44">
        <f t="shared" si="21"/>
        <v>0.14567309805908005</v>
      </c>
      <c r="W23" s="44">
        <f t="shared" si="21"/>
        <v>0.14396335166956289</v>
      </c>
      <c r="X23" s="44">
        <f t="shared" si="21"/>
        <v>0.14313216089826861</v>
      </c>
      <c r="Y23" s="44">
        <f t="shared" si="21"/>
        <v>0.15928046341245147</v>
      </c>
      <c r="Z23" s="18"/>
      <c r="AA23" s="18"/>
      <c r="AB23" s="18"/>
      <c r="AC23" s="18"/>
    </row>
    <row r="24" spans="1:29" x14ac:dyDescent="0.25">
      <c r="A24" s="6" t="s">
        <v>59</v>
      </c>
      <c r="B24" s="10"/>
      <c r="C24" s="10"/>
      <c r="D24" s="89">
        <v>454.47</v>
      </c>
      <c r="E24" s="89">
        <v>1298.3</v>
      </c>
      <c r="F24" s="89">
        <v>2650.9</v>
      </c>
      <c r="G24" s="89">
        <v>3784.71</v>
      </c>
      <c r="H24" s="89">
        <v>5111.32</v>
      </c>
      <c r="I24" s="89">
        <v>7856.66</v>
      </c>
      <c r="J24" s="89"/>
      <c r="K24" s="89"/>
      <c r="L24" s="89"/>
      <c r="M24" s="89"/>
      <c r="N24" s="11"/>
      <c r="O24" s="11"/>
      <c r="P24" s="11"/>
      <c r="Q24" s="11"/>
      <c r="R24" s="42" t="s">
        <v>35</v>
      </c>
      <c r="S24" s="43"/>
      <c r="T24" s="44">
        <f t="shared" ref="T24:Y24" si="22">D9/AVERAGE(C21:D21)</f>
        <v>6.3515970193508867E-2</v>
      </c>
      <c r="U24" s="44">
        <f t="shared" si="22"/>
        <v>0.11788325922128999</v>
      </c>
      <c r="V24" s="44">
        <f t="shared" si="22"/>
        <v>8.400802517175876E-2</v>
      </c>
      <c r="W24" s="44">
        <f t="shared" si="22"/>
        <v>8.2998588538622992E-2</v>
      </c>
      <c r="X24" s="44">
        <f t="shared" si="22"/>
        <v>8.8776167204157597E-2</v>
      </c>
      <c r="Y24" s="44">
        <f t="shared" si="22"/>
        <v>9.8128247733049276E-2</v>
      </c>
      <c r="Z24" s="18"/>
      <c r="AA24" s="18"/>
      <c r="AB24" s="18"/>
      <c r="AC24" s="18"/>
    </row>
    <row r="25" spans="1:29" x14ac:dyDescent="0.25">
      <c r="A25" s="6" t="s">
        <v>60</v>
      </c>
      <c r="B25" s="10"/>
      <c r="C25" s="10"/>
      <c r="D25" s="89">
        <v>187.43</v>
      </c>
      <c r="E25" s="89">
        <v>783.69</v>
      </c>
      <c r="F25" s="89">
        <v>1666.23</v>
      </c>
      <c r="G25" s="89">
        <v>2331.96</v>
      </c>
      <c r="H25" s="89">
        <v>2994.27</v>
      </c>
      <c r="I25" s="89">
        <v>4045.18</v>
      </c>
      <c r="J25" s="89"/>
      <c r="K25" s="89"/>
      <c r="L25" s="89"/>
      <c r="M25" s="89"/>
      <c r="N25" s="11"/>
      <c r="O25" s="11"/>
      <c r="P25" s="11"/>
      <c r="Q25" s="11"/>
      <c r="R25" s="42" t="s">
        <v>36</v>
      </c>
      <c r="S25" s="43"/>
      <c r="T25" s="48">
        <f t="shared" ref="T25:Y25" si="23">T23-T24</f>
        <v>4.0170964091236411E-2</v>
      </c>
      <c r="U25" s="48">
        <f t="shared" si="23"/>
        <v>4.0919084919061002E-2</v>
      </c>
      <c r="V25" s="48">
        <f t="shared" si="23"/>
        <v>6.1665072887321287E-2</v>
      </c>
      <c r="W25" s="48">
        <f t="shared" si="23"/>
        <v>6.0964763130939903E-2</v>
      </c>
      <c r="X25" s="48">
        <f t="shared" si="23"/>
        <v>5.435599369411101E-2</v>
      </c>
      <c r="Y25" s="48">
        <f t="shared" si="23"/>
        <v>6.1152215679402197E-2</v>
      </c>
      <c r="Z25" s="18"/>
      <c r="AA25" s="18"/>
      <c r="AB25" s="18"/>
      <c r="AC25" s="18"/>
    </row>
    <row r="27" spans="1:29" ht="15" customHeight="1" x14ac:dyDescent="0.25">
      <c r="B27" s="732" t="s">
        <v>227</v>
      </c>
      <c r="C27" s="732"/>
      <c r="D27" s="732"/>
      <c r="E27" s="732"/>
      <c r="F27" s="732"/>
      <c r="G27" s="732"/>
      <c r="H27" s="732"/>
      <c r="I27" s="732"/>
      <c r="J27" s="732"/>
      <c r="K27" s="732"/>
      <c r="L27" s="732"/>
      <c r="M27" s="732"/>
      <c r="N27" s="732"/>
      <c r="O27" s="732"/>
      <c r="P27" s="732"/>
      <c r="Q27" s="732"/>
      <c r="R27" s="732"/>
    </row>
    <row r="28" spans="1:29" x14ac:dyDescent="0.25">
      <c r="B28" s="732"/>
      <c r="C28" s="732"/>
      <c r="D28" s="732"/>
      <c r="E28" s="732"/>
      <c r="F28" s="732"/>
      <c r="G28" s="732"/>
      <c r="H28" s="732"/>
      <c r="I28" s="732"/>
      <c r="J28" s="732"/>
      <c r="K28" s="732"/>
      <c r="L28" s="732"/>
      <c r="M28" s="732"/>
      <c r="N28" s="732"/>
      <c r="O28" s="732"/>
      <c r="P28" s="732"/>
      <c r="Q28" s="732"/>
      <c r="R28" s="732"/>
    </row>
    <row r="29" spans="1:29" x14ac:dyDescent="0.25">
      <c r="B29" s="732"/>
      <c r="C29" s="732"/>
      <c r="D29" s="732"/>
      <c r="E29" s="732"/>
      <c r="F29" s="732"/>
      <c r="G29" s="732"/>
      <c r="H29" s="732"/>
      <c r="I29" s="732"/>
      <c r="J29" s="732"/>
      <c r="K29" s="732"/>
      <c r="L29" s="732"/>
      <c r="M29" s="732"/>
      <c r="N29" s="732"/>
      <c r="O29" s="732"/>
      <c r="P29" s="732"/>
      <c r="Q29" s="732"/>
      <c r="R29" s="732"/>
    </row>
    <row r="30" spans="1:29" x14ac:dyDescent="0.25">
      <c r="B30" s="732"/>
      <c r="C30" s="732"/>
      <c r="D30" s="732"/>
      <c r="E30" s="732"/>
      <c r="F30" s="732"/>
      <c r="G30" s="732"/>
      <c r="H30" s="732"/>
      <c r="I30" s="732"/>
      <c r="J30" s="732"/>
      <c r="K30" s="732"/>
      <c r="L30" s="732"/>
      <c r="M30" s="732"/>
      <c r="N30" s="732"/>
      <c r="O30" s="732"/>
      <c r="P30" s="732"/>
      <c r="Q30" s="732"/>
      <c r="R30" s="732"/>
    </row>
    <row r="31" spans="1:29" x14ac:dyDescent="0.25">
      <c r="B31" s="732"/>
      <c r="C31" s="732"/>
      <c r="D31" s="732"/>
      <c r="E31" s="732"/>
      <c r="F31" s="732"/>
      <c r="G31" s="732"/>
      <c r="H31" s="732"/>
      <c r="I31" s="732"/>
      <c r="J31" s="732"/>
      <c r="K31" s="732"/>
      <c r="L31" s="732"/>
      <c r="M31" s="732"/>
      <c r="N31" s="732"/>
      <c r="O31" s="732"/>
      <c r="P31" s="732"/>
      <c r="Q31" s="732"/>
      <c r="R31" s="732"/>
    </row>
    <row r="32" spans="1:29" x14ac:dyDescent="0.25">
      <c r="B32" s="732"/>
      <c r="C32" s="732"/>
      <c r="D32" s="732"/>
      <c r="E32" s="732"/>
      <c r="F32" s="732"/>
      <c r="G32" s="732"/>
      <c r="H32" s="732"/>
      <c r="I32" s="732"/>
      <c r="J32" s="732"/>
      <c r="K32" s="732"/>
      <c r="L32" s="732"/>
      <c r="M32" s="732"/>
      <c r="N32" s="732"/>
      <c r="O32" s="732"/>
      <c r="P32" s="732"/>
      <c r="Q32" s="732"/>
      <c r="R32" s="732"/>
    </row>
  </sheetData>
  <mergeCells count="3">
    <mergeCell ref="A2:A4"/>
    <mergeCell ref="K1:M1"/>
    <mergeCell ref="B27:R32"/>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57"/>
  <sheetViews>
    <sheetView topLeftCell="F1" workbookViewId="0">
      <selection activeCell="AF19" sqref="AF19"/>
    </sheetView>
  </sheetViews>
  <sheetFormatPr defaultRowHeight="15" x14ac:dyDescent="0.25"/>
  <cols>
    <col min="1" max="1" width="29" customWidth="1"/>
    <col min="2" max="2" width="11.5703125" customWidth="1"/>
    <col min="3" max="3" width="14.85546875" customWidth="1"/>
    <col min="4" max="4" width="15.7109375" customWidth="1"/>
    <col min="5" max="5" width="15.28515625" customWidth="1"/>
    <col min="6" max="9" width="12.7109375" customWidth="1"/>
    <col min="11" max="11" width="10.140625" bestFit="1" customWidth="1"/>
    <col min="13" max="13" width="10.140625" bestFit="1" customWidth="1"/>
    <col min="18" max="18" width="31.5703125" customWidth="1"/>
    <col min="20" max="20" width="13.140625" customWidth="1"/>
    <col min="21" max="21" width="13.42578125" customWidth="1"/>
    <col min="22" max="22" width="12" customWidth="1"/>
    <col min="23" max="25" width="13.140625" customWidth="1"/>
  </cols>
  <sheetData>
    <row r="1" spans="1:32" x14ac:dyDescent="0.25">
      <c r="K1" s="772" t="s">
        <v>113</v>
      </c>
      <c r="L1" s="772"/>
      <c r="M1" s="772"/>
    </row>
    <row r="2" spans="1:32"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c r="P2" s="11"/>
      <c r="Q2" s="11"/>
      <c r="R2" s="40" t="s">
        <v>6</v>
      </c>
      <c r="S2" s="41" t="s">
        <v>7</v>
      </c>
      <c r="T2" s="41" t="s">
        <v>8</v>
      </c>
      <c r="U2" s="41" t="s">
        <v>9</v>
      </c>
      <c r="V2" s="40" t="s">
        <v>10</v>
      </c>
      <c r="W2" s="41" t="s">
        <v>90</v>
      </c>
      <c r="X2" s="41" t="s">
        <v>492</v>
      </c>
      <c r="Y2" s="41" t="s">
        <v>623</v>
      </c>
      <c r="Z2" s="40" t="s">
        <v>37</v>
      </c>
      <c r="AA2" s="41" t="s">
        <v>38</v>
      </c>
      <c r="AB2" s="41" t="s">
        <v>39</v>
      </c>
      <c r="AC2" s="41" t="s">
        <v>40</v>
      </c>
    </row>
    <row r="3" spans="1:32" x14ac:dyDescent="0.25">
      <c r="A3" s="771"/>
      <c r="B3" s="1" t="s">
        <v>46</v>
      </c>
      <c r="C3" s="4" t="s">
        <v>47</v>
      </c>
      <c r="D3" s="5" t="s">
        <v>47</v>
      </c>
      <c r="E3" s="5" t="s">
        <v>47</v>
      </c>
      <c r="F3" s="1" t="s">
        <v>46</v>
      </c>
      <c r="G3" s="1" t="s">
        <v>46</v>
      </c>
      <c r="H3" s="1" t="s">
        <v>46</v>
      </c>
      <c r="I3" s="1" t="s">
        <v>46</v>
      </c>
      <c r="J3" s="1" t="s">
        <v>96</v>
      </c>
      <c r="K3" s="1"/>
      <c r="L3" s="1"/>
      <c r="M3" s="1"/>
      <c r="N3" s="11"/>
      <c r="O3" s="11"/>
      <c r="P3" s="11"/>
      <c r="Q3" s="11"/>
      <c r="R3" s="42" t="s">
        <v>11</v>
      </c>
      <c r="S3" s="43"/>
      <c r="T3" s="44" t="e">
        <f t="shared" ref="T3:Y3" si="0">D10/AVERAGE(C23:D23)</f>
        <v>#DIV/0!</v>
      </c>
      <c r="U3" s="44">
        <f t="shared" si="0"/>
        <v>9.7802128423132642E-2</v>
      </c>
      <c r="V3" s="44">
        <f t="shared" si="0"/>
        <v>5.5206068827075405E-2</v>
      </c>
      <c r="W3" s="44">
        <f t="shared" si="0"/>
        <v>5.5868605749201335E-2</v>
      </c>
      <c r="X3" s="44">
        <f t="shared" si="0"/>
        <v>4.520140230056767E-2</v>
      </c>
      <c r="Y3" s="44">
        <f t="shared" si="0"/>
        <v>3.4508290842262639E-2</v>
      </c>
      <c r="Z3" s="18"/>
      <c r="AA3" s="18"/>
      <c r="AB3" s="18"/>
      <c r="AC3" s="18"/>
    </row>
    <row r="4" spans="1:32" x14ac:dyDescent="0.25">
      <c r="A4" s="771"/>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D5">
        <v>33.78</v>
      </c>
      <c r="E5">
        <v>5007.8999999999996</v>
      </c>
      <c r="F5" s="85">
        <v>10188.51</v>
      </c>
      <c r="G5" s="90">
        <v>20172.740000000002</v>
      </c>
      <c r="H5" s="90">
        <v>37066.31</v>
      </c>
      <c r="I5" s="90">
        <v>56368.83</v>
      </c>
      <c r="J5" s="85">
        <v>12802.24</v>
      </c>
      <c r="K5" s="85">
        <v>12670.39</v>
      </c>
      <c r="L5" s="85">
        <v>14681.82</v>
      </c>
      <c r="M5" s="85">
        <v>15969.93</v>
      </c>
      <c r="N5" s="11">
        <v>16214.92</v>
      </c>
      <c r="O5" s="11">
        <v>19371.8</v>
      </c>
      <c r="P5" s="11">
        <v>20970.84</v>
      </c>
      <c r="Q5" s="11"/>
      <c r="R5" s="42" t="s">
        <v>13</v>
      </c>
      <c r="S5" s="46"/>
      <c r="T5" s="47">
        <f t="shared" ref="T5:Y5" si="1">D21/D20</f>
        <v>0</v>
      </c>
      <c r="U5" s="47">
        <f t="shared" si="1"/>
        <v>9.888514067117582E-2</v>
      </c>
      <c r="V5" s="47">
        <f t="shared" si="1"/>
        <v>0.98861857609011383</v>
      </c>
      <c r="W5" s="47">
        <f t="shared" si="1"/>
        <v>2.0715270217787469</v>
      </c>
      <c r="X5" s="47">
        <f t="shared" si="1"/>
        <v>2.9716075731195382</v>
      </c>
      <c r="Y5" s="47">
        <f t="shared" si="1"/>
        <v>3.1606999051199525</v>
      </c>
      <c r="Z5" s="47"/>
      <c r="AA5" s="47">
        <v>2.79</v>
      </c>
      <c r="AB5" s="18"/>
      <c r="AC5" s="18"/>
      <c r="AD5">
        <v>3.53</v>
      </c>
    </row>
    <row r="6" spans="1:32" x14ac:dyDescent="0.25">
      <c r="A6" s="6" t="s">
        <v>50</v>
      </c>
      <c r="B6" s="7"/>
      <c r="C6" s="8"/>
      <c r="D6">
        <v>0.46</v>
      </c>
      <c r="E6">
        <v>1970.15</v>
      </c>
      <c r="F6" s="85">
        <v>6777.54</v>
      </c>
      <c r="G6" s="85">
        <v>18155.900000000001</v>
      </c>
      <c r="H6" s="85">
        <v>33188.01</v>
      </c>
      <c r="I6" s="85">
        <v>46008.17</v>
      </c>
      <c r="J6" s="85">
        <v>11560.11</v>
      </c>
      <c r="K6" s="85">
        <v>11474.3</v>
      </c>
      <c r="L6" s="85">
        <v>12632.44</v>
      </c>
      <c r="M6" s="85">
        <v>13376.75</v>
      </c>
      <c r="N6" s="11">
        <v>14841.71</v>
      </c>
      <c r="O6" s="11">
        <v>16907.669999999998</v>
      </c>
      <c r="P6" s="11">
        <v>17979.349999999999</v>
      </c>
      <c r="Q6" s="11"/>
      <c r="R6" s="42" t="s">
        <v>14</v>
      </c>
      <c r="S6" s="43"/>
      <c r="T6" s="43"/>
      <c r="U6" s="43"/>
      <c r="V6" s="43"/>
      <c r="W6" s="48">
        <v>0.57850000000000001</v>
      </c>
      <c r="X6" s="48">
        <v>0.25480000000000003</v>
      </c>
      <c r="Y6" s="48">
        <v>0.25090000000000001</v>
      </c>
      <c r="Z6" s="48"/>
      <c r="AA6" s="48">
        <v>0.27589999999999998</v>
      </c>
      <c r="AB6" s="48">
        <v>0.25609999999999999</v>
      </c>
      <c r="AC6" s="48">
        <v>0.25090000000000001</v>
      </c>
      <c r="AD6" s="80">
        <v>0.2286</v>
      </c>
      <c r="AE6" s="80">
        <v>0.21879999999999999</v>
      </c>
      <c r="AF6" s="80">
        <v>0.21890000000000001</v>
      </c>
    </row>
    <row r="7" spans="1:32" x14ac:dyDescent="0.25">
      <c r="A7" s="6" t="s">
        <v>51</v>
      </c>
      <c r="B7" s="7"/>
      <c r="C7" s="8"/>
      <c r="D7" s="87"/>
      <c r="E7" s="85"/>
      <c r="F7" s="85">
        <v>0</v>
      </c>
      <c r="G7" s="85">
        <v>0</v>
      </c>
      <c r="H7" s="85"/>
      <c r="I7" s="85"/>
      <c r="J7" s="85"/>
      <c r="K7" s="85"/>
      <c r="L7" s="85"/>
      <c r="M7" s="85"/>
      <c r="N7" s="11"/>
      <c r="O7" s="11"/>
      <c r="P7" s="11"/>
      <c r="Q7" s="11"/>
      <c r="R7" s="42" t="s">
        <v>15</v>
      </c>
      <c r="S7" s="43"/>
      <c r="T7" s="44" t="e">
        <f t="shared" ref="T7:Y7" si="2">D20/D23</f>
        <v>#DIV/0!</v>
      </c>
      <c r="U7" s="44">
        <f t="shared" si="2"/>
        <v>2.9403108897818853</v>
      </c>
      <c r="V7" s="44">
        <f t="shared" si="2"/>
        <v>0.74043672192337384</v>
      </c>
      <c r="W7" s="44">
        <f t="shared" si="2"/>
        <v>0.36288070276027834</v>
      </c>
      <c r="X7" s="44">
        <f t="shared" si="2"/>
        <v>0.28350126535061265</v>
      </c>
      <c r="Y7" s="44">
        <f t="shared" si="2"/>
        <v>0.24644344846236893</v>
      </c>
      <c r="Z7" s="18"/>
      <c r="AA7" s="18"/>
      <c r="AB7" s="18"/>
      <c r="AC7" s="18"/>
    </row>
    <row r="8" spans="1:32" x14ac:dyDescent="0.25">
      <c r="A8" s="6" t="s">
        <v>52</v>
      </c>
      <c r="B8" s="7"/>
      <c r="C8" s="8"/>
      <c r="D8" s="85">
        <f t="shared" ref="D8:P8" si="3">D5-D6-D7</f>
        <v>33.32</v>
      </c>
      <c r="E8" s="85">
        <f t="shared" si="3"/>
        <v>3037.7499999999995</v>
      </c>
      <c r="F8" s="85">
        <f t="shared" si="3"/>
        <v>3410.9700000000003</v>
      </c>
      <c r="G8" s="85">
        <f t="shared" si="3"/>
        <v>2016.8400000000001</v>
      </c>
      <c r="H8" s="85">
        <f t="shared" si="3"/>
        <v>3878.2999999999956</v>
      </c>
      <c r="I8" s="85">
        <f t="shared" si="3"/>
        <v>10360.660000000003</v>
      </c>
      <c r="J8" s="85">
        <f t="shared" si="3"/>
        <v>1242.1299999999992</v>
      </c>
      <c r="K8" s="85">
        <f t="shared" si="3"/>
        <v>1196.0900000000001</v>
      </c>
      <c r="L8" s="85">
        <f t="shared" si="3"/>
        <v>2049.3799999999992</v>
      </c>
      <c r="M8" s="85">
        <f t="shared" si="3"/>
        <v>2593.1800000000003</v>
      </c>
      <c r="N8" s="85">
        <f t="shared" si="3"/>
        <v>1373.2100000000009</v>
      </c>
      <c r="O8" s="85">
        <f t="shared" si="3"/>
        <v>2464.130000000001</v>
      </c>
      <c r="P8" s="85">
        <f t="shared" si="3"/>
        <v>2991.4900000000016</v>
      </c>
      <c r="Q8" s="11"/>
      <c r="R8" s="40" t="s">
        <v>16</v>
      </c>
      <c r="S8" s="45"/>
      <c r="T8" s="45"/>
      <c r="U8" s="45"/>
      <c r="V8" s="46" t="s">
        <v>5</v>
      </c>
      <c r="W8" s="18"/>
      <c r="X8" s="18"/>
      <c r="Y8" s="18"/>
      <c r="Z8" s="18"/>
      <c r="AA8" s="18"/>
      <c r="AB8" s="18"/>
      <c r="AC8" s="18"/>
    </row>
    <row r="9" spans="1:32" ht="33.75" x14ac:dyDescent="0.25">
      <c r="A9" s="6" t="s">
        <v>24</v>
      </c>
      <c r="B9" s="7"/>
      <c r="C9" s="7"/>
      <c r="D9" s="88">
        <v>1.7000000000000001E-2</v>
      </c>
      <c r="E9" s="85">
        <v>204.18</v>
      </c>
      <c r="F9" s="85">
        <v>3768.91</v>
      </c>
      <c r="G9" s="85">
        <v>9173.74</v>
      </c>
      <c r="H9" s="85">
        <v>19617.28</v>
      </c>
      <c r="I9" s="85">
        <v>31468.43</v>
      </c>
      <c r="J9" s="85">
        <v>7353.91</v>
      </c>
      <c r="K9" s="85">
        <v>7090.87</v>
      </c>
      <c r="L9" s="85">
        <v>7795.77</v>
      </c>
      <c r="M9" s="85">
        <v>9227.8799999999992</v>
      </c>
      <c r="N9" s="11">
        <v>9623.75</v>
      </c>
      <c r="O9" s="11">
        <v>11063.68</v>
      </c>
      <c r="P9" s="11">
        <v>12582.32</v>
      </c>
      <c r="Q9" s="11"/>
      <c r="R9" s="49" t="s">
        <v>93</v>
      </c>
      <c r="S9" s="45"/>
      <c r="T9" s="50">
        <f t="shared" ref="T9:Y9" si="4">D14/(D11-D9)</f>
        <v>30.152533838817643</v>
      </c>
      <c r="U9" s="50">
        <f t="shared" si="4"/>
        <v>0.65693046222510898</v>
      </c>
      <c r="V9" s="50">
        <f t="shared" si="4"/>
        <v>0.6191694186553679</v>
      </c>
      <c r="W9" s="50">
        <f t="shared" si="4"/>
        <v>0.5609082643876715</v>
      </c>
      <c r="X9" s="50">
        <f t="shared" si="4"/>
        <v>0.49952748089721899</v>
      </c>
      <c r="Y9" s="50">
        <f t="shared" si="4"/>
        <v>0.48749136560055256</v>
      </c>
      <c r="Z9" s="18"/>
      <c r="AA9" s="18"/>
      <c r="AB9" s="18"/>
      <c r="AC9" s="18"/>
    </row>
    <row r="10" spans="1:32" ht="22.5" x14ac:dyDescent="0.25">
      <c r="A10" s="6" t="s">
        <v>53</v>
      </c>
      <c r="B10" s="10">
        <f t="shared" ref="B10:G10" si="5">B6-B9</f>
        <v>0</v>
      </c>
      <c r="C10" s="10">
        <f t="shared" si="5"/>
        <v>0</v>
      </c>
      <c r="D10" s="89">
        <f t="shared" si="5"/>
        <v>0.443</v>
      </c>
      <c r="E10" s="89">
        <f t="shared" si="5"/>
        <v>1765.97</v>
      </c>
      <c r="F10" s="89">
        <f t="shared" si="5"/>
        <v>3008.63</v>
      </c>
      <c r="G10" s="89">
        <f t="shared" si="5"/>
        <v>8982.1600000000017</v>
      </c>
      <c r="H10" s="89">
        <f t="shared" ref="H10:N10" si="6">H6-H9</f>
        <v>13570.730000000003</v>
      </c>
      <c r="I10" s="89">
        <f t="shared" si="6"/>
        <v>14539.739999999998</v>
      </c>
      <c r="J10" s="89">
        <f t="shared" si="6"/>
        <v>4206.2000000000007</v>
      </c>
      <c r="K10" s="89">
        <f t="shared" si="6"/>
        <v>4383.4299999999994</v>
      </c>
      <c r="L10" s="89">
        <f t="shared" si="6"/>
        <v>4836.67</v>
      </c>
      <c r="M10" s="89">
        <f t="shared" si="6"/>
        <v>4148.8700000000008</v>
      </c>
      <c r="N10" s="89">
        <f t="shared" si="6"/>
        <v>5217.9599999999991</v>
      </c>
      <c r="O10" s="89">
        <f t="shared" ref="O10:P10" si="7">O6-O9</f>
        <v>5843.989999999998</v>
      </c>
      <c r="P10" s="89">
        <f t="shared" si="7"/>
        <v>5397.0299999999988</v>
      </c>
      <c r="Q10" s="11"/>
      <c r="R10" s="42" t="s">
        <v>92</v>
      </c>
      <c r="S10" s="43"/>
      <c r="T10" s="44">
        <f t="shared" ref="T10:Y10" si="8">D14/D11</f>
        <v>30.137359384251035</v>
      </c>
      <c r="U10" s="44">
        <f t="shared" si="8"/>
        <v>0.63014636873739494</v>
      </c>
      <c r="V10" s="44">
        <f t="shared" si="8"/>
        <v>0.39012770267683894</v>
      </c>
      <c r="W10" s="44">
        <f t="shared" si="8"/>
        <v>0.30583004589361684</v>
      </c>
      <c r="X10" s="44">
        <f t="shared" si="8"/>
        <v>0.23515343178212239</v>
      </c>
      <c r="Y10" s="44">
        <f t="shared" si="8"/>
        <v>0.21534472154202952</v>
      </c>
      <c r="Z10" s="18"/>
      <c r="AA10" s="18"/>
      <c r="AB10" s="18"/>
      <c r="AC10" s="18"/>
    </row>
    <row r="11" spans="1:32" ht="22.5" x14ac:dyDescent="0.25">
      <c r="A11" s="6" t="s">
        <v>1</v>
      </c>
      <c r="B11" s="10">
        <f>B5-B9</f>
        <v>0</v>
      </c>
      <c r="C11" s="10">
        <f t="shared" ref="C11:J11" si="9">SUM(C6:C8)</f>
        <v>0</v>
      </c>
      <c r="D11" s="89">
        <f t="shared" si="9"/>
        <v>33.78</v>
      </c>
      <c r="E11" s="89">
        <f t="shared" si="9"/>
        <v>5007.8999999999996</v>
      </c>
      <c r="F11" s="89">
        <f>SUM(F6:F8)</f>
        <v>10188.51</v>
      </c>
      <c r="G11" s="89">
        <f>SUM(G6:G8)</f>
        <v>20172.740000000002</v>
      </c>
      <c r="H11" s="89">
        <f>SUM(H6:H8)</f>
        <v>37066.31</v>
      </c>
      <c r="I11" s="89">
        <f>SUM(I6:I8)</f>
        <v>56368.83</v>
      </c>
      <c r="J11" s="89">
        <f t="shared" si="9"/>
        <v>12802.24</v>
      </c>
      <c r="K11" s="89">
        <f t="shared" ref="K11:P11" si="10">SUM(K6:K8)</f>
        <v>12670.39</v>
      </c>
      <c r="L11" s="89">
        <f t="shared" si="10"/>
        <v>14681.82</v>
      </c>
      <c r="M11" s="89">
        <f t="shared" si="10"/>
        <v>15969.93</v>
      </c>
      <c r="N11" s="89">
        <f t="shared" si="10"/>
        <v>16214.92</v>
      </c>
      <c r="O11" s="89">
        <f t="shared" si="10"/>
        <v>19371.8</v>
      </c>
      <c r="P11" s="89">
        <f t="shared" si="10"/>
        <v>20970.84</v>
      </c>
      <c r="Q11" s="11"/>
      <c r="R11" s="42" t="s">
        <v>17</v>
      </c>
      <c r="S11" s="43"/>
      <c r="T11" s="44">
        <f t="shared" ref="T11:Y11" si="11">D14/AVERAGE(C22:D22)</f>
        <v>0.49959758946273286</v>
      </c>
      <c r="U11" s="44">
        <f t="shared" si="11"/>
        <v>9.9360786319570946E-2</v>
      </c>
      <c r="V11" s="44">
        <f t="shared" si="11"/>
        <v>4.0130059588517515E-2</v>
      </c>
      <c r="W11" s="44">
        <f t="shared" si="11"/>
        <v>3.09001360082201E-2</v>
      </c>
      <c r="X11" s="44">
        <f t="shared" si="11"/>
        <v>2.5028443272734565E-2</v>
      </c>
      <c r="Y11" s="44">
        <f t="shared" si="11"/>
        <v>2.5199461684013953E-2</v>
      </c>
      <c r="Z11" s="18"/>
      <c r="AA11" s="18"/>
      <c r="AB11" s="18"/>
      <c r="AC11" s="18"/>
    </row>
    <row r="12" spans="1:32" x14ac:dyDescent="0.25">
      <c r="A12" s="6" t="s">
        <v>91</v>
      </c>
      <c r="B12" s="10"/>
      <c r="C12" s="10"/>
      <c r="D12" s="89"/>
      <c r="E12" s="89"/>
      <c r="F12" s="89">
        <v>104.03</v>
      </c>
      <c r="G12" s="89">
        <v>136.66</v>
      </c>
      <c r="H12" s="89">
        <v>222.57</v>
      </c>
      <c r="I12" s="89">
        <v>709.9</v>
      </c>
      <c r="J12" s="89">
        <v>93.44</v>
      </c>
      <c r="K12" s="89">
        <v>281.73</v>
      </c>
      <c r="L12" s="89">
        <v>337.62</v>
      </c>
      <c r="M12" s="89">
        <v>241.56</v>
      </c>
      <c r="N12" s="11">
        <v>305.43</v>
      </c>
      <c r="O12" s="11">
        <v>496.12</v>
      </c>
      <c r="P12" s="11">
        <v>544.04</v>
      </c>
      <c r="Q12" s="11"/>
      <c r="R12" s="40" t="s">
        <v>18</v>
      </c>
      <c r="S12" s="45"/>
      <c r="T12" s="45"/>
      <c r="U12" s="45"/>
      <c r="V12" s="46" t="s">
        <v>5</v>
      </c>
      <c r="W12" s="18"/>
      <c r="X12" s="18"/>
      <c r="Y12" s="18"/>
      <c r="Z12" s="18"/>
      <c r="AA12" s="18"/>
      <c r="AB12" s="53"/>
      <c r="AC12" s="54"/>
    </row>
    <row r="13" spans="1:32" x14ac:dyDescent="0.25">
      <c r="A13" s="6" t="s">
        <v>25</v>
      </c>
      <c r="B13" s="7"/>
      <c r="C13" s="7"/>
      <c r="D13" s="88">
        <f t="shared" ref="D13:P13" si="12">D11+D12</f>
        <v>33.78</v>
      </c>
      <c r="E13" s="88">
        <f t="shared" si="12"/>
        <v>5007.8999999999996</v>
      </c>
      <c r="F13" s="88">
        <f t="shared" si="12"/>
        <v>10292.540000000001</v>
      </c>
      <c r="G13" s="88">
        <f t="shared" si="12"/>
        <v>20309.400000000001</v>
      </c>
      <c r="H13" s="88">
        <f t="shared" si="12"/>
        <v>37288.879999999997</v>
      </c>
      <c r="I13" s="88">
        <f t="shared" si="12"/>
        <v>57078.73</v>
      </c>
      <c r="J13" s="88">
        <f t="shared" si="12"/>
        <v>12895.68</v>
      </c>
      <c r="K13" s="88">
        <f t="shared" si="12"/>
        <v>12952.119999999999</v>
      </c>
      <c r="L13" s="88">
        <f t="shared" si="12"/>
        <v>15019.44</v>
      </c>
      <c r="M13" s="88">
        <f t="shared" si="12"/>
        <v>16211.49</v>
      </c>
      <c r="N13" s="88">
        <f t="shared" si="12"/>
        <v>16520.349999999999</v>
      </c>
      <c r="O13" s="88">
        <f t="shared" si="12"/>
        <v>19867.919999999998</v>
      </c>
      <c r="P13" s="88">
        <f t="shared" si="12"/>
        <v>21514.880000000001</v>
      </c>
      <c r="Q13" s="11"/>
      <c r="R13" s="42" t="s">
        <v>19</v>
      </c>
      <c r="S13" s="43"/>
      <c r="T13" s="44" t="e">
        <f t="shared" ref="T13:Y13" si="13">D24/D23</f>
        <v>#DIV/0!</v>
      </c>
      <c r="U13" s="44">
        <f t="shared" si="13"/>
        <v>0</v>
      </c>
      <c r="V13" s="44">
        <f t="shared" si="13"/>
        <v>0</v>
      </c>
      <c r="W13" s="44">
        <f t="shared" si="13"/>
        <v>0</v>
      </c>
      <c r="X13" s="44">
        <f t="shared" si="13"/>
        <v>9.3389196692302822E-5</v>
      </c>
      <c r="Y13" s="44">
        <f t="shared" si="13"/>
        <v>2.3161979829110584E-3</v>
      </c>
      <c r="Z13" s="48"/>
      <c r="AA13" s="48">
        <v>1.9E-3</v>
      </c>
      <c r="AB13" s="48">
        <v>2.0999999999999999E-3</v>
      </c>
      <c r="AC13" s="48">
        <v>2.3E-3</v>
      </c>
      <c r="AD13" s="80">
        <v>3.3E-3</v>
      </c>
      <c r="AE13" s="80">
        <v>3.5999999999999999E-3</v>
      </c>
      <c r="AF13" s="80">
        <v>4.1999999999999997E-3</v>
      </c>
    </row>
    <row r="14" spans="1:32" x14ac:dyDescent="0.25">
      <c r="A14" s="6" t="s">
        <v>26</v>
      </c>
      <c r="B14" s="7"/>
      <c r="C14" s="7"/>
      <c r="D14" s="85">
        <f>259.75+23.59+734.7</f>
        <v>1018.04</v>
      </c>
      <c r="E14" s="85">
        <f>2123.79+89.82+942.1</f>
        <v>3155.71</v>
      </c>
      <c r="F14" s="85">
        <f>3050.32+315.27+609.23</f>
        <v>3974.82</v>
      </c>
      <c r="G14" s="85">
        <f>4676.27+365.34+1127.82</f>
        <v>6169.43</v>
      </c>
      <c r="H14" s="85">
        <f>6311.95+393.6+2010.72</f>
        <v>8716.27</v>
      </c>
      <c r="I14" s="85">
        <f>7729.61+772.12+3637</f>
        <v>12138.73</v>
      </c>
      <c r="J14" s="85">
        <f>1302.38+197.98+656.5</f>
        <v>2156.86</v>
      </c>
      <c r="K14" s="85">
        <f>1847.25+207.2+707.82</f>
        <v>2762.27</v>
      </c>
      <c r="L14" s="85">
        <f>2166.46+185.85+806.32</f>
        <v>3158.63</v>
      </c>
      <c r="M14" s="85">
        <f>2413.52+181.09+1466.36</f>
        <v>4060.9700000000003</v>
      </c>
      <c r="N14" s="11">
        <f>2799.79+196.25+938.37</f>
        <v>3934.41</v>
      </c>
      <c r="O14" s="11">
        <f>2810.73+191.26+1313.41</f>
        <v>4315.3999999999996</v>
      </c>
      <c r="P14" s="11">
        <f>3257.63+178.43+1603.68</f>
        <v>5039.74</v>
      </c>
      <c r="Q14" s="11"/>
      <c r="R14" s="42" t="s">
        <v>20</v>
      </c>
      <c r="S14" s="43"/>
      <c r="T14" s="44" t="e">
        <f t="shared" ref="T14:Y14" si="14">D25/D23</f>
        <v>#DIV/0!</v>
      </c>
      <c r="U14" s="44">
        <f t="shared" si="14"/>
        <v>0</v>
      </c>
      <c r="V14" s="44">
        <f t="shared" si="14"/>
        <v>0</v>
      </c>
      <c r="W14" s="44">
        <f t="shared" si="14"/>
        <v>0</v>
      </c>
      <c r="X14" s="44">
        <f t="shared" si="14"/>
        <v>0</v>
      </c>
      <c r="Y14" s="44">
        <f t="shared" si="14"/>
        <v>6.3282664832550826E-4</v>
      </c>
      <c r="Z14" s="48"/>
      <c r="AA14" s="48">
        <v>5.0000000000000001E-4</v>
      </c>
      <c r="AB14" s="48">
        <v>5.0000000000000001E-4</v>
      </c>
      <c r="AC14" s="48">
        <v>5.9999999999999995E-4</v>
      </c>
      <c r="AD14" s="80">
        <v>1.1999999999999999E-3</v>
      </c>
      <c r="AE14" s="80">
        <v>1.4E-3</v>
      </c>
      <c r="AF14" s="80">
        <v>1.6999999999999999E-3</v>
      </c>
    </row>
    <row r="15" spans="1:32" x14ac:dyDescent="0.25">
      <c r="A15" s="6" t="s">
        <v>54</v>
      </c>
      <c r="B15" s="10"/>
      <c r="C15" s="10"/>
      <c r="D15" s="89">
        <f t="shared" ref="D15:K15" si="15">D11-D14</f>
        <v>-984.26</v>
      </c>
      <c r="E15" s="89">
        <f t="shared" si="15"/>
        <v>1852.1899999999996</v>
      </c>
      <c r="F15" s="89">
        <f t="shared" si="15"/>
        <v>6213.6900000000005</v>
      </c>
      <c r="G15" s="89">
        <f t="shared" si="15"/>
        <v>14003.310000000001</v>
      </c>
      <c r="H15" s="89">
        <f>H11-H14</f>
        <v>28350.039999999997</v>
      </c>
      <c r="I15" s="89">
        <f>I11-I14</f>
        <v>44230.100000000006</v>
      </c>
      <c r="J15" s="89">
        <f t="shared" si="15"/>
        <v>10645.38</v>
      </c>
      <c r="K15" s="89">
        <f t="shared" si="15"/>
        <v>9908.119999999999</v>
      </c>
      <c r="L15" s="89">
        <f>L11-L14</f>
        <v>11523.189999999999</v>
      </c>
      <c r="M15" s="89">
        <f>M11-M14</f>
        <v>11908.96</v>
      </c>
      <c r="N15" s="89">
        <f>N11-N14</f>
        <v>12280.51</v>
      </c>
      <c r="O15" s="89">
        <f>O11-O14</f>
        <v>15056.4</v>
      </c>
      <c r="P15" s="89">
        <f>P11-P14</f>
        <v>15931.1</v>
      </c>
      <c r="Q15" s="11"/>
      <c r="R15" s="42" t="s">
        <v>21</v>
      </c>
      <c r="S15" s="43"/>
      <c r="T15" s="44" t="e">
        <f t="shared" ref="T15:Z15" si="16">(T13-T14)/T13</f>
        <v>#DIV/0!</v>
      </c>
      <c r="U15" s="44" t="e">
        <f t="shared" si="16"/>
        <v>#DIV/0!</v>
      </c>
      <c r="V15" s="44" t="e">
        <f t="shared" si="16"/>
        <v>#DIV/0!</v>
      </c>
      <c r="W15" s="44" t="e">
        <f t="shared" si="16"/>
        <v>#DIV/0!</v>
      </c>
      <c r="X15" s="44">
        <f t="shared" si="16"/>
        <v>1</v>
      </c>
      <c r="Y15" s="44">
        <f t="shared" ref="Y15" si="17">(Y13-Y14)/Y13</f>
        <v>0.72678214341152514</v>
      </c>
      <c r="Z15" s="44" t="e">
        <f t="shared" si="16"/>
        <v>#DIV/0!</v>
      </c>
      <c r="AA15" s="18"/>
      <c r="AB15" s="18"/>
      <c r="AC15" s="18"/>
    </row>
    <row r="16" spans="1:32" x14ac:dyDescent="0.25">
      <c r="A16" s="6" t="s">
        <v>94</v>
      </c>
      <c r="B16" s="10"/>
      <c r="C16" s="10"/>
      <c r="D16" s="89">
        <f t="shared" ref="D16:K16" si="18">D13-D14-D9</f>
        <v>-984.27700000000004</v>
      </c>
      <c r="E16" s="89">
        <f t="shared" si="18"/>
        <v>1648.0099999999995</v>
      </c>
      <c r="F16" s="89">
        <f t="shared" si="18"/>
        <v>2548.8100000000013</v>
      </c>
      <c r="G16" s="89">
        <f t="shared" si="18"/>
        <v>4966.2300000000014</v>
      </c>
      <c r="H16" s="89">
        <f>H13-H14-H9</f>
        <v>8955.3299999999981</v>
      </c>
      <c r="I16" s="89">
        <f>I13-I14-I9</f>
        <v>13471.57</v>
      </c>
      <c r="J16" s="89">
        <f t="shared" si="18"/>
        <v>3384.91</v>
      </c>
      <c r="K16" s="89">
        <f t="shared" si="18"/>
        <v>3098.9799999999987</v>
      </c>
      <c r="L16" s="89">
        <f>L13-L14-L9</f>
        <v>4065.0400000000009</v>
      </c>
      <c r="M16" s="89">
        <f>M13-M14-M9</f>
        <v>2922.6400000000012</v>
      </c>
      <c r="N16" s="89">
        <f>N13-N14-N9</f>
        <v>2962.1899999999987</v>
      </c>
      <c r="O16" s="89">
        <f>O13-O14-O9</f>
        <v>4488.8399999999983</v>
      </c>
      <c r="P16" s="89">
        <f>P13-P14-P9</f>
        <v>3892.8199999999997</v>
      </c>
      <c r="Q16" s="11"/>
      <c r="R16" s="42" t="s">
        <v>22</v>
      </c>
      <c r="S16" s="43"/>
      <c r="T16" s="44" t="e">
        <f t="shared" ref="T16:Y16" si="19">D17/AVERAGE(C23:D23)</f>
        <v>#DIV/0!</v>
      </c>
      <c r="U16" s="44">
        <f t="shared" si="19"/>
        <v>0</v>
      </c>
      <c r="V16" s="44">
        <f t="shared" si="19"/>
        <v>5.5971048571809984E-2</v>
      </c>
      <c r="W16" s="44">
        <f t="shared" si="19"/>
        <v>2.9086175820383708E-2</v>
      </c>
      <c r="X16" s="44">
        <f t="shared" si="19"/>
        <v>1.9943504617281377E-3</v>
      </c>
      <c r="Y16" s="44">
        <f t="shared" si="19"/>
        <v>6.078670555477241E-3</v>
      </c>
      <c r="Z16" s="18"/>
      <c r="AA16" s="18"/>
      <c r="AB16" s="18"/>
      <c r="AC16" s="18"/>
    </row>
    <row r="17" spans="1:29" x14ac:dyDescent="0.25">
      <c r="A17" s="6" t="s">
        <v>27</v>
      </c>
      <c r="B17" s="7"/>
      <c r="C17" s="7"/>
      <c r="D17" s="88"/>
      <c r="E17" s="85"/>
      <c r="F17" s="85">
        <v>3050.32</v>
      </c>
      <c r="G17" s="85">
        <v>4676.2700000000004</v>
      </c>
      <c r="H17" s="85">
        <v>598.76</v>
      </c>
      <c r="I17" s="85">
        <v>2561.19</v>
      </c>
      <c r="J17" s="85">
        <v>1157.0899999999999</v>
      </c>
      <c r="K17" s="85">
        <v>548.57000000000005</v>
      </c>
      <c r="L17" s="85">
        <v>319.88</v>
      </c>
      <c r="M17" s="85">
        <v>535.65</v>
      </c>
      <c r="N17" s="11">
        <v>850.39</v>
      </c>
      <c r="O17" s="11">
        <v>1298.3499999999999</v>
      </c>
      <c r="P17" s="11">
        <v>924.69</v>
      </c>
      <c r="Q17" s="11"/>
      <c r="R17" s="18"/>
      <c r="S17" s="18"/>
      <c r="T17" s="18"/>
      <c r="U17" s="18"/>
      <c r="V17" s="18"/>
      <c r="W17" s="18"/>
      <c r="X17" s="18"/>
      <c r="Y17" s="18"/>
      <c r="Z17" s="18"/>
      <c r="AA17" s="18"/>
      <c r="AB17" s="18"/>
      <c r="AC17" s="18"/>
    </row>
    <row r="18" spans="1:29" x14ac:dyDescent="0.25">
      <c r="A18" s="6" t="s">
        <v>55</v>
      </c>
      <c r="B18" s="7"/>
      <c r="C18" s="7"/>
      <c r="D18" s="88">
        <v>-746.28</v>
      </c>
      <c r="E18" s="85">
        <v>1188.18</v>
      </c>
      <c r="F18" s="89">
        <v>1688.34</v>
      </c>
      <c r="G18" s="89">
        <v>3251.67</v>
      </c>
      <c r="H18" s="89">
        <v>6136.46</v>
      </c>
      <c r="I18" s="89">
        <v>6923.08</v>
      </c>
      <c r="J18" s="89">
        <v>1646.45</v>
      </c>
      <c r="K18" s="89">
        <v>1885.22</v>
      </c>
      <c r="L18" s="89">
        <v>469.7</v>
      </c>
      <c r="M18" s="89">
        <v>2921.71</v>
      </c>
      <c r="N18" s="11">
        <v>2130.96</v>
      </c>
      <c r="O18" s="11">
        <v>3029.09</v>
      </c>
      <c r="P18" s="11">
        <v>2206.98</v>
      </c>
      <c r="Q18" s="11"/>
      <c r="R18" s="40" t="s">
        <v>30</v>
      </c>
      <c r="S18" s="45"/>
      <c r="T18" s="45"/>
      <c r="U18" s="45"/>
      <c r="V18" s="46" t="s">
        <v>5</v>
      </c>
      <c r="W18" s="18"/>
      <c r="X18" s="18"/>
      <c r="Y18" s="18"/>
      <c r="Z18" s="18"/>
      <c r="AA18" s="18"/>
      <c r="AB18" s="18"/>
      <c r="AC18" s="18"/>
    </row>
    <row r="19" spans="1:29" ht="22.5" x14ac:dyDescent="0.25">
      <c r="A19" s="6" t="s">
        <v>28</v>
      </c>
      <c r="B19" s="7"/>
      <c r="C19" s="7"/>
      <c r="D19" s="88">
        <v>1953.71</v>
      </c>
      <c r="E19" s="85">
        <v>53091.9</v>
      </c>
      <c r="F19" s="85">
        <v>67335.16</v>
      </c>
      <c r="G19" s="85">
        <v>83682.5</v>
      </c>
      <c r="H19" s="85">
        <f>104852.96</f>
        <v>104852.96</v>
      </c>
      <c r="I19" s="85">
        <f>117668.44-249.28-893.08</f>
        <v>116526.08</v>
      </c>
      <c r="J19" s="85"/>
      <c r="K19" s="85">
        <v>114194.85</v>
      </c>
      <c r="L19" s="85"/>
      <c r="M19" s="85">
        <f>117668.44-893.08-249.28</f>
        <v>116526.08</v>
      </c>
      <c r="N19" s="11"/>
      <c r="O19" s="11">
        <v>122863.55</v>
      </c>
      <c r="P19" s="11"/>
      <c r="Q19" s="11"/>
      <c r="R19" s="46" t="s">
        <v>95</v>
      </c>
      <c r="S19" s="51"/>
      <c r="T19" s="51"/>
      <c r="U19" s="52">
        <f>E16/AVERAGE(D22:E22)</f>
        <v>5.1889295740900163E-2</v>
      </c>
      <c r="V19" s="52">
        <f>F16/AVERAGE(E22:F22)</f>
        <v>2.573296329891904E-2</v>
      </c>
      <c r="W19" s="52">
        <f>G16/AVERAGE(F22:G22)</f>
        <v>2.4873802352584101E-2</v>
      </c>
      <c r="X19" s="52">
        <f>H16/AVERAGE(G22:H22)</f>
        <v>2.5714895120690154E-2</v>
      </c>
      <c r="Y19" s="52">
        <f>I16/AVERAGE(H22:I22)</f>
        <v>2.7966378034482341E-2</v>
      </c>
      <c r="Z19" s="18"/>
      <c r="AA19" s="18"/>
      <c r="AB19" s="18"/>
      <c r="AC19" s="18"/>
    </row>
    <row r="20" spans="1:29" x14ac:dyDescent="0.25">
      <c r="A20" s="6" t="s">
        <v>56</v>
      </c>
      <c r="B20" s="7"/>
      <c r="C20" s="7"/>
      <c r="D20" s="88">
        <f t="shared" ref="D20:O20" si="20">D19-D71</f>
        <v>1953.71</v>
      </c>
      <c r="E20" s="89">
        <f t="shared" si="20"/>
        <v>53091.9</v>
      </c>
      <c r="F20" s="89">
        <f t="shared" si="20"/>
        <v>67335.16</v>
      </c>
      <c r="G20" s="89">
        <f t="shared" si="20"/>
        <v>83682.5</v>
      </c>
      <c r="H20" s="89">
        <f t="shared" si="20"/>
        <v>104852.96</v>
      </c>
      <c r="I20" s="89">
        <f t="shared" si="20"/>
        <v>116526.08</v>
      </c>
      <c r="J20" s="89">
        <f t="shared" si="20"/>
        <v>0</v>
      </c>
      <c r="K20" s="89">
        <f t="shared" si="20"/>
        <v>114194.85</v>
      </c>
      <c r="L20" s="89">
        <f t="shared" si="20"/>
        <v>0</v>
      </c>
      <c r="M20" s="89">
        <f t="shared" si="20"/>
        <v>116526.08</v>
      </c>
      <c r="N20" s="89">
        <f t="shared" si="20"/>
        <v>0</v>
      </c>
      <c r="O20" s="89">
        <f t="shared" si="20"/>
        <v>122863.55</v>
      </c>
      <c r="P20" s="440"/>
      <c r="Q20" s="11"/>
      <c r="R20" s="42" t="s">
        <v>31</v>
      </c>
      <c r="S20" s="43"/>
      <c r="T20" s="43">
        <v>4.4699999999999997E-2</v>
      </c>
      <c r="U20" s="44">
        <f>E18/AVERAGE(D22:E22)</f>
        <v>3.7411073605999226E-2</v>
      </c>
      <c r="V20" s="44">
        <f>F18/AVERAGE(E22:F22)</f>
        <v>1.7045598242355041E-2</v>
      </c>
      <c r="W20" s="44">
        <f>G18/AVERAGE(F22:G22)</f>
        <v>1.6286276893302792E-2</v>
      </c>
      <c r="X20" s="44">
        <f>H18/AVERAGE(G22:H22)</f>
        <v>1.7620615355582691E-2</v>
      </c>
      <c r="Y20" s="44">
        <f>I18/AVERAGE(H22:I22)</f>
        <v>1.437200507757923E-2</v>
      </c>
      <c r="Z20" s="48"/>
      <c r="AA20" s="18"/>
      <c r="AB20" s="18"/>
      <c r="AC20" s="18"/>
    </row>
    <row r="21" spans="1:29" x14ac:dyDescent="0.25">
      <c r="A21" s="6" t="s">
        <v>57</v>
      </c>
      <c r="B21" s="9"/>
      <c r="C21" s="9"/>
      <c r="D21" s="85"/>
      <c r="E21" s="85">
        <v>5250</v>
      </c>
      <c r="F21" s="85">
        <f>22203.94+44364.85</f>
        <v>66568.789999999994</v>
      </c>
      <c r="G21" s="85">
        <f>56577.25+116773.31</f>
        <v>173350.56</v>
      </c>
      <c r="H21" s="85">
        <f>109742.15+195521.88+6317.82</f>
        <v>311581.85000000003</v>
      </c>
      <c r="I21" s="85">
        <f>125150.32+243153.65</f>
        <v>368303.97</v>
      </c>
      <c r="J21" s="85"/>
      <c r="K21" s="85">
        <f>92709.18+216642.92</f>
        <v>309352.09999999998</v>
      </c>
      <c r="L21" s="85"/>
      <c r="M21" s="85">
        <f>125150.32+243153.65</f>
        <v>368303.97</v>
      </c>
      <c r="N21" s="11"/>
      <c r="O21" s="11">
        <f>146883.47+344640.21</f>
        <v>491523.68000000005</v>
      </c>
      <c r="P21" s="11"/>
      <c r="Q21" s="11"/>
      <c r="R21" s="42" t="s">
        <v>32</v>
      </c>
      <c r="S21" s="43"/>
      <c r="T21" s="44">
        <f t="shared" ref="T21:Y21" si="21">D18/AVERAGE(C19:D19)</f>
        <v>-0.38198094906613567</v>
      </c>
      <c r="U21" s="44">
        <f t="shared" si="21"/>
        <v>4.3170745132990629E-2</v>
      </c>
      <c r="V21" s="44">
        <f t="shared" si="21"/>
        <v>2.8039213113730418E-2</v>
      </c>
      <c r="W21" s="44">
        <f t="shared" si="21"/>
        <v>4.3063440394984269E-2</v>
      </c>
      <c r="X21" s="44">
        <f t="shared" si="21"/>
        <v>6.5096083251394724E-2</v>
      </c>
      <c r="Y21" s="44">
        <f t="shared" si="21"/>
        <v>6.2545035880542263E-2</v>
      </c>
      <c r="Z21" s="18"/>
      <c r="AA21" s="18"/>
      <c r="AB21" s="18"/>
      <c r="AC21" s="18"/>
    </row>
    <row r="22" spans="1:29" x14ac:dyDescent="0.25">
      <c r="A22" s="6" t="s">
        <v>29</v>
      </c>
      <c r="B22" s="7"/>
      <c r="C22" s="7"/>
      <c r="D22" s="88">
        <v>2037.72</v>
      </c>
      <c r="E22" s="85">
        <v>61482.51</v>
      </c>
      <c r="F22" s="85">
        <v>136614.38</v>
      </c>
      <c r="G22" s="85">
        <v>262699.71999999997</v>
      </c>
      <c r="H22" s="85">
        <v>433809.44</v>
      </c>
      <c r="I22" s="85">
        <v>529602.41</v>
      </c>
      <c r="J22" s="85"/>
      <c r="K22" s="85">
        <v>451221.21</v>
      </c>
      <c r="L22" s="85"/>
      <c r="M22" s="85">
        <v>529602.41</v>
      </c>
      <c r="N22" s="11"/>
      <c r="O22" s="11">
        <v>653152.91</v>
      </c>
      <c r="P22" s="11"/>
      <c r="Q22" s="11"/>
      <c r="R22" s="40" t="s">
        <v>33</v>
      </c>
      <c r="S22" s="45"/>
      <c r="T22" s="45"/>
      <c r="U22" s="45"/>
      <c r="V22" s="46" t="s">
        <v>5</v>
      </c>
      <c r="W22" s="18"/>
      <c r="X22" s="18"/>
      <c r="Y22" s="18"/>
      <c r="Z22" s="18"/>
      <c r="AA22" s="18"/>
      <c r="AB22" s="18"/>
      <c r="AC22" s="18"/>
    </row>
    <row r="23" spans="1:29" x14ac:dyDescent="0.25">
      <c r="A23" s="6" t="s">
        <v>58</v>
      </c>
      <c r="B23" s="7"/>
      <c r="C23" s="7"/>
      <c r="D23" s="88"/>
      <c r="E23" s="85">
        <v>18056.560000000001</v>
      </c>
      <c r="F23" s="85">
        <v>90939.79</v>
      </c>
      <c r="G23" s="85">
        <v>230606.09</v>
      </c>
      <c r="H23" s="85">
        <v>369850.06</v>
      </c>
      <c r="I23" s="85">
        <v>472830.91</v>
      </c>
      <c r="J23" s="85"/>
      <c r="K23" s="85">
        <v>394535.11</v>
      </c>
      <c r="L23" s="85"/>
      <c r="M23" s="85">
        <v>470488.06</v>
      </c>
      <c r="N23" s="11"/>
      <c r="O23" s="11">
        <v>541567.28</v>
      </c>
      <c r="P23" s="11"/>
      <c r="Q23" s="11"/>
      <c r="R23" s="42" t="s">
        <v>34</v>
      </c>
      <c r="S23" s="43"/>
      <c r="T23" s="44" t="e">
        <f t="shared" ref="T23:Y23" si="22">D6/AVERAGE(C23:D23)</f>
        <v>#DIV/0!</v>
      </c>
      <c r="U23" s="44">
        <f t="shared" si="22"/>
        <v>0.10910993013065612</v>
      </c>
      <c r="V23" s="44">
        <f t="shared" si="22"/>
        <v>0.12436269654901289</v>
      </c>
      <c r="W23" s="44">
        <f t="shared" si="22"/>
        <v>0.11292882993867004</v>
      </c>
      <c r="X23" s="44">
        <f t="shared" si="22"/>
        <v>0.11054265994277851</v>
      </c>
      <c r="Y23" s="44">
        <f t="shared" si="22"/>
        <v>0.1091947525526772</v>
      </c>
      <c r="Z23" s="18"/>
      <c r="AA23" s="18"/>
      <c r="AB23" s="18"/>
      <c r="AC23" s="18"/>
    </row>
    <row r="24" spans="1:29" x14ac:dyDescent="0.25">
      <c r="A24" s="6" t="s">
        <v>59</v>
      </c>
      <c r="B24" s="10"/>
      <c r="C24" s="10"/>
      <c r="D24" s="89"/>
      <c r="E24" s="89"/>
      <c r="F24" s="89"/>
      <c r="G24" s="89"/>
      <c r="H24" s="89">
        <v>34.54</v>
      </c>
      <c r="I24" s="89">
        <v>1095.17</v>
      </c>
      <c r="J24" s="89"/>
      <c r="K24" s="89"/>
      <c r="L24" s="89"/>
      <c r="M24" s="89"/>
      <c r="N24" s="11"/>
      <c r="O24" s="11"/>
      <c r="P24" s="11"/>
      <c r="Q24" s="11"/>
      <c r="R24" s="42" t="s">
        <v>35</v>
      </c>
      <c r="S24" s="43"/>
      <c r="T24" s="44" t="e">
        <f t="shared" ref="T24:Y24" si="23">D9/AVERAGE(C21:D21)</f>
        <v>#DIV/0!</v>
      </c>
      <c r="U24" s="44">
        <f t="shared" si="23"/>
        <v>3.889142857142857E-2</v>
      </c>
      <c r="V24" s="44">
        <f t="shared" si="23"/>
        <v>0.10495609853633012</v>
      </c>
      <c r="W24" s="44">
        <f t="shared" si="23"/>
        <v>7.647353162635695E-2</v>
      </c>
      <c r="X24" s="44">
        <f t="shared" si="23"/>
        <v>8.0907275304614085E-2</v>
      </c>
      <c r="Y24" s="44">
        <f t="shared" si="23"/>
        <v>9.2569749432338505E-2</v>
      </c>
      <c r="Z24" s="18"/>
      <c r="AA24" s="18"/>
      <c r="AB24" s="18"/>
      <c r="AC24" s="18"/>
    </row>
    <row r="25" spans="1:29" x14ac:dyDescent="0.25">
      <c r="A25" s="6" t="s">
        <v>60</v>
      </c>
      <c r="B25" s="10"/>
      <c r="C25" s="10"/>
      <c r="D25" s="89"/>
      <c r="E25" s="89"/>
      <c r="F25" s="89"/>
      <c r="G25" s="89"/>
      <c r="H25" s="89"/>
      <c r="I25" s="89">
        <v>299.22000000000003</v>
      </c>
      <c r="J25" s="89"/>
      <c r="K25" s="89"/>
      <c r="L25" s="89"/>
      <c r="M25" s="89"/>
      <c r="N25" s="11"/>
      <c r="O25" s="11"/>
      <c r="P25" s="11"/>
      <c r="Q25" s="11"/>
      <c r="R25" s="42" t="s">
        <v>36</v>
      </c>
      <c r="S25" s="43"/>
      <c r="T25" s="48" t="e">
        <f t="shared" ref="T25:Y25" si="24">T23-T24</f>
        <v>#DIV/0!</v>
      </c>
      <c r="U25" s="48">
        <f t="shared" si="24"/>
        <v>7.0218501559227542E-2</v>
      </c>
      <c r="V25" s="48">
        <f t="shared" si="24"/>
        <v>1.9406598012682769E-2</v>
      </c>
      <c r="W25" s="48">
        <f t="shared" si="24"/>
        <v>3.6455298312313089E-2</v>
      </c>
      <c r="X25" s="48">
        <f t="shared" si="24"/>
        <v>2.9635384638164425E-2</v>
      </c>
      <c r="Y25" s="48">
        <f t="shared" si="24"/>
        <v>1.6625003120338697E-2</v>
      </c>
      <c r="Z25" s="18"/>
      <c r="AA25" s="18"/>
      <c r="AB25" s="18"/>
      <c r="AC25" s="18"/>
    </row>
    <row r="27" spans="1:29" ht="15" customHeight="1" x14ac:dyDescent="0.25">
      <c r="B27" s="739" t="s">
        <v>228</v>
      </c>
      <c r="C27" s="739"/>
      <c r="D27" s="739"/>
      <c r="E27" s="739"/>
      <c r="F27" s="739"/>
      <c r="G27" s="739"/>
      <c r="H27" s="739"/>
      <c r="I27" s="739"/>
      <c r="J27" s="739"/>
      <c r="K27" s="739"/>
      <c r="L27" s="739"/>
      <c r="M27" s="739"/>
      <c r="N27" s="739"/>
      <c r="O27" s="442"/>
      <c r="P27" s="442"/>
      <c r="Q27" s="126"/>
    </row>
    <row r="28" spans="1:29" x14ac:dyDescent="0.25">
      <c r="B28" s="739"/>
      <c r="C28" s="739"/>
      <c r="D28" s="739"/>
      <c r="E28" s="739"/>
      <c r="F28" s="739"/>
      <c r="G28" s="739"/>
      <c r="H28" s="739"/>
      <c r="I28" s="739"/>
      <c r="J28" s="739"/>
      <c r="K28" s="739"/>
      <c r="L28" s="739"/>
      <c r="M28" s="739"/>
      <c r="N28" s="739"/>
      <c r="O28" s="442"/>
      <c r="P28" s="442"/>
      <c r="Q28" s="126"/>
    </row>
    <row r="29" spans="1:29" x14ac:dyDescent="0.25">
      <c r="B29" s="739"/>
      <c r="C29" s="739"/>
      <c r="D29" s="739"/>
      <c r="E29" s="739"/>
      <c r="F29" s="739"/>
      <c r="G29" s="739"/>
      <c r="H29" s="739"/>
      <c r="I29" s="739"/>
      <c r="J29" s="739"/>
      <c r="K29" s="739"/>
      <c r="L29" s="739"/>
      <c r="M29" s="739"/>
      <c r="N29" s="739"/>
      <c r="O29" s="442"/>
      <c r="P29" s="442"/>
      <c r="Q29" s="126"/>
    </row>
    <row r="30" spans="1:29" x14ac:dyDescent="0.25">
      <c r="B30" s="739"/>
      <c r="C30" s="739"/>
      <c r="D30" s="739"/>
      <c r="E30" s="739"/>
      <c r="F30" s="739"/>
      <c r="G30" s="739"/>
      <c r="H30" s="739"/>
      <c r="I30" s="739"/>
      <c r="J30" s="739"/>
      <c r="K30" s="739"/>
      <c r="L30" s="739"/>
      <c r="M30" s="739"/>
      <c r="N30" s="739"/>
      <c r="O30" s="442"/>
      <c r="P30" s="442"/>
      <c r="Q30" s="126"/>
    </row>
    <row r="31" spans="1:29" x14ac:dyDescent="0.25">
      <c r="B31" s="739"/>
      <c r="C31" s="739"/>
      <c r="D31" s="739"/>
      <c r="E31" s="739"/>
      <c r="F31" s="739"/>
      <c r="G31" s="739"/>
      <c r="H31" s="739"/>
      <c r="I31" s="739"/>
      <c r="J31" s="739"/>
      <c r="K31" s="739"/>
      <c r="L31" s="739"/>
      <c r="M31" s="739"/>
      <c r="N31" s="739"/>
      <c r="O31" s="442"/>
      <c r="P31" s="442"/>
      <c r="Q31" s="126"/>
    </row>
    <row r="32" spans="1:29" x14ac:dyDescent="0.25">
      <c r="B32" s="739"/>
      <c r="C32" s="739"/>
      <c r="D32" s="739"/>
      <c r="E32" s="739"/>
      <c r="F32" s="739"/>
      <c r="G32" s="739"/>
      <c r="H32" s="739"/>
      <c r="I32" s="739"/>
      <c r="J32" s="739"/>
      <c r="K32" s="739"/>
      <c r="L32" s="739"/>
      <c r="M32" s="739"/>
      <c r="N32" s="739"/>
      <c r="O32" s="442"/>
      <c r="P32" s="442"/>
      <c r="Q32" s="126"/>
    </row>
    <row r="33" spans="1:17" ht="45" customHeight="1" x14ac:dyDescent="0.25">
      <c r="B33" s="126"/>
      <c r="C33" s="773" t="s">
        <v>229</v>
      </c>
      <c r="D33" s="773"/>
      <c r="E33" s="773"/>
      <c r="F33" s="126"/>
      <c r="G33" s="126"/>
      <c r="H33" s="126"/>
      <c r="I33" s="126"/>
      <c r="J33" s="126"/>
      <c r="K33" s="126"/>
      <c r="L33" s="126"/>
      <c r="M33" s="126"/>
      <c r="N33" s="126"/>
      <c r="O33" s="126"/>
      <c r="P33" s="126"/>
      <c r="Q33" s="126"/>
    </row>
    <row r="34" spans="1:17" x14ac:dyDescent="0.25">
      <c r="B34" s="126"/>
      <c r="C34" s="128" t="s">
        <v>114</v>
      </c>
      <c r="D34" s="128" t="s">
        <v>230</v>
      </c>
      <c r="E34" s="128" t="s">
        <v>231</v>
      </c>
      <c r="F34" s="126"/>
      <c r="G34" s="126"/>
      <c r="H34" s="126"/>
      <c r="I34" s="126"/>
      <c r="J34" s="126"/>
      <c r="K34" s="126"/>
      <c r="L34" s="126"/>
      <c r="M34" s="126"/>
      <c r="N34" s="126"/>
      <c r="O34" s="126"/>
      <c r="P34" s="126"/>
      <c r="Q34" s="126"/>
    </row>
    <row r="35" spans="1:17" x14ac:dyDescent="0.25">
      <c r="C35" s="81" t="s">
        <v>234</v>
      </c>
      <c r="D35" s="81">
        <v>529</v>
      </c>
      <c r="E35" s="82">
        <v>0.66200000000000003</v>
      </c>
    </row>
    <row r="36" spans="1:17" x14ac:dyDescent="0.25">
      <c r="C36" s="81" t="s">
        <v>232</v>
      </c>
      <c r="D36" s="81">
        <v>270</v>
      </c>
      <c r="E36" s="82">
        <v>0.33800000000000002</v>
      </c>
    </row>
    <row r="37" spans="1:17" x14ac:dyDescent="0.25">
      <c r="C37" s="81" t="s">
        <v>233</v>
      </c>
      <c r="D37" s="81">
        <v>0.42</v>
      </c>
      <c r="E37" s="82">
        <v>1E-3</v>
      </c>
    </row>
    <row r="38" spans="1:17" x14ac:dyDescent="0.25">
      <c r="C38" s="81" t="s">
        <v>68</v>
      </c>
      <c r="D38" s="81">
        <v>800</v>
      </c>
      <c r="E38" s="81"/>
    </row>
    <row r="39" spans="1:17" ht="15" customHeight="1" x14ac:dyDescent="0.25">
      <c r="A39" s="733" t="s">
        <v>282</v>
      </c>
      <c r="B39" s="733"/>
      <c r="C39" s="733"/>
      <c r="D39" s="733"/>
      <c r="E39" s="733"/>
      <c r="F39" s="733"/>
      <c r="G39" s="733"/>
      <c r="H39" s="733"/>
      <c r="I39" s="733"/>
      <c r="J39" s="733"/>
    </row>
    <row r="40" spans="1:17" x14ac:dyDescent="0.25">
      <c r="A40" s="733"/>
      <c r="B40" s="733"/>
      <c r="C40" s="733"/>
      <c r="D40" s="733"/>
      <c r="E40" s="733"/>
      <c r="F40" s="733"/>
      <c r="G40" s="733"/>
      <c r="H40" s="733"/>
      <c r="I40" s="733"/>
      <c r="J40" s="733"/>
    </row>
    <row r="41" spans="1:17" x14ac:dyDescent="0.25">
      <c r="A41" s="733"/>
      <c r="B41" s="733"/>
      <c r="C41" s="733"/>
      <c r="D41" s="733"/>
      <c r="E41" s="733"/>
      <c r="F41" s="733"/>
      <c r="G41" s="733"/>
      <c r="H41" s="733"/>
      <c r="I41" s="733"/>
      <c r="J41" s="733"/>
    </row>
    <row r="42" spans="1:17" x14ac:dyDescent="0.25">
      <c r="A42" s="733"/>
      <c r="B42" s="733"/>
      <c r="C42" s="733"/>
      <c r="D42" s="733"/>
      <c r="E42" s="733"/>
      <c r="F42" s="733"/>
      <c r="G42" s="733"/>
      <c r="H42" s="733"/>
      <c r="I42" s="733"/>
      <c r="J42" s="733"/>
    </row>
    <row r="43" spans="1:17" x14ac:dyDescent="0.25">
      <c r="A43" s="733"/>
      <c r="B43" s="733"/>
      <c r="C43" s="733"/>
      <c r="D43" s="733"/>
      <c r="E43" s="733"/>
      <c r="F43" s="733"/>
      <c r="G43" s="733"/>
      <c r="H43" s="733"/>
      <c r="I43" s="733"/>
      <c r="J43" s="733"/>
    </row>
    <row r="44" spans="1:17" x14ac:dyDescent="0.25">
      <c r="A44" s="733"/>
      <c r="B44" s="733"/>
      <c r="C44" s="733"/>
      <c r="D44" s="733"/>
      <c r="E44" s="733"/>
      <c r="F44" s="733"/>
      <c r="G44" s="733"/>
      <c r="H44" s="733"/>
      <c r="I44" s="733"/>
      <c r="J44" s="733"/>
    </row>
    <row r="45" spans="1:17" x14ac:dyDescent="0.25">
      <c r="A45" s="733"/>
      <c r="B45" s="733"/>
      <c r="C45" s="733"/>
      <c r="D45" s="733"/>
      <c r="E45" s="733"/>
      <c r="F45" s="733"/>
      <c r="G45" s="733"/>
      <c r="H45" s="733"/>
      <c r="I45" s="733"/>
      <c r="J45" s="733"/>
    </row>
    <row r="46" spans="1:17" x14ac:dyDescent="0.25">
      <c r="A46" s="733"/>
      <c r="B46" s="733"/>
      <c r="C46" s="733"/>
      <c r="D46" s="733"/>
      <c r="E46" s="733"/>
      <c r="F46" s="733"/>
      <c r="G46" s="733"/>
      <c r="H46" s="733"/>
      <c r="I46" s="733"/>
      <c r="J46" s="733"/>
    </row>
    <row r="47" spans="1:17" x14ac:dyDescent="0.25">
      <c r="A47" s="733"/>
      <c r="B47" s="733"/>
      <c r="C47" s="733"/>
      <c r="D47" s="733"/>
      <c r="E47" s="733"/>
      <c r="F47" s="733"/>
      <c r="G47" s="733"/>
      <c r="H47" s="733"/>
      <c r="I47" s="733"/>
      <c r="J47" s="733"/>
    </row>
    <row r="48" spans="1:17" x14ac:dyDescent="0.25">
      <c r="A48" s="733"/>
      <c r="B48" s="733"/>
      <c r="C48" s="733"/>
      <c r="D48" s="733"/>
      <c r="E48" s="733"/>
      <c r="F48" s="733"/>
      <c r="G48" s="733"/>
      <c r="H48" s="733"/>
      <c r="I48" s="733"/>
      <c r="J48" s="733"/>
    </row>
    <row r="49" spans="1:10" x14ac:dyDescent="0.25">
      <c r="A49" s="733"/>
      <c r="B49" s="733"/>
      <c r="C49" s="733"/>
      <c r="D49" s="733"/>
      <c r="E49" s="733"/>
      <c r="F49" s="733"/>
      <c r="G49" s="733"/>
      <c r="H49" s="733"/>
      <c r="I49" s="733"/>
      <c r="J49" s="733"/>
    </row>
    <row r="50" spans="1:10" x14ac:dyDescent="0.25">
      <c r="A50" s="733"/>
      <c r="B50" s="733"/>
      <c r="C50" s="733"/>
      <c r="D50" s="733"/>
      <c r="E50" s="733"/>
      <c r="F50" s="733"/>
      <c r="G50" s="733"/>
      <c r="H50" s="733"/>
      <c r="I50" s="733"/>
      <c r="J50" s="733"/>
    </row>
    <row r="51" spans="1:10" x14ac:dyDescent="0.25">
      <c r="A51" s="733"/>
      <c r="B51" s="733"/>
      <c r="C51" s="733"/>
      <c r="D51" s="733"/>
      <c r="E51" s="733"/>
      <c r="F51" s="733"/>
      <c r="G51" s="733"/>
      <c r="H51" s="733"/>
      <c r="I51" s="733"/>
      <c r="J51" s="733"/>
    </row>
    <row r="52" spans="1:10" x14ac:dyDescent="0.25">
      <c r="A52" s="733"/>
      <c r="B52" s="733"/>
      <c r="C52" s="733"/>
      <c r="D52" s="733"/>
      <c r="E52" s="733"/>
      <c r="F52" s="733"/>
      <c r="G52" s="733"/>
      <c r="H52" s="733"/>
      <c r="I52" s="733"/>
      <c r="J52" s="733"/>
    </row>
    <row r="53" spans="1:10" x14ac:dyDescent="0.25">
      <c r="A53" s="733"/>
      <c r="B53" s="733"/>
      <c r="C53" s="733"/>
      <c r="D53" s="733"/>
      <c r="E53" s="733"/>
      <c r="F53" s="733"/>
      <c r="G53" s="733"/>
      <c r="H53" s="733"/>
      <c r="I53" s="733"/>
      <c r="J53" s="733"/>
    </row>
    <row r="54" spans="1:10" x14ac:dyDescent="0.25">
      <c r="A54" s="733"/>
      <c r="B54" s="733"/>
      <c r="C54" s="733"/>
      <c r="D54" s="733"/>
      <c r="E54" s="733"/>
      <c r="F54" s="733"/>
      <c r="G54" s="733"/>
      <c r="H54" s="733"/>
      <c r="I54" s="733"/>
      <c r="J54" s="733"/>
    </row>
    <row r="55" spans="1:10" x14ac:dyDescent="0.25">
      <c r="A55" s="733"/>
      <c r="B55" s="733"/>
      <c r="C55" s="733"/>
      <c r="D55" s="733"/>
      <c r="E55" s="733"/>
      <c r="F55" s="733"/>
      <c r="G55" s="733"/>
      <c r="H55" s="733"/>
      <c r="I55" s="733"/>
      <c r="J55" s="733"/>
    </row>
    <row r="56" spans="1:10" x14ac:dyDescent="0.25">
      <c r="A56" s="126"/>
      <c r="B56" s="126"/>
      <c r="C56" s="126"/>
      <c r="D56" s="126"/>
      <c r="E56" s="126"/>
      <c r="F56" s="126"/>
      <c r="G56" s="126"/>
      <c r="H56" s="126"/>
      <c r="I56" s="126"/>
      <c r="J56" s="126"/>
    </row>
    <row r="57" spans="1:10" x14ac:dyDescent="0.25">
      <c r="A57" s="126"/>
      <c r="B57" s="126"/>
      <c r="C57" s="126"/>
      <c r="D57" s="126"/>
      <c r="E57" s="126"/>
      <c r="F57" s="126"/>
      <c r="G57" s="126"/>
      <c r="H57" s="126"/>
      <c r="I57" s="126"/>
      <c r="J57" s="126"/>
    </row>
  </sheetData>
  <mergeCells count="5">
    <mergeCell ref="A39:J55"/>
    <mergeCell ref="A2:A4"/>
    <mergeCell ref="K1:M1"/>
    <mergeCell ref="B27:N32"/>
    <mergeCell ref="C33:E3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39"/>
  <sheetViews>
    <sheetView topLeftCell="S6" workbookViewId="0">
      <selection activeCell="AG3" sqref="AG3:AH3"/>
    </sheetView>
  </sheetViews>
  <sheetFormatPr defaultRowHeight="15" x14ac:dyDescent="0.25"/>
  <cols>
    <col min="1" max="1" width="32.7109375" customWidth="1"/>
    <col min="4" max="4" width="14.42578125" customWidth="1"/>
    <col min="5" max="5" width="14" customWidth="1"/>
    <col min="6" max="6" width="11.5703125" customWidth="1"/>
    <col min="7" max="7" width="13.42578125" customWidth="1"/>
    <col min="8" max="8" width="10.140625" bestFit="1" customWidth="1"/>
    <col min="9" max="9" width="10.140625" customWidth="1"/>
    <col min="10" max="14" width="10.140625" bestFit="1" customWidth="1"/>
    <col min="15" max="17" width="10.140625" customWidth="1"/>
    <col min="18" max="18" width="28" customWidth="1"/>
    <col min="19" max="19" width="30.42578125" customWidth="1"/>
    <col min="20" max="20" width="13.28515625" customWidth="1"/>
    <col min="21" max="21" width="13.5703125" customWidth="1"/>
    <col min="22" max="22" width="12" customWidth="1"/>
    <col min="23" max="26" width="15.42578125" customWidth="1"/>
    <col min="34" max="34" width="12.570312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J1" s="772" t="s">
        <v>113</v>
      </c>
      <c r="K1" s="772"/>
      <c r="L1" s="772"/>
    </row>
    <row r="2" spans="1:44"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647</v>
      </c>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F2" s="441" t="s">
        <v>683</v>
      </c>
      <c r="AG2" s="443"/>
      <c r="AH2" s="443"/>
      <c r="AL2" s="403"/>
      <c r="AM2" s="403"/>
      <c r="AN2" s="403"/>
      <c r="AO2" s="403"/>
      <c r="AP2" s="403"/>
    </row>
    <row r="3" spans="1:44"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8.643255895123185E-2</v>
      </c>
      <c r="V3" s="44">
        <f t="shared" si="0"/>
        <v>9.8088298707841234E-2</v>
      </c>
      <c r="W3" s="44">
        <f t="shared" si="0"/>
        <v>0.11044957815035285</v>
      </c>
      <c r="X3" s="44">
        <f t="shared" si="0"/>
        <v>0.12159259220569724</v>
      </c>
      <c r="Y3" s="44">
        <f t="shared" si="0"/>
        <v>0.12056990226469966</v>
      </c>
      <c r="Z3" s="44">
        <f t="shared" si="0"/>
        <v>0.10915304864269992</v>
      </c>
      <c r="AA3" s="44">
        <f t="shared" ref="AA3:AH3" si="1">(J10*4)/J23</f>
        <v>0.11247729242140447</v>
      </c>
      <c r="AB3" s="44">
        <f t="shared" si="1"/>
        <v>0.11313784256748816</v>
      </c>
      <c r="AC3" s="44">
        <f t="shared" si="1"/>
        <v>0.11698011327879169</v>
      </c>
      <c r="AD3" s="44">
        <f t="shared" si="1"/>
        <v>0.1117347071756906</v>
      </c>
      <c r="AE3" s="44">
        <f t="shared" si="1"/>
        <v>0.11852421312259104</v>
      </c>
      <c r="AF3" s="44">
        <f t="shared" si="1"/>
        <v>0.11118802650886773</v>
      </c>
      <c r="AG3" s="44">
        <f t="shared" si="1"/>
        <v>0.10978623418868</v>
      </c>
      <c r="AH3" s="44">
        <f t="shared" si="1"/>
        <v>0.10707014924183735</v>
      </c>
      <c r="AJ3" s="741" t="s">
        <v>624</v>
      </c>
      <c r="AK3" s="742"/>
      <c r="AL3" s="404" t="s">
        <v>625</v>
      </c>
      <c r="AM3" s="404" t="s">
        <v>626</v>
      </c>
      <c r="AN3" s="404" t="s">
        <v>627</v>
      </c>
      <c r="AO3" s="404" t="s">
        <v>628</v>
      </c>
      <c r="AP3" s="404" t="s">
        <v>629</v>
      </c>
      <c r="AQ3" s="404" t="s">
        <v>630</v>
      </c>
      <c r="AR3" s="404" t="s">
        <v>631</v>
      </c>
    </row>
    <row r="4" spans="1:44"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D5">
        <v>29811.15</v>
      </c>
      <c r="E5">
        <v>41562.339999999997</v>
      </c>
      <c r="F5" s="85">
        <v>53466.16</v>
      </c>
      <c r="G5" s="90">
        <v>67896.83</v>
      </c>
      <c r="H5" s="90">
        <v>92874.91</v>
      </c>
      <c r="I5" s="90">
        <v>108783.16</v>
      </c>
      <c r="J5" s="85">
        <v>25453.79</v>
      </c>
      <c r="K5" s="85">
        <v>26856.62</v>
      </c>
      <c r="L5" s="85">
        <v>27640.15</v>
      </c>
      <c r="M5" s="85">
        <v>28832.6</v>
      </c>
      <c r="N5" s="11">
        <v>25392.42</v>
      </c>
      <c r="O5" s="11">
        <v>29897.25</v>
      </c>
      <c r="P5" s="11">
        <v>31362.77</v>
      </c>
      <c r="Q5" s="11">
        <v>32907.15</v>
      </c>
      <c r="R5" s="11"/>
      <c r="S5" s="42" t="s">
        <v>13</v>
      </c>
      <c r="T5" s="46"/>
      <c r="U5" s="47">
        <f t="shared" ref="U5:Z5" si="2">D21/D20</f>
        <v>2.2526688454344947</v>
      </c>
      <c r="V5" s="47">
        <f t="shared" si="2"/>
        <v>1.0958736156794231</v>
      </c>
      <c r="W5" s="47">
        <f t="shared" si="2"/>
        <v>1.1498407722378572</v>
      </c>
      <c r="X5" s="47">
        <f t="shared" si="2"/>
        <v>0.84844894362607182</v>
      </c>
      <c r="Y5" s="47">
        <f t="shared" si="2"/>
        <v>1.1158753917968487</v>
      </c>
      <c r="Z5" s="47">
        <f t="shared" si="2"/>
        <v>1.1752232470596855</v>
      </c>
      <c r="AA5" s="47"/>
      <c r="AB5" s="47">
        <f>K21/K20</f>
        <v>1.1119842586102298</v>
      </c>
      <c r="AC5" s="47"/>
      <c r="AD5" s="47">
        <f>M21/M20</f>
        <v>1.1672826228409514</v>
      </c>
      <c r="AE5" s="47">
        <f>N21/N20</f>
        <v>1.1158753917968487</v>
      </c>
      <c r="AF5" s="47"/>
      <c r="AG5" s="47">
        <f>P21/P20</f>
        <v>1.340198788836044</v>
      </c>
      <c r="AH5" s="461"/>
      <c r="AJ5" s="406" t="s">
        <v>632</v>
      </c>
      <c r="AK5" s="406" t="s">
        <v>557</v>
      </c>
      <c r="AL5" s="745" t="s">
        <v>633</v>
      </c>
      <c r="AM5" s="745"/>
      <c r="AN5" s="745"/>
      <c r="AO5" s="745"/>
      <c r="AP5" s="745"/>
      <c r="AQ5" s="745"/>
      <c r="AR5" s="745"/>
    </row>
    <row r="6" spans="1:44" x14ac:dyDescent="0.25">
      <c r="A6" s="6" t="s">
        <v>50</v>
      </c>
      <c r="B6" s="7"/>
      <c r="C6" s="8"/>
      <c r="D6">
        <v>28976.27</v>
      </c>
      <c r="E6">
        <v>40511.11</v>
      </c>
      <c r="F6" s="85">
        <v>52408.4</v>
      </c>
      <c r="G6" s="85">
        <v>65934.210000000006</v>
      </c>
      <c r="H6" s="85">
        <v>87175.44</v>
      </c>
      <c r="I6" s="85">
        <v>103000.31</v>
      </c>
      <c r="J6" s="85">
        <v>24759.91</v>
      </c>
      <c r="K6" s="85">
        <v>26138.2</v>
      </c>
      <c r="L6" s="85">
        <v>26658.07</v>
      </c>
      <c r="M6" s="85">
        <v>27727.45</v>
      </c>
      <c r="N6" s="85">
        <v>24741.11</v>
      </c>
      <c r="O6" s="439">
        <v>28845.74</v>
      </c>
      <c r="P6" s="439">
        <v>30183.19</v>
      </c>
      <c r="Q6" s="439">
        <v>31751.759999999998</v>
      </c>
      <c r="R6" s="11"/>
      <c r="S6" s="42" t="s">
        <v>14</v>
      </c>
      <c r="T6" s="43"/>
      <c r="U6" s="43">
        <v>0.43640000000000001</v>
      </c>
      <c r="V6" s="43">
        <v>0.82499999999999996</v>
      </c>
      <c r="W6" s="43">
        <v>0.73629999999999995</v>
      </c>
      <c r="X6" s="48">
        <v>0.85609999999999997</v>
      </c>
      <c r="Y6" s="48">
        <v>0.77380000000000004</v>
      </c>
      <c r="Z6" s="48">
        <v>0.73029999999999995</v>
      </c>
      <c r="AA6" s="48"/>
      <c r="AB6" s="18"/>
      <c r="AC6" s="18">
        <v>70.45</v>
      </c>
      <c r="AD6" s="48">
        <v>0.66759999999999997</v>
      </c>
      <c r="AF6" s="80">
        <v>0.71809999999999996</v>
      </c>
      <c r="AG6" s="80">
        <v>0.70230000000000004</v>
      </c>
      <c r="AH6" s="80">
        <v>0.65</v>
      </c>
      <c r="AJ6" s="392">
        <v>1</v>
      </c>
      <c r="AK6" s="108" t="s">
        <v>646</v>
      </c>
      <c r="AL6" s="418">
        <v>0.11169999999999999</v>
      </c>
      <c r="AM6" s="418">
        <v>0.11700000000000001</v>
      </c>
      <c r="AN6" s="81"/>
      <c r="AO6" s="81"/>
      <c r="AP6" s="417">
        <v>0.11849999999999999</v>
      </c>
      <c r="AQ6" s="417">
        <v>0.1133</v>
      </c>
      <c r="AR6" s="417">
        <v>0.1206</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f t="shared" ref="U7:Z7" si="3">D20/D23</f>
        <v>0.33470776730990998</v>
      </c>
      <c r="V7" s="44">
        <f t="shared" si="3"/>
        <v>0.60748399926654206</v>
      </c>
      <c r="W7" s="44">
        <f t="shared" si="3"/>
        <v>0.54905387379051329</v>
      </c>
      <c r="X7" s="44">
        <f t="shared" si="3"/>
        <v>0.62108257476513173</v>
      </c>
      <c r="Y7" s="44">
        <f t="shared" si="3"/>
        <v>0.51945622755637877</v>
      </c>
      <c r="Z7" s="44">
        <f t="shared" si="3"/>
        <v>0.48598319578874782</v>
      </c>
      <c r="AA7" s="18"/>
      <c r="AB7" s="18"/>
      <c r="AC7" s="18"/>
      <c r="AD7" s="18"/>
      <c r="AJ7" s="392">
        <v>2</v>
      </c>
      <c r="AK7" s="108" t="s">
        <v>634</v>
      </c>
      <c r="AL7" s="410">
        <v>122.24</v>
      </c>
      <c r="AM7" s="410">
        <v>120.79</v>
      </c>
      <c r="AN7" s="410">
        <v>118.67</v>
      </c>
      <c r="AO7" s="410">
        <v>118.92</v>
      </c>
      <c r="AP7" s="81"/>
      <c r="AQ7" s="411">
        <v>480.61</v>
      </c>
      <c r="AR7" s="412">
        <v>424.58</v>
      </c>
    </row>
    <row r="8" spans="1:44" x14ac:dyDescent="0.25">
      <c r="A8" s="6" t="s">
        <v>52</v>
      </c>
      <c r="B8" s="7"/>
      <c r="C8" s="8"/>
      <c r="D8" s="85">
        <f t="shared" ref="D8:Q8" si="4">D5-D6-D7</f>
        <v>834.88000000000102</v>
      </c>
      <c r="E8" s="85">
        <f t="shared" si="4"/>
        <v>1051.2299999999959</v>
      </c>
      <c r="F8" s="85">
        <f t="shared" si="4"/>
        <v>1057.760000000002</v>
      </c>
      <c r="G8" s="85">
        <f t="shared" si="4"/>
        <v>1962.6199999999953</v>
      </c>
      <c r="H8" s="85">
        <f t="shared" si="4"/>
        <v>5699.4700000000012</v>
      </c>
      <c r="I8" s="85">
        <f t="shared" si="4"/>
        <v>5782.8500000000058</v>
      </c>
      <c r="J8" s="85">
        <f t="shared" si="4"/>
        <v>693.88000000000102</v>
      </c>
      <c r="K8" s="85">
        <f t="shared" si="4"/>
        <v>718.41999999999825</v>
      </c>
      <c r="L8" s="85">
        <f t="shared" si="4"/>
        <v>982.08000000000175</v>
      </c>
      <c r="M8" s="85">
        <f t="shared" si="4"/>
        <v>1105.1499999999978</v>
      </c>
      <c r="N8" s="85">
        <f t="shared" si="4"/>
        <v>651.30999999999767</v>
      </c>
      <c r="O8" s="85">
        <f t="shared" si="4"/>
        <v>1051.5099999999984</v>
      </c>
      <c r="P8" s="85">
        <f t="shared" si="4"/>
        <v>1179.5800000000017</v>
      </c>
      <c r="Q8" s="85">
        <f t="shared" si="4"/>
        <v>1155.3900000000031</v>
      </c>
      <c r="R8" s="11"/>
      <c r="S8" s="40" t="s">
        <v>16</v>
      </c>
      <c r="T8" s="45"/>
      <c r="U8" s="45"/>
      <c r="V8" s="45"/>
      <c r="W8" s="46" t="s">
        <v>5</v>
      </c>
      <c r="X8" s="18"/>
      <c r="Y8" s="18"/>
      <c r="Z8" s="18"/>
      <c r="AA8" s="18"/>
      <c r="AB8" s="18"/>
      <c r="AC8" s="18"/>
      <c r="AD8" s="18"/>
      <c r="AJ8" s="392">
        <v>3</v>
      </c>
      <c r="AK8" s="108" t="s">
        <v>635</v>
      </c>
      <c r="AL8" s="417">
        <v>1.0699999999999999E-2</v>
      </c>
      <c r="AM8" s="417">
        <v>1.1900000000000001E-2</v>
      </c>
      <c r="AN8" s="81"/>
      <c r="AO8" s="81"/>
      <c r="AP8" s="417">
        <v>1.15E-2</v>
      </c>
      <c r="AQ8" s="417">
        <v>1.0699999999999999E-2</v>
      </c>
      <c r="AR8" s="417">
        <v>1.15E-2</v>
      </c>
    </row>
    <row r="9" spans="1:44" ht="33.75" x14ac:dyDescent="0.25">
      <c r="A9" s="6" t="s">
        <v>24</v>
      </c>
      <c r="B9" s="7"/>
      <c r="C9" s="7"/>
      <c r="D9" s="88">
        <v>11186.05</v>
      </c>
      <c r="E9" s="85">
        <v>16936.07</v>
      </c>
      <c r="F9" s="85">
        <v>18208.21</v>
      </c>
      <c r="G9" s="85">
        <v>17919.560000000001</v>
      </c>
      <c r="H9" s="85">
        <v>24228.3</v>
      </c>
      <c r="I9" s="85">
        <v>32305.34</v>
      </c>
      <c r="J9" s="85">
        <v>7600</v>
      </c>
      <c r="K9" s="85">
        <v>8166.76</v>
      </c>
      <c r="L9" s="85">
        <v>8069.93</v>
      </c>
      <c r="M9" s="85">
        <v>8468.65</v>
      </c>
      <c r="N9" s="11">
        <v>6997.28</v>
      </c>
      <c r="O9" s="11">
        <v>9107.0300000000007</v>
      </c>
      <c r="P9" s="11">
        <v>9652.5</v>
      </c>
      <c r="Q9" s="11">
        <v>10825.36</v>
      </c>
      <c r="R9" s="11"/>
      <c r="S9" s="49" t="s">
        <v>93</v>
      </c>
      <c r="T9" s="45"/>
      <c r="U9" s="50">
        <f t="shared" ref="U9:Z9" si="5">D14/(D11-D9)</f>
        <v>0.32953487498053691</v>
      </c>
      <c r="V9" s="50">
        <f t="shared" si="5"/>
        <v>0.30683047006306685</v>
      </c>
      <c r="W9" s="50">
        <f t="shared" si="5"/>
        <v>0.24300873987285135</v>
      </c>
      <c r="X9" s="50">
        <f t="shared" si="5"/>
        <v>0.19601891019657533</v>
      </c>
      <c r="Y9" s="50">
        <f t="shared" si="5"/>
        <v>0.20692267251070373</v>
      </c>
      <c r="Z9" s="50">
        <f t="shared" si="5"/>
        <v>0.21000310939825428</v>
      </c>
      <c r="AA9" s="18"/>
      <c r="AB9" s="18"/>
      <c r="AC9" s="18"/>
      <c r="AD9" s="18"/>
      <c r="AJ9" s="392">
        <v>4</v>
      </c>
      <c r="AK9" s="108" t="s">
        <v>636</v>
      </c>
      <c r="AL9" s="417">
        <v>8.0000000000000002E-3</v>
      </c>
      <c r="AM9" s="417">
        <v>8.8999999999999999E-3</v>
      </c>
      <c r="AN9" s="81"/>
      <c r="AO9" s="81"/>
      <c r="AP9" s="417">
        <v>8.6E-3</v>
      </c>
      <c r="AQ9" s="417">
        <v>8.0000000000000002E-3</v>
      </c>
      <c r="AR9" s="417">
        <v>8.6E-3</v>
      </c>
    </row>
    <row r="10" spans="1:44" ht="22.5" x14ac:dyDescent="0.25">
      <c r="A10" s="6" t="s">
        <v>53</v>
      </c>
      <c r="B10" s="10">
        <f t="shared" ref="B10:K10" si="6">B6-B9</f>
        <v>0</v>
      </c>
      <c r="C10" s="10">
        <f t="shared" si="6"/>
        <v>0</v>
      </c>
      <c r="D10" s="89">
        <f t="shared" si="6"/>
        <v>17790.22</v>
      </c>
      <c r="E10" s="89">
        <f t="shared" si="6"/>
        <v>23575.040000000001</v>
      </c>
      <c r="F10" s="89">
        <f t="shared" si="6"/>
        <v>34200.19</v>
      </c>
      <c r="G10" s="89">
        <f t="shared" si="6"/>
        <v>48014.650000000009</v>
      </c>
      <c r="H10" s="89">
        <f>H6-H9</f>
        <v>62947.14</v>
      </c>
      <c r="I10" s="89">
        <f>I6-I9</f>
        <v>70694.97</v>
      </c>
      <c r="J10" s="89">
        <f t="shared" si="6"/>
        <v>17159.91</v>
      </c>
      <c r="K10" s="89">
        <f t="shared" si="6"/>
        <v>17971.440000000002</v>
      </c>
      <c r="L10" s="89">
        <f t="shared" ref="L10:Q10" si="7">L6-L9</f>
        <v>18588.14</v>
      </c>
      <c r="M10" s="89">
        <f t="shared" si="7"/>
        <v>19258.800000000003</v>
      </c>
      <c r="N10" s="89">
        <f t="shared" si="7"/>
        <v>17743.830000000002</v>
      </c>
      <c r="O10" s="89">
        <f t="shared" si="7"/>
        <v>19738.71</v>
      </c>
      <c r="P10" s="89">
        <f t="shared" si="7"/>
        <v>20530.689999999999</v>
      </c>
      <c r="Q10" s="89">
        <f t="shared" si="7"/>
        <v>20926.399999999998</v>
      </c>
      <c r="R10" s="11"/>
      <c r="S10" s="42" t="s">
        <v>92</v>
      </c>
      <c r="T10" s="43"/>
      <c r="U10" s="44">
        <f t="shared" ref="U10:Z10" si="8">D14/D11</f>
        <v>0.20588336914208269</v>
      </c>
      <c r="V10" s="44">
        <f t="shared" si="8"/>
        <v>0.18180136152103082</v>
      </c>
      <c r="W10" s="44">
        <f t="shared" si="8"/>
        <v>0.16025070811144843</v>
      </c>
      <c r="X10" s="44">
        <f t="shared" si="8"/>
        <v>0.14428493937051257</v>
      </c>
      <c r="Y10" s="44">
        <f t="shared" si="8"/>
        <v>0.15294270540881277</v>
      </c>
      <c r="Z10" s="44">
        <f t="shared" si="8"/>
        <v>0.14763847639653049</v>
      </c>
      <c r="AA10" s="18"/>
      <c r="AB10" s="18"/>
      <c r="AC10" s="18"/>
      <c r="AD10" s="18"/>
      <c r="AJ10" s="392">
        <v>5</v>
      </c>
      <c r="AK10" s="108" t="s">
        <v>637</v>
      </c>
      <c r="AL10" s="417">
        <v>4.4999999999999997E-3</v>
      </c>
      <c r="AM10" s="417">
        <v>4.1999999999999997E-3</v>
      </c>
      <c r="AN10" s="81"/>
      <c r="AO10" s="81"/>
      <c r="AP10" s="417">
        <v>7.9000000000000008E-3</v>
      </c>
      <c r="AQ10" s="417">
        <v>3.5000000000000001E-3</v>
      </c>
      <c r="AR10" s="417">
        <v>5.4000000000000003E-3</v>
      </c>
    </row>
    <row r="11" spans="1:44" ht="30" x14ac:dyDescent="0.25">
      <c r="A11" s="6" t="s">
        <v>1</v>
      </c>
      <c r="B11" s="10">
        <f>B5-B9</f>
        <v>0</v>
      </c>
      <c r="C11" s="10">
        <f t="shared" ref="C11:K11" si="9">SUM(C6:C8)</f>
        <v>0</v>
      </c>
      <c r="D11" s="89">
        <f t="shared" si="9"/>
        <v>29811.15</v>
      </c>
      <c r="E11" s="89">
        <f t="shared" si="9"/>
        <v>41562.339999999997</v>
      </c>
      <c r="F11" s="89">
        <f>SUM(F6:F8)</f>
        <v>53466.16</v>
      </c>
      <c r="G11" s="89">
        <f>SUM(G6:G8)</f>
        <v>67896.83</v>
      </c>
      <c r="H11" s="89">
        <f>SUM(H6:H8)</f>
        <v>92874.91</v>
      </c>
      <c r="I11" s="89">
        <f>SUM(I6:I8)</f>
        <v>108783.16</v>
      </c>
      <c r="J11" s="89">
        <f t="shared" si="9"/>
        <v>25453.79</v>
      </c>
      <c r="K11" s="89">
        <f t="shared" si="9"/>
        <v>26856.62</v>
      </c>
      <c r="L11" s="89">
        <f t="shared" ref="L11:Q11" si="10">SUM(L6:L8)</f>
        <v>27640.15</v>
      </c>
      <c r="M11" s="89">
        <f t="shared" si="10"/>
        <v>28832.6</v>
      </c>
      <c r="N11" s="89">
        <f t="shared" si="10"/>
        <v>25392.42</v>
      </c>
      <c r="O11" s="89">
        <f t="shared" si="10"/>
        <v>29897.25</v>
      </c>
      <c r="P11" s="89">
        <f t="shared" si="10"/>
        <v>31362.77</v>
      </c>
      <c r="Q11" s="89">
        <f t="shared" si="10"/>
        <v>32907.15</v>
      </c>
      <c r="R11" s="11"/>
      <c r="S11" s="42" t="s">
        <v>17</v>
      </c>
      <c r="T11" s="43"/>
      <c r="U11" s="44">
        <f t="shared" ref="U11:Z11" si="11">D14/AVERAGE(C22:D22)</f>
        <v>2.7125148058427594E-2</v>
      </c>
      <c r="V11" s="44">
        <f t="shared" si="11"/>
        <v>2.6154400505082671E-2</v>
      </c>
      <c r="W11" s="44">
        <f t="shared" si="11"/>
        <v>2.253368935797544E-2</v>
      </c>
      <c r="X11" s="44">
        <f t="shared" si="11"/>
        <v>2.120504544446207E-2</v>
      </c>
      <c r="Y11" s="44">
        <f t="shared" si="11"/>
        <v>2.4117799869262178E-2</v>
      </c>
      <c r="Z11" s="44">
        <f t="shared" si="11"/>
        <v>2.2838497142937505E-2</v>
      </c>
      <c r="AA11" s="18"/>
      <c r="AB11" s="18"/>
      <c r="AC11" s="18"/>
      <c r="AD11" s="18"/>
      <c r="AJ11" s="392">
        <v>6</v>
      </c>
      <c r="AK11" s="413" t="s">
        <v>638</v>
      </c>
      <c r="AL11" s="410">
        <v>1060</v>
      </c>
      <c r="AM11" s="81"/>
      <c r="AN11" s="81"/>
      <c r="AO11" s="81"/>
      <c r="AP11" s="81"/>
      <c r="AQ11" s="408"/>
      <c r="AR11" s="408"/>
    </row>
    <row r="12" spans="1:44" ht="30" x14ac:dyDescent="0.25">
      <c r="A12" s="6" t="s">
        <v>91</v>
      </c>
      <c r="B12" s="10"/>
      <c r="C12" s="10"/>
      <c r="D12" s="89">
        <v>1637.22</v>
      </c>
      <c r="E12" s="89">
        <v>3942.02</v>
      </c>
      <c r="F12" s="89">
        <v>1688.07</v>
      </c>
      <c r="G12" s="89">
        <v>2391.27</v>
      </c>
      <c r="H12" s="89">
        <v>3079.05</v>
      </c>
      <c r="I12" s="89">
        <v>3481.35</v>
      </c>
      <c r="J12" s="89">
        <v>472.61</v>
      </c>
      <c r="K12" s="89">
        <v>724.07</v>
      </c>
      <c r="L12" s="89">
        <v>824.22</v>
      </c>
      <c r="M12" s="89">
        <v>1182.8399999999999</v>
      </c>
      <c r="N12" s="11">
        <v>850.89</v>
      </c>
      <c r="O12" s="11">
        <v>746.04</v>
      </c>
      <c r="P12" s="11">
        <v>932.42</v>
      </c>
      <c r="Q12" s="11">
        <v>878.53</v>
      </c>
      <c r="R12" s="11"/>
      <c r="S12" s="40" t="s">
        <v>18</v>
      </c>
      <c r="T12" s="45"/>
      <c r="U12" s="45"/>
      <c r="V12" s="45"/>
      <c r="W12" s="46" t="s">
        <v>5</v>
      </c>
      <c r="X12" s="18"/>
      <c r="Y12" s="18"/>
      <c r="Z12" s="18"/>
      <c r="AA12" s="18"/>
      <c r="AB12" s="18"/>
      <c r="AC12" s="53"/>
      <c r="AD12" s="54"/>
      <c r="AJ12" s="392">
        <v>7</v>
      </c>
      <c r="AK12" s="413" t="s">
        <v>639</v>
      </c>
      <c r="AL12" s="410">
        <v>439</v>
      </c>
      <c r="AM12" s="81"/>
      <c r="AN12" s="81"/>
      <c r="AO12" s="81"/>
      <c r="AP12" s="81"/>
      <c r="AQ12" s="408"/>
      <c r="AR12" s="408"/>
    </row>
    <row r="13" spans="1:44" x14ac:dyDescent="0.25">
      <c r="A13" s="6" t="s">
        <v>25</v>
      </c>
      <c r="B13" s="7"/>
      <c r="C13" s="7"/>
      <c r="D13" s="88">
        <f t="shared" ref="D13:Q13" si="12">D11+D12</f>
        <v>31448.370000000003</v>
      </c>
      <c r="E13" s="88">
        <f t="shared" si="12"/>
        <v>45504.359999999993</v>
      </c>
      <c r="F13" s="88">
        <f t="shared" si="12"/>
        <v>55154.23</v>
      </c>
      <c r="G13" s="88">
        <f t="shared" si="12"/>
        <v>70288.100000000006</v>
      </c>
      <c r="H13" s="88">
        <f t="shared" si="12"/>
        <v>95953.96</v>
      </c>
      <c r="I13" s="88">
        <f t="shared" si="12"/>
        <v>112264.51000000001</v>
      </c>
      <c r="J13" s="88">
        <f t="shared" si="12"/>
        <v>25926.400000000001</v>
      </c>
      <c r="K13" s="88">
        <f t="shared" si="12"/>
        <v>27580.69</v>
      </c>
      <c r="L13" s="88">
        <f t="shared" si="12"/>
        <v>28464.370000000003</v>
      </c>
      <c r="M13" s="88">
        <f t="shared" si="12"/>
        <v>30015.439999999999</v>
      </c>
      <c r="N13" s="88">
        <f t="shared" si="12"/>
        <v>26243.309999999998</v>
      </c>
      <c r="O13" s="88">
        <f t="shared" si="12"/>
        <v>30643.29</v>
      </c>
      <c r="P13" s="88">
        <f t="shared" si="12"/>
        <v>32295.19</v>
      </c>
      <c r="Q13" s="88">
        <f t="shared" si="12"/>
        <v>33785.68</v>
      </c>
      <c r="R13" s="11"/>
      <c r="S13" s="42" t="s">
        <v>19</v>
      </c>
      <c r="T13" s="43"/>
      <c r="U13" s="44">
        <f t="shared" ref="U13:Z13" si="13">D24/D23</f>
        <v>4.2865452162526565E-3</v>
      </c>
      <c r="V13" s="44">
        <f t="shared" si="13"/>
        <v>7.855748912910604E-3</v>
      </c>
      <c r="W13" s="44">
        <f t="shared" si="13"/>
        <v>7.165674466503391E-3</v>
      </c>
      <c r="X13" s="44">
        <f t="shared" si="13"/>
        <v>1.1374660760695441E-2</v>
      </c>
      <c r="Y13" s="44">
        <f t="shared" si="13"/>
        <v>1.0113447241532753E-2</v>
      </c>
      <c r="Z13" s="44">
        <f t="shared" si="13"/>
        <v>1.0356891358748156E-2</v>
      </c>
      <c r="AA13" s="48">
        <v>1.29E-2</v>
      </c>
      <c r="AB13" s="48">
        <v>1.2E-2</v>
      </c>
      <c r="AC13" s="48">
        <v>1.1900000000000001E-2</v>
      </c>
      <c r="AD13" s="48">
        <v>1.0800000000000001E-2</v>
      </c>
      <c r="AF13" s="80">
        <v>1.32E-2</v>
      </c>
      <c r="AG13" s="80">
        <v>1.24E-2</v>
      </c>
      <c r="AH13" s="80">
        <v>1.2E-2</v>
      </c>
      <c r="AJ13" s="392">
        <v>8</v>
      </c>
      <c r="AK13" s="108" t="s">
        <v>640</v>
      </c>
      <c r="AL13" s="419">
        <f>AL11/AL12</f>
        <v>2.4145785876993164</v>
      </c>
      <c r="AM13" s="81"/>
      <c r="AN13" s="81"/>
      <c r="AO13" s="81"/>
      <c r="AP13" s="81"/>
      <c r="AQ13" s="81"/>
      <c r="AR13" s="81"/>
    </row>
    <row r="14" spans="1:44" x14ac:dyDescent="0.25">
      <c r="A14" s="6" t="s">
        <v>26</v>
      </c>
      <c r="B14" s="7"/>
      <c r="C14" s="7"/>
      <c r="D14" s="85">
        <f>4428.48+291.58+1417.56</f>
        <v>6137.619999999999</v>
      </c>
      <c r="E14" s="85">
        <f>5677.9+579.3+1298.89</f>
        <v>7556.09</v>
      </c>
      <c r="F14" s="85">
        <f>6540.66+567.08+1460.25</f>
        <v>8567.99</v>
      </c>
      <c r="G14" s="85">
        <f>7405.57+661.19+1729.73</f>
        <v>9796.49</v>
      </c>
      <c r="H14" s="85">
        <f>10822.23+721.3+2661.01</f>
        <v>14204.539999999999</v>
      </c>
      <c r="I14" s="85">
        <f>12123.07+930.99+3006.52</f>
        <v>16060.58</v>
      </c>
      <c r="J14" s="85">
        <f>2351.29+194.75+508.5</f>
        <v>3054.54</v>
      </c>
      <c r="K14" s="85">
        <f>3134.36+263.49+579.1</f>
        <v>3976.9500000000003</v>
      </c>
      <c r="L14" s="85">
        <f>3297.58+240+653</f>
        <v>4190.58</v>
      </c>
      <c r="M14" s="85">
        <f>3779.26+232.75+826.4</f>
        <v>4838.41</v>
      </c>
      <c r="N14" s="11">
        <f>3066.27+150.59+748.81</f>
        <v>3965.67</v>
      </c>
      <c r="O14" s="11">
        <f>3912.1+260.49+925.7</f>
        <v>5098.29</v>
      </c>
      <c r="P14" s="11">
        <f>3204.7+284.14+917.13</f>
        <v>4405.9699999999993</v>
      </c>
      <c r="Q14" s="11">
        <f>2875.08+328.05+826.29</f>
        <v>4029.42</v>
      </c>
      <c r="R14" s="11"/>
      <c r="S14" s="42" t="s">
        <v>20</v>
      </c>
      <c r="T14" s="43"/>
      <c r="U14" s="44">
        <f t="shared" ref="U14:Z14" si="14">D25/D23</f>
        <v>3.2255124381667466E-3</v>
      </c>
      <c r="V14" s="44">
        <f t="shared" si="14"/>
        <v>6.0004933377573646E-3</v>
      </c>
      <c r="W14" s="44">
        <f t="shared" si="14"/>
        <v>5.1532953970225715E-3</v>
      </c>
      <c r="X14" s="44">
        <f t="shared" si="14"/>
        <v>8.4916599788114385E-3</v>
      </c>
      <c r="Y14" s="44">
        <f t="shared" si="14"/>
        <v>7.4980108144695043E-3</v>
      </c>
      <c r="Z14" s="44">
        <f t="shared" si="14"/>
        <v>7.6814566865780988E-3</v>
      </c>
      <c r="AA14" s="48">
        <v>9.7000000000000003E-3</v>
      </c>
      <c r="AB14" s="48">
        <v>8.8000000000000005E-3</v>
      </c>
      <c r="AC14" s="48">
        <v>8.6999999999999994E-3</v>
      </c>
      <c r="AD14" s="48">
        <v>7.9000000000000008E-3</v>
      </c>
      <c r="AF14" s="80">
        <v>9.7999999999999997E-3</v>
      </c>
      <c r="AG14" s="80">
        <v>9.1999999999999998E-3</v>
      </c>
      <c r="AH14" s="80">
        <v>8.8999999999999999E-3</v>
      </c>
      <c r="AJ14" s="392">
        <v>9</v>
      </c>
      <c r="AK14" s="108" t="s">
        <v>641</v>
      </c>
      <c r="AL14" s="417">
        <v>1.28</v>
      </c>
      <c r="AM14" s="81"/>
      <c r="AN14" s="81"/>
      <c r="AO14" s="81"/>
      <c r="AP14" s="81"/>
      <c r="AQ14" s="408"/>
      <c r="AR14" s="408"/>
    </row>
    <row r="15" spans="1:44" x14ac:dyDescent="0.25">
      <c r="A15" s="6" t="s">
        <v>54</v>
      </c>
      <c r="B15" s="10"/>
      <c r="C15" s="10"/>
      <c r="D15" s="89">
        <f t="shared" ref="D15:K15" si="15">D11-D14</f>
        <v>23673.530000000002</v>
      </c>
      <c r="E15" s="89">
        <f t="shared" si="15"/>
        <v>34006.25</v>
      </c>
      <c r="F15" s="89">
        <f t="shared" si="15"/>
        <v>44898.170000000006</v>
      </c>
      <c r="G15" s="89">
        <f t="shared" si="15"/>
        <v>58100.340000000004</v>
      </c>
      <c r="H15" s="89">
        <f>H11-H14</f>
        <v>78670.37000000001</v>
      </c>
      <c r="I15" s="89">
        <f>I11-I14</f>
        <v>92722.58</v>
      </c>
      <c r="J15" s="89">
        <f t="shared" si="15"/>
        <v>22399.25</v>
      </c>
      <c r="K15" s="89">
        <f t="shared" si="15"/>
        <v>22879.67</v>
      </c>
      <c r="L15" s="89">
        <f t="shared" ref="L15:Q15" si="16">L11-L14</f>
        <v>23449.57</v>
      </c>
      <c r="M15" s="89">
        <f t="shared" si="16"/>
        <v>23994.19</v>
      </c>
      <c r="N15" s="89">
        <f t="shared" si="16"/>
        <v>21426.75</v>
      </c>
      <c r="O15" s="89">
        <f t="shared" si="16"/>
        <v>24798.959999999999</v>
      </c>
      <c r="P15" s="89">
        <f t="shared" si="16"/>
        <v>26956.800000000003</v>
      </c>
      <c r="Q15" s="89">
        <f t="shared" si="16"/>
        <v>28877.730000000003</v>
      </c>
      <c r="R15" s="11"/>
      <c r="S15" s="42" t="s">
        <v>21</v>
      </c>
      <c r="T15" s="43"/>
      <c r="U15" s="44">
        <f t="shared" ref="U15:AA15" si="17">(U13-U14)/U13</f>
        <v>0.24752632354441279</v>
      </c>
      <c r="V15" s="44">
        <f t="shared" si="17"/>
        <v>0.23616533518582833</v>
      </c>
      <c r="W15" s="44">
        <f t="shared" si="17"/>
        <v>0.28083596022787133</v>
      </c>
      <c r="X15" s="44">
        <f t="shared" si="17"/>
        <v>0.25345817713052721</v>
      </c>
      <c r="Y15" s="44">
        <f t="shared" si="17"/>
        <v>0.25860978602058382</v>
      </c>
      <c r="Z15" s="44">
        <f>(Z13-Z14)/Z13</f>
        <v>0.25832410319822441</v>
      </c>
      <c r="AA15" s="44">
        <f t="shared" si="17"/>
        <v>0.24806201550387594</v>
      </c>
      <c r="AB15" s="18"/>
      <c r="AC15" s="18"/>
      <c r="AD15" s="18"/>
      <c r="AJ15" s="392">
        <v>10</v>
      </c>
      <c r="AK15" s="108" t="s">
        <v>642</v>
      </c>
      <c r="AL15" s="417">
        <v>0.66759999999999997</v>
      </c>
      <c r="AM15" s="81"/>
      <c r="AN15" s="81"/>
      <c r="AO15" s="81"/>
      <c r="AP15" s="81"/>
      <c r="AQ15" s="408"/>
      <c r="AR15" s="408"/>
    </row>
    <row r="16" spans="1:44" x14ac:dyDescent="0.25">
      <c r="A16" s="6" t="s">
        <v>94</v>
      </c>
      <c r="B16" s="10"/>
      <c r="C16" s="10"/>
      <c r="D16" s="89">
        <f t="shared" ref="D16:K16" si="18">D13-D14-D9</f>
        <v>14124.700000000004</v>
      </c>
      <c r="E16" s="89">
        <f t="shared" si="18"/>
        <v>21012.19999999999</v>
      </c>
      <c r="F16" s="89">
        <f t="shared" si="18"/>
        <v>28378.030000000006</v>
      </c>
      <c r="G16" s="89">
        <f t="shared" si="18"/>
        <v>42572.05</v>
      </c>
      <c r="H16" s="89">
        <f>H13-H14-H9</f>
        <v>57521.12000000001</v>
      </c>
      <c r="I16" s="89">
        <f>I13-I14-I9</f>
        <v>63898.590000000011</v>
      </c>
      <c r="J16" s="89">
        <f t="shared" si="18"/>
        <v>15271.86</v>
      </c>
      <c r="K16" s="89">
        <f t="shared" si="18"/>
        <v>15436.979999999998</v>
      </c>
      <c r="L16" s="89">
        <f t="shared" ref="L16:Q16" si="19">L13-L14-L9</f>
        <v>16203.86</v>
      </c>
      <c r="M16" s="89">
        <f t="shared" si="19"/>
        <v>16708.379999999997</v>
      </c>
      <c r="N16" s="89">
        <f t="shared" si="19"/>
        <v>15280.36</v>
      </c>
      <c r="O16" s="89">
        <f t="shared" si="19"/>
        <v>16437.97</v>
      </c>
      <c r="P16" s="89">
        <f t="shared" si="19"/>
        <v>18236.72</v>
      </c>
      <c r="Q16" s="89">
        <f t="shared" si="19"/>
        <v>18930.900000000001</v>
      </c>
      <c r="R16" s="11"/>
      <c r="S16" s="42" t="s">
        <v>22</v>
      </c>
      <c r="T16" s="43"/>
      <c r="U16" s="44">
        <f t="shared" ref="U16:Z16" si="20">D17/AVERAGE(C23:D23)</f>
        <v>5.8106836512237213E-4</v>
      </c>
      <c r="V16" s="44">
        <f t="shared" si="20"/>
        <v>1.1080318348933957E-3</v>
      </c>
      <c r="W16" s="44">
        <f t="shared" si="20"/>
        <v>1.5941467215994172E-3</v>
      </c>
      <c r="X16" s="44">
        <f t="shared" si="20"/>
        <v>7.4290918380235079E-3</v>
      </c>
      <c r="Y16" s="44">
        <f t="shared" si="20"/>
        <v>5.3970076561727235E-3</v>
      </c>
      <c r="Z16" s="44">
        <f t="shared" si="20"/>
        <v>3.4371143111596304E-3</v>
      </c>
      <c r="AA16" s="44">
        <f t="shared" ref="AA16:AH16" si="21">(J17*4)/J23</f>
        <v>5.8283993576372403E-4</v>
      </c>
      <c r="AB16" s="44">
        <f t="shared" si="21"/>
        <v>2.6705190467279454E-3</v>
      </c>
      <c r="AC16" s="44">
        <f t="shared" si="21"/>
        <v>4.1704845814977973E-3</v>
      </c>
      <c r="AD16" s="44">
        <f t="shared" si="21"/>
        <v>4.4829527741907264E-3</v>
      </c>
      <c r="AE16" s="44">
        <f t="shared" si="21"/>
        <v>7.8961902573652966E-3</v>
      </c>
      <c r="AF16" s="44">
        <f t="shared" si="21"/>
        <v>1.3405961397095067E-3</v>
      </c>
      <c r="AG16" s="44">
        <f t="shared" si="21"/>
        <v>3.5925040927820254E-3</v>
      </c>
      <c r="AH16" s="44">
        <f t="shared" si="21"/>
        <v>4.7813792370640443E-3</v>
      </c>
      <c r="AK16" s="414"/>
    </row>
    <row r="17" spans="1:37" x14ac:dyDescent="0.25">
      <c r="A17" s="6" t="s">
        <v>27</v>
      </c>
      <c r="B17" s="7"/>
      <c r="C17" s="7"/>
      <c r="D17" s="88">
        <v>119.6</v>
      </c>
      <c r="E17" s="85">
        <v>266.31</v>
      </c>
      <c r="F17" s="85">
        <v>493.62</v>
      </c>
      <c r="G17" s="85">
        <v>2933.61</v>
      </c>
      <c r="H17" s="85">
        <v>2817.67</v>
      </c>
      <c r="I17" s="85">
        <v>2226.11</v>
      </c>
      <c r="J17" s="85">
        <v>88.92</v>
      </c>
      <c r="K17" s="85">
        <v>424.2</v>
      </c>
      <c r="L17" s="85">
        <v>662.69</v>
      </c>
      <c r="M17" s="85">
        <v>772.69</v>
      </c>
      <c r="N17" s="11">
        <v>1182.1099999999999</v>
      </c>
      <c r="O17" s="11">
        <v>237.99</v>
      </c>
      <c r="P17" s="11">
        <v>671.82</v>
      </c>
      <c r="Q17" s="11">
        <v>934.5</v>
      </c>
      <c r="R17" s="11"/>
      <c r="S17" s="18"/>
      <c r="T17" s="18"/>
      <c r="U17" s="18"/>
      <c r="V17" s="18"/>
      <c r="W17" s="18"/>
      <c r="X17" s="18"/>
      <c r="Y17" s="18"/>
      <c r="Z17" s="18"/>
      <c r="AA17" s="18"/>
      <c r="AB17" s="18"/>
      <c r="AC17" s="18"/>
      <c r="AD17" s="18"/>
      <c r="AK17" s="415" t="s">
        <v>643</v>
      </c>
    </row>
    <row r="18" spans="1:37" x14ac:dyDescent="0.25">
      <c r="A18" s="6" t="s">
        <v>55</v>
      </c>
      <c r="B18" s="7"/>
      <c r="C18" s="7"/>
      <c r="D18" s="88">
        <v>10265.5</v>
      </c>
      <c r="E18" s="85">
        <v>18141.849999999999</v>
      </c>
      <c r="F18" s="89">
        <v>21785.48</v>
      </c>
      <c r="G18" s="89">
        <v>30822.86</v>
      </c>
      <c r="H18" s="89">
        <v>42458.66</v>
      </c>
      <c r="I18" s="89">
        <v>48061.84</v>
      </c>
      <c r="J18" s="89">
        <v>11892.09</v>
      </c>
      <c r="K18" s="89">
        <v>11867.29</v>
      </c>
      <c r="L18" s="89">
        <v>12078.59</v>
      </c>
      <c r="M18" s="89">
        <v>12223.87</v>
      </c>
      <c r="N18" s="11">
        <v>10939.28</v>
      </c>
      <c r="O18" s="11">
        <v>12726.55</v>
      </c>
      <c r="P18" s="11">
        <v>13679.13</v>
      </c>
      <c r="Q18" s="11">
        <v>14175.2</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v>68892.149999999994</v>
      </c>
      <c r="E19" s="85">
        <v>166974.51</v>
      </c>
      <c r="F19" s="85">
        <v>189109.61</v>
      </c>
      <c r="G19" s="85">
        <v>276589.56</v>
      </c>
      <c r="H19" s="85">
        <v>311063.63</v>
      </c>
      <c r="I19" s="85">
        <f>340795.35-2172.11-130.54</f>
        <v>338492.7</v>
      </c>
      <c r="J19" s="85"/>
      <c r="K19" s="85">
        <v>325856.87</v>
      </c>
      <c r="L19" s="85">
        <v>338341</v>
      </c>
      <c r="M19" s="85">
        <v>340795.35</v>
      </c>
      <c r="N19" s="85">
        <v>311063.63</v>
      </c>
      <c r="O19" s="439"/>
      <c r="P19" s="439">
        <f>356445.18-1997.71</f>
        <v>354447.47</v>
      </c>
      <c r="Q19" s="439"/>
      <c r="R19" s="11"/>
      <c r="S19" s="46" t="s">
        <v>95</v>
      </c>
      <c r="T19" s="51"/>
      <c r="U19" s="51"/>
      <c r="V19" s="52">
        <f>E16/AVERAGE(D22:E22)</f>
        <v>7.2730935482888351E-2</v>
      </c>
      <c r="W19" s="52">
        <f>F16/AVERAGE(E22:F22)</f>
        <v>7.4633807066920937E-2</v>
      </c>
      <c r="X19" s="52">
        <f>G16/AVERAGE(F22:G22)</f>
        <v>9.2149561211608597E-2</v>
      </c>
      <c r="Y19" s="52">
        <f>H16/AVERAGE(G22:H22)</f>
        <v>9.766475087653767E-2</v>
      </c>
      <c r="Z19" s="52">
        <f>I16/AVERAGE(H22:I22)</f>
        <v>9.0865196970018228E-2</v>
      </c>
      <c r="AA19" s="18"/>
      <c r="AB19" s="18"/>
      <c r="AC19" s="18"/>
      <c r="AD19" s="18"/>
    </row>
    <row r="20" spans="1:37" x14ac:dyDescent="0.25">
      <c r="A20" s="6" t="s">
        <v>56</v>
      </c>
      <c r="B20" s="7"/>
      <c r="C20" s="7"/>
      <c r="D20" s="88">
        <f t="shared" ref="D20:I20" si="22">D19-D71</f>
        <v>68892.149999999994</v>
      </c>
      <c r="E20" s="89">
        <f t="shared" si="22"/>
        <v>166974.51</v>
      </c>
      <c r="F20" s="89">
        <f t="shared" si="22"/>
        <v>189109.61</v>
      </c>
      <c r="G20" s="89">
        <f t="shared" si="22"/>
        <v>276589.56</v>
      </c>
      <c r="H20" s="89">
        <f t="shared" si="22"/>
        <v>311063.63</v>
      </c>
      <c r="I20" s="89">
        <f t="shared" si="22"/>
        <v>338492.7</v>
      </c>
      <c r="J20" s="89">
        <f>J19-H71</f>
        <v>0</v>
      </c>
      <c r="K20" s="89">
        <f>K19-J71</f>
        <v>325856.87</v>
      </c>
      <c r="L20" s="89">
        <f>L19-K71</f>
        <v>338341</v>
      </c>
      <c r="M20" s="89">
        <f>M19-L71</f>
        <v>340795.35</v>
      </c>
      <c r="N20" s="89">
        <f t="shared" ref="N20:P20" si="23">N19-M71</f>
        <v>311063.63</v>
      </c>
      <c r="O20" s="89">
        <f t="shared" si="23"/>
        <v>0</v>
      </c>
      <c r="P20" s="89">
        <f t="shared" si="23"/>
        <v>354447.47</v>
      </c>
      <c r="Q20" s="440"/>
      <c r="R20" s="11"/>
      <c r="S20" s="42" t="s">
        <v>31</v>
      </c>
      <c r="T20" s="43"/>
      <c r="U20" s="43">
        <v>4.4699999999999997E-2</v>
      </c>
      <c r="V20" s="44">
        <f>E18/AVERAGE(D22:E22)</f>
        <v>6.2795600741009441E-2</v>
      </c>
      <c r="W20" s="44">
        <f>F18/AVERAGE(E22:F22)</f>
        <v>5.7295496240586968E-2</v>
      </c>
      <c r="X20" s="44">
        <f>G18/AVERAGE(F22:G22)</f>
        <v>6.6717788414860035E-2</v>
      </c>
      <c r="Y20" s="44">
        <f>H18/AVERAGE(G22:H22)</f>
        <v>7.2090293990305032E-2</v>
      </c>
      <c r="Z20" s="44">
        <f>I18/AVERAGE(H22:I22)</f>
        <v>6.83449909981034E-2</v>
      </c>
      <c r="AA20" s="48"/>
      <c r="AB20" s="18"/>
      <c r="AC20" s="18"/>
      <c r="AD20" s="18"/>
    </row>
    <row r="21" spans="1:37" x14ac:dyDescent="0.25">
      <c r="A21" s="6" t="s">
        <v>57</v>
      </c>
      <c r="B21" s="9"/>
      <c r="C21" s="9"/>
      <c r="D21" s="85">
        <f>70138.48+85052.72</f>
        <v>155191.20000000001</v>
      </c>
      <c r="E21" s="85">
        <f>60451.28+121865.32+666.36</f>
        <v>182982.96</v>
      </c>
      <c r="F21" s="85">
        <f>38144.13+178592.76+709.05</f>
        <v>217445.94</v>
      </c>
      <c r="G21" s="85">
        <f>38211.45+195680.54+780.13</f>
        <v>234672.12</v>
      </c>
      <c r="H21" s="85">
        <f>38272.67+308835.58</f>
        <v>347108.25</v>
      </c>
      <c r="I21" s="85">
        <f>28945.74+368858.75</f>
        <v>397804.49</v>
      </c>
      <c r="J21" s="85"/>
      <c r="K21" s="85">
        <f>29915.44+332432.27</f>
        <v>362347.71</v>
      </c>
      <c r="L21" s="85"/>
      <c r="M21" s="85">
        <f>28945.74+368858.75</f>
        <v>397804.49</v>
      </c>
      <c r="N21" s="85">
        <v>347108.25</v>
      </c>
      <c r="O21" s="439"/>
      <c r="P21" s="439">
        <f>67522.99+407507.08</f>
        <v>475030.07</v>
      </c>
      <c r="Q21" s="439"/>
      <c r="R21" s="11"/>
      <c r="S21" s="42" t="s">
        <v>32</v>
      </c>
      <c r="T21" s="43"/>
      <c r="U21" s="44">
        <f t="shared" ref="U21:Z21" si="24">D18/AVERAGE(C19:D19)</f>
        <v>0.14900826872147263</v>
      </c>
      <c r="V21" s="44">
        <f t="shared" si="24"/>
        <v>0.15383140626996625</v>
      </c>
      <c r="W21" s="44">
        <f t="shared" si="24"/>
        <v>0.12236142403654507</v>
      </c>
      <c r="X21" s="44">
        <f t="shared" si="24"/>
        <v>0.13237240684796583</v>
      </c>
      <c r="Y21" s="44">
        <f t="shared" si="24"/>
        <v>0.14450244029135623</v>
      </c>
      <c r="Z21" s="44">
        <f t="shared" si="24"/>
        <v>0.14798359366307767</v>
      </c>
      <c r="AA21" s="18"/>
      <c r="AB21" s="18"/>
      <c r="AC21" s="18"/>
      <c r="AD21" s="18"/>
    </row>
    <row r="22" spans="1:37" x14ac:dyDescent="0.25">
      <c r="A22" s="6" t="s">
        <v>29</v>
      </c>
      <c r="B22" s="7"/>
      <c r="C22" s="7"/>
      <c r="D22" s="88">
        <v>226270.47</v>
      </c>
      <c r="E22" s="85">
        <v>351535.93</v>
      </c>
      <c r="F22" s="85">
        <v>408924.54</v>
      </c>
      <c r="G22" s="85">
        <v>515052.73</v>
      </c>
      <c r="H22" s="85">
        <v>662877.27</v>
      </c>
      <c r="I22" s="85">
        <v>743570.79</v>
      </c>
      <c r="J22" s="85"/>
      <c r="K22" s="85">
        <v>692776.29</v>
      </c>
      <c r="L22" s="85"/>
      <c r="M22" s="85">
        <v>743549.29</v>
      </c>
      <c r="N22" s="85">
        <v>662877.27</v>
      </c>
      <c r="O22" s="439"/>
      <c r="P22" s="439">
        <v>837485.53</v>
      </c>
      <c r="Q22" s="439"/>
      <c r="R22" s="11"/>
      <c r="S22" s="40" t="s">
        <v>33</v>
      </c>
      <c r="T22" s="45"/>
      <c r="U22" s="45"/>
      <c r="V22" s="45"/>
      <c r="W22" s="46" t="s">
        <v>5</v>
      </c>
      <c r="X22" s="18"/>
      <c r="Y22" s="18"/>
      <c r="Z22" s="18"/>
      <c r="AA22" s="18"/>
      <c r="AB22" s="18"/>
      <c r="AC22" s="18"/>
      <c r="AD22" s="18"/>
    </row>
    <row r="23" spans="1:37" x14ac:dyDescent="0.25">
      <c r="A23" s="6" t="s">
        <v>58</v>
      </c>
      <c r="B23" s="7"/>
      <c r="C23" s="7"/>
      <c r="D23" s="88">
        <v>205827.76</v>
      </c>
      <c r="E23" s="85">
        <v>274862.40000000002</v>
      </c>
      <c r="F23" s="85">
        <v>344428.15</v>
      </c>
      <c r="G23" s="85">
        <v>445334.6</v>
      </c>
      <c r="H23" s="85">
        <v>598825.49</v>
      </c>
      <c r="I23" s="85">
        <v>696511.12</v>
      </c>
      <c r="J23" s="85">
        <v>610253.31000000006</v>
      </c>
      <c r="K23" s="85">
        <v>635382.1</v>
      </c>
      <c r="L23" s="85">
        <v>635600</v>
      </c>
      <c r="M23" s="85">
        <v>689447.37</v>
      </c>
      <c r="N23" s="85">
        <v>598825.49</v>
      </c>
      <c r="O23" s="439">
        <v>710102</v>
      </c>
      <c r="P23" s="439">
        <v>748024.2</v>
      </c>
      <c r="Q23" s="439">
        <v>781782.79</v>
      </c>
      <c r="R23" s="11"/>
      <c r="S23" s="42" t="s">
        <v>34</v>
      </c>
      <c r="T23" s="43"/>
      <c r="U23" s="44">
        <f t="shared" ref="U23:Z23" si="25">D6/AVERAGE(C23:D23)</f>
        <v>0.14077921267762911</v>
      </c>
      <c r="V23" s="44">
        <f t="shared" si="25"/>
        <v>0.16855393919442827</v>
      </c>
      <c r="W23" s="44">
        <f t="shared" si="25"/>
        <v>0.16925302670935313</v>
      </c>
      <c r="X23" s="44">
        <f t="shared" si="25"/>
        <v>0.1669721951307529</v>
      </c>
      <c r="Y23" s="44">
        <f t="shared" si="25"/>
        <v>0.16697715385770012</v>
      </c>
      <c r="Z23" s="44">
        <f t="shared" si="25"/>
        <v>0.15903250044017517</v>
      </c>
      <c r="AA23" s="18"/>
      <c r="AB23" s="18"/>
      <c r="AC23" s="18"/>
      <c r="AD23" s="18"/>
    </row>
    <row r="24" spans="1:37" x14ac:dyDescent="0.25">
      <c r="A24" s="6" t="s">
        <v>59</v>
      </c>
      <c r="B24" s="10"/>
      <c r="C24" s="10"/>
      <c r="D24" s="89">
        <v>882.29</v>
      </c>
      <c r="E24" s="89">
        <v>2159.25</v>
      </c>
      <c r="F24" s="89">
        <v>2468.06</v>
      </c>
      <c r="G24" s="89">
        <v>5065.53</v>
      </c>
      <c r="H24" s="89">
        <v>6056.19</v>
      </c>
      <c r="I24" s="89">
        <v>7213.69</v>
      </c>
      <c r="J24" s="89"/>
      <c r="K24" s="89"/>
      <c r="L24" s="89"/>
      <c r="M24" s="89"/>
      <c r="N24" s="89">
        <v>6056.19</v>
      </c>
      <c r="O24" s="440"/>
      <c r="P24" s="440"/>
      <c r="Q24" s="440"/>
      <c r="R24" s="11"/>
      <c r="S24" s="42" t="s">
        <v>35</v>
      </c>
      <c r="T24" s="43"/>
      <c r="U24" s="44">
        <f t="shared" ref="U24:Z24" si="26">D9/AVERAGE(C21:D21)</f>
        <v>7.2079151395182187E-2</v>
      </c>
      <c r="V24" s="44">
        <f t="shared" si="26"/>
        <v>0.1001618219440539</v>
      </c>
      <c r="W24" s="44">
        <f t="shared" si="26"/>
        <v>9.0943535793745145E-2</v>
      </c>
      <c r="X24" s="44">
        <f t="shared" si="26"/>
        <v>7.9269383753438213E-2</v>
      </c>
      <c r="Y24" s="44">
        <f t="shared" si="26"/>
        <v>8.3290194201636608E-2</v>
      </c>
      <c r="Z24" s="44">
        <f t="shared" si="26"/>
        <v>8.673590412750895E-2</v>
      </c>
      <c r="AA24" s="18"/>
      <c r="AB24" s="18"/>
      <c r="AC24" s="18"/>
      <c r="AD24" s="18"/>
    </row>
    <row r="25" spans="1:37" x14ac:dyDescent="0.25">
      <c r="A25" s="6" t="s">
        <v>60</v>
      </c>
      <c r="B25" s="10"/>
      <c r="C25" s="10"/>
      <c r="D25" s="89">
        <v>663.9</v>
      </c>
      <c r="E25" s="89">
        <v>1649.31</v>
      </c>
      <c r="F25" s="89">
        <v>1774.94</v>
      </c>
      <c r="G25" s="89">
        <v>3781.63</v>
      </c>
      <c r="H25" s="89">
        <v>4490</v>
      </c>
      <c r="I25" s="89">
        <v>5350.22</v>
      </c>
      <c r="J25" s="89"/>
      <c r="K25" s="89"/>
      <c r="L25" s="89"/>
      <c r="M25" s="89"/>
      <c r="N25" s="89">
        <v>4490</v>
      </c>
      <c r="O25" s="440"/>
      <c r="P25" s="440"/>
      <c r="Q25" s="440"/>
      <c r="R25" s="11"/>
      <c r="S25" s="42" t="s">
        <v>36</v>
      </c>
      <c r="T25" s="43"/>
      <c r="U25" s="48">
        <f t="shared" ref="U25:Z25" si="27">U23-U24</f>
        <v>6.870006128244692E-2</v>
      </c>
      <c r="V25" s="48">
        <f t="shared" si="27"/>
        <v>6.8392117250374362E-2</v>
      </c>
      <c r="W25" s="48">
        <f t="shared" si="27"/>
        <v>7.8309490915607988E-2</v>
      </c>
      <c r="X25" s="48">
        <f t="shared" si="27"/>
        <v>8.7702811377314685E-2</v>
      </c>
      <c r="Y25" s="48">
        <f t="shared" si="27"/>
        <v>8.3686959656063514E-2</v>
      </c>
      <c r="Z25" s="48">
        <f t="shared" si="27"/>
        <v>7.2296596312666217E-2</v>
      </c>
      <c r="AA25" s="18"/>
      <c r="AB25" s="18"/>
      <c r="AC25" s="18"/>
      <c r="AD25" s="18"/>
    </row>
    <row r="26" spans="1:37" x14ac:dyDescent="0.25">
      <c r="S26" s="407" t="s">
        <v>645</v>
      </c>
      <c r="AF26" s="436">
        <v>1.19</v>
      </c>
      <c r="AG26" s="436">
        <v>1.96</v>
      </c>
      <c r="AH26" s="436">
        <v>1.21</v>
      </c>
    </row>
    <row r="27" spans="1:37" x14ac:dyDescent="0.25">
      <c r="A27" s="126"/>
      <c r="B27" s="739" t="s">
        <v>235</v>
      </c>
      <c r="C27" s="739"/>
      <c r="D27" s="739"/>
      <c r="E27" s="739"/>
      <c r="F27" s="739"/>
      <c r="G27" s="739"/>
      <c r="H27" s="739"/>
      <c r="I27" s="739"/>
      <c r="J27" s="739"/>
      <c r="K27" s="739"/>
      <c r="L27" s="739"/>
      <c r="M27" s="739"/>
      <c r="N27" s="739"/>
      <c r="O27" s="442"/>
      <c r="P27" s="442"/>
      <c r="Q27" s="442"/>
      <c r="R27" s="126"/>
      <c r="S27" s="126" t="s">
        <v>690</v>
      </c>
      <c r="T27" s="126"/>
      <c r="U27" s="126"/>
      <c r="AG27" s="436">
        <v>0.59</v>
      </c>
      <c r="AH27" s="436"/>
    </row>
    <row r="28" spans="1:37" x14ac:dyDescent="0.25">
      <c r="A28" s="126"/>
      <c r="B28" s="739"/>
      <c r="C28" s="739"/>
      <c r="D28" s="739"/>
      <c r="E28" s="739"/>
      <c r="F28" s="739"/>
      <c r="G28" s="739"/>
      <c r="H28" s="739"/>
      <c r="I28" s="739"/>
      <c r="J28" s="739"/>
      <c r="K28" s="739"/>
      <c r="L28" s="739"/>
      <c r="M28" s="739"/>
      <c r="N28" s="739"/>
      <c r="O28" s="442"/>
      <c r="P28" s="442"/>
      <c r="Q28" s="442"/>
      <c r="R28" s="126"/>
      <c r="S28" s="126"/>
      <c r="T28" s="126"/>
      <c r="U28" s="126"/>
    </row>
    <row r="29" spans="1:37" x14ac:dyDescent="0.25">
      <c r="A29" s="126"/>
      <c r="B29" s="739"/>
      <c r="C29" s="739"/>
      <c r="D29" s="739"/>
      <c r="E29" s="739"/>
      <c r="F29" s="739"/>
      <c r="G29" s="739"/>
      <c r="H29" s="739"/>
      <c r="I29" s="739"/>
      <c r="J29" s="739"/>
      <c r="K29" s="739"/>
      <c r="L29" s="739"/>
      <c r="M29" s="739"/>
      <c r="N29" s="739"/>
      <c r="O29" s="442"/>
      <c r="P29" s="442"/>
      <c r="Q29" s="442"/>
      <c r="R29" s="126"/>
      <c r="S29" s="126"/>
      <c r="T29" s="126"/>
      <c r="U29" s="126"/>
    </row>
    <row r="30" spans="1:37" x14ac:dyDescent="0.25">
      <c r="A30" s="126"/>
      <c r="B30" s="739"/>
      <c r="C30" s="739"/>
      <c r="D30" s="739"/>
      <c r="E30" s="739"/>
      <c r="F30" s="739"/>
      <c r="G30" s="739"/>
      <c r="H30" s="739"/>
      <c r="I30" s="739"/>
      <c r="J30" s="739"/>
      <c r="K30" s="739"/>
      <c r="L30" s="739"/>
      <c r="M30" s="739"/>
      <c r="N30" s="739"/>
      <c r="O30" s="442"/>
      <c r="P30" s="442"/>
      <c r="Q30" s="442"/>
      <c r="R30" s="126"/>
      <c r="S30" s="126"/>
      <c r="T30" s="126"/>
      <c r="U30" s="126"/>
    </row>
    <row r="31" spans="1:37" x14ac:dyDescent="0.25">
      <c r="A31" s="126"/>
      <c r="B31" s="739"/>
      <c r="C31" s="739"/>
      <c r="D31" s="739"/>
      <c r="E31" s="739"/>
      <c r="F31" s="739"/>
      <c r="G31" s="739"/>
      <c r="H31" s="739"/>
      <c r="I31" s="739"/>
      <c r="J31" s="739"/>
      <c r="K31" s="739"/>
      <c r="L31" s="739"/>
      <c r="M31" s="739"/>
      <c r="N31" s="739"/>
      <c r="O31" s="442"/>
      <c r="P31" s="442"/>
      <c r="Q31" s="442"/>
      <c r="R31" s="126"/>
      <c r="S31" s="126"/>
      <c r="T31" s="126"/>
      <c r="U31" s="126"/>
    </row>
    <row r="32" spans="1:37" x14ac:dyDescent="0.25">
      <c r="A32" s="126"/>
      <c r="B32" s="739"/>
      <c r="C32" s="739"/>
      <c r="D32" s="739"/>
      <c r="E32" s="739"/>
      <c r="F32" s="739"/>
      <c r="G32" s="739"/>
      <c r="H32" s="739"/>
      <c r="I32" s="739"/>
      <c r="J32" s="739"/>
      <c r="K32" s="739"/>
      <c r="L32" s="739"/>
      <c r="M32" s="739"/>
      <c r="N32" s="739"/>
      <c r="O32" s="442"/>
      <c r="P32" s="442"/>
      <c r="Q32" s="442"/>
      <c r="R32" s="126"/>
      <c r="S32" s="126"/>
      <c r="T32" s="126"/>
      <c r="U32" s="126"/>
    </row>
    <row r="33" spans="1:21" x14ac:dyDescent="0.25">
      <c r="A33" s="126"/>
      <c r="B33" s="739"/>
      <c r="C33" s="739"/>
      <c r="D33" s="739"/>
      <c r="E33" s="739"/>
      <c r="F33" s="739"/>
      <c r="G33" s="739"/>
      <c r="H33" s="739"/>
      <c r="I33" s="739"/>
      <c r="J33" s="739"/>
      <c r="K33" s="739"/>
      <c r="L33" s="739"/>
      <c r="M33" s="739"/>
      <c r="N33" s="739"/>
      <c r="O33" s="442"/>
      <c r="P33" s="442"/>
      <c r="Q33" s="442"/>
      <c r="R33" s="126"/>
      <c r="S33" s="126"/>
      <c r="T33" s="126"/>
      <c r="U33" s="126"/>
    </row>
    <row r="34" spans="1:21" x14ac:dyDescent="0.25">
      <c r="A34" s="126"/>
      <c r="B34" s="739"/>
      <c r="C34" s="739"/>
      <c r="D34" s="739"/>
      <c r="E34" s="739"/>
      <c r="F34" s="739"/>
      <c r="G34" s="739"/>
      <c r="H34" s="739"/>
      <c r="I34" s="739"/>
      <c r="J34" s="739"/>
      <c r="K34" s="739"/>
      <c r="L34" s="739"/>
      <c r="M34" s="739"/>
      <c r="N34" s="739"/>
      <c r="O34" s="442"/>
      <c r="P34" s="442"/>
      <c r="Q34" s="442"/>
      <c r="R34" s="126"/>
      <c r="S34" s="126"/>
      <c r="T34" s="126"/>
      <c r="U34" s="126"/>
    </row>
    <row r="35" spans="1:21" x14ac:dyDescent="0.25">
      <c r="A35" s="126"/>
      <c r="B35" s="739"/>
      <c r="C35" s="739"/>
      <c r="D35" s="739"/>
      <c r="E35" s="739"/>
      <c r="F35" s="739"/>
      <c r="G35" s="739"/>
      <c r="H35" s="739"/>
      <c r="I35" s="739"/>
      <c r="J35" s="739"/>
      <c r="K35" s="739"/>
      <c r="L35" s="739"/>
      <c r="M35" s="739"/>
      <c r="N35" s="739"/>
      <c r="O35" s="442"/>
      <c r="P35" s="442"/>
      <c r="Q35" s="442"/>
      <c r="R35" s="126"/>
      <c r="S35" s="126"/>
      <c r="T35" s="126"/>
      <c r="U35" s="126"/>
    </row>
    <row r="36" spans="1:21" x14ac:dyDescent="0.25">
      <c r="A36" s="126"/>
      <c r="B36" s="739"/>
      <c r="C36" s="739"/>
      <c r="D36" s="739"/>
      <c r="E36" s="739"/>
      <c r="F36" s="739"/>
      <c r="G36" s="739"/>
      <c r="H36" s="739"/>
      <c r="I36" s="739"/>
      <c r="J36" s="739"/>
      <c r="K36" s="739"/>
      <c r="L36" s="739"/>
      <c r="M36" s="739"/>
      <c r="N36" s="739"/>
      <c r="O36" s="442"/>
      <c r="P36" s="442"/>
      <c r="Q36" s="442"/>
      <c r="R36" s="126"/>
      <c r="S36" s="126"/>
      <c r="T36" s="126"/>
      <c r="U36" s="126"/>
    </row>
    <row r="37" spans="1:21" x14ac:dyDescent="0.25">
      <c r="A37" s="126"/>
      <c r="B37" s="739"/>
      <c r="C37" s="739"/>
      <c r="D37" s="739"/>
      <c r="E37" s="739"/>
      <c r="F37" s="739"/>
      <c r="G37" s="739"/>
      <c r="H37" s="739"/>
      <c r="I37" s="739"/>
      <c r="J37" s="739"/>
      <c r="K37" s="739"/>
      <c r="L37" s="739"/>
      <c r="M37" s="739"/>
      <c r="N37" s="739"/>
      <c r="O37" s="442"/>
      <c r="P37" s="442"/>
      <c r="Q37" s="442"/>
      <c r="R37" s="126"/>
      <c r="S37" s="126"/>
      <c r="T37" s="126"/>
      <c r="U37" s="126"/>
    </row>
    <row r="38" spans="1:21" x14ac:dyDescent="0.25">
      <c r="A38" s="126"/>
      <c r="B38" s="739"/>
      <c r="C38" s="739"/>
      <c r="D38" s="739"/>
      <c r="E38" s="739"/>
      <c r="F38" s="739"/>
      <c r="G38" s="739"/>
      <c r="H38" s="739"/>
      <c r="I38" s="739"/>
      <c r="J38" s="739"/>
      <c r="K38" s="739"/>
      <c r="L38" s="739"/>
      <c r="M38" s="739"/>
      <c r="N38" s="739"/>
      <c r="O38" s="442"/>
      <c r="P38" s="442"/>
      <c r="Q38" s="442"/>
      <c r="R38" s="126"/>
      <c r="S38" s="126"/>
      <c r="T38" s="126"/>
      <c r="U38" s="126"/>
    </row>
    <row r="39" spans="1:21" x14ac:dyDescent="0.25">
      <c r="A39" s="126"/>
      <c r="B39" s="126"/>
      <c r="C39" s="126"/>
      <c r="D39" s="126"/>
      <c r="E39" s="126"/>
      <c r="F39" s="126"/>
      <c r="G39" s="126"/>
      <c r="H39" s="126"/>
      <c r="I39" s="126"/>
      <c r="J39" s="126"/>
      <c r="K39" s="126"/>
      <c r="L39" s="126"/>
      <c r="M39" s="126"/>
      <c r="N39" s="126"/>
      <c r="O39" s="126"/>
      <c r="P39" s="126"/>
      <c r="Q39" s="126"/>
      <c r="R39" s="126"/>
      <c r="S39" s="126"/>
      <c r="T39" s="126"/>
      <c r="U39" s="126"/>
    </row>
  </sheetData>
  <mergeCells count="5">
    <mergeCell ref="A2:A4"/>
    <mergeCell ref="J1:L1"/>
    <mergeCell ref="B27:N38"/>
    <mergeCell ref="AJ3:AK4"/>
    <mergeCell ref="AL5:AR5"/>
  </mergeCell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25"/>
  <sheetViews>
    <sheetView zoomScale="85" workbookViewId="0">
      <selection activeCell="AG6" sqref="AG6"/>
    </sheetView>
  </sheetViews>
  <sheetFormatPr defaultRowHeight="15" x14ac:dyDescent="0.25"/>
  <cols>
    <col min="1" max="1" width="38.42578125" customWidth="1"/>
    <col min="2" max="2" width="14" customWidth="1"/>
    <col min="4" max="5" width="10.140625" bestFit="1" customWidth="1"/>
    <col min="6" max="6" width="11" customWidth="1"/>
    <col min="7" max="9" width="10.140625" bestFit="1" customWidth="1"/>
    <col min="11" max="11" width="10.140625" bestFit="1" customWidth="1"/>
    <col min="14" max="14" width="31.7109375" customWidth="1"/>
    <col min="16" max="16" width="16" customWidth="1"/>
    <col min="17" max="17" width="17" customWidth="1"/>
    <col min="18" max="18" width="14" customWidth="1"/>
    <col min="19" max="19" width="16.5703125" customWidth="1"/>
  </cols>
  <sheetData>
    <row r="1" spans="1:23" x14ac:dyDescent="0.25">
      <c r="I1" s="772" t="s">
        <v>114</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2.3294258589607375E-2</v>
      </c>
      <c r="Q3" s="44">
        <f>E10/AVERAGE(D23:E23)</f>
        <v>2.4447673380580053E-2</v>
      </c>
      <c r="R3" s="44">
        <f>F10/AVERAGE(E23:F23)</f>
        <v>2.7050946723295506E-2</v>
      </c>
      <c r="S3" s="44">
        <f>G10/AVERAGE(F23:G23)</f>
        <v>2.6821934444946401E-2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43348.04</v>
      </c>
      <c r="E5">
        <v>58738.92</v>
      </c>
      <c r="F5" s="85">
        <v>48149.74</v>
      </c>
      <c r="G5" s="90">
        <v>47957.07</v>
      </c>
      <c r="H5" s="85">
        <v>13240.31</v>
      </c>
      <c r="I5" s="85">
        <v>15027.21</v>
      </c>
      <c r="J5" s="85">
        <v>15230.12</v>
      </c>
      <c r="K5" s="85">
        <v>16679.43</v>
      </c>
      <c r="L5" s="11"/>
      <c r="M5" s="11"/>
      <c r="N5" s="42" t="s">
        <v>13</v>
      </c>
      <c r="O5" s="46"/>
      <c r="P5" s="47">
        <f>D21/D20</f>
        <v>4.7341757473647306</v>
      </c>
      <c r="Q5" s="47">
        <f>E21/E20</f>
        <v>4.8643346890586905</v>
      </c>
      <c r="R5" s="47">
        <f>F21/F20</f>
        <v>4.0573109774398777</v>
      </c>
      <c r="S5" s="47">
        <f>G21/G20</f>
        <v>4.1553179599338055</v>
      </c>
      <c r="T5" s="18"/>
      <c r="U5" s="18"/>
      <c r="V5" s="18"/>
      <c r="W5" s="18"/>
    </row>
    <row r="6" spans="1:23" x14ac:dyDescent="0.25">
      <c r="A6" s="6" t="s">
        <v>50</v>
      </c>
      <c r="B6" s="7"/>
      <c r="C6" s="8"/>
      <c r="D6">
        <v>37309.279999999999</v>
      </c>
      <c r="E6">
        <v>41483.42</v>
      </c>
      <c r="F6" s="85">
        <v>41453.15</v>
      </c>
      <c r="G6" s="85">
        <v>41044.17</v>
      </c>
      <c r="H6" s="85">
        <v>11963.59</v>
      </c>
      <c r="I6" s="85">
        <v>13142.93</v>
      </c>
      <c r="J6" s="85">
        <v>14457.83</v>
      </c>
      <c r="K6" s="85">
        <v>15432.96</v>
      </c>
      <c r="L6" s="11"/>
      <c r="M6" s="11"/>
      <c r="N6" s="42" t="s">
        <v>14</v>
      </c>
      <c r="O6" s="43"/>
      <c r="P6" s="43"/>
      <c r="Q6" s="43">
        <v>0.17599999999999999</v>
      </c>
      <c r="R6" s="43">
        <v>0.222</v>
      </c>
      <c r="S6" s="48">
        <v>0.22800000000000001</v>
      </c>
      <c r="T6" s="48">
        <v>0.219</v>
      </c>
      <c r="U6" s="18">
        <v>22.5</v>
      </c>
      <c r="V6" s="48">
        <v>0.23699999999999999</v>
      </c>
      <c r="W6" s="48">
        <v>0.24299999999999999</v>
      </c>
    </row>
    <row r="7" spans="1:23" x14ac:dyDescent="0.25">
      <c r="A7" s="6" t="s">
        <v>51</v>
      </c>
      <c r="B7" s="7"/>
      <c r="C7" s="8"/>
      <c r="D7" s="87"/>
      <c r="E7" s="85"/>
      <c r="F7" s="85">
        <v>0</v>
      </c>
      <c r="G7" s="85">
        <v>0</v>
      </c>
      <c r="H7" s="85"/>
      <c r="I7" s="85"/>
      <c r="J7" s="85"/>
      <c r="K7" s="85"/>
      <c r="L7" s="11"/>
      <c r="M7" s="11"/>
      <c r="N7" s="42" t="s">
        <v>15</v>
      </c>
      <c r="O7" s="43"/>
      <c r="P7" s="44">
        <f>D20/D23</f>
        <v>0.19024625396322434</v>
      </c>
      <c r="Q7" s="44">
        <f>E20/E23</f>
        <v>0.19107902555309264</v>
      </c>
      <c r="R7" s="44">
        <f>F20/F23</f>
        <v>0.21830840872479465</v>
      </c>
      <c r="S7" s="44">
        <f>G20/G23</f>
        <v>0.21157418523634766</v>
      </c>
      <c r="T7" s="18"/>
      <c r="U7" s="18"/>
      <c r="V7" s="18"/>
      <c r="W7" s="18"/>
    </row>
    <row r="8" spans="1:23" x14ac:dyDescent="0.25">
      <c r="A8" s="6" t="s">
        <v>52</v>
      </c>
      <c r="B8" s="7"/>
      <c r="C8" s="8"/>
      <c r="D8" s="85">
        <f t="shared" ref="D8:K8" si="0">D5-D6-D7</f>
        <v>6038.760000000002</v>
      </c>
      <c r="E8" s="85">
        <f t="shared" si="0"/>
        <v>17255.5</v>
      </c>
      <c r="F8" s="85">
        <f t="shared" si="0"/>
        <v>6696.5899999999965</v>
      </c>
      <c r="G8" s="85">
        <f t="shared" si="0"/>
        <v>6912.9000000000015</v>
      </c>
      <c r="H8" s="85">
        <f t="shared" si="0"/>
        <v>1276.7199999999993</v>
      </c>
      <c r="I8" s="85">
        <f t="shared" si="0"/>
        <v>1884.2799999999988</v>
      </c>
      <c r="J8" s="85">
        <f t="shared" si="0"/>
        <v>772.29000000000087</v>
      </c>
      <c r="K8" s="85">
        <f t="shared" si="0"/>
        <v>1246.4700000000012</v>
      </c>
      <c r="L8" s="11"/>
      <c r="M8" s="11"/>
      <c r="N8" s="40" t="s">
        <v>16</v>
      </c>
      <c r="O8" s="45"/>
      <c r="P8" s="45"/>
      <c r="Q8" s="45"/>
      <c r="R8" s="46" t="s">
        <v>5</v>
      </c>
      <c r="S8" s="18"/>
      <c r="T8" s="18"/>
      <c r="U8" s="18"/>
      <c r="V8" s="18"/>
      <c r="W8" s="18"/>
    </row>
    <row r="9" spans="1:23" ht="33.75" x14ac:dyDescent="0.25">
      <c r="A9" s="6" t="s">
        <v>24</v>
      </c>
      <c r="B9" s="7"/>
      <c r="C9" s="7"/>
      <c r="D9" s="88">
        <v>27837.67</v>
      </c>
      <c r="E9" s="85">
        <v>31001.360000000001</v>
      </c>
      <c r="F9" s="85">
        <v>28614.76</v>
      </c>
      <c r="G9" s="85">
        <v>26739.21</v>
      </c>
      <c r="H9" s="85">
        <v>7556.12</v>
      </c>
      <c r="I9" s="85">
        <v>8559.69</v>
      </c>
      <c r="J9" s="85">
        <v>9694.18</v>
      </c>
      <c r="K9" s="85">
        <v>10184.75</v>
      </c>
      <c r="L9" s="11"/>
      <c r="M9" s="11"/>
      <c r="N9" s="49" t="s">
        <v>93</v>
      </c>
      <c r="O9" s="45"/>
      <c r="P9" s="50">
        <f>D14/(D11-D9)</f>
        <v>9.5843619462333884E-2</v>
      </c>
      <c r="Q9" s="50">
        <f>E14/(E11-E9)</f>
        <v>5.4004750237583991E-2</v>
      </c>
      <c r="R9" s="50">
        <f>F14/(F11-F9)</f>
        <v>9.2040534466889659E-2</v>
      </c>
      <c r="S9" s="50">
        <f>G14/(G11-G9)</f>
        <v>9.7685628993687379E-2</v>
      </c>
      <c r="T9" s="18"/>
      <c r="U9" s="18"/>
      <c r="V9" s="18"/>
      <c r="W9" s="18"/>
    </row>
    <row r="10" spans="1:23" ht="22.5" x14ac:dyDescent="0.25">
      <c r="A10" s="6" t="s">
        <v>53</v>
      </c>
      <c r="B10" s="10">
        <f t="shared" ref="B10:I10" si="1">B6-B9</f>
        <v>0</v>
      </c>
      <c r="C10" s="10">
        <f t="shared" si="1"/>
        <v>0</v>
      </c>
      <c r="D10" s="89">
        <f t="shared" si="1"/>
        <v>9471.61</v>
      </c>
      <c r="E10" s="89">
        <f t="shared" si="1"/>
        <v>10482.059999999998</v>
      </c>
      <c r="F10" s="89">
        <f t="shared" si="1"/>
        <v>12838.390000000003</v>
      </c>
      <c r="G10" s="89">
        <f t="shared" si="1"/>
        <v>14304.96</v>
      </c>
      <c r="H10" s="89">
        <f t="shared" si="1"/>
        <v>4407.47</v>
      </c>
      <c r="I10" s="89">
        <f t="shared" si="1"/>
        <v>4583.24</v>
      </c>
      <c r="J10" s="89">
        <f>J6-J9</f>
        <v>4763.6499999999996</v>
      </c>
      <c r="K10" s="89">
        <f>K6-K9</f>
        <v>5248.2099999999991</v>
      </c>
      <c r="L10" s="11"/>
      <c r="M10" s="11"/>
      <c r="N10" s="42" t="s">
        <v>92</v>
      </c>
      <c r="O10" s="43"/>
      <c r="P10" s="44">
        <f>D14/D11</f>
        <v>3.4293822742619967E-2</v>
      </c>
      <c r="Q10" s="44">
        <f>E14/E11</f>
        <v>2.5502001058242133E-2</v>
      </c>
      <c r="R10" s="44">
        <f>F14/F11</f>
        <v>3.7342050029761327E-2</v>
      </c>
      <c r="S10" s="44">
        <f>G14/G11</f>
        <v>4.3219487762701098E-2</v>
      </c>
      <c r="T10" s="18"/>
      <c r="U10" s="18"/>
      <c r="V10" s="18"/>
      <c r="W10" s="18"/>
    </row>
    <row r="11" spans="1:23" x14ac:dyDescent="0.25">
      <c r="A11" s="6" t="s">
        <v>1</v>
      </c>
      <c r="B11" s="10">
        <f>B5-B9</f>
        <v>0</v>
      </c>
      <c r="C11" s="10">
        <f t="shared" ref="C11:I11" si="2">SUM(C6:C8)</f>
        <v>0</v>
      </c>
      <c r="D11" s="89">
        <f t="shared" si="2"/>
        <v>43348.04</v>
      </c>
      <c r="E11" s="89">
        <f t="shared" si="2"/>
        <v>58738.92</v>
      </c>
      <c r="F11" s="89">
        <f>SUM(F6:F8)</f>
        <v>48149.74</v>
      </c>
      <c r="G11" s="89">
        <f>SUM(G6:G8)</f>
        <v>47957.07</v>
      </c>
      <c r="H11" s="89">
        <f t="shared" si="2"/>
        <v>13240.31</v>
      </c>
      <c r="I11" s="89">
        <f t="shared" si="2"/>
        <v>15027.21</v>
      </c>
      <c r="J11" s="89">
        <f>SUM(J6:J8)</f>
        <v>15230.12</v>
      </c>
      <c r="K11" s="89">
        <f>SUM(K6:K8)</f>
        <v>16679.43</v>
      </c>
      <c r="L11" s="11"/>
      <c r="M11" s="11"/>
      <c r="N11" s="42" t="s">
        <v>17</v>
      </c>
      <c r="O11" s="43"/>
      <c r="P11" s="44">
        <f>D14/AVERAGE(C22:D22)</f>
        <v>3.2402849703521892E-3</v>
      </c>
      <c r="Q11" s="44">
        <f>E14/AVERAGE(D22:E22)</f>
        <v>3.0481311023578669E-3</v>
      </c>
      <c r="R11" s="44">
        <f>F14/AVERAGE(E22:F22)</f>
        <v>3.2939872590820344E-3</v>
      </c>
      <c r="S11" s="44">
        <f>G14/AVERAGE(F22:G22)</f>
        <v>3.4302802182187022E-3</v>
      </c>
      <c r="T11" s="18"/>
      <c r="U11" s="18"/>
      <c r="V11" s="18"/>
      <c r="W11" s="18"/>
    </row>
    <row r="12" spans="1:23" x14ac:dyDescent="0.25">
      <c r="A12" s="6" t="s">
        <v>91</v>
      </c>
      <c r="B12" s="10"/>
      <c r="C12" s="10"/>
      <c r="D12" s="89">
        <v>29.97</v>
      </c>
      <c r="E12" s="89">
        <v>24.42</v>
      </c>
      <c r="F12" s="89">
        <v>26.12</v>
      </c>
      <c r="G12" s="89">
        <v>33.130000000000003</v>
      </c>
      <c r="H12" s="89">
        <v>8.42</v>
      </c>
      <c r="I12" s="89">
        <v>8.7799999999999994</v>
      </c>
      <c r="J12" s="89">
        <v>16.690000000000001</v>
      </c>
      <c r="K12" s="89">
        <v>12.69</v>
      </c>
      <c r="L12" s="11"/>
      <c r="M12" s="11"/>
      <c r="N12" s="40" t="s">
        <v>18</v>
      </c>
      <c r="O12" s="45"/>
      <c r="P12" s="45"/>
      <c r="Q12" s="45"/>
      <c r="R12" s="46" t="s">
        <v>5</v>
      </c>
      <c r="S12" s="18"/>
      <c r="T12" s="18"/>
      <c r="U12" s="18"/>
      <c r="V12" s="53"/>
      <c r="W12" s="54"/>
    </row>
    <row r="13" spans="1:23" x14ac:dyDescent="0.25">
      <c r="A13" s="6" t="s">
        <v>25</v>
      </c>
      <c r="B13" s="7"/>
      <c r="C13" s="7"/>
      <c r="D13" s="88">
        <f t="shared" ref="D13:K13" si="3">D11+D12</f>
        <v>43378.01</v>
      </c>
      <c r="E13" s="88">
        <f t="shared" si="3"/>
        <v>58763.34</v>
      </c>
      <c r="F13" s="88">
        <f t="shared" si="3"/>
        <v>48175.86</v>
      </c>
      <c r="G13" s="88">
        <f t="shared" si="3"/>
        <v>47990.2</v>
      </c>
      <c r="H13" s="88">
        <f t="shared" si="3"/>
        <v>13248.73</v>
      </c>
      <c r="I13" s="88">
        <f t="shared" si="3"/>
        <v>15035.99</v>
      </c>
      <c r="J13" s="88">
        <f t="shared" si="3"/>
        <v>15246.810000000001</v>
      </c>
      <c r="K13" s="88">
        <f t="shared" si="3"/>
        <v>16692.12</v>
      </c>
      <c r="L13" s="11"/>
      <c r="M13" s="11"/>
      <c r="N13" s="42" t="s">
        <v>19</v>
      </c>
      <c r="O13" s="43"/>
      <c r="P13" s="44">
        <f>D24/D23</f>
        <v>1.1891283933928742E-2</v>
      </c>
      <c r="Q13" s="44">
        <f>E24/E23</f>
        <v>1.9773398592636691E-2</v>
      </c>
      <c r="R13" s="44">
        <f>F24/F23</f>
        <v>2.3310888867050107E-2</v>
      </c>
      <c r="S13" s="44">
        <f>G24/G23</f>
        <v>2.2652835301871801E-2</v>
      </c>
      <c r="T13" s="48"/>
      <c r="U13" s="48">
        <v>1.9E-2</v>
      </c>
      <c r="V13" s="48">
        <v>1.7999999999999999E-2</v>
      </c>
      <c r="W13" s="48">
        <v>1.4E-2</v>
      </c>
    </row>
    <row r="14" spans="1:23" x14ac:dyDescent="0.25">
      <c r="A14" s="6" t="s">
        <v>26</v>
      </c>
      <c r="B14" s="7"/>
      <c r="C14" s="7"/>
      <c r="D14" s="85">
        <f>716.53+66.53+107.57+595.94</f>
        <v>1486.57</v>
      </c>
      <c r="E14" s="85">
        <f>592.92+147.74+40.37+716.93</f>
        <v>1497.96</v>
      </c>
      <c r="F14" s="85">
        <f>914.11+158.78+725.12</f>
        <v>1798.0100000000002</v>
      </c>
      <c r="G14" s="85">
        <f>1060.79+172.29+839.6</f>
        <v>2072.6799999999998</v>
      </c>
      <c r="H14" s="85">
        <f>283.23+53.76+251.8</f>
        <v>588.79</v>
      </c>
      <c r="I14" s="85">
        <f>266.99+57.88+264.37</f>
        <v>589.24</v>
      </c>
      <c r="J14" s="85">
        <f>234.76+66.31+269.76</f>
        <v>570.82999999999993</v>
      </c>
      <c r="K14" s="85">
        <f>240.27+97.91+332.83</f>
        <v>671.01</v>
      </c>
      <c r="L14" s="11"/>
      <c r="M14" s="11"/>
      <c r="N14" s="42" t="s">
        <v>20</v>
      </c>
      <c r="O14" s="43"/>
      <c r="P14" s="44">
        <f>D25/D23</f>
        <v>8.4399911796907805E-3</v>
      </c>
      <c r="Q14" s="44">
        <f>E25/E23</f>
        <v>1.4745551790368284E-2</v>
      </c>
      <c r="R14" s="44">
        <f>F25/F23</f>
        <v>1.1155512695886034E-2</v>
      </c>
      <c r="S14" s="44">
        <f>G25/G23</f>
        <v>1.0352498311423314E-2</v>
      </c>
      <c r="T14" s="48"/>
      <c r="U14" s="48">
        <v>8.9999999999999993E-3</v>
      </c>
      <c r="V14" s="48">
        <v>8.0000000000000002E-3</v>
      </c>
      <c r="W14" s="48">
        <v>7.0000000000000001E-3</v>
      </c>
    </row>
    <row r="15" spans="1:23" x14ac:dyDescent="0.25">
      <c r="A15" s="6" t="s">
        <v>54</v>
      </c>
      <c r="B15" s="10"/>
      <c r="C15" s="10"/>
      <c r="D15" s="89">
        <f t="shared" ref="D15:I15" si="4">D11-D14</f>
        <v>41861.47</v>
      </c>
      <c r="E15" s="89">
        <f t="shared" si="4"/>
        <v>57240.959999999999</v>
      </c>
      <c r="F15" s="89">
        <f t="shared" si="4"/>
        <v>46351.729999999996</v>
      </c>
      <c r="G15" s="89">
        <f t="shared" si="4"/>
        <v>45884.39</v>
      </c>
      <c r="H15" s="89">
        <f t="shared" si="4"/>
        <v>12651.52</v>
      </c>
      <c r="I15" s="89">
        <f t="shared" si="4"/>
        <v>14437.97</v>
      </c>
      <c r="J15" s="89">
        <f>J11-J14</f>
        <v>14659.29</v>
      </c>
      <c r="K15" s="89">
        <f>K11-K14</f>
        <v>16008.42</v>
      </c>
      <c r="L15" s="11"/>
      <c r="M15" s="11"/>
      <c r="N15" s="42" t="s">
        <v>21</v>
      </c>
      <c r="O15" s="43"/>
      <c r="P15" s="44">
        <f>(P13-P14)/P13</f>
        <v>0.29023718325239711</v>
      </c>
      <c r="Q15" s="44">
        <f>(Q13-Q14)/Q13</f>
        <v>0.25427327420288282</v>
      </c>
      <c r="R15" s="44">
        <f>(R13-R14)/R13</f>
        <v>0.52144627519312114</v>
      </c>
      <c r="S15" s="44">
        <f>(S13-S14)/S13</f>
        <v>0.54299326448694529</v>
      </c>
      <c r="T15" s="44" t="e">
        <f>(T13-T14)/T13</f>
        <v>#DIV/0!</v>
      </c>
      <c r="U15" s="18"/>
      <c r="V15" s="18"/>
      <c r="W15" s="18"/>
    </row>
    <row r="16" spans="1:23" x14ac:dyDescent="0.25">
      <c r="A16" s="6" t="s">
        <v>94</v>
      </c>
      <c r="B16" s="10"/>
      <c r="C16" s="10"/>
      <c r="D16" s="89">
        <f t="shared" ref="D16:I16" si="5">D13-D14-D9</f>
        <v>14053.770000000004</v>
      </c>
      <c r="E16" s="89">
        <f t="shared" si="5"/>
        <v>26264.019999999997</v>
      </c>
      <c r="F16" s="89">
        <f t="shared" si="5"/>
        <v>17763.09</v>
      </c>
      <c r="G16" s="89">
        <f t="shared" si="5"/>
        <v>19178.309999999998</v>
      </c>
      <c r="H16" s="89">
        <f t="shared" si="5"/>
        <v>5103.8199999999988</v>
      </c>
      <c r="I16" s="89">
        <f t="shared" si="5"/>
        <v>5887.0599999999995</v>
      </c>
      <c r="J16" s="89">
        <f>J13-J14-J9</f>
        <v>4981.8000000000011</v>
      </c>
      <c r="K16" s="89">
        <f>K13-K14-K9</f>
        <v>5836.3599999999988</v>
      </c>
      <c r="L16" s="11"/>
      <c r="M16" s="11"/>
      <c r="N16" s="42" t="s">
        <v>22</v>
      </c>
      <c r="O16" s="43"/>
      <c r="P16" s="44">
        <f>D17/AVERAGE(C23:D23)</f>
        <v>2.2995173768010817E-3</v>
      </c>
      <c r="Q16" s="44">
        <f>E17/AVERAGE(D23:E23)</f>
        <v>1.3791328943614897E-2</v>
      </c>
      <c r="R16" s="44">
        <f>F17/AVERAGE(E23:F23)</f>
        <v>6.2115413957883449E-3</v>
      </c>
      <c r="S16" s="44">
        <f>G17/AVERAGE(F23:G23)</f>
        <v>3.622518157872266E-3</v>
      </c>
      <c r="T16" s="18"/>
      <c r="U16" s="18"/>
      <c r="V16" s="18"/>
      <c r="W16" s="48">
        <v>2.7000000000000001E-3</v>
      </c>
    </row>
    <row r="17" spans="1:23" x14ac:dyDescent="0.25">
      <c r="A17" s="6" t="s">
        <v>27</v>
      </c>
      <c r="B17" s="7"/>
      <c r="C17" s="7"/>
      <c r="D17" s="88">
        <v>935</v>
      </c>
      <c r="E17" s="85">
        <v>5913.1</v>
      </c>
      <c r="F17" s="85">
        <v>2948</v>
      </c>
      <c r="G17" s="85">
        <v>1932</v>
      </c>
      <c r="H17" s="85">
        <v>514</v>
      </c>
      <c r="I17" s="85">
        <v>473</v>
      </c>
      <c r="J17" s="85">
        <v>370</v>
      </c>
      <c r="K17" s="85">
        <v>438</v>
      </c>
      <c r="L17" s="11"/>
      <c r="M17" s="11"/>
      <c r="N17" s="18"/>
      <c r="O17" s="18"/>
      <c r="P17" s="18"/>
      <c r="Q17" s="18"/>
      <c r="R17" s="18"/>
      <c r="S17" s="18"/>
      <c r="T17" s="18"/>
      <c r="U17" s="18"/>
      <c r="V17" s="18"/>
      <c r="W17" s="18"/>
    </row>
    <row r="18" spans="1:23" x14ac:dyDescent="0.25">
      <c r="A18" s="6" t="s">
        <v>55</v>
      </c>
      <c r="B18" s="7"/>
      <c r="C18" s="7"/>
      <c r="D18" s="88">
        <v>9632.4599999999991</v>
      </c>
      <c r="E18" s="85">
        <v>17769.650000000001</v>
      </c>
      <c r="F18" s="89">
        <v>12027.3</v>
      </c>
      <c r="G18" s="89">
        <v>13742.18</v>
      </c>
      <c r="H18" s="89">
        <v>3668.82</v>
      </c>
      <c r="I18" s="89">
        <v>4454.24</v>
      </c>
      <c r="J18" s="89">
        <v>3690.8</v>
      </c>
      <c r="K18" s="89">
        <v>4425.5</v>
      </c>
      <c r="L18" s="11"/>
      <c r="M18" s="11"/>
      <c r="N18" s="40" t="s">
        <v>30</v>
      </c>
      <c r="O18" s="45"/>
      <c r="P18" s="45"/>
      <c r="Q18" s="45"/>
      <c r="R18" s="46" t="s">
        <v>5</v>
      </c>
      <c r="S18" s="18"/>
      <c r="T18" s="18"/>
      <c r="U18" s="18"/>
      <c r="V18" s="18"/>
      <c r="W18" s="18"/>
    </row>
    <row r="19" spans="1:23" ht="22.5" x14ac:dyDescent="0.25">
      <c r="A19" s="6" t="s">
        <v>28</v>
      </c>
      <c r="B19" s="7"/>
      <c r="C19" s="7"/>
      <c r="D19" s="88">
        <v>77355.47</v>
      </c>
      <c r="E19" s="85">
        <v>86158.06</v>
      </c>
      <c r="F19" s="85">
        <v>108782.65</v>
      </c>
      <c r="G19" s="85">
        <v>120251</v>
      </c>
      <c r="H19" s="85">
        <v>118340.95</v>
      </c>
      <c r="I19" s="85">
        <v>123440.59</v>
      </c>
      <c r="J19" s="85"/>
      <c r="K19" s="85">
        <v>133984.74</v>
      </c>
      <c r="L19" s="11"/>
      <c r="M19" s="11"/>
      <c r="N19" s="46" t="s">
        <v>95</v>
      </c>
      <c r="O19" s="51"/>
      <c r="P19" s="51"/>
      <c r="Q19" s="52">
        <f>E16/AVERAGE(D22:E22)</f>
        <v>5.3443467272122784E-2</v>
      </c>
      <c r="R19" s="52">
        <f>F16/AVERAGE(E22:F22)</f>
        <v>3.2542306295252801E-2</v>
      </c>
      <c r="S19" s="52">
        <f>G16/AVERAGE(F22:G22)</f>
        <v>3.1740055103472754E-2</v>
      </c>
      <c r="T19" s="18"/>
      <c r="U19" s="18"/>
      <c r="V19" s="18"/>
      <c r="W19" s="18"/>
    </row>
    <row r="20" spans="1:23" x14ac:dyDescent="0.25">
      <c r="A20" s="6" t="s">
        <v>56</v>
      </c>
      <c r="B20" s="7"/>
      <c r="C20" s="7"/>
      <c r="D20" s="88">
        <f t="shared" ref="D20:K20" si="6">D19-D71</f>
        <v>77355.47</v>
      </c>
      <c r="E20" s="89">
        <f t="shared" si="6"/>
        <v>86158.06</v>
      </c>
      <c r="F20" s="89">
        <f t="shared" si="6"/>
        <v>108782.65</v>
      </c>
      <c r="G20" s="89">
        <f t="shared" si="6"/>
        <v>120251</v>
      </c>
      <c r="H20" s="89">
        <f t="shared" si="6"/>
        <v>118340.95</v>
      </c>
      <c r="I20" s="89">
        <f t="shared" si="6"/>
        <v>123440.59</v>
      </c>
      <c r="J20" s="89">
        <f t="shared" si="6"/>
        <v>0</v>
      </c>
      <c r="K20" s="89">
        <f t="shared" si="6"/>
        <v>133984.74</v>
      </c>
      <c r="L20" s="11"/>
      <c r="M20" s="11"/>
      <c r="N20" s="42" t="s">
        <v>31</v>
      </c>
      <c r="O20" s="43"/>
      <c r="P20" s="43">
        <v>4.4699999999999997E-2</v>
      </c>
      <c r="Q20" s="44">
        <f>E18/AVERAGE(D22:E22)</f>
        <v>3.6158657669773206E-2</v>
      </c>
      <c r="R20" s="44">
        <f>F18/AVERAGE(E22:F22)</f>
        <v>2.2034233937051156E-2</v>
      </c>
      <c r="S20" s="44">
        <f>G18/AVERAGE(F22:G22)</f>
        <v>2.2743273544010983E-2</v>
      </c>
      <c r="T20" s="48"/>
      <c r="U20" s="18"/>
      <c r="V20" s="18"/>
      <c r="W20" s="18"/>
    </row>
    <row r="21" spans="1:23" x14ac:dyDescent="0.25">
      <c r="A21" s="6" t="s">
        <v>57</v>
      </c>
      <c r="B21" s="9"/>
      <c r="C21" s="9"/>
      <c r="D21" s="85">
        <f>177566.91+77548.54+105598.94+5500</f>
        <v>366214.39</v>
      </c>
      <c r="E21" s="85">
        <f>176868.71+104908.64+132324.29+5000</f>
        <v>419101.64</v>
      </c>
      <c r="F21" s="85">
        <f>182054.73+105179.18+150131.13+4000</f>
        <v>441365.04000000004</v>
      </c>
      <c r="G21" s="85">
        <f>195929.63+139851.75+160899.76+3000</f>
        <v>499681.14</v>
      </c>
      <c r="H21" s="85"/>
      <c r="I21" s="85">
        <f>219199.16+143950.98+162883.46+3000</f>
        <v>529033.6</v>
      </c>
      <c r="J21" s="85"/>
      <c r="K21" s="85">
        <f>253155.94+159954.87+152111.07+3000</f>
        <v>568221.88</v>
      </c>
      <c r="L21" s="11"/>
      <c r="M21" s="11"/>
      <c r="N21" s="42" t="s">
        <v>32</v>
      </c>
      <c r="O21" s="43"/>
      <c r="P21" s="44">
        <f>D18/AVERAGE(C19:D19)</f>
        <v>0.12452202798328288</v>
      </c>
      <c r="Q21" s="44">
        <f>E18/AVERAGE(D19:E19)</f>
        <v>0.21734776320956439</v>
      </c>
      <c r="R21" s="44">
        <f>F18/AVERAGE(E19:F19)</f>
        <v>0.12339444131500291</v>
      </c>
      <c r="S21" s="44">
        <f>G18/AVERAGE(F19:G19)</f>
        <v>0.12000140590694862</v>
      </c>
      <c r="T21" s="18"/>
      <c r="U21" s="18"/>
      <c r="V21" s="18"/>
      <c r="W21" s="18"/>
    </row>
    <row r="22" spans="1:23" x14ac:dyDescent="0.25">
      <c r="A22" s="6" t="s">
        <v>29</v>
      </c>
      <c r="B22" s="7"/>
      <c r="C22" s="7"/>
      <c r="D22" s="88">
        <v>458777.55</v>
      </c>
      <c r="E22" s="85">
        <v>524093.56</v>
      </c>
      <c r="F22" s="85">
        <v>567598.57999999996</v>
      </c>
      <c r="G22" s="85">
        <v>640862.46</v>
      </c>
      <c r="H22" s="85"/>
      <c r="I22" s="85">
        <v>679782</v>
      </c>
      <c r="J22" s="85"/>
      <c r="K22" s="85">
        <v>726774.47</v>
      </c>
      <c r="L22" s="11"/>
      <c r="M22" s="11"/>
      <c r="N22" s="40" t="s">
        <v>33</v>
      </c>
      <c r="O22" s="45"/>
      <c r="P22" s="45"/>
      <c r="Q22" s="45"/>
      <c r="R22" s="46" t="s">
        <v>5</v>
      </c>
      <c r="S22" s="18"/>
      <c r="T22" s="18"/>
      <c r="U22" s="18"/>
      <c r="V22" s="18"/>
      <c r="W22" s="18"/>
    </row>
    <row r="23" spans="1:23" x14ac:dyDescent="0.25">
      <c r="A23" s="6" t="s">
        <v>58</v>
      </c>
      <c r="B23" s="7"/>
      <c r="C23" s="7"/>
      <c r="D23" s="88">
        <v>406607.06</v>
      </c>
      <c r="E23" s="85">
        <v>450902.76</v>
      </c>
      <c r="F23" s="85">
        <v>498298.03</v>
      </c>
      <c r="G23" s="85">
        <v>568363.29</v>
      </c>
      <c r="H23" s="85"/>
      <c r="I23" s="85">
        <v>582127.61</v>
      </c>
      <c r="J23" s="85"/>
      <c r="K23" s="85">
        <v>608362.68000000005</v>
      </c>
      <c r="L23" s="11"/>
      <c r="M23" s="11"/>
      <c r="N23" s="42" t="s">
        <v>34</v>
      </c>
      <c r="O23" s="43"/>
      <c r="P23" s="44">
        <f>D6/AVERAGE(C23:D23)</f>
        <v>9.1757580402071715E-2</v>
      </c>
      <c r="Q23" s="44">
        <f>E6/AVERAGE(D23:E23)</f>
        <v>9.6753224353745587E-2</v>
      </c>
      <c r="R23" s="44">
        <f>F6/AVERAGE(E23:F23)</f>
        <v>8.7343269067443566E-2</v>
      </c>
      <c r="S23" s="44">
        <f>G6/AVERAGE(F23:G23)</f>
        <v>7.6958204503000061E-2</v>
      </c>
      <c r="T23" s="18"/>
      <c r="U23" s="18"/>
      <c r="V23" s="18"/>
      <c r="W23" s="18"/>
    </row>
    <row r="24" spans="1:23" x14ac:dyDescent="0.25">
      <c r="A24" s="6" t="s">
        <v>59</v>
      </c>
      <c r="B24" s="10"/>
      <c r="C24" s="10"/>
      <c r="D24" s="89">
        <v>4835.08</v>
      </c>
      <c r="E24" s="89">
        <v>8915.8799999999992</v>
      </c>
      <c r="F24" s="89">
        <v>11615.77</v>
      </c>
      <c r="G24" s="89">
        <v>12875.04</v>
      </c>
      <c r="H24" s="89"/>
      <c r="I24" s="89"/>
      <c r="J24" s="89"/>
      <c r="K24" s="89"/>
      <c r="L24" s="11"/>
      <c r="M24" s="11"/>
      <c r="N24" s="42" t="s">
        <v>35</v>
      </c>
      <c r="O24" s="43"/>
      <c r="P24" s="44">
        <f>D9/AVERAGE(C21:D21)</f>
        <v>7.6014680908633864E-2</v>
      </c>
      <c r="Q24" s="44">
        <f>E9/AVERAGE(D21:E21)</f>
        <v>7.8952571488958401E-2</v>
      </c>
      <c r="R24" s="44">
        <f>F9/AVERAGE(E21:F21)</f>
        <v>6.6509861834510534E-2</v>
      </c>
      <c r="S24" s="44">
        <f>G9/AVERAGE(F21:G21)</f>
        <v>5.6828688258423188E-2</v>
      </c>
      <c r="T24" s="18"/>
      <c r="U24" s="18"/>
      <c r="V24" s="18"/>
      <c r="W24" s="18"/>
    </row>
    <row r="25" spans="1:23" x14ac:dyDescent="0.25">
      <c r="A25" s="6" t="s">
        <v>60</v>
      </c>
      <c r="B25" s="10"/>
      <c r="C25" s="10"/>
      <c r="D25" s="89">
        <v>3431.76</v>
      </c>
      <c r="E25" s="89">
        <v>6648.81</v>
      </c>
      <c r="F25" s="89">
        <v>5558.77</v>
      </c>
      <c r="G25" s="89">
        <v>5883.98</v>
      </c>
      <c r="H25" s="89"/>
      <c r="I25" s="89"/>
      <c r="J25" s="89"/>
      <c r="K25" s="89"/>
      <c r="L25" s="11"/>
      <c r="M25" s="11"/>
      <c r="N25" s="42" t="s">
        <v>36</v>
      </c>
      <c r="O25" s="43"/>
      <c r="P25" s="48">
        <f>P23-P24</f>
        <v>1.5742899493437851E-2</v>
      </c>
      <c r="Q25" s="48">
        <f>Q23-Q24</f>
        <v>1.7800652864787186E-2</v>
      </c>
      <c r="R25" s="48">
        <f>R23-R24</f>
        <v>2.0833407232933032E-2</v>
      </c>
      <c r="S25" s="48">
        <f>S23-S24</f>
        <v>2.0129516244576873E-2</v>
      </c>
      <c r="T25" s="18"/>
      <c r="U25" s="18"/>
      <c r="V25" s="18"/>
      <c r="W25" s="18"/>
    </row>
  </sheetData>
  <mergeCells count="2">
    <mergeCell ref="A2:A4"/>
    <mergeCell ref="I1:K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L31"/>
  <sheetViews>
    <sheetView topLeftCell="T1" zoomScale="95" zoomScaleNormal="95" workbookViewId="0">
      <selection activeCell="AC3" sqref="AC3"/>
    </sheetView>
  </sheetViews>
  <sheetFormatPr defaultRowHeight="15" x14ac:dyDescent="0.25"/>
  <cols>
    <col min="1" max="1" width="34.42578125" customWidth="1"/>
    <col min="2" max="3" width="0" hidden="1" customWidth="1"/>
    <col min="4" max="4" width="14" customWidth="1"/>
    <col min="5" max="5" width="15.140625" customWidth="1"/>
    <col min="6" max="6" width="12.85546875" customWidth="1"/>
    <col min="7" max="9" width="13.42578125" customWidth="1"/>
    <col min="13" max="13" width="10.140625" bestFit="1" customWidth="1"/>
    <col min="19" max="19" width="29.140625" customWidth="1"/>
    <col min="21" max="21" width="15.28515625" customWidth="1"/>
    <col min="22" max="22" width="13.28515625" customWidth="1"/>
    <col min="23" max="23" width="14.28515625" customWidth="1"/>
    <col min="24" max="26" width="13.42578125" customWidth="1"/>
    <col min="36" max="36" width="50.5703125" customWidth="1"/>
    <col min="37" max="37" width="41.5703125" customWidth="1"/>
  </cols>
  <sheetData>
    <row r="1" spans="1:37" x14ac:dyDescent="0.25">
      <c r="K1" s="772" t="s">
        <v>117</v>
      </c>
      <c r="L1" s="772"/>
      <c r="M1" s="772"/>
    </row>
    <row r="2" spans="1:37"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682</v>
      </c>
      <c r="O2" s="11" t="s">
        <v>683</v>
      </c>
      <c r="P2" s="11"/>
      <c r="Q2" s="11"/>
      <c r="R2" s="11"/>
      <c r="S2" s="40" t="s">
        <v>6</v>
      </c>
      <c r="T2" s="41" t="s">
        <v>7</v>
      </c>
      <c r="U2" s="41" t="s">
        <v>8</v>
      </c>
      <c r="V2" s="41" t="s">
        <v>9</v>
      </c>
      <c r="W2" s="40" t="s">
        <v>10</v>
      </c>
      <c r="X2" s="41" t="s">
        <v>90</v>
      </c>
      <c r="Y2" s="41" t="s">
        <v>492</v>
      </c>
      <c r="Z2" s="41" t="s">
        <v>623</v>
      </c>
      <c r="AA2" s="40" t="s">
        <v>37</v>
      </c>
      <c r="AB2" s="41" t="s">
        <v>38</v>
      </c>
      <c r="AC2" s="41" t="s">
        <v>39</v>
      </c>
      <c r="AD2" s="41" t="s">
        <v>40</v>
      </c>
      <c r="AE2" s="11" t="s">
        <v>682</v>
      </c>
      <c r="AF2" s="11" t="s">
        <v>683</v>
      </c>
      <c r="AG2" s="11"/>
      <c r="AH2" s="11"/>
      <c r="AJ2" s="438" t="s">
        <v>662</v>
      </c>
      <c r="AK2" s="408" t="s">
        <v>663</v>
      </c>
    </row>
    <row r="3" spans="1:37"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-0.1136540916182102</v>
      </c>
      <c r="V3" s="44">
        <f t="shared" si="0"/>
        <v>-0.1310461192350956</v>
      </c>
      <c r="W3" s="44">
        <f t="shared" si="0"/>
        <v>-0.10177687440579616</v>
      </c>
      <c r="X3" s="44">
        <f t="shared" si="0"/>
        <v>-1.085007210232402E-2</v>
      </c>
      <c r="Y3" s="44">
        <f t="shared" si="0"/>
        <v>9.3352442604693664E-2</v>
      </c>
      <c r="Z3" s="44">
        <f t="shared" si="0"/>
        <v>7.3769020190789403E-2</v>
      </c>
      <c r="AA3" s="44">
        <f t="shared" ref="AA3:AF3" si="1">(J10*4)/J23</f>
        <v>8.9235547183259933E-2</v>
      </c>
      <c r="AB3" s="422" t="e">
        <f t="shared" si="1"/>
        <v>#DIV/0!</v>
      </c>
      <c r="AC3" s="44">
        <f t="shared" si="1"/>
        <v>9.761549999999998E-2</v>
      </c>
      <c r="AD3" s="44">
        <f t="shared" si="1"/>
        <v>9.3998833071317692E-2</v>
      </c>
      <c r="AE3" s="44">
        <f t="shared" si="1"/>
        <v>9.7689031345982322E-2</v>
      </c>
      <c r="AF3" s="44">
        <f t="shared" si="1"/>
        <v>9.4716908822435386E-2</v>
      </c>
      <c r="AG3" s="44">
        <f t="shared" ref="AG3:AH3" si="2">(P10*4)/P23</f>
        <v>9.822208039259242E-2</v>
      </c>
      <c r="AH3" s="44">
        <f t="shared" si="2"/>
        <v>9.8346281702843319E-2</v>
      </c>
      <c r="AJ3" s="774" t="s">
        <v>664</v>
      </c>
      <c r="AK3" s="774"/>
    </row>
    <row r="4" spans="1:37"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74" t="s">
        <v>665</v>
      </c>
      <c r="AK4" s="774"/>
    </row>
    <row r="5" spans="1:37" x14ac:dyDescent="0.25">
      <c r="A5" s="6" t="s">
        <v>23</v>
      </c>
      <c r="B5" s="7"/>
      <c r="C5" s="8"/>
      <c r="D5">
        <v>482.11</v>
      </c>
      <c r="E5">
        <v>475.44</v>
      </c>
      <c r="F5" s="85">
        <v>171.26</v>
      </c>
      <c r="G5" s="90">
        <v>335.87</v>
      </c>
      <c r="H5" s="90">
        <v>12898.2</v>
      </c>
      <c r="I5" s="90">
        <v>13574.43</v>
      </c>
      <c r="J5" s="85">
        <v>3157.54</v>
      </c>
      <c r="K5" s="85">
        <v>3213.77</v>
      </c>
      <c r="L5" s="85">
        <v>3533.38</v>
      </c>
      <c r="M5" s="85">
        <v>3215.96</v>
      </c>
      <c r="N5" s="11">
        <v>3669.74</v>
      </c>
      <c r="O5" s="11">
        <v>3782.09</v>
      </c>
      <c r="P5" s="11">
        <v>4015.2</v>
      </c>
      <c r="Q5" s="11">
        <v>4095.09</v>
      </c>
      <c r="R5" s="11"/>
      <c r="S5" s="42" t="s">
        <v>13</v>
      </c>
      <c r="T5" s="46"/>
      <c r="U5" s="47">
        <f t="shared" ref="U5:Z5" si="3">D21/D20</f>
        <v>0.28092869411967536</v>
      </c>
      <c r="V5" s="47">
        <f t="shared" si="3"/>
        <v>0.44118753067298927</v>
      </c>
      <c r="W5" s="47">
        <f t="shared" si="3"/>
        <v>0.16105116214014345</v>
      </c>
      <c r="X5" s="47">
        <f t="shared" si="3"/>
        <v>9.2998661181265749E-3</v>
      </c>
      <c r="Y5" s="47">
        <f t="shared" si="3"/>
        <v>3.8953080936861477</v>
      </c>
      <c r="Z5" s="47">
        <f t="shared" si="3"/>
        <v>3.2998923041902204</v>
      </c>
      <c r="AA5" s="18"/>
      <c r="AB5" s="18"/>
      <c r="AC5" s="18"/>
      <c r="AD5" s="18"/>
      <c r="AJ5" s="774" t="s">
        <v>666</v>
      </c>
      <c r="AK5" s="774"/>
    </row>
    <row r="6" spans="1:37" x14ac:dyDescent="0.25">
      <c r="A6" s="6" t="s">
        <v>50</v>
      </c>
      <c r="B6" s="7"/>
      <c r="C6" s="8"/>
      <c r="D6">
        <v>137.94</v>
      </c>
      <c r="E6">
        <v>88.91</v>
      </c>
      <c r="F6" s="85">
        <v>68.78</v>
      </c>
      <c r="G6" s="85">
        <v>60.21</v>
      </c>
      <c r="H6" s="85">
        <v>9358.8700000000008</v>
      </c>
      <c r="I6" s="85">
        <v>11150.11</v>
      </c>
      <c r="J6" s="85">
        <v>3116.48</v>
      </c>
      <c r="K6" s="85">
        <v>3168.51</v>
      </c>
      <c r="L6" s="85">
        <v>3305.74</v>
      </c>
      <c r="M6" s="85">
        <v>3210.7</v>
      </c>
      <c r="N6" s="11">
        <v>3322.06</v>
      </c>
      <c r="O6" s="11">
        <v>3452.15</v>
      </c>
      <c r="P6" s="11">
        <v>3653.91</v>
      </c>
      <c r="Q6" s="11">
        <v>3806.32</v>
      </c>
      <c r="R6" s="11"/>
      <c r="S6" s="42" t="s">
        <v>14</v>
      </c>
      <c r="T6" s="43"/>
      <c r="U6" s="43"/>
      <c r="V6" s="43">
        <v>0.216</v>
      </c>
      <c r="W6" s="43">
        <v>0.23799999999999999</v>
      </c>
      <c r="X6" s="48">
        <v>0.2288</v>
      </c>
      <c r="Y6" s="48">
        <v>0.9889</v>
      </c>
      <c r="Z6" s="48">
        <v>0.22839999999999999</v>
      </c>
      <c r="AA6" s="48"/>
      <c r="AB6" s="18"/>
      <c r="AC6" s="18"/>
      <c r="AD6" s="18"/>
      <c r="AF6" s="80">
        <v>0.221</v>
      </c>
      <c r="AG6" s="80">
        <v>0.22159999999999999</v>
      </c>
      <c r="AH6" s="80">
        <v>0.2248</v>
      </c>
      <c r="AJ6" s="775" t="s">
        <v>667</v>
      </c>
      <c r="AK6" s="432" t="s">
        <v>668</v>
      </c>
    </row>
    <row r="7" spans="1:37" x14ac:dyDescent="0.25">
      <c r="A7" s="6" t="s">
        <v>51</v>
      </c>
      <c r="B7" s="7"/>
      <c r="C7" s="8"/>
      <c r="D7" s="87"/>
      <c r="E7" s="85"/>
      <c r="F7" s="85">
        <v>0</v>
      </c>
      <c r="G7" s="85">
        <v>0</v>
      </c>
      <c r="H7" s="85"/>
      <c r="I7" s="85"/>
      <c r="J7" s="85"/>
      <c r="K7" s="85"/>
      <c r="L7" s="85"/>
      <c r="M7" s="85"/>
      <c r="N7" s="11"/>
      <c r="O7" s="11"/>
      <c r="P7" s="11"/>
      <c r="Q7" s="11"/>
      <c r="R7" s="11"/>
      <c r="S7" s="42" t="s">
        <v>15</v>
      </c>
      <c r="T7" s="43"/>
      <c r="U7" s="44">
        <f t="shared" ref="U7:Z7" si="4">D20/D23</f>
        <v>13.881630265210608</v>
      </c>
      <c r="V7" s="44">
        <f t="shared" si="4"/>
        <v>6.8645869793489682</v>
      </c>
      <c r="W7" s="44">
        <f t="shared" si="4"/>
        <v>8.4861650635096808</v>
      </c>
      <c r="X7" s="44">
        <f t="shared" si="4"/>
        <v>9.7969786261267142</v>
      </c>
      <c r="Y7" s="44">
        <f t="shared" si="4"/>
        <v>0.28366665757429188</v>
      </c>
      <c r="Z7" s="44">
        <f t="shared" si="4"/>
        <v>0.28509259963723915</v>
      </c>
      <c r="AA7" s="18"/>
      <c r="AB7" s="18"/>
      <c r="AC7" s="18"/>
      <c r="AD7" s="18"/>
      <c r="AJ7" s="775"/>
      <c r="AK7" s="432" t="s">
        <v>669</v>
      </c>
    </row>
    <row r="8" spans="1:37" x14ac:dyDescent="0.25">
      <c r="A8" s="6" t="s">
        <v>52</v>
      </c>
      <c r="B8" s="7"/>
      <c r="C8" s="8"/>
      <c r="D8" s="85">
        <f t="shared" ref="D8:Q8" si="5">D5-D6-D7</f>
        <v>344.17</v>
      </c>
      <c r="E8" s="85">
        <f t="shared" si="5"/>
        <v>386.53</v>
      </c>
      <c r="F8" s="85">
        <f t="shared" si="5"/>
        <v>102.47999999999999</v>
      </c>
      <c r="G8" s="85">
        <f t="shared" si="5"/>
        <v>275.66000000000003</v>
      </c>
      <c r="H8" s="85">
        <f t="shared" si="5"/>
        <v>3539.33</v>
      </c>
      <c r="I8" s="85">
        <f t="shared" si="5"/>
        <v>2424.3199999999997</v>
      </c>
      <c r="J8" s="85">
        <f t="shared" si="5"/>
        <v>41.059999999999945</v>
      </c>
      <c r="K8" s="85">
        <f t="shared" si="5"/>
        <v>45.259999999999764</v>
      </c>
      <c r="L8" s="85">
        <f t="shared" si="5"/>
        <v>227.64000000000033</v>
      </c>
      <c r="M8" s="85">
        <f t="shared" si="5"/>
        <v>5.2600000000002183</v>
      </c>
      <c r="N8" s="85">
        <f t="shared" si="5"/>
        <v>347.67999999999984</v>
      </c>
      <c r="O8" s="85">
        <f t="shared" si="5"/>
        <v>329.94000000000005</v>
      </c>
      <c r="P8" s="85">
        <f t="shared" si="5"/>
        <v>361.28999999999996</v>
      </c>
      <c r="Q8" s="85">
        <f t="shared" si="5"/>
        <v>288.77</v>
      </c>
      <c r="R8" s="11"/>
      <c r="S8" s="40" t="s">
        <v>16</v>
      </c>
      <c r="T8" s="45"/>
      <c r="U8" s="45"/>
      <c r="V8" s="45"/>
      <c r="W8" s="46" t="s">
        <v>5</v>
      </c>
      <c r="X8" s="18"/>
      <c r="Y8" s="18"/>
      <c r="Z8" s="18"/>
      <c r="AA8" s="18"/>
      <c r="AB8" s="18"/>
      <c r="AC8" s="18"/>
      <c r="AD8" s="18"/>
      <c r="AJ8" s="775"/>
      <c r="AK8" s="432" t="s">
        <v>670</v>
      </c>
    </row>
    <row r="9" spans="1:37" ht="33.75" x14ac:dyDescent="0.25">
      <c r="A9" s="6" t="s">
        <v>24</v>
      </c>
      <c r="B9" s="7"/>
      <c r="C9" s="7"/>
      <c r="D9" s="88">
        <v>202.05</v>
      </c>
      <c r="E9" s="85">
        <v>200.75</v>
      </c>
      <c r="F9" s="85">
        <v>192.96</v>
      </c>
      <c r="G9" s="85">
        <v>73.489999999999995</v>
      </c>
      <c r="H9" s="85">
        <v>5797.24</v>
      </c>
      <c r="I9" s="85">
        <v>5377.17</v>
      </c>
      <c r="J9" s="85">
        <v>1363.76</v>
      </c>
      <c r="K9" s="85">
        <v>1324.9</v>
      </c>
      <c r="L9" s="85">
        <v>1353.43</v>
      </c>
      <c r="M9" s="85">
        <v>1444.59</v>
      </c>
      <c r="N9" s="11">
        <v>1335.08</v>
      </c>
      <c r="O9" s="11">
        <v>1351.4</v>
      </c>
      <c r="P9" s="11">
        <v>1476.27</v>
      </c>
      <c r="Q9" s="11">
        <v>1569.23</v>
      </c>
      <c r="R9" s="11"/>
      <c r="S9" s="49" t="s">
        <v>93</v>
      </c>
      <c r="T9" s="45"/>
      <c r="U9" s="50">
        <f t="shared" ref="U9:Z9" si="6">D14/(D11-D9)</f>
        <v>8.6802827965435966E-2</v>
      </c>
      <c r="V9" s="50">
        <f t="shared" si="6"/>
        <v>0.1375004550584295</v>
      </c>
      <c r="W9" s="50">
        <f t="shared" si="6"/>
        <v>-1.233179723502303</v>
      </c>
      <c r="X9" s="50">
        <f t="shared" si="6"/>
        <v>8.5829712630535862E-2</v>
      </c>
      <c r="Y9" s="50">
        <f t="shared" si="6"/>
        <v>0.40245966742524947</v>
      </c>
      <c r="Z9" s="50">
        <f t="shared" si="6"/>
        <v>0.43171132793152839</v>
      </c>
      <c r="AA9" s="18"/>
      <c r="AB9" s="18"/>
      <c r="AC9" s="18"/>
      <c r="AD9" s="18"/>
      <c r="AJ9" s="775"/>
      <c r="AK9" s="432" t="s">
        <v>671</v>
      </c>
    </row>
    <row r="10" spans="1:37" ht="22.5" x14ac:dyDescent="0.25">
      <c r="A10" s="6" t="s">
        <v>53</v>
      </c>
      <c r="B10" s="10">
        <f t="shared" ref="B10:K10" si="7">B6-B9</f>
        <v>0</v>
      </c>
      <c r="C10" s="10">
        <f t="shared" si="7"/>
        <v>0</v>
      </c>
      <c r="D10" s="89">
        <f t="shared" si="7"/>
        <v>-64.110000000000014</v>
      </c>
      <c r="E10" s="89">
        <f t="shared" si="7"/>
        <v>-111.84</v>
      </c>
      <c r="F10" s="89">
        <f t="shared" si="7"/>
        <v>-124.18</v>
      </c>
      <c r="G10" s="89">
        <f t="shared" si="7"/>
        <v>-13.279999999999994</v>
      </c>
      <c r="H10" s="89">
        <f>H6-H9</f>
        <v>3561.630000000001</v>
      </c>
      <c r="I10" s="89">
        <f>I6-I9</f>
        <v>5772.9400000000005</v>
      </c>
      <c r="J10" s="89">
        <f t="shared" si="7"/>
        <v>1752.72</v>
      </c>
      <c r="K10" s="89">
        <f t="shared" si="7"/>
        <v>1843.6100000000001</v>
      </c>
      <c r="L10" s="89">
        <f>L6-L9</f>
        <v>1952.3099999999997</v>
      </c>
      <c r="M10" s="89">
        <f>M6-M9</f>
        <v>1766.11</v>
      </c>
      <c r="N10" s="89">
        <f>N6-N9</f>
        <v>1986.98</v>
      </c>
      <c r="O10" s="89">
        <f>O6-O9</f>
        <v>2100.75</v>
      </c>
      <c r="P10" s="89">
        <f t="shared" ref="P10:Q10" si="8">P6-P9</f>
        <v>2177.64</v>
      </c>
      <c r="Q10" s="89">
        <f t="shared" si="8"/>
        <v>2237.09</v>
      </c>
      <c r="R10" s="11"/>
      <c r="S10" s="42" t="s">
        <v>92</v>
      </c>
      <c r="T10" s="43"/>
      <c r="U10" s="44">
        <f t="shared" ref="U10:Z10" si="9">D14/D11</f>
        <v>5.0424177055028933E-2</v>
      </c>
      <c r="V10" s="44">
        <f t="shared" si="9"/>
        <v>7.9442200908632007E-2</v>
      </c>
      <c r="W10" s="44">
        <f t="shared" si="9"/>
        <v>0.15625364942193157</v>
      </c>
      <c r="X10" s="44">
        <f t="shared" si="9"/>
        <v>6.704975139190758E-2</v>
      </c>
      <c r="Y10" s="44">
        <f t="shared" si="9"/>
        <v>0.22156967638895347</v>
      </c>
      <c r="Z10" s="44">
        <f t="shared" si="9"/>
        <v>0.26069971262145081</v>
      </c>
      <c r="AA10" s="18"/>
      <c r="AB10" s="18"/>
      <c r="AC10" s="18"/>
      <c r="AD10" s="18"/>
      <c r="AJ10" s="775" t="s">
        <v>672</v>
      </c>
      <c r="AK10" s="432" t="s">
        <v>668</v>
      </c>
    </row>
    <row r="11" spans="1:37" ht="22.5" x14ac:dyDescent="0.25">
      <c r="A11" s="6" t="s">
        <v>1</v>
      </c>
      <c r="B11" s="10">
        <f>B5-B9</f>
        <v>0</v>
      </c>
      <c r="C11" s="10">
        <f t="shared" ref="C11:K11" si="10">SUM(C6:C8)</f>
        <v>0</v>
      </c>
      <c r="D11" s="89">
        <f t="shared" si="10"/>
        <v>482.11</v>
      </c>
      <c r="E11" s="89">
        <f t="shared" si="10"/>
        <v>475.43999999999994</v>
      </c>
      <c r="F11" s="89">
        <f>SUM(F6:F8)</f>
        <v>171.26</v>
      </c>
      <c r="G11" s="89">
        <f>SUM(G6:G8)</f>
        <v>335.87</v>
      </c>
      <c r="H11" s="89">
        <f>SUM(H6:H8)</f>
        <v>12898.2</v>
      </c>
      <c r="I11" s="89">
        <f>SUM(I6:I8)</f>
        <v>13574.43</v>
      </c>
      <c r="J11" s="89">
        <f t="shared" si="10"/>
        <v>3157.54</v>
      </c>
      <c r="K11" s="89">
        <f t="shared" si="10"/>
        <v>3213.77</v>
      </c>
      <c r="L11" s="89">
        <f>SUM(L6:L8)</f>
        <v>3533.38</v>
      </c>
      <c r="M11" s="89">
        <f>SUM(M6:M8)</f>
        <v>3215.96</v>
      </c>
      <c r="N11" s="89">
        <f>SUM(N6:N8)</f>
        <v>3669.74</v>
      </c>
      <c r="O11" s="89">
        <f>SUM(O6:O8)</f>
        <v>3782.09</v>
      </c>
      <c r="P11" s="89">
        <f t="shared" ref="P11:Q11" si="11">SUM(P6:P8)</f>
        <v>4015.2</v>
      </c>
      <c r="Q11" s="89">
        <f t="shared" si="11"/>
        <v>4095.09</v>
      </c>
      <c r="R11" s="11"/>
      <c r="S11" s="42" t="s">
        <v>17</v>
      </c>
      <c r="T11" s="43"/>
      <c r="U11" s="44">
        <f t="shared" ref="U11:Z11" si="12">D14/AVERAGE(C22:D22)</f>
        <v>2.4191750722468573E-3</v>
      </c>
      <c r="V11" s="44">
        <f t="shared" si="12"/>
        <v>3.5321017267741167E-3</v>
      </c>
      <c r="W11" s="44">
        <f t="shared" si="12"/>
        <v>2.2136283734877468E-3</v>
      </c>
      <c r="X11" s="44">
        <f t="shared" si="12"/>
        <v>1.8562708902599356E-3</v>
      </c>
      <c r="Y11" s="44">
        <f t="shared" si="12"/>
        <v>4.8664503894428925E-2</v>
      </c>
      <c r="Z11" s="44">
        <f t="shared" si="12"/>
        <v>3.3965690798718029E-2</v>
      </c>
      <c r="AA11" s="18"/>
      <c r="AB11" s="18"/>
      <c r="AC11" s="18"/>
      <c r="AD11" s="18"/>
      <c r="AJ11" s="775"/>
      <c r="AK11" s="432" t="s">
        <v>670</v>
      </c>
    </row>
    <row r="12" spans="1:37" x14ac:dyDescent="0.25">
      <c r="A12" s="6" t="s">
        <v>91</v>
      </c>
      <c r="B12" s="10"/>
      <c r="C12" s="10"/>
      <c r="D12" s="89">
        <v>44.37</v>
      </c>
      <c r="E12" s="89">
        <v>46.94</v>
      </c>
      <c r="F12" s="89">
        <v>20.16</v>
      </c>
      <c r="G12" s="89">
        <v>14.59</v>
      </c>
      <c r="H12" s="89">
        <v>527.25</v>
      </c>
      <c r="I12" s="89">
        <v>469.37</v>
      </c>
      <c r="J12" s="89">
        <v>153.97999999999999</v>
      </c>
      <c r="K12" s="89">
        <v>261.92</v>
      </c>
      <c r="L12" s="89">
        <v>47.52</v>
      </c>
      <c r="M12" s="89">
        <v>201.57</v>
      </c>
      <c r="N12" s="11">
        <v>5.95</v>
      </c>
      <c r="O12" s="11">
        <v>0.56000000000000005</v>
      </c>
      <c r="P12" s="11">
        <v>5.05</v>
      </c>
      <c r="Q12" s="11">
        <v>7.7</v>
      </c>
      <c r="R12" s="11"/>
      <c r="S12" s="40" t="s">
        <v>18</v>
      </c>
      <c r="T12" s="45"/>
      <c r="U12" s="45"/>
      <c r="V12" s="45"/>
      <c r="W12" s="46" t="s">
        <v>5</v>
      </c>
      <c r="X12" s="18"/>
      <c r="Y12" s="18"/>
      <c r="Z12" s="18"/>
      <c r="AA12" s="18"/>
      <c r="AB12" s="18"/>
      <c r="AC12" s="53"/>
      <c r="AD12" s="54"/>
      <c r="AJ12" s="775"/>
      <c r="AK12" s="432" t="s">
        <v>673</v>
      </c>
    </row>
    <row r="13" spans="1:37" x14ac:dyDescent="0.25">
      <c r="A13" s="6" t="s">
        <v>25</v>
      </c>
      <c r="B13" s="7"/>
      <c r="C13" s="7"/>
      <c r="D13" s="88">
        <f>D11+D12</f>
        <v>526.48</v>
      </c>
      <c r="E13" s="88">
        <f t="shared" ref="E13:Q13" si="13">E11+E12</f>
        <v>522.37999999999988</v>
      </c>
      <c r="F13" s="88">
        <f t="shared" si="13"/>
        <v>191.42</v>
      </c>
      <c r="G13" s="88">
        <f t="shared" si="13"/>
        <v>350.46</v>
      </c>
      <c r="H13" s="88">
        <f t="shared" si="13"/>
        <v>13425.45</v>
      </c>
      <c r="I13" s="88">
        <f t="shared" si="13"/>
        <v>14043.800000000001</v>
      </c>
      <c r="J13" s="88">
        <f t="shared" si="13"/>
        <v>3311.52</v>
      </c>
      <c r="K13" s="88">
        <f t="shared" si="13"/>
        <v>3475.69</v>
      </c>
      <c r="L13" s="88">
        <f t="shared" si="13"/>
        <v>3580.9</v>
      </c>
      <c r="M13" s="88">
        <f t="shared" si="13"/>
        <v>3417.53</v>
      </c>
      <c r="N13" s="88">
        <f t="shared" si="13"/>
        <v>3675.6899999999996</v>
      </c>
      <c r="O13" s="88">
        <f t="shared" si="13"/>
        <v>3782.65</v>
      </c>
      <c r="P13" s="88">
        <f t="shared" si="13"/>
        <v>4020.25</v>
      </c>
      <c r="Q13" s="88">
        <f t="shared" si="13"/>
        <v>4102.79</v>
      </c>
      <c r="R13" s="11"/>
      <c r="S13" s="42" t="s">
        <v>19</v>
      </c>
      <c r="T13" s="43"/>
      <c r="U13" s="44">
        <f t="shared" ref="U13:Z13" si="14">D24/D23</f>
        <v>0</v>
      </c>
      <c r="V13" s="44">
        <f t="shared" si="14"/>
        <v>0</v>
      </c>
      <c r="W13" s="44">
        <f t="shared" si="14"/>
        <v>0</v>
      </c>
      <c r="X13" s="44">
        <f t="shared" si="14"/>
        <v>0</v>
      </c>
      <c r="Y13" s="44">
        <f t="shared" si="14"/>
        <v>0</v>
      </c>
      <c r="Z13" s="44">
        <f t="shared" si="14"/>
        <v>4.3080829391665798E-2</v>
      </c>
      <c r="AA13" s="48">
        <v>4.1000000000000002E-2</v>
      </c>
      <c r="AB13" s="48">
        <v>3.4099999999999998E-2</v>
      </c>
      <c r="AC13" s="48">
        <v>3.2399999999999998E-2</v>
      </c>
      <c r="AD13" s="48">
        <v>4.87E-2</v>
      </c>
      <c r="AE13" s="80">
        <v>3.2899999999999999E-2</v>
      </c>
      <c r="AF13" s="80">
        <v>3.1399999999999997E-2</v>
      </c>
      <c r="AG13" s="80">
        <v>3.1899999999999998E-2</v>
      </c>
      <c r="AH13" s="80">
        <v>3.2300000000000002E-2</v>
      </c>
      <c r="AJ13" s="775"/>
      <c r="AK13" s="432" t="s">
        <v>674</v>
      </c>
    </row>
    <row r="14" spans="1:37" x14ac:dyDescent="0.25">
      <c r="A14" s="6" t="s">
        <v>26</v>
      </c>
      <c r="B14" s="7"/>
      <c r="C14" s="7"/>
      <c r="D14" s="85">
        <f>15.08+0.11+9.12</f>
        <v>24.31</v>
      </c>
      <c r="E14" s="85">
        <f>26.72+0.48+10.57</f>
        <v>37.769999999999996</v>
      </c>
      <c r="F14" s="85">
        <f>13.7+0.58+12.48</f>
        <v>26.759999999999998</v>
      </c>
      <c r="G14" s="85">
        <f>14.7+0.37+7.45</f>
        <v>22.52</v>
      </c>
      <c r="H14" s="85">
        <f>1403.22+106.09+1348.54</f>
        <v>2857.85</v>
      </c>
      <c r="I14" s="85">
        <f>1804.17+108.7+1625.98</f>
        <v>3538.8500000000004</v>
      </c>
      <c r="J14" s="85">
        <f>405.93+28.05+351.52</f>
        <v>785.5</v>
      </c>
      <c r="K14" s="85">
        <f>477.88+26.81+393.21</f>
        <v>897.9</v>
      </c>
      <c r="L14" s="85">
        <f>449.62+27.74+419.39</f>
        <v>896.75</v>
      </c>
      <c r="M14" s="85">
        <f>395.17+28.53+363.28</f>
        <v>786.98</v>
      </c>
      <c r="N14" s="11">
        <f>500.74+26.1+461.86</f>
        <v>988.7</v>
      </c>
      <c r="O14" s="11">
        <f>518.74+27.01+427.04</f>
        <v>972.79</v>
      </c>
      <c r="P14" s="11">
        <f>548.26+31.81+384.21</f>
        <v>964.28</v>
      </c>
      <c r="Q14" s="11">
        <f>578.79+34.69+451.27</f>
        <v>1064.75</v>
      </c>
      <c r="R14" s="11"/>
      <c r="S14" s="42" t="s">
        <v>20</v>
      </c>
      <c r="T14" s="43"/>
      <c r="U14" s="44">
        <f t="shared" ref="U14:Z14" si="15">D25/D23</f>
        <v>0</v>
      </c>
      <c r="V14" s="44">
        <f t="shared" si="15"/>
        <v>0</v>
      </c>
      <c r="W14" s="44">
        <f t="shared" si="15"/>
        <v>0</v>
      </c>
      <c r="X14" s="44">
        <f t="shared" si="15"/>
        <v>0</v>
      </c>
      <c r="Y14" s="44">
        <f t="shared" si="15"/>
        <v>0</v>
      </c>
      <c r="Z14" s="44">
        <f t="shared" si="15"/>
        <v>1.7178349051043769E-2</v>
      </c>
      <c r="AA14" s="48">
        <v>1.1900000000000001E-2</v>
      </c>
      <c r="AB14" s="48">
        <v>8.2000000000000007E-3</v>
      </c>
      <c r="AC14" s="48">
        <v>8.0999999999999996E-3</v>
      </c>
      <c r="AD14" s="48">
        <v>1.5100000000000001E-2</v>
      </c>
      <c r="AE14" s="80">
        <v>7.9000000000000008E-3</v>
      </c>
      <c r="AF14" s="80">
        <v>7.9000000000000008E-3</v>
      </c>
      <c r="AG14" s="80">
        <v>9.5999999999999992E-3</v>
      </c>
      <c r="AH14" s="80">
        <v>9.7000000000000003E-3</v>
      </c>
      <c r="AJ14" s="775"/>
      <c r="AK14" s="432" t="s">
        <v>675</v>
      </c>
    </row>
    <row r="15" spans="1:37" x14ac:dyDescent="0.25">
      <c r="A15" s="6" t="s">
        <v>54</v>
      </c>
      <c r="B15" s="10"/>
      <c r="C15" s="10"/>
      <c r="D15" s="89">
        <f t="shared" ref="D15:K15" si="16">D11-D14</f>
        <v>457.8</v>
      </c>
      <c r="E15" s="89">
        <f t="shared" si="16"/>
        <v>437.66999999999996</v>
      </c>
      <c r="F15" s="89">
        <f t="shared" si="16"/>
        <v>144.5</v>
      </c>
      <c r="G15" s="89">
        <f t="shared" si="16"/>
        <v>313.35000000000002</v>
      </c>
      <c r="H15" s="89">
        <f>H11-H14</f>
        <v>10040.35</v>
      </c>
      <c r="I15" s="89">
        <f>I11-I14</f>
        <v>10035.58</v>
      </c>
      <c r="J15" s="89">
        <f t="shared" si="16"/>
        <v>2372.04</v>
      </c>
      <c r="K15" s="89">
        <f t="shared" si="16"/>
        <v>2315.87</v>
      </c>
      <c r="L15" s="89">
        <f>L11-L14</f>
        <v>2636.63</v>
      </c>
      <c r="M15" s="89">
        <f>M11-M14</f>
        <v>2428.98</v>
      </c>
      <c r="N15" s="89">
        <f>N11-N14</f>
        <v>2681.04</v>
      </c>
      <c r="O15" s="89">
        <f>O11-O14</f>
        <v>2809.3</v>
      </c>
      <c r="P15" s="89">
        <f t="shared" ref="P15:Q15" si="17">P11-P14</f>
        <v>3050.92</v>
      </c>
      <c r="Q15" s="89">
        <f t="shared" si="17"/>
        <v>3030.34</v>
      </c>
      <c r="R15" s="11"/>
      <c r="S15" s="42" t="s">
        <v>21</v>
      </c>
      <c r="T15" s="43"/>
      <c r="U15" s="44" t="e">
        <f t="shared" ref="U15:AA15" si="18">(U13-U14)/U13</f>
        <v>#DIV/0!</v>
      </c>
      <c r="V15" s="44" t="e">
        <f t="shared" si="18"/>
        <v>#DIV/0!</v>
      </c>
      <c r="W15" s="44" t="e">
        <f t="shared" si="18"/>
        <v>#DIV/0!</v>
      </c>
      <c r="X15" s="44" t="e">
        <f t="shared" si="18"/>
        <v>#DIV/0!</v>
      </c>
      <c r="Y15" s="44" t="e">
        <f t="shared" si="18"/>
        <v>#DIV/0!</v>
      </c>
      <c r="Z15" s="44">
        <f t="shared" si="18"/>
        <v>0.60125305632191461</v>
      </c>
      <c r="AA15" s="44">
        <f t="shared" si="18"/>
        <v>0.70975609756097557</v>
      </c>
      <c r="AB15" s="18"/>
      <c r="AC15" s="18"/>
      <c r="AD15" s="18"/>
      <c r="AJ15" s="775" t="s">
        <v>676</v>
      </c>
      <c r="AK15" s="432" t="s">
        <v>668</v>
      </c>
    </row>
    <row r="16" spans="1:37" x14ac:dyDescent="0.25">
      <c r="A16" s="6" t="s">
        <v>94</v>
      </c>
      <c r="B16" s="10"/>
      <c r="C16" s="10"/>
      <c r="D16" s="89">
        <f t="shared" ref="D16:M16" si="19">D13-D14-D9</f>
        <v>300.12</v>
      </c>
      <c r="E16" s="89">
        <f t="shared" si="19"/>
        <v>283.8599999999999</v>
      </c>
      <c r="F16" s="89">
        <f t="shared" si="19"/>
        <v>-28.300000000000011</v>
      </c>
      <c r="G16" s="89">
        <f t="shared" si="19"/>
        <v>254.45</v>
      </c>
      <c r="H16" s="89">
        <f>H13-H14-H9</f>
        <v>4770.3600000000006</v>
      </c>
      <c r="I16" s="89">
        <f>I13-I14-I9</f>
        <v>5127.7800000000007</v>
      </c>
      <c r="J16" s="89">
        <f t="shared" si="19"/>
        <v>1162.26</v>
      </c>
      <c r="K16" s="89">
        <f t="shared" si="19"/>
        <v>1252.8899999999999</v>
      </c>
      <c r="L16" s="89">
        <f t="shared" si="19"/>
        <v>1330.72</v>
      </c>
      <c r="M16" s="89">
        <f t="shared" si="19"/>
        <v>1185.9600000000003</v>
      </c>
      <c r="N16" s="89">
        <f>N13-N14-N9</f>
        <v>1351.9099999999999</v>
      </c>
      <c r="O16" s="89">
        <f>O13-O14-O9</f>
        <v>1458.46</v>
      </c>
      <c r="P16" s="89">
        <f t="shared" ref="P16:Q16" si="20">P13-P14-P9</f>
        <v>1579.7000000000003</v>
      </c>
      <c r="Q16" s="89">
        <f t="shared" si="20"/>
        <v>1468.81</v>
      </c>
      <c r="R16" s="11"/>
      <c r="S16" s="42" t="s">
        <v>22</v>
      </c>
      <c r="T16" s="43"/>
      <c r="U16" s="44">
        <f t="shared" ref="U16:Z16" si="21">D17/AVERAGE(C23:D23)</f>
        <v>-6.9316409019997164E-3</v>
      </c>
      <c r="V16" s="44">
        <f t="shared" si="21"/>
        <v>1.4060742407199099E-4</v>
      </c>
      <c r="W16" s="44">
        <f t="shared" si="21"/>
        <v>6.2206996033177071E-3</v>
      </c>
      <c r="X16" s="44">
        <f t="shared" si="21"/>
        <v>1.6340470033620518E-5</v>
      </c>
      <c r="Y16" s="44">
        <f t="shared" si="21"/>
        <v>4.0971878390176686E-2</v>
      </c>
      <c r="Z16" s="44">
        <f t="shared" si="21"/>
        <v>1.6847061673867517E-2</v>
      </c>
      <c r="AA16" s="44">
        <f t="shared" ref="AA16:AF16" si="22">J17*4/J23</f>
        <v>1.7220680701575744E-2</v>
      </c>
      <c r="AB16" s="44" t="e">
        <f t="shared" si="22"/>
        <v>#DIV/0!</v>
      </c>
      <c r="AC16" s="44">
        <f t="shared" si="22"/>
        <v>1.66345E-2</v>
      </c>
      <c r="AD16" s="44">
        <f t="shared" si="22"/>
        <v>2.4057093016989655E-3</v>
      </c>
      <c r="AE16" s="44">
        <f t="shared" si="22"/>
        <v>1.2356041509160774E-2</v>
      </c>
      <c r="AF16" s="462">
        <f t="shared" si="22"/>
        <v>1.7592118759651477E-2</v>
      </c>
      <c r="AG16" s="462">
        <f t="shared" ref="AG16:AH16" si="23">P17*4/P23</f>
        <v>2.4830659556642081E-2</v>
      </c>
      <c r="AH16" s="462">
        <f t="shared" si="23"/>
        <v>3.2046321565115693E-2</v>
      </c>
      <c r="AJ16" s="775"/>
      <c r="AK16" s="432" t="s">
        <v>670</v>
      </c>
    </row>
    <row r="17" spans="1:38" x14ac:dyDescent="0.25">
      <c r="A17" s="6" t="s">
        <v>27</v>
      </c>
      <c r="B17" s="7"/>
      <c r="C17" s="7"/>
      <c r="D17" s="88">
        <v>-3.91</v>
      </c>
      <c r="E17" s="85">
        <v>0.12</v>
      </c>
      <c r="F17" s="85">
        <v>7.59</v>
      </c>
      <c r="G17" s="85">
        <v>0.02</v>
      </c>
      <c r="H17" s="85">
        <v>1563.18</v>
      </c>
      <c r="I17" s="85">
        <v>1318.4</v>
      </c>
      <c r="J17" s="85">
        <v>338.24</v>
      </c>
      <c r="K17" s="85">
        <v>396.15</v>
      </c>
      <c r="L17" s="85">
        <v>332.69</v>
      </c>
      <c r="M17" s="85">
        <v>45.2</v>
      </c>
      <c r="N17" s="11">
        <v>251.32</v>
      </c>
      <c r="O17" s="11">
        <v>390.18</v>
      </c>
      <c r="P17" s="11">
        <v>550.51</v>
      </c>
      <c r="Q17" s="11">
        <v>728.96</v>
      </c>
      <c r="R17" s="11"/>
      <c r="S17" s="18"/>
      <c r="T17" s="18"/>
      <c r="U17" s="18"/>
      <c r="V17" s="18"/>
      <c r="W17" s="18"/>
      <c r="X17" s="18"/>
      <c r="Y17" s="18"/>
      <c r="Z17" s="18"/>
      <c r="AA17" s="18"/>
      <c r="AB17" s="18"/>
      <c r="AC17" s="18"/>
      <c r="AD17" s="18"/>
      <c r="AJ17" s="775"/>
      <c r="AK17" s="432" t="s">
        <v>669</v>
      </c>
    </row>
    <row r="18" spans="1:38" x14ac:dyDescent="0.25">
      <c r="A18" s="6" t="s">
        <v>55</v>
      </c>
      <c r="B18" s="7"/>
      <c r="C18" s="7"/>
      <c r="D18" s="88">
        <v>267.06</v>
      </c>
      <c r="E18" s="85">
        <v>267.05</v>
      </c>
      <c r="F18" s="89">
        <v>116.05</v>
      </c>
      <c r="G18" s="89">
        <v>218.18</v>
      </c>
      <c r="H18" s="89">
        <v>1919.87</v>
      </c>
      <c r="I18" s="89">
        <v>2286.23</v>
      </c>
      <c r="J18" s="89">
        <v>524.30999999999995</v>
      </c>
      <c r="K18" s="89">
        <v>581.38</v>
      </c>
      <c r="L18" s="89">
        <v>635.66</v>
      </c>
      <c r="M18" s="89">
        <v>416.9</v>
      </c>
      <c r="N18" s="11">
        <v>544.88</v>
      </c>
      <c r="O18" s="11">
        <v>678.92</v>
      </c>
      <c r="P18" s="11">
        <v>689.12</v>
      </c>
      <c r="Q18" s="11">
        <v>619.17999999999995</v>
      </c>
      <c r="R18" s="11"/>
      <c r="S18" s="40" t="s">
        <v>30</v>
      </c>
      <c r="T18" s="45"/>
      <c r="U18" s="45"/>
      <c r="V18" s="45"/>
      <c r="W18" s="46" t="s">
        <v>5</v>
      </c>
      <c r="X18" s="18"/>
      <c r="Y18" s="18"/>
      <c r="Z18" s="18"/>
      <c r="AA18" s="18"/>
      <c r="AB18" s="18"/>
      <c r="AC18" s="18"/>
      <c r="AD18" s="18"/>
      <c r="AJ18" s="433" t="s">
        <v>677</v>
      </c>
      <c r="AK18" s="432" t="s">
        <v>668</v>
      </c>
    </row>
    <row r="19" spans="1:38" ht="22.5" x14ac:dyDescent="0.25">
      <c r="A19" s="6" t="s">
        <v>28</v>
      </c>
      <c r="B19" s="7"/>
      <c r="C19" s="7"/>
      <c r="D19" s="88">
        <f>1998.81+5831.54</f>
        <v>7830.35</v>
      </c>
      <c r="E19" s="85">
        <f>2004.83+5840.02</f>
        <v>7844.85</v>
      </c>
      <c r="F19" s="85">
        <f>8540.84+2469.45</f>
        <v>11010.29</v>
      </c>
      <c r="G19" s="85">
        <f>2474.04+8797.09</f>
        <v>11271.130000000001</v>
      </c>
      <c r="H19" s="85">
        <v>21318.84</v>
      </c>
      <c r="I19" s="85">
        <v>23194.959999999999</v>
      </c>
      <c r="J19" s="85"/>
      <c r="K19" s="85"/>
      <c r="L19" s="85"/>
      <c r="M19" s="85">
        <f>19048.7+2479.67</f>
        <v>21528.370000000003</v>
      </c>
      <c r="N19" s="11">
        <v>23194.959999999999</v>
      </c>
      <c r="O19" s="11"/>
      <c r="P19" s="11"/>
      <c r="Q19" s="11"/>
      <c r="R19" s="11"/>
      <c r="S19" s="46" t="s">
        <v>95</v>
      </c>
      <c r="T19" s="51"/>
      <c r="U19" s="51"/>
      <c r="V19" s="52">
        <f>E16/AVERAGE(D22:E22)</f>
        <v>2.6545469848083147E-2</v>
      </c>
      <c r="W19" s="52">
        <f>F16/AVERAGE(E22:F22)</f>
        <v>-2.3410195429634999E-3</v>
      </c>
      <c r="X19" s="52">
        <f>G16/AVERAGE(F22:G22)</f>
        <v>2.0973717940792211E-2</v>
      </c>
      <c r="Y19" s="52">
        <f>H16/AVERAGE(G22:H22)</f>
        <v>8.1231416203729367E-2</v>
      </c>
      <c r="Z19" s="52">
        <f>I16/AVERAGE(H22:I22)</f>
        <v>4.9216154955381078E-2</v>
      </c>
      <c r="AA19" s="18"/>
      <c r="AB19" s="18"/>
      <c r="AC19" s="18"/>
      <c r="AD19" s="18"/>
      <c r="AJ19" s="776" t="s">
        <v>678</v>
      </c>
      <c r="AK19" s="432" t="s">
        <v>668</v>
      </c>
    </row>
    <row r="20" spans="1:38" x14ac:dyDescent="0.25">
      <c r="A20" s="6" t="s">
        <v>56</v>
      </c>
      <c r="B20" s="7"/>
      <c r="C20" s="7"/>
      <c r="D20" s="88">
        <f t="shared" ref="D20:L20" si="24">D19-D71</f>
        <v>7830.35</v>
      </c>
      <c r="E20" s="89">
        <f t="shared" si="24"/>
        <v>7844.85</v>
      </c>
      <c r="F20" s="89">
        <f t="shared" si="24"/>
        <v>11010.29</v>
      </c>
      <c r="G20" s="89">
        <f t="shared" si="24"/>
        <v>11271.130000000001</v>
      </c>
      <c r="H20" s="89">
        <f t="shared" si="24"/>
        <v>21318.84</v>
      </c>
      <c r="I20" s="89">
        <f t="shared" si="24"/>
        <v>23194.959999999999</v>
      </c>
      <c r="J20" s="89">
        <f t="shared" si="24"/>
        <v>0</v>
      </c>
      <c r="K20" s="89">
        <f t="shared" si="24"/>
        <v>0</v>
      </c>
      <c r="L20" s="89">
        <f t="shared" si="24"/>
        <v>0</v>
      </c>
      <c r="M20" s="85">
        <f>19048.7+2479.67</f>
        <v>21528.370000000003</v>
      </c>
      <c r="N20" s="85">
        <v>23194.959999999999</v>
      </c>
      <c r="O20" s="85"/>
      <c r="P20" s="439"/>
      <c r="Q20" s="439"/>
      <c r="R20" s="11"/>
      <c r="S20" s="42" t="s">
        <v>31</v>
      </c>
      <c r="T20" s="43"/>
      <c r="U20" s="43">
        <v>4.4699999999999997E-2</v>
      </c>
      <c r="V20" s="44">
        <f>E18/AVERAGE(D22:E22)</f>
        <v>2.4973464816918929E-2</v>
      </c>
      <c r="W20" s="44">
        <f>F18/AVERAGE(E22:F22)</f>
        <v>9.5998345569227577E-3</v>
      </c>
      <c r="X20" s="44" t="s">
        <v>354</v>
      </c>
      <c r="Y20" s="44" t="s">
        <v>354</v>
      </c>
      <c r="Z20" s="44" t="s">
        <v>354</v>
      </c>
      <c r="AA20" s="48"/>
      <c r="AB20" s="18"/>
      <c r="AC20" s="18"/>
      <c r="AD20" s="18"/>
      <c r="AJ20" s="775"/>
      <c r="AK20" s="432" t="s">
        <v>670</v>
      </c>
    </row>
    <row r="21" spans="1:38" x14ac:dyDescent="0.25">
      <c r="A21" s="6" t="s">
        <v>57</v>
      </c>
      <c r="B21" s="9"/>
      <c r="C21" s="9"/>
      <c r="D21" s="85">
        <f>1162.49+4.99+1032.29</f>
        <v>2199.77</v>
      </c>
      <c r="E21" s="85">
        <f>1462.68+280.11+1717.84+0.42</f>
        <v>3461.05</v>
      </c>
      <c r="F21" s="85">
        <f>652.98+1120.24</f>
        <v>1773.22</v>
      </c>
      <c r="G21" s="85">
        <f>5+99.82</f>
        <v>104.82</v>
      </c>
      <c r="H21" s="85">
        <f>36105.38+44139.59+2798.48</f>
        <v>83043.45</v>
      </c>
      <c r="I21" s="85">
        <f>29569.45+44430.47+2540.95</f>
        <v>76540.87</v>
      </c>
      <c r="J21" s="85"/>
      <c r="K21" s="85"/>
      <c r="L21" s="85"/>
      <c r="M21" s="85">
        <f>36105.38+44139.59+2798.48</f>
        <v>83043.45</v>
      </c>
      <c r="N21" s="11">
        <v>76540.87</v>
      </c>
      <c r="O21" s="11"/>
      <c r="P21" s="11"/>
      <c r="Q21" s="11"/>
      <c r="R21" s="11"/>
      <c r="S21" s="42" t="s">
        <v>32</v>
      </c>
      <c r="T21" s="43"/>
      <c r="U21" s="44">
        <f t="shared" ref="U21:Z21" si="25">D18/AVERAGE(C19:D19)</f>
        <v>3.4105755170586241E-2</v>
      </c>
      <c r="V21" s="44">
        <f t="shared" si="25"/>
        <v>3.4072930488925179E-2</v>
      </c>
      <c r="W21" s="44">
        <f t="shared" si="25"/>
        <v>1.2309640766390491E-2</v>
      </c>
      <c r="X21" s="44">
        <f t="shared" si="25"/>
        <v>1.9584030102210721E-2</v>
      </c>
      <c r="Y21" s="44">
        <f t="shared" si="25"/>
        <v>0.11781968501351796</v>
      </c>
      <c r="Z21" s="44">
        <f t="shared" si="25"/>
        <v>0.10272005535362067</v>
      </c>
      <c r="AA21" s="18"/>
      <c r="AB21" s="18"/>
      <c r="AC21" s="18"/>
      <c r="AD21" s="18"/>
      <c r="AJ21" s="775"/>
      <c r="AK21" s="432" t="s">
        <v>669</v>
      </c>
    </row>
    <row r="22" spans="1:38" ht="131.25" customHeight="1" x14ac:dyDescent="0.25">
      <c r="A22" s="6" t="s">
        <v>29</v>
      </c>
      <c r="B22" s="7"/>
      <c r="C22" s="7"/>
      <c r="D22" s="88">
        <v>10048.879999999999</v>
      </c>
      <c r="E22" s="85">
        <v>11337.82</v>
      </c>
      <c r="F22" s="85">
        <v>12839.68</v>
      </c>
      <c r="G22" s="85">
        <v>11424.02</v>
      </c>
      <c r="H22" s="85">
        <v>106027.09</v>
      </c>
      <c r="I22" s="85">
        <v>102350.83</v>
      </c>
      <c r="J22" s="85"/>
      <c r="K22" s="85"/>
      <c r="L22" s="85"/>
      <c r="M22" s="85">
        <v>106362.14</v>
      </c>
      <c r="N22" s="11">
        <v>102350.83</v>
      </c>
      <c r="O22" s="11"/>
      <c r="P22" s="11"/>
      <c r="Q22" s="11"/>
      <c r="R22" s="11"/>
      <c r="S22" s="40" t="s">
        <v>33</v>
      </c>
      <c r="T22" s="45"/>
      <c r="U22" s="45"/>
      <c r="V22" s="45"/>
      <c r="W22" s="46" t="s">
        <v>5</v>
      </c>
      <c r="X22" s="18"/>
      <c r="Y22" s="18"/>
      <c r="Z22" s="18"/>
      <c r="AA22" s="18"/>
      <c r="AB22" s="18"/>
      <c r="AC22" s="18"/>
      <c r="AD22" s="18"/>
      <c r="AJ22" s="434" t="s">
        <v>679</v>
      </c>
      <c r="AK22" s="435" t="s">
        <v>668</v>
      </c>
    </row>
    <row r="23" spans="1:38" x14ac:dyDescent="0.25">
      <c r="A23" s="6" t="s">
        <v>58</v>
      </c>
      <c r="B23" s="7"/>
      <c r="C23" s="7"/>
      <c r="D23" s="88">
        <v>564.08000000000004</v>
      </c>
      <c r="E23" s="85">
        <v>1142.8</v>
      </c>
      <c r="F23" s="85">
        <v>1297.44</v>
      </c>
      <c r="G23" s="85">
        <v>1150.47</v>
      </c>
      <c r="H23" s="85">
        <v>75154.55</v>
      </c>
      <c r="I23" s="85">
        <v>81359.39</v>
      </c>
      <c r="J23" s="85">
        <v>78566</v>
      </c>
      <c r="K23" s="85"/>
      <c r="L23" s="85">
        <v>80000</v>
      </c>
      <c r="M23" s="85">
        <v>75154.55</v>
      </c>
      <c r="N23" s="11">
        <v>81359.39</v>
      </c>
      <c r="O23" s="11">
        <v>88717</v>
      </c>
      <c r="P23" s="11">
        <v>88682.3</v>
      </c>
      <c r="Q23" s="11">
        <v>90988.29</v>
      </c>
      <c r="R23" s="11"/>
      <c r="S23" s="42" t="s">
        <v>34</v>
      </c>
      <c r="T23" s="43"/>
      <c r="U23" s="44">
        <f t="shared" ref="U23:Z23" si="26">D6/AVERAGE(C23:D23)</f>
        <v>0.24453978159126363</v>
      </c>
      <c r="V23" s="44">
        <f t="shared" si="26"/>
        <v>0.10417838395200599</v>
      </c>
      <c r="W23" s="44">
        <f t="shared" si="26"/>
        <v>5.637150444218602E-2</v>
      </c>
      <c r="X23" s="44">
        <f t="shared" si="26"/>
        <v>4.9192985036214568E-2</v>
      </c>
      <c r="Y23" s="44">
        <f t="shared" si="26"/>
        <v>0.24530155420967062</v>
      </c>
      <c r="Z23" s="44">
        <f t="shared" si="26"/>
        <v>0.14248072727579411</v>
      </c>
      <c r="AA23" s="18"/>
      <c r="AB23" s="18"/>
      <c r="AC23" s="18"/>
      <c r="AD23" s="18"/>
      <c r="AJ23" s="433" t="s">
        <v>641</v>
      </c>
      <c r="AK23" s="435" t="s">
        <v>668</v>
      </c>
      <c r="AL23" s="436">
        <v>1.32</v>
      </c>
    </row>
    <row r="24" spans="1:38" x14ac:dyDescent="0.25">
      <c r="A24" s="6" t="s">
        <v>59</v>
      </c>
      <c r="B24" s="10"/>
      <c r="C24" s="10"/>
      <c r="D24" s="89"/>
      <c r="E24" s="89"/>
      <c r="F24" s="89"/>
      <c r="G24" s="89"/>
      <c r="H24" s="89"/>
      <c r="I24" s="89">
        <v>3505.03</v>
      </c>
      <c r="J24" s="89"/>
      <c r="K24" s="89"/>
      <c r="L24" s="89"/>
      <c r="M24" s="89"/>
      <c r="N24" s="11"/>
      <c r="O24" s="11"/>
      <c r="P24" s="11"/>
      <c r="Q24" s="11"/>
      <c r="R24" s="11"/>
      <c r="S24" s="42" t="s">
        <v>35</v>
      </c>
      <c r="T24" s="43"/>
      <c r="U24" s="44">
        <f t="shared" ref="U24:Z24" si="27">D9/AVERAGE(C21:D21)</f>
        <v>9.1850511644399196E-2</v>
      </c>
      <c r="V24" s="44">
        <f t="shared" si="27"/>
        <v>7.0926120244063584E-2</v>
      </c>
      <c r="W24" s="44">
        <f t="shared" si="27"/>
        <v>7.3729478991339761E-2</v>
      </c>
      <c r="X24" s="44">
        <f t="shared" si="27"/>
        <v>7.8262443824412678E-2</v>
      </c>
      <c r="Y24" s="44">
        <f t="shared" si="27"/>
        <v>0.13944343039247839</v>
      </c>
      <c r="Z24" s="44">
        <f t="shared" si="27"/>
        <v>6.7389703449561966E-2</v>
      </c>
      <c r="AA24" s="18"/>
      <c r="AB24" s="18"/>
      <c r="AC24" s="18"/>
      <c r="AD24" s="18"/>
      <c r="AJ24" s="433" t="s">
        <v>642</v>
      </c>
      <c r="AK24" s="435" t="s">
        <v>668</v>
      </c>
      <c r="AL24" s="80">
        <v>0.221</v>
      </c>
    </row>
    <row r="25" spans="1:38" x14ac:dyDescent="0.25">
      <c r="A25" s="6" t="s">
        <v>60</v>
      </c>
      <c r="B25" s="10"/>
      <c r="C25" s="10"/>
      <c r="D25" s="89"/>
      <c r="E25" s="89"/>
      <c r="F25" s="89"/>
      <c r="G25" s="89"/>
      <c r="H25" s="89"/>
      <c r="I25" s="89">
        <v>1397.62</v>
      </c>
      <c r="J25" s="89"/>
      <c r="K25" s="89"/>
      <c r="L25" s="89"/>
      <c r="M25" s="89"/>
      <c r="N25" s="11"/>
      <c r="O25" s="11"/>
      <c r="P25" s="11"/>
      <c r="Q25" s="11"/>
      <c r="R25" s="11"/>
      <c r="S25" s="42" t="s">
        <v>36</v>
      </c>
      <c r="T25" s="43"/>
      <c r="U25" s="48">
        <f t="shared" ref="U25:Z25" si="28">U23-U24</f>
        <v>0.15268926994686444</v>
      </c>
      <c r="V25" s="48">
        <f t="shared" si="28"/>
        <v>3.3252263707942403E-2</v>
      </c>
      <c r="W25" s="48">
        <f t="shared" si="28"/>
        <v>-1.7357974549153742E-2</v>
      </c>
      <c r="X25" s="48">
        <f t="shared" si="28"/>
        <v>-2.906945878819811E-2</v>
      </c>
      <c r="Y25" s="48">
        <f t="shared" si="28"/>
        <v>0.10585812381719223</v>
      </c>
      <c r="Z25" s="48">
        <f t="shared" si="28"/>
        <v>7.5091023826232145E-2</v>
      </c>
      <c r="AA25" s="18"/>
      <c r="AB25" s="18"/>
      <c r="AC25" s="18"/>
      <c r="AD25" s="18"/>
      <c r="AJ25" s="433" t="s">
        <v>680</v>
      </c>
      <c r="AK25" s="435" t="s">
        <v>668</v>
      </c>
      <c r="AL25" s="436">
        <v>0.15</v>
      </c>
    </row>
    <row r="26" spans="1:38" x14ac:dyDescent="0.25">
      <c r="S26" s="407" t="s">
        <v>645</v>
      </c>
      <c r="AF26" s="436"/>
      <c r="AG26" s="436">
        <v>1.51</v>
      </c>
      <c r="AH26" s="436">
        <v>1.76</v>
      </c>
      <c r="AI26" s="436"/>
    </row>
    <row r="27" spans="1:38" ht="105" customHeight="1" x14ac:dyDescent="0.25">
      <c r="A27" s="739" t="s">
        <v>407</v>
      </c>
      <c r="B27" s="739"/>
      <c r="C27" s="739"/>
      <c r="D27" s="739"/>
      <c r="E27" s="739"/>
      <c r="F27" s="739"/>
      <c r="G27" s="739"/>
      <c r="H27" s="739"/>
      <c r="I27" s="739"/>
      <c r="J27" s="739"/>
      <c r="K27" s="739"/>
      <c r="L27" s="161"/>
    </row>
    <row r="28" spans="1:38" x14ac:dyDescent="0.25">
      <c r="A28" s="739"/>
      <c r="B28" s="739"/>
      <c r="C28" s="739"/>
      <c r="D28" s="739"/>
      <c r="E28" s="739"/>
      <c r="F28" s="739"/>
      <c r="G28" s="739"/>
      <c r="H28" s="739"/>
      <c r="I28" s="739"/>
      <c r="J28" s="739"/>
      <c r="K28" s="739"/>
      <c r="L28" s="161"/>
    </row>
    <row r="29" spans="1:38" x14ac:dyDescent="0.25">
      <c r="A29" s="739"/>
      <c r="B29" s="739"/>
      <c r="C29" s="739"/>
      <c r="D29" s="739"/>
      <c r="E29" s="739"/>
      <c r="F29" s="739"/>
      <c r="G29" s="739"/>
      <c r="H29" s="739"/>
      <c r="I29" s="739"/>
      <c r="J29" s="739"/>
      <c r="K29" s="739"/>
      <c r="L29" s="161"/>
    </row>
    <row r="30" spans="1:38" x14ac:dyDescent="0.25">
      <c r="A30" s="739"/>
      <c r="B30" s="739"/>
      <c r="C30" s="739"/>
      <c r="D30" s="739"/>
      <c r="E30" s="739"/>
      <c r="F30" s="739"/>
      <c r="G30" s="739"/>
      <c r="H30" s="739"/>
      <c r="I30" s="739"/>
      <c r="J30" s="739"/>
      <c r="K30" s="739"/>
    </row>
    <row r="31" spans="1:38" x14ac:dyDescent="0.25">
      <c r="A31" s="739"/>
      <c r="B31" s="739"/>
      <c r="C31" s="739"/>
      <c r="D31" s="739"/>
      <c r="E31" s="739"/>
      <c r="F31" s="739"/>
      <c r="G31" s="739"/>
      <c r="H31" s="739"/>
      <c r="I31" s="739"/>
      <c r="J31" s="739"/>
      <c r="K31" s="739"/>
    </row>
  </sheetData>
  <mergeCells count="10">
    <mergeCell ref="A2:A4"/>
    <mergeCell ref="K1:M1"/>
    <mergeCell ref="A27:K31"/>
    <mergeCell ref="AJ3:AK3"/>
    <mergeCell ref="AJ4:AK4"/>
    <mergeCell ref="AJ5:AK5"/>
    <mergeCell ref="AJ6:AJ9"/>
    <mergeCell ref="AJ10:AJ14"/>
    <mergeCell ref="AJ15:AJ17"/>
    <mergeCell ref="AJ19:AJ2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60"/>
  <sheetViews>
    <sheetView workbookViewId="0">
      <selection activeCell="AF12" sqref="AF12"/>
    </sheetView>
  </sheetViews>
  <sheetFormatPr defaultRowHeight="15" x14ac:dyDescent="0.25"/>
  <cols>
    <col min="1" max="1" width="33" customWidth="1"/>
    <col min="4" max="4" width="11.28515625" customWidth="1"/>
    <col min="5" max="5" width="14.42578125" customWidth="1"/>
    <col min="6" max="6" width="12.7109375" customWidth="1"/>
    <col min="7" max="9" width="13.7109375" customWidth="1"/>
    <col min="10" max="10" width="11.28515625" customWidth="1"/>
    <col min="11" max="11" width="10.140625" bestFit="1" customWidth="1"/>
    <col min="13" max="13" width="10.140625" bestFit="1" customWidth="1"/>
    <col min="18" max="18" width="35.140625" customWidth="1"/>
    <col min="20" max="20" width="15" customWidth="1"/>
    <col min="21" max="21" width="14.5703125" customWidth="1"/>
    <col min="22" max="22" width="14.28515625" customWidth="1"/>
    <col min="23" max="25" width="17.140625" customWidth="1"/>
    <col min="26" max="26" width="11.5703125" customWidth="1"/>
  </cols>
  <sheetData>
    <row r="1" spans="1:32" x14ac:dyDescent="0.25">
      <c r="K1" s="772" t="s">
        <v>113</v>
      </c>
      <c r="L1" s="772"/>
      <c r="M1" s="772"/>
    </row>
    <row r="2" spans="1:32"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c r="P2" s="11"/>
      <c r="Q2" s="11"/>
      <c r="R2" s="40" t="s">
        <v>6</v>
      </c>
      <c r="S2" s="41" t="s">
        <v>7</v>
      </c>
      <c r="T2" s="41" t="s">
        <v>8</v>
      </c>
      <c r="U2" s="41" t="s">
        <v>9</v>
      </c>
      <c r="V2" s="40" t="s">
        <v>10</v>
      </c>
      <c r="W2" s="41" t="s">
        <v>90</v>
      </c>
      <c r="X2" s="41" t="s">
        <v>492</v>
      </c>
      <c r="Y2" s="41" t="s">
        <v>623</v>
      </c>
      <c r="Z2" s="40" t="s">
        <v>37</v>
      </c>
      <c r="AA2" s="41" t="s">
        <v>38</v>
      </c>
      <c r="AB2" s="41" t="s">
        <v>39</v>
      </c>
      <c r="AC2" s="41" t="s">
        <v>40</v>
      </c>
    </row>
    <row r="3" spans="1:32" x14ac:dyDescent="0.25">
      <c r="A3" s="771"/>
      <c r="B3" s="1" t="s">
        <v>46</v>
      </c>
      <c r="C3" s="4" t="s">
        <v>47</v>
      </c>
      <c r="D3" s="5" t="s">
        <v>47</v>
      </c>
      <c r="E3" s="5" t="s">
        <v>47</v>
      </c>
      <c r="F3" s="1" t="s">
        <v>46</v>
      </c>
      <c r="G3" s="1" t="s">
        <v>46</v>
      </c>
      <c r="H3" s="1" t="s">
        <v>46</v>
      </c>
      <c r="I3" s="1" t="s">
        <v>46</v>
      </c>
      <c r="J3" s="1" t="s">
        <v>96</v>
      </c>
      <c r="K3" s="1"/>
      <c r="L3" s="1"/>
      <c r="M3" s="1"/>
      <c r="N3" s="11"/>
      <c r="O3" s="11"/>
      <c r="P3" s="11"/>
      <c r="Q3" s="11"/>
      <c r="R3" s="42" t="s">
        <v>11</v>
      </c>
      <c r="S3" s="43"/>
      <c r="T3" s="44">
        <f t="shared" ref="T3:Y3" si="0">D10/AVERAGE(C23:D23)</f>
        <v>9.8312940346946903E-2</v>
      </c>
      <c r="U3" s="44">
        <f t="shared" si="0"/>
        <v>0.1236273756612157</v>
      </c>
      <c r="V3" s="44">
        <f t="shared" si="0"/>
        <v>0.12012318202166995</v>
      </c>
      <c r="W3" s="44">
        <f t="shared" si="0"/>
        <v>9.3055184775561572E-2</v>
      </c>
      <c r="X3" s="44">
        <f t="shared" si="0"/>
        <v>9.9104752182905792E-2</v>
      </c>
      <c r="Y3" s="44">
        <f t="shared" si="0"/>
        <v>8.4573420344810815E-2</v>
      </c>
      <c r="Z3" s="18"/>
      <c r="AA3" s="18"/>
      <c r="AB3" s="18"/>
      <c r="AC3" s="18"/>
    </row>
    <row r="4" spans="1:32" x14ac:dyDescent="0.25">
      <c r="A4" s="771"/>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D5">
        <v>5895.22</v>
      </c>
      <c r="E5">
        <v>8314.3700000000008</v>
      </c>
      <c r="F5" s="85">
        <v>12011</v>
      </c>
      <c r="G5" s="90">
        <v>16209</v>
      </c>
      <c r="H5" s="90">
        <v>24590.880000000001</v>
      </c>
      <c r="I5" s="90">
        <v>32605.4</v>
      </c>
      <c r="J5" s="85">
        <v>7433.3</v>
      </c>
      <c r="K5" s="85">
        <v>7885.7</v>
      </c>
      <c r="L5" s="85">
        <f>8136.3-112.5</f>
        <v>8023.8</v>
      </c>
      <c r="M5" s="85">
        <f>9270.3-151.5</f>
        <v>9118.7999999999993</v>
      </c>
      <c r="N5" s="11">
        <v>9298</v>
      </c>
      <c r="O5" s="11">
        <v>9389.6</v>
      </c>
      <c r="P5" s="11">
        <v>9853.2999999999993</v>
      </c>
      <c r="Q5" s="11"/>
      <c r="R5" s="42" t="s">
        <v>13</v>
      </c>
      <c r="S5" s="46"/>
      <c r="T5" s="47">
        <f t="shared" ref="T5:Y5" si="1">D21/D20</f>
        <v>0</v>
      </c>
      <c r="U5" s="47">
        <f t="shared" si="1"/>
        <v>0</v>
      </c>
      <c r="V5" s="47">
        <f t="shared" si="1"/>
        <v>1.1145387904703727</v>
      </c>
      <c r="W5" s="47">
        <f t="shared" si="1"/>
        <v>1.8995460015315611</v>
      </c>
      <c r="X5" s="47">
        <f t="shared" si="1"/>
        <v>2.4971677162872825</v>
      </c>
      <c r="Y5" s="47">
        <f t="shared" si="1"/>
        <v>2.4778508299202415</v>
      </c>
      <c r="Z5" s="47"/>
      <c r="AA5" s="47">
        <f>K21/K20</f>
        <v>2.261179336581459</v>
      </c>
      <c r="AB5" s="47"/>
      <c r="AC5" s="47">
        <f>M21/M20</f>
        <v>2.4380111059706855</v>
      </c>
      <c r="AD5" s="47">
        <v>2.16</v>
      </c>
      <c r="AE5" s="47">
        <f t="shared" ref="AE5" si="2">O21/O20</f>
        <v>2.3099861785180091</v>
      </c>
    </row>
    <row r="6" spans="1:32" x14ac:dyDescent="0.25">
      <c r="A6" s="6" t="s">
        <v>50</v>
      </c>
      <c r="B6" s="7"/>
      <c r="C6" s="8"/>
      <c r="D6">
        <v>1876.62</v>
      </c>
      <c r="E6">
        <v>2851.13</v>
      </c>
      <c r="F6" s="85">
        <v>6262</v>
      </c>
      <c r="G6" s="85">
        <v>11595</v>
      </c>
      <c r="H6" s="85">
        <f>24403.04-871.39-704.51</f>
        <v>22827.140000000003</v>
      </c>
      <c r="I6" s="85">
        <v>32175.3</v>
      </c>
      <c r="J6" s="85">
        <v>6395.6</v>
      </c>
      <c r="K6" s="85">
        <v>7015.1</v>
      </c>
      <c r="L6" s="85">
        <v>8023.8</v>
      </c>
      <c r="M6" s="85">
        <v>7693.6</v>
      </c>
      <c r="N6" s="11">
        <v>8194.7999999999993</v>
      </c>
      <c r="O6" s="11">
        <v>8176.5</v>
      </c>
      <c r="P6" s="11">
        <v>8865.7000000000007</v>
      </c>
      <c r="Q6" s="11"/>
      <c r="R6" s="42" t="s">
        <v>14</v>
      </c>
      <c r="S6" s="43"/>
      <c r="T6" s="43"/>
      <c r="U6" s="43"/>
      <c r="V6" s="43">
        <v>0.37640000000000001</v>
      </c>
      <c r="W6" s="48">
        <v>0.28420000000000001</v>
      </c>
      <c r="X6" s="48">
        <v>0.26469999999999999</v>
      </c>
      <c r="Y6" s="48">
        <v>1.2646999999999999</v>
      </c>
      <c r="Z6" s="48">
        <v>0.26550000000000001</v>
      </c>
      <c r="AA6" s="48">
        <v>0.28111999999999998</v>
      </c>
      <c r="AB6" s="48">
        <v>0.3145</v>
      </c>
      <c r="AC6" s="48">
        <v>0.26889999999999997</v>
      </c>
      <c r="AD6" s="80">
        <v>0.28470000000000001</v>
      </c>
      <c r="AE6" s="80">
        <v>0.2737</v>
      </c>
      <c r="AF6" s="80">
        <v>0.31169999999999998</v>
      </c>
    </row>
    <row r="7" spans="1:32" x14ac:dyDescent="0.25">
      <c r="A7" s="6" t="s">
        <v>51</v>
      </c>
      <c r="B7" s="7"/>
      <c r="C7" s="8"/>
      <c r="D7" s="87"/>
      <c r="E7" s="85"/>
      <c r="F7" s="85">
        <v>0</v>
      </c>
      <c r="G7" s="85">
        <v>0</v>
      </c>
      <c r="H7" s="85"/>
      <c r="I7" s="85"/>
      <c r="J7" s="85"/>
      <c r="K7" s="85"/>
      <c r="L7" s="85"/>
      <c r="M7" s="85"/>
      <c r="N7" s="11"/>
      <c r="O7" s="11"/>
      <c r="P7" s="11"/>
      <c r="Q7" s="11"/>
      <c r="R7" s="42" t="s">
        <v>15</v>
      </c>
      <c r="S7" s="43"/>
      <c r="T7" s="44">
        <f t="shared" ref="T7:Y7" si="3">D20/D23</f>
        <v>1.0864721252137848</v>
      </c>
      <c r="U7" s="44">
        <f t="shared" si="3"/>
        <v>1.1466148133434917</v>
      </c>
      <c r="V7" s="44">
        <f t="shared" si="3"/>
        <v>0.50783310066697684</v>
      </c>
      <c r="W7" s="44">
        <f t="shared" si="3"/>
        <v>0.34575886524822697</v>
      </c>
      <c r="X7" s="44">
        <f t="shared" si="3"/>
        <v>0.26920959890278684</v>
      </c>
      <c r="Y7" s="44">
        <f t="shared" si="3"/>
        <v>0.27831804766399049</v>
      </c>
      <c r="Z7" s="18"/>
      <c r="AA7" s="18"/>
      <c r="AB7" s="18"/>
      <c r="AC7" s="18"/>
    </row>
    <row r="8" spans="1:32" x14ac:dyDescent="0.25">
      <c r="A8" s="6" t="s">
        <v>52</v>
      </c>
      <c r="B8" s="7"/>
      <c r="C8" s="8"/>
      <c r="D8" s="85">
        <f t="shared" ref="D8:P8" si="4">D5-D6-D7</f>
        <v>4018.6000000000004</v>
      </c>
      <c r="E8" s="85">
        <f t="shared" si="4"/>
        <v>5463.2400000000007</v>
      </c>
      <c r="F8" s="85">
        <f t="shared" si="4"/>
        <v>5749</v>
      </c>
      <c r="G8" s="85">
        <f t="shared" si="4"/>
        <v>4614</v>
      </c>
      <c r="H8" s="85">
        <f t="shared" si="4"/>
        <v>1763.739999999998</v>
      </c>
      <c r="I8" s="85">
        <f t="shared" si="4"/>
        <v>430.10000000000218</v>
      </c>
      <c r="J8" s="85">
        <f t="shared" si="4"/>
        <v>1037.6999999999998</v>
      </c>
      <c r="K8" s="85">
        <f t="shared" si="4"/>
        <v>870.59999999999945</v>
      </c>
      <c r="L8" s="85">
        <f t="shared" si="4"/>
        <v>0</v>
      </c>
      <c r="M8" s="85">
        <f t="shared" si="4"/>
        <v>1425.1999999999989</v>
      </c>
      <c r="N8" s="85">
        <f t="shared" si="4"/>
        <v>1103.2000000000007</v>
      </c>
      <c r="O8" s="85">
        <f t="shared" si="4"/>
        <v>1213.1000000000004</v>
      </c>
      <c r="P8" s="85">
        <f t="shared" si="4"/>
        <v>987.59999999999854</v>
      </c>
      <c r="Q8" s="11"/>
      <c r="R8" s="40" t="s">
        <v>16</v>
      </c>
      <c r="S8" s="45"/>
      <c r="T8" s="45"/>
      <c r="U8" s="45"/>
      <c r="V8" s="46" t="s">
        <v>5</v>
      </c>
      <c r="W8" s="18"/>
      <c r="X8" s="18"/>
      <c r="Y8" s="18"/>
      <c r="Z8" s="18"/>
      <c r="AA8" s="18"/>
      <c r="AB8" s="18"/>
      <c r="AC8" s="18"/>
    </row>
    <row r="9" spans="1:32" ht="22.5" x14ac:dyDescent="0.25">
      <c r="A9" s="6" t="s">
        <v>24</v>
      </c>
      <c r="B9" s="7"/>
      <c r="C9" s="7"/>
      <c r="D9" s="88">
        <v>602.21</v>
      </c>
      <c r="E9" s="85">
        <v>969.98</v>
      </c>
      <c r="F9" s="85">
        <v>2115</v>
      </c>
      <c r="G9" s="85">
        <v>4275</v>
      </c>
      <c r="H9" s="85">
        <v>8557.4599999999991</v>
      </c>
      <c r="I9" s="85">
        <v>13192.4</v>
      </c>
      <c r="J9" s="85">
        <v>3051.2</v>
      </c>
      <c r="K9" s="85">
        <v>3423.5</v>
      </c>
      <c r="L9" s="85">
        <v>3298.6</v>
      </c>
      <c r="M9" s="85">
        <v>3419.2</v>
      </c>
      <c r="N9" s="11">
        <v>3955.2</v>
      </c>
      <c r="O9" s="11">
        <v>3554.7</v>
      </c>
      <c r="P9" s="11">
        <v>4172.6000000000004</v>
      </c>
      <c r="Q9" s="11"/>
      <c r="R9" s="49" t="s">
        <v>93</v>
      </c>
      <c r="S9" s="45"/>
      <c r="T9" s="50">
        <f t="shared" ref="T9:Y9" si="5">D14/(D11-D9)</f>
        <v>0.52759205064793002</v>
      </c>
      <c r="U9" s="50">
        <f t="shared" si="5"/>
        <v>0.52147693681844232</v>
      </c>
      <c r="V9" s="50">
        <f t="shared" si="5"/>
        <v>0.47372675828617622</v>
      </c>
      <c r="W9" s="50">
        <f t="shared" si="5"/>
        <v>0.35419808949220716</v>
      </c>
      <c r="X9" s="50">
        <f t="shared" si="5"/>
        <v>0.3513929030737048</v>
      </c>
      <c r="Y9" s="50">
        <f t="shared" si="5"/>
        <v>0.42049142327306444</v>
      </c>
      <c r="Z9" s="18"/>
      <c r="AA9" s="18"/>
      <c r="AB9" s="18"/>
      <c r="AC9" s="18"/>
    </row>
    <row r="10" spans="1:32" ht="22.5" x14ac:dyDescent="0.25">
      <c r="A10" s="6" t="s">
        <v>53</v>
      </c>
      <c r="B10" s="10">
        <f t="shared" ref="B10:J10" si="6">B6-B9</f>
        <v>0</v>
      </c>
      <c r="C10" s="10">
        <f t="shared" si="6"/>
        <v>0</v>
      </c>
      <c r="D10" s="89">
        <f t="shared" si="6"/>
        <v>1274.4099999999999</v>
      </c>
      <c r="E10" s="89">
        <f t="shared" si="6"/>
        <v>1881.15</v>
      </c>
      <c r="F10" s="89">
        <f t="shared" si="6"/>
        <v>4147</v>
      </c>
      <c r="G10" s="89">
        <f t="shared" si="6"/>
        <v>7320</v>
      </c>
      <c r="H10" s="89">
        <f>H6-H9</f>
        <v>14269.680000000004</v>
      </c>
      <c r="I10" s="89">
        <f>I6-I9</f>
        <v>18982.900000000001</v>
      </c>
      <c r="J10" s="89">
        <f t="shared" si="6"/>
        <v>3344.4000000000005</v>
      </c>
      <c r="K10" s="89">
        <f t="shared" ref="K10:P10" si="7">K6-K9</f>
        <v>3591.6000000000004</v>
      </c>
      <c r="L10" s="89">
        <f t="shared" si="7"/>
        <v>4725.2000000000007</v>
      </c>
      <c r="M10" s="89">
        <f t="shared" si="7"/>
        <v>4274.4000000000005</v>
      </c>
      <c r="N10" s="89">
        <f t="shared" si="7"/>
        <v>4239.5999999999995</v>
      </c>
      <c r="O10" s="89">
        <f t="shared" si="7"/>
        <v>4621.8</v>
      </c>
      <c r="P10" s="89">
        <f t="shared" si="7"/>
        <v>4693.1000000000004</v>
      </c>
      <c r="Q10" s="11"/>
      <c r="R10" s="42" t="s">
        <v>92</v>
      </c>
      <c r="S10" s="43"/>
      <c r="T10" s="44">
        <f t="shared" ref="T10:Y10" si="8">D14/D11</f>
        <v>0.47369733445062273</v>
      </c>
      <c r="U10" s="44">
        <f t="shared" si="8"/>
        <v>0.460639832001703</v>
      </c>
      <c r="V10" s="44">
        <f t="shared" si="8"/>
        <v>0.39030888352343684</v>
      </c>
      <c r="W10" s="44">
        <f t="shared" si="8"/>
        <v>0.26078104756616693</v>
      </c>
      <c r="X10" s="44">
        <f t="shared" si="8"/>
        <v>0.22911054830083349</v>
      </c>
      <c r="Y10" s="44">
        <f t="shared" si="8"/>
        <v>0.25035730277806745</v>
      </c>
      <c r="Z10" s="18"/>
      <c r="AA10" s="18"/>
      <c r="AB10" s="18"/>
      <c r="AC10" s="18"/>
    </row>
    <row r="11" spans="1:32" x14ac:dyDescent="0.25">
      <c r="A11" s="6" t="s">
        <v>1</v>
      </c>
      <c r="B11" s="10">
        <f>B5-B9</f>
        <v>0</v>
      </c>
      <c r="C11" s="10">
        <f t="shared" ref="C11:J11" si="9">SUM(C6:C8)</f>
        <v>0</v>
      </c>
      <c r="D11" s="89">
        <f t="shared" si="9"/>
        <v>5895.22</v>
      </c>
      <c r="E11" s="89">
        <f t="shared" si="9"/>
        <v>8314.3700000000008</v>
      </c>
      <c r="F11" s="89">
        <f>SUM(F6:F8)</f>
        <v>12011</v>
      </c>
      <c r="G11" s="89">
        <f>SUM(G6:G8)</f>
        <v>16209</v>
      </c>
      <c r="H11" s="89">
        <f>SUM(H6:H8)</f>
        <v>24590.880000000001</v>
      </c>
      <c r="I11" s="89">
        <f>SUM(I6:I8)</f>
        <v>32605.4</v>
      </c>
      <c r="J11" s="89">
        <f t="shared" si="9"/>
        <v>7433.3</v>
      </c>
      <c r="K11" s="89">
        <f t="shared" ref="K11:P11" si="10">SUM(K6:K8)</f>
        <v>7885.7</v>
      </c>
      <c r="L11" s="89">
        <f t="shared" si="10"/>
        <v>8023.8</v>
      </c>
      <c r="M11" s="89">
        <f t="shared" si="10"/>
        <v>9118.7999999999993</v>
      </c>
      <c r="N11" s="89">
        <f t="shared" si="10"/>
        <v>9298</v>
      </c>
      <c r="O11" s="89">
        <f t="shared" si="10"/>
        <v>9389.6</v>
      </c>
      <c r="P11" s="89">
        <f t="shared" si="10"/>
        <v>9853.2999999999993</v>
      </c>
      <c r="Q11" s="11"/>
      <c r="R11" s="42" t="s">
        <v>17</v>
      </c>
      <c r="S11" s="43"/>
      <c r="T11" s="44">
        <f t="shared" ref="T11:Y11" si="11">D14/AVERAGE(C22:D22)</f>
        <v>9.0211231024484043E-2</v>
      </c>
      <c r="U11" s="44">
        <f t="shared" si="11"/>
        <v>0.10725936530701034</v>
      </c>
      <c r="V11" s="44">
        <f t="shared" si="11"/>
        <v>8.4491539987180286E-2</v>
      </c>
      <c r="W11" s="44">
        <f t="shared" si="11"/>
        <v>4.1993055797018661E-2</v>
      </c>
      <c r="X11" s="44">
        <f t="shared" si="11"/>
        <v>3.3314773976959831E-2</v>
      </c>
      <c r="Y11" s="44">
        <f t="shared" si="11"/>
        <v>3.2116696881725651E-2</v>
      </c>
      <c r="Z11" s="18"/>
      <c r="AA11" s="18"/>
      <c r="AB11" s="18"/>
      <c r="AC11" s="18"/>
    </row>
    <row r="12" spans="1:32" x14ac:dyDescent="0.25">
      <c r="A12" s="6" t="s">
        <v>91</v>
      </c>
      <c r="B12" s="10"/>
      <c r="C12" s="10"/>
      <c r="D12" s="89">
        <v>76.430000000000007</v>
      </c>
      <c r="E12" s="89">
        <v>169.06</v>
      </c>
      <c r="F12" s="89">
        <v>69</v>
      </c>
      <c r="G12" s="89">
        <v>238</v>
      </c>
      <c r="H12" s="89">
        <v>170.61</v>
      </c>
      <c r="I12" s="89">
        <v>204.9</v>
      </c>
      <c r="J12" s="89">
        <v>30.6</v>
      </c>
      <c r="K12" s="89">
        <v>54.8</v>
      </c>
      <c r="L12" s="89">
        <v>112.5</v>
      </c>
      <c r="M12" s="89">
        <v>151.5</v>
      </c>
      <c r="N12" s="11">
        <v>189.3</v>
      </c>
      <c r="O12" s="11">
        <v>358.5</v>
      </c>
      <c r="P12" s="11">
        <v>184.8</v>
      </c>
      <c r="Q12" s="11"/>
      <c r="R12" s="40" t="s">
        <v>18</v>
      </c>
      <c r="S12" s="45"/>
      <c r="T12" s="45"/>
      <c r="U12" s="45"/>
      <c r="V12" s="46" t="s">
        <v>5</v>
      </c>
      <c r="W12" s="18"/>
      <c r="X12" s="18"/>
      <c r="Y12" s="18"/>
      <c r="Z12" s="18"/>
      <c r="AA12" s="18"/>
      <c r="AB12" s="53"/>
      <c r="AC12" s="54"/>
    </row>
    <row r="13" spans="1:32" x14ac:dyDescent="0.25">
      <c r="A13" s="6" t="s">
        <v>25</v>
      </c>
      <c r="B13" s="7"/>
      <c r="C13" s="7"/>
      <c r="D13" s="88">
        <f t="shared" ref="D13:P13" si="12">D11+D12</f>
        <v>5971.6500000000005</v>
      </c>
      <c r="E13" s="88">
        <f t="shared" si="12"/>
        <v>8483.43</v>
      </c>
      <c r="F13" s="88">
        <f t="shared" si="12"/>
        <v>12080</v>
      </c>
      <c r="G13" s="88">
        <f t="shared" si="12"/>
        <v>16447</v>
      </c>
      <c r="H13" s="88">
        <f t="shared" si="12"/>
        <v>24761.49</v>
      </c>
      <c r="I13" s="88">
        <f t="shared" si="12"/>
        <v>32810.300000000003</v>
      </c>
      <c r="J13" s="88">
        <f t="shared" si="12"/>
        <v>7463.9000000000005</v>
      </c>
      <c r="K13" s="88">
        <f t="shared" si="12"/>
        <v>7940.5</v>
      </c>
      <c r="L13" s="88">
        <f t="shared" si="12"/>
        <v>8136.3</v>
      </c>
      <c r="M13" s="88">
        <f t="shared" si="12"/>
        <v>9270.2999999999993</v>
      </c>
      <c r="N13" s="88">
        <f t="shared" si="12"/>
        <v>9487.2999999999993</v>
      </c>
      <c r="O13" s="88">
        <f t="shared" si="12"/>
        <v>9748.1</v>
      </c>
      <c r="P13" s="88">
        <f t="shared" si="12"/>
        <v>10038.099999999999</v>
      </c>
      <c r="Q13" s="11"/>
      <c r="R13" s="42" t="s">
        <v>19</v>
      </c>
      <c r="S13" s="43"/>
      <c r="T13" s="44">
        <f t="shared" ref="T13:Y13" si="13">D24/D23</f>
        <v>0</v>
      </c>
      <c r="U13" s="44">
        <f t="shared" si="13"/>
        <v>0</v>
      </c>
      <c r="V13" s="44">
        <f t="shared" si="13"/>
        <v>0</v>
      </c>
      <c r="W13" s="44">
        <f t="shared" si="13"/>
        <v>1.3094089834515365E-3</v>
      </c>
      <c r="X13" s="44">
        <f t="shared" si="13"/>
        <v>1.7900177179814957E-3</v>
      </c>
      <c r="Y13" s="44">
        <f t="shared" si="13"/>
        <v>8.4844557885496771E-3</v>
      </c>
      <c r="Z13" s="48">
        <v>1.5E-3</v>
      </c>
      <c r="AA13" s="48">
        <v>5.9999999999999995E-4</v>
      </c>
      <c r="AB13" s="48">
        <v>2.3E-3</v>
      </c>
      <c r="AC13" s="48">
        <v>8.3999999999999995E-3</v>
      </c>
      <c r="AD13" s="80">
        <v>8.8999999999999999E-3</v>
      </c>
      <c r="AE13" s="80">
        <v>8.9999999999999993E-3</v>
      </c>
      <c r="AF13" s="80">
        <v>7.9000000000000008E-3</v>
      </c>
    </row>
    <row r="14" spans="1:32" x14ac:dyDescent="0.25">
      <c r="A14" s="6" t="s">
        <v>26</v>
      </c>
      <c r="B14" s="7"/>
      <c r="C14" s="7"/>
      <c r="D14" s="85">
        <f>284.99+395.14+1096.52+1015.9</f>
        <v>2792.55</v>
      </c>
      <c r="E14" s="85">
        <f>920.46+363.01+1831.11+715.35</f>
        <v>3829.93</v>
      </c>
      <c r="F14" s="85">
        <f>948+781+2028+931</f>
        <v>4688</v>
      </c>
      <c r="G14" s="85">
        <f>1447+1784+996</f>
        <v>4227</v>
      </c>
      <c r="H14" s="85">
        <f>2876.39+1316.91+1440.73</f>
        <v>5634.0300000000007</v>
      </c>
      <c r="I14" s="85">
        <f>4451.6+1087.5+2623.9</f>
        <v>8163</v>
      </c>
      <c r="J14" s="85">
        <f>1209.1+291+527.2</f>
        <v>2027.3</v>
      </c>
      <c r="K14" s="85">
        <f>1316.2+293.2+487</f>
        <v>2096.4</v>
      </c>
      <c r="L14" s="85">
        <f>804.6+250.8+563.1</f>
        <v>1618.5</v>
      </c>
      <c r="M14" s="85">
        <f>1121.7+252.5+1046.6</f>
        <v>2420.8000000000002</v>
      </c>
      <c r="N14" s="11">
        <f>1356.1+254.6+632.7</f>
        <v>2243.3999999999996</v>
      </c>
      <c r="O14" s="11">
        <f>1168.2+236.9+717.7</f>
        <v>2122.8000000000002</v>
      </c>
      <c r="P14" s="11">
        <f>1112.5+234+996.4</f>
        <v>2342.9</v>
      </c>
      <c r="Q14" s="11"/>
      <c r="R14" s="42" t="s">
        <v>20</v>
      </c>
      <c r="S14" s="43"/>
      <c r="T14" s="44">
        <f t="shared" ref="T14:Y14" si="14">D25/D23</f>
        <v>0</v>
      </c>
      <c r="U14" s="44">
        <f t="shared" si="14"/>
        <v>0</v>
      </c>
      <c r="V14" s="44">
        <f t="shared" si="14"/>
        <v>0</v>
      </c>
      <c r="W14" s="44">
        <f t="shared" si="14"/>
        <v>1.1784397163120569E-3</v>
      </c>
      <c r="X14" s="44">
        <f t="shared" si="14"/>
        <v>1.0594240004179526E-3</v>
      </c>
      <c r="Y14" s="44">
        <f t="shared" si="14"/>
        <v>3.1370025689223761E-3</v>
      </c>
      <c r="Z14" s="48">
        <v>8.9999999999999998E-4</v>
      </c>
      <c r="AA14" s="48">
        <v>2.0000000000000001E-4</v>
      </c>
      <c r="AB14" s="48">
        <v>1.4E-3</v>
      </c>
      <c r="AC14" s="48">
        <v>3.0999999999999999E-3</v>
      </c>
      <c r="AD14" s="80">
        <v>8.0000000000000004E-4</v>
      </c>
      <c r="AE14" s="80">
        <v>1E-3</v>
      </c>
      <c r="AF14" s="80">
        <v>6.9999999999999999E-4</v>
      </c>
    </row>
    <row r="15" spans="1:32" x14ac:dyDescent="0.25">
      <c r="A15" s="6" t="s">
        <v>54</v>
      </c>
      <c r="B15" s="10"/>
      <c r="C15" s="10"/>
      <c r="D15" s="89">
        <f t="shared" ref="D15:K15" si="15">D11-D14</f>
        <v>3102.67</v>
      </c>
      <c r="E15" s="89">
        <f t="shared" si="15"/>
        <v>4484.4400000000005</v>
      </c>
      <c r="F15" s="89">
        <f t="shared" si="15"/>
        <v>7323</v>
      </c>
      <c r="G15" s="89">
        <f t="shared" si="15"/>
        <v>11982</v>
      </c>
      <c r="H15" s="89">
        <f>H11-H14</f>
        <v>18956.849999999999</v>
      </c>
      <c r="I15" s="89">
        <f>I11-I14</f>
        <v>24442.400000000001</v>
      </c>
      <c r="J15" s="89">
        <f t="shared" si="15"/>
        <v>5406</v>
      </c>
      <c r="K15" s="89">
        <f t="shared" si="15"/>
        <v>5789.2999999999993</v>
      </c>
      <c r="L15" s="89">
        <f>L11-L14</f>
        <v>6405.3</v>
      </c>
      <c r="M15" s="89">
        <f>M11-M14</f>
        <v>6697.9999999999991</v>
      </c>
      <c r="N15" s="89">
        <f>N11-N14</f>
        <v>7054.6</v>
      </c>
      <c r="O15" s="89">
        <f>O11-O14</f>
        <v>7266.8</v>
      </c>
      <c r="P15" s="89">
        <f>P11-P14</f>
        <v>7510.4</v>
      </c>
      <c r="Q15" s="11"/>
      <c r="R15" s="42" t="s">
        <v>21</v>
      </c>
      <c r="S15" s="43"/>
      <c r="T15" s="44" t="e">
        <f t="shared" ref="T15:Z15" si="16">(T13-T14)/T13</f>
        <v>#DIV/0!</v>
      </c>
      <c r="U15" s="44" t="e">
        <f t="shared" si="16"/>
        <v>#DIV/0!</v>
      </c>
      <c r="V15" s="44" t="e">
        <f t="shared" si="16"/>
        <v>#DIV/0!</v>
      </c>
      <c r="W15" s="44">
        <f t="shared" si="16"/>
        <v>0.10002166534267334</v>
      </c>
      <c r="X15" s="44">
        <f t="shared" si="16"/>
        <v>0.40814887485437484</v>
      </c>
      <c r="Y15" s="44">
        <f t="shared" ref="Y15" si="17">(Y13-Y14)/Y13</f>
        <v>0.63026472797984701</v>
      </c>
      <c r="Z15" s="44">
        <f t="shared" si="16"/>
        <v>0.4</v>
      </c>
      <c r="AA15" s="48"/>
      <c r="AB15" s="18"/>
      <c r="AC15" s="18"/>
    </row>
    <row r="16" spans="1:32" x14ac:dyDescent="0.25">
      <c r="A16" s="6" t="s">
        <v>94</v>
      </c>
      <c r="B16" s="10"/>
      <c r="C16" s="10"/>
      <c r="D16" s="89">
        <f t="shared" ref="D16:K16" si="18">D13-D14-D9</f>
        <v>2576.8900000000003</v>
      </c>
      <c r="E16" s="89">
        <f t="shared" si="18"/>
        <v>3683.52</v>
      </c>
      <c r="F16" s="89">
        <f t="shared" si="18"/>
        <v>5277</v>
      </c>
      <c r="G16" s="89">
        <f t="shared" si="18"/>
        <v>7945</v>
      </c>
      <c r="H16" s="89">
        <f>H13-H14-H9</f>
        <v>10570</v>
      </c>
      <c r="I16" s="89">
        <f>I13-I14-I9</f>
        <v>11454.900000000003</v>
      </c>
      <c r="J16" s="89">
        <f t="shared" si="18"/>
        <v>2385.4000000000005</v>
      </c>
      <c r="K16" s="89">
        <f t="shared" si="18"/>
        <v>2420.6000000000004</v>
      </c>
      <c r="L16" s="89">
        <f>L13-L14-L9</f>
        <v>3219.2000000000003</v>
      </c>
      <c r="M16" s="89">
        <f>M13-M14-M9</f>
        <v>3430.2999999999993</v>
      </c>
      <c r="N16" s="89">
        <f>N13-N14-N9</f>
        <v>3288.7</v>
      </c>
      <c r="O16" s="89">
        <f>O13-O14-O9</f>
        <v>4070.6000000000004</v>
      </c>
      <c r="P16" s="89">
        <f>P13-P14-P9</f>
        <v>3522.5999999999985</v>
      </c>
      <c r="Q16" s="11"/>
      <c r="R16" s="42" t="s">
        <v>22</v>
      </c>
      <c r="S16" s="43"/>
      <c r="T16" s="44">
        <f t="shared" ref="T16:Y16" si="19">D17/AVERAGE(C23:D23)</f>
        <v>3.2778437358007033E-3</v>
      </c>
      <c r="U16" s="44">
        <f t="shared" si="19"/>
        <v>6.994477628909544E-3</v>
      </c>
      <c r="V16" s="44">
        <f t="shared" si="19"/>
        <v>5.0690997959470076E-3</v>
      </c>
      <c r="W16" s="44">
        <f t="shared" si="19"/>
        <v>8.3775091211878514E-3</v>
      </c>
      <c r="X16" s="44">
        <f t="shared" si="19"/>
        <v>6.785459374717636E-3</v>
      </c>
      <c r="Y16" s="44">
        <f t="shared" si="19"/>
        <v>2.9355591961816078E-3</v>
      </c>
      <c r="Z16" s="18"/>
      <c r="AA16" s="18"/>
      <c r="AB16" s="18"/>
      <c r="AC16" s="18"/>
    </row>
    <row r="17" spans="1:29" x14ac:dyDescent="0.25">
      <c r="A17" s="6" t="s">
        <v>27</v>
      </c>
      <c r="B17" s="7"/>
      <c r="C17" s="7"/>
      <c r="D17" s="88">
        <v>42.49</v>
      </c>
      <c r="E17" s="85">
        <v>106.43</v>
      </c>
      <c r="F17" s="85">
        <v>175</v>
      </c>
      <c r="G17" s="85">
        <v>659</v>
      </c>
      <c r="H17" s="85">
        <v>977.01</v>
      </c>
      <c r="I17" s="85">
        <v>658.9</v>
      </c>
      <c r="J17" s="85">
        <v>100</v>
      </c>
      <c r="K17" s="85">
        <v>50</v>
      </c>
      <c r="L17" s="85">
        <v>0</v>
      </c>
      <c r="M17" s="85">
        <v>509.9</v>
      </c>
      <c r="N17" s="11">
        <v>290</v>
      </c>
      <c r="O17" s="11">
        <v>120</v>
      </c>
      <c r="P17" s="11">
        <v>496.8</v>
      </c>
      <c r="Q17" s="11"/>
      <c r="R17" s="18"/>
      <c r="S17" s="18"/>
      <c r="T17" s="18"/>
      <c r="U17" s="18"/>
      <c r="V17" s="18"/>
      <c r="W17" s="18"/>
      <c r="X17" s="18"/>
      <c r="Y17" s="18"/>
      <c r="Z17" s="18"/>
      <c r="AA17" s="18"/>
      <c r="AB17" s="18"/>
      <c r="AC17" s="18"/>
    </row>
    <row r="18" spans="1:29" x14ac:dyDescent="0.25">
      <c r="A18" s="6" t="s">
        <v>55</v>
      </c>
      <c r="B18" s="7"/>
      <c r="C18" s="7"/>
      <c r="D18" s="88">
        <v>1968.49</v>
      </c>
      <c r="E18" s="85">
        <v>2457.94</v>
      </c>
      <c r="F18" s="89">
        <v>3660</v>
      </c>
      <c r="G18" s="89">
        <v>5414</v>
      </c>
      <c r="H18" s="89">
        <v>7555.29</v>
      </c>
      <c r="I18" s="89">
        <v>7826.1</v>
      </c>
      <c r="J18" s="89">
        <v>1696.9</v>
      </c>
      <c r="K18" s="89">
        <v>1699</v>
      </c>
      <c r="L18" s="89">
        <v>2345.4</v>
      </c>
      <c r="M18" s="89">
        <v>2085.1999999999998</v>
      </c>
      <c r="N18" s="11">
        <v>2187.1</v>
      </c>
      <c r="O18" s="11">
        <v>2878</v>
      </c>
      <c r="P18" s="11">
        <v>2256.8000000000002</v>
      </c>
      <c r="Q18" s="11"/>
      <c r="R18" s="40" t="s">
        <v>30</v>
      </c>
      <c r="S18" s="45"/>
      <c r="T18" s="45"/>
      <c r="U18" s="45"/>
      <c r="V18" s="46" t="s">
        <v>5</v>
      </c>
      <c r="W18" s="18"/>
      <c r="X18" s="18"/>
      <c r="Y18" s="18"/>
      <c r="Z18" s="18"/>
      <c r="AA18" s="18"/>
      <c r="AB18" s="18"/>
      <c r="AC18" s="18"/>
    </row>
    <row r="19" spans="1:29" ht="22.5" x14ac:dyDescent="0.25">
      <c r="A19" s="6" t="s">
        <v>28</v>
      </c>
      <c r="B19" s="7"/>
      <c r="C19" s="7"/>
      <c r="D19" s="88">
        <v>14083.71</v>
      </c>
      <c r="E19" s="85">
        <v>20031.12</v>
      </c>
      <c r="F19" s="85">
        <v>26192</v>
      </c>
      <c r="G19" s="85">
        <v>36564</v>
      </c>
      <c r="H19" s="85">
        <f>50119.55-951.41-112.32</f>
        <v>49055.82</v>
      </c>
      <c r="I19" s="85">
        <f>75436.9-1212.9</f>
        <v>74224</v>
      </c>
      <c r="J19" s="85"/>
      <c r="K19" s="85">
        <f>61015-1083</f>
        <v>59932</v>
      </c>
      <c r="L19" s="85"/>
      <c r="M19" s="85">
        <v>75436.899999999994</v>
      </c>
      <c r="N19" s="11"/>
      <c r="O19" s="11">
        <f>80498.8-1274.3</f>
        <v>79224.5</v>
      </c>
      <c r="P19" s="11"/>
      <c r="Q19" s="11"/>
      <c r="R19" s="46" t="s">
        <v>95</v>
      </c>
      <c r="S19" s="51"/>
      <c r="T19" s="51"/>
      <c r="U19" s="52">
        <f>E16/AVERAGE(D22:E22)</f>
        <v>0.10315907008631457</v>
      </c>
      <c r="V19" s="52">
        <f>F16/AVERAGE(E22:F22)</f>
        <v>9.5107051303829002E-2</v>
      </c>
      <c r="W19" s="52">
        <f>G16/AVERAGE(F22:G22)</f>
        <v>7.8929460209915606E-2</v>
      </c>
      <c r="X19" s="52">
        <f>H16/AVERAGE(G22:H22)</f>
        <v>6.2501825680102055E-2</v>
      </c>
      <c r="Y19" s="52">
        <f>I16/AVERAGE(H22:I22)</f>
        <v>4.5068424734837596E-2</v>
      </c>
      <c r="Z19" s="18"/>
      <c r="AA19" s="18"/>
      <c r="AB19" s="18"/>
      <c r="AC19" s="18"/>
    </row>
    <row r="20" spans="1:29" x14ac:dyDescent="0.25">
      <c r="A20" s="6" t="s">
        <v>56</v>
      </c>
      <c r="B20" s="7"/>
      <c r="C20" s="7"/>
      <c r="D20" s="88">
        <f t="shared" ref="D20:O20" si="20">D19-D71</f>
        <v>14083.71</v>
      </c>
      <c r="E20" s="89">
        <f t="shared" si="20"/>
        <v>20031.12</v>
      </c>
      <c r="F20" s="89">
        <f t="shared" si="20"/>
        <v>26192</v>
      </c>
      <c r="G20" s="89">
        <f t="shared" si="20"/>
        <v>36564</v>
      </c>
      <c r="H20" s="89">
        <f t="shared" si="20"/>
        <v>49055.82</v>
      </c>
      <c r="I20" s="89">
        <f t="shared" si="20"/>
        <v>74224</v>
      </c>
      <c r="J20" s="89">
        <f t="shared" si="20"/>
        <v>0</v>
      </c>
      <c r="K20" s="89">
        <f t="shared" si="20"/>
        <v>59932</v>
      </c>
      <c r="L20" s="89">
        <f t="shared" si="20"/>
        <v>0</v>
      </c>
      <c r="M20" s="89">
        <f t="shared" si="20"/>
        <v>75436.899999999994</v>
      </c>
      <c r="N20" s="89">
        <f t="shared" si="20"/>
        <v>0</v>
      </c>
      <c r="O20" s="89">
        <f t="shared" si="20"/>
        <v>79224.5</v>
      </c>
      <c r="P20" s="440"/>
      <c r="Q20" s="11"/>
      <c r="R20" s="42" t="s">
        <v>31</v>
      </c>
      <c r="S20" s="43"/>
      <c r="T20" s="43">
        <v>4.4699999999999997E-2</v>
      </c>
      <c r="U20" s="44">
        <f>E18/AVERAGE(D22:E22)</f>
        <v>6.8836005974707903E-2</v>
      </c>
      <c r="V20" s="44">
        <f>F18/AVERAGE(E22:F22)</f>
        <v>6.5963958266441941E-2</v>
      </c>
      <c r="W20" s="44">
        <f>G18/AVERAGE(F22:G22)</f>
        <v>5.3785286038575596E-2</v>
      </c>
      <c r="X20" s="44">
        <f>H18/AVERAGE(G22:H22)</f>
        <v>4.4675441678582617E-2</v>
      </c>
      <c r="Y20" s="44">
        <f>I18/AVERAGE(H22:I22)</f>
        <v>3.0791189693258992E-2</v>
      </c>
      <c r="Z20" s="48"/>
      <c r="AA20" s="18"/>
      <c r="AB20" s="18"/>
      <c r="AC20" s="18"/>
    </row>
    <row r="21" spans="1:29" x14ac:dyDescent="0.25">
      <c r="A21" s="6" t="s">
        <v>57</v>
      </c>
      <c r="B21" s="9"/>
      <c r="C21" s="9"/>
      <c r="D21" s="85"/>
      <c r="E21" s="85"/>
      <c r="F21" s="85">
        <f>8504+8378+12310</f>
        <v>29192</v>
      </c>
      <c r="G21" s="85">
        <f>12965+45091+11399</f>
        <v>69455</v>
      </c>
      <c r="H21" s="85">
        <f>35530.58+72969.29+14000.74</f>
        <v>122500.61</v>
      </c>
      <c r="I21" s="85">
        <f>10355+154061+19500</f>
        <v>183916</v>
      </c>
      <c r="J21" s="85"/>
      <c r="K21" s="85">
        <f>21933+97584+16000</f>
        <v>135517</v>
      </c>
      <c r="L21" s="85"/>
      <c r="M21" s="85">
        <f>10355+154061+19500</f>
        <v>183916</v>
      </c>
      <c r="N21" s="11"/>
      <c r="O21" s="11">
        <f>1000.7+162006.8+20000</f>
        <v>183007.5</v>
      </c>
      <c r="P21" s="11"/>
      <c r="Q21" s="11"/>
      <c r="R21" s="42" t="s">
        <v>32</v>
      </c>
      <c r="S21" s="43"/>
      <c r="T21" s="44">
        <f t="shared" ref="T21:Y21" si="21">D18/AVERAGE(C19:D19)</f>
        <v>0.13977069962389171</v>
      </c>
      <c r="U21" s="44">
        <f t="shared" si="21"/>
        <v>0.14409803595679649</v>
      </c>
      <c r="V21" s="44">
        <f t="shared" si="21"/>
        <v>0.1583623087320804</v>
      </c>
      <c r="W21" s="44">
        <f t="shared" si="21"/>
        <v>0.17254127095417171</v>
      </c>
      <c r="X21" s="44">
        <f t="shared" si="21"/>
        <v>0.17648460368171762</v>
      </c>
      <c r="Y21" s="44">
        <f t="shared" si="21"/>
        <v>0.12696481873513443</v>
      </c>
      <c r="Z21" s="18"/>
      <c r="AA21" s="18"/>
      <c r="AB21" s="18"/>
      <c r="AC21" s="18"/>
    </row>
    <row r="22" spans="1:29" x14ac:dyDescent="0.25">
      <c r="A22" s="6" t="s">
        <v>29</v>
      </c>
      <c r="B22" s="7"/>
      <c r="C22" s="7"/>
      <c r="D22" s="88">
        <v>30955.68</v>
      </c>
      <c r="E22" s="85">
        <v>40458.69</v>
      </c>
      <c r="F22" s="85">
        <v>70511</v>
      </c>
      <c r="G22" s="85">
        <v>130808</v>
      </c>
      <c r="H22" s="85">
        <v>207422.12</v>
      </c>
      <c r="I22" s="85">
        <v>300911.59999999998</v>
      </c>
      <c r="J22" s="85"/>
      <c r="K22" s="85">
        <v>231663</v>
      </c>
      <c r="L22" s="85"/>
      <c r="M22" s="85">
        <v>300911.59999999998</v>
      </c>
      <c r="N22" s="11"/>
      <c r="O22" s="11">
        <v>306126.2</v>
      </c>
      <c r="P22" s="11"/>
      <c r="Q22" s="11"/>
      <c r="R22" s="40" t="s">
        <v>33</v>
      </c>
      <c r="S22" s="45"/>
      <c r="T22" s="45"/>
      <c r="U22" s="45"/>
      <c r="V22" s="46" t="s">
        <v>5</v>
      </c>
      <c r="W22" s="18"/>
      <c r="X22" s="18"/>
      <c r="Y22" s="18"/>
      <c r="Z22" s="18"/>
      <c r="AA22" s="18"/>
      <c r="AB22" s="18"/>
      <c r="AC22" s="18"/>
    </row>
    <row r="23" spans="1:29" x14ac:dyDescent="0.25">
      <c r="A23" s="6" t="s">
        <v>58</v>
      </c>
      <c r="B23" s="7"/>
      <c r="C23" s="7"/>
      <c r="D23" s="88">
        <v>12962.79</v>
      </c>
      <c r="E23" s="85">
        <v>17469.79</v>
      </c>
      <c r="F23" s="85">
        <v>51576</v>
      </c>
      <c r="G23" s="85">
        <v>105750</v>
      </c>
      <c r="H23" s="85">
        <v>182221.66</v>
      </c>
      <c r="I23" s="85">
        <v>266687.7</v>
      </c>
      <c r="J23" s="85"/>
      <c r="K23" s="85">
        <v>205226</v>
      </c>
      <c r="L23" s="85"/>
      <c r="M23" s="85">
        <v>264064.2</v>
      </c>
      <c r="N23" s="11"/>
      <c r="O23" s="11">
        <v>273531.59999999998</v>
      </c>
      <c r="P23" s="11"/>
      <c r="Q23" s="11"/>
      <c r="R23" s="42" t="s">
        <v>34</v>
      </c>
      <c r="S23" s="43"/>
      <c r="T23" s="44">
        <f t="shared" ref="T23:Y23" si="22">D6/AVERAGE(C23:D23)</f>
        <v>0.1447697602136577</v>
      </c>
      <c r="U23" s="44">
        <f t="shared" si="22"/>
        <v>0.18737353191875286</v>
      </c>
      <c r="V23" s="44">
        <f t="shared" si="22"/>
        <v>0.18138687384125807</v>
      </c>
      <c r="W23" s="44">
        <f t="shared" si="22"/>
        <v>0.14740093817932193</v>
      </c>
      <c r="X23" s="44">
        <f t="shared" si="22"/>
        <v>0.1585374060766952</v>
      </c>
      <c r="Y23" s="44">
        <f t="shared" si="22"/>
        <v>0.14334875975854011</v>
      </c>
      <c r="Z23" s="18"/>
      <c r="AA23" s="18"/>
      <c r="AB23" s="18"/>
      <c r="AC23" s="18"/>
    </row>
    <row r="24" spans="1:29" x14ac:dyDescent="0.25">
      <c r="A24" s="6" t="s">
        <v>59</v>
      </c>
      <c r="B24" s="10"/>
      <c r="C24" s="10"/>
      <c r="D24" s="89"/>
      <c r="E24" s="89"/>
      <c r="F24" s="89"/>
      <c r="G24" s="89">
        <v>138.47</v>
      </c>
      <c r="H24" s="89">
        <v>326.18</v>
      </c>
      <c r="I24" s="89">
        <v>2262.6999999999998</v>
      </c>
      <c r="J24" s="89"/>
      <c r="K24" s="89"/>
      <c r="L24" s="89"/>
      <c r="M24" s="89"/>
      <c r="N24" s="11"/>
      <c r="O24" s="11"/>
      <c r="P24" s="11"/>
      <c r="Q24" s="11"/>
      <c r="R24" s="42" t="s">
        <v>35</v>
      </c>
      <c r="S24" s="43"/>
      <c r="T24" s="44" t="e">
        <f t="shared" ref="T24:Y24" si="23">D9/AVERAGE(C21:D21)</f>
        <v>#DIV/0!</v>
      </c>
      <c r="U24" s="44" t="e">
        <f t="shared" si="23"/>
        <v>#DIV/0!</v>
      </c>
      <c r="V24" s="44">
        <f t="shared" si="23"/>
        <v>7.2451356536037265E-2</v>
      </c>
      <c r="W24" s="44">
        <f t="shared" si="23"/>
        <v>8.6672681379058661E-2</v>
      </c>
      <c r="X24" s="44">
        <f t="shared" si="23"/>
        <v>8.9160822129657993E-2</v>
      </c>
      <c r="Y24" s="44">
        <f t="shared" si="23"/>
        <v>8.6107603631539423E-2</v>
      </c>
      <c r="Z24" s="18"/>
      <c r="AA24" s="18"/>
      <c r="AB24" s="18"/>
      <c r="AC24" s="18"/>
    </row>
    <row r="25" spans="1:29" x14ac:dyDescent="0.25">
      <c r="A25" s="6" t="s">
        <v>60</v>
      </c>
      <c r="B25" s="10"/>
      <c r="C25" s="10"/>
      <c r="D25" s="89"/>
      <c r="E25" s="89"/>
      <c r="F25" s="89"/>
      <c r="G25" s="89">
        <v>124.62</v>
      </c>
      <c r="H25" s="89">
        <v>193.05</v>
      </c>
      <c r="I25" s="89">
        <v>836.6</v>
      </c>
      <c r="J25" s="89"/>
      <c r="K25" s="89"/>
      <c r="L25" s="89"/>
      <c r="M25" s="89"/>
      <c r="N25" s="11"/>
      <c r="O25" s="11"/>
      <c r="P25" s="11"/>
      <c r="Q25" s="11"/>
      <c r="R25" s="42" t="s">
        <v>36</v>
      </c>
      <c r="S25" s="43"/>
      <c r="T25" s="48" t="e">
        <f t="shared" ref="T25:Y25" si="24">T23-T24</f>
        <v>#DIV/0!</v>
      </c>
      <c r="U25" s="48" t="e">
        <f t="shared" si="24"/>
        <v>#DIV/0!</v>
      </c>
      <c r="V25" s="48">
        <f t="shared" si="24"/>
        <v>0.1089355173052208</v>
      </c>
      <c r="W25" s="48">
        <f t="shared" si="24"/>
        <v>6.0728256800263267E-2</v>
      </c>
      <c r="X25" s="48">
        <f t="shared" si="24"/>
        <v>6.9376583947037204E-2</v>
      </c>
      <c r="Y25" s="48">
        <f t="shared" si="24"/>
        <v>5.7241156127000689E-2</v>
      </c>
      <c r="Z25" s="18"/>
      <c r="AA25" s="18"/>
      <c r="AB25" s="18"/>
      <c r="AC25" s="18"/>
    </row>
    <row r="27" spans="1:29" ht="15" customHeight="1" x14ac:dyDescent="0.25">
      <c r="A27" s="739" t="s">
        <v>236</v>
      </c>
      <c r="B27" s="739"/>
      <c r="C27" s="739"/>
      <c r="D27" s="739"/>
      <c r="E27" s="739"/>
      <c r="F27" s="739"/>
      <c r="G27" s="739"/>
      <c r="H27" s="739"/>
      <c r="I27" s="739"/>
      <c r="J27" s="739"/>
      <c r="K27" s="739"/>
      <c r="L27" s="739"/>
      <c r="M27" s="739"/>
      <c r="N27" s="739"/>
      <c r="O27" s="739"/>
      <c r="P27" s="739"/>
      <c r="Q27" s="739"/>
      <c r="R27" s="739"/>
    </row>
    <row r="28" spans="1:29" x14ac:dyDescent="0.25">
      <c r="A28" s="739"/>
      <c r="B28" s="739"/>
      <c r="C28" s="739"/>
      <c r="D28" s="739"/>
      <c r="E28" s="739"/>
      <c r="F28" s="739"/>
      <c r="G28" s="739"/>
      <c r="H28" s="739"/>
      <c r="I28" s="739"/>
      <c r="J28" s="739"/>
      <c r="K28" s="739"/>
      <c r="L28" s="739"/>
      <c r="M28" s="739"/>
      <c r="N28" s="739"/>
      <c r="O28" s="739"/>
      <c r="P28" s="739"/>
      <c r="Q28" s="739"/>
      <c r="R28" s="739"/>
    </row>
    <row r="29" spans="1:29" x14ac:dyDescent="0.25">
      <c r="A29" s="739"/>
      <c r="B29" s="739"/>
      <c r="C29" s="739"/>
      <c r="D29" s="739"/>
      <c r="E29" s="739"/>
      <c r="F29" s="739"/>
      <c r="G29" s="739"/>
      <c r="H29" s="739"/>
      <c r="I29" s="739"/>
      <c r="J29" s="739"/>
      <c r="K29" s="739"/>
      <c r="L29" s="739"/>
      <c r="M29" s="739"/>
      <c r="N29" s="739"/>
      <c r="O29" s="739"/>
      <c r="P29" s="739"/>
      <c r="Q29" s="739"/>
      <c r="R29" s="739"/>
    </row>
    <row r="30" spans="1:29" x14ac:dyDescent="0.25">
      <c r="A30" s="739"/>
      <c r="B30" s="739"/>
      <c r="C30" s="739"/>
      <c r="D30" s="739"/>
      <c r="E30" s="739"/>
      <c r="F30" s="739"/>
      <c r="G30" s="739"/>
      <c r="H30" s="739"/>
      <c r="I30" s="739"/>
      <c r="J30" s="739"/>
      <c r="K30" s="739"/>
      <c r="L30" s="739"/>
      <c r="M30" s="739"/>
      <c r="N30" s="739"/>
      <c r="O30" s="739"/>
      <c r="P30" s="739"/>
      <c r="Q30" s="739"/>
      <c r="R30" s="739"/>
    </row>
    <row r="31" spans="1:29" x14ac:dyDescent="0.25">
      <c r="A31" s="739"/>
      <c r="B31" s="739"/>
      <c r="C31" s="739"/>
      <c r="D31" s="739"/>
      <c r="E31" s="739"/>
      <c r="F31" s="739"/>
      <c r="G31" s="739"/>
      <c r="H31" s="739"/>
      <c r="I31" s="739"/>
      <c r="J31" s="739"/>
      <c r="K31" s="739"/>
      <c r="L31" s="739"/>
      <c r="M31" s="739"/>
      <c r="N31" s="739"/>
      <c r="O31" s="739"/>
      <c r="P31" s="739"/>
      <c r="Q31" s="739"/>
      <c r="R31" s="739"/>
    </row>
    <row r="32" spans="1:29" x14ac:dyDescent="0.25">
      <c r="A32" s="739"/>
      <c r="B32" s="739"/>
      <c r="C32" s="739"/>
      <c r="D32" s="739"/>
      <c r="E32" s="739"/>
      <c r="F32" s="739"/>
      <c r="G32" s="739"/>
      <c r="H32" s="739"/>
      <c r="I32" s="739"/>
      <c r="J32" s="739"/>
      <c r="K32" s="739"/>
      <c r="L32" s="739"/>
      <c r="M32" s="739"/>
      <c r="N32" s="739"/>
      <c r="O32" s="739"/>
      <c r="P32" s="739"/>
      <c r="Q32" s="739"/>
      <c r="R32" s="739"/>
    </row>
    <row r="33" spans="1:18" x14ac:dyDescent="0.25">
      <c r="A33" s="739"/>
      <c r="B33" s="739"/>
      <c r="C33" s="739"/>
      <c r="D33" s="739"/>
      <c r="E33" s="739"/>
      <c r="F33" s="739"/>
      <c r="G33" s="739"/>
      <c r="H33" s="739"/>
      <c r="I33" s="739"/>
      <c r="J33" s="739"/>
      <c r="K33" s="739"/>
      <c r="L33" s="739"/>
      <c r="M33" s="739"/>
      <c r="N33" s="739"/>
      <c r="O33" s="739"/>
      <c r="P33" s="739"/>
      <c r="Q33" s="739"/>
      <c r="R33" s="739"/>
    </row>
    <row r="34" spans="1:18" x14ac:dyDescent="0.25">
      <c r="A34" s="739"/>
      <c r="B34" s="739"/>
      <c r="C34" s="739"/>
      <c r="D34" s="739"/>
      <c r="E34" s="739"/>
      <c r="F34" s="739"/>
      <c r="G34" s="739"/>
      <c r="H34" s="739"/>
      <c r="I34" s="739"/>
      <c r="J34" s="739"/>
      <c r="K34" s="739"/>
      <c r="L34" s="739"/>
      <c r="M34" s="739"/>
      <c r="N34" s="739"/>
      <c r="O34" s="739"/>
      <c r="P34" s="739"/>
      <c r="Q34" s="739"/>
      <c r="R34" s="739"/>
    </row>
    <row r="35" spans="1:18" x14ac:dyDescent="0.25">
      <c r="A35" s="739"/>
      <c r="B35" s="739"/>
      <c r="C35" s="739"/>
      <c r="D35" s="739"/>
      <c r="E35" s="739"/>
      <c r="F35" s="739"/>
      <c r="G35" s="739"/>
      <c r="H35" s="739"/>
      <c r="I35" s="739"/>
      <c r="J35" s="739"/>
      <c r="K35" s="739"/>
      <c r="L35" s="739"/>
      <c r="M35" s="739"/>
      <c r="N35" s="739"/>
      <c r="O35" s="739"/>
      <c r="P35" s="739"/>
      <c r="Q35" s="739"/>
      <c r="R35" s="739"/>
    </row>
    <row r="36" spans="1:18" x14ac:dyDescent="0.25">
      <c r="A36" s="739"/>
      <c r="B36" s="739"/>
      <c r="C36" s="739"/>
      <c r="D36" s="739"/>
      <c r="E36" s="739"/>
      <c r="F36" s="739"/>
      <c r="G36" s="739"/>
      <c r="H36" s="739"/>
      <c r="I36" s="739"/>
      <c r="J36" s="739"/>
      <c r="K36" s="739"/>
      <c r="L36" s="739"/>
      <c r="M36" s="739"/>
      <c r="N36" s="739"/>
      <c r="O36" s="739"/>
      <c r="P36" s="739"/>
      <c r="Q36" s="739"/>
      <c r="R36" s="739"/>
    </row>
    <row r="37" spans="1:18" x14ac:dyDescent="0.25">
      <c r="A37" s="739"/>
      <c r="B37" s="739"/>
      <c r="C37" s="739"/>
      <c r="D37" s="739"/>
      <c r="E37" s="739"/>
      <c r="F37" s="739"/>
      <c r="G37" s="739"/>
      <c r="H37" s="739"/>
      <c r="I37" s="739"/>
      <c r="J37" s="739"/>
      <c r="K37" s="739"/>
      <c r="L37" s="739"/>
      <c r="M37" s="739"/>
      <c r="N37" s="739"/>
      <c r="O37" s="739"/>
      <c r="P37" s="739"/>
      <c r="Q37" s="739"/>
      <c r="R37" s="739"/>
    </row>
    <row r="38" spans="1:18" x14ac:dyDescent="0.25">
      <c r="A38" s="739"/>
      <c r="B38" s="739"/>
      <c r="C38" s="739"/>
      <c r="D38" s="739"/>
      <c r="E38" s="739"/>
      <c r="F38" s="739"/>
      <c r="G38" s="739"/>
      <c r="H38" s="739"/>
      <c r="I38" s="739"/>
      <c r="J38" s="739"/>
      <c r="K38" s="739"/>
      <c r="L38" s="739"/>
      <c r="M38" s="739"/>
      <c r="N38" s="739"/>
      <c r="O38" s="739"/>
      <c r="P38" s="739"/>
      <c r="Q38" s="739"/>
      <c r="R38" s="739"/>
    </row>
    <row r="39" spans="1:18" x14ac:dyDescent="0.25">
      <c r="A39" s="739"/>
      <c r="B39" s="739"/>
      <c r="C39" s="739"/>
      <c r="D39" s="739"/>
      <c r="E39" s="739"/>
      <c r="F39" s="739"/>
      <c r="G39" s="739"/>
      <c r="H39" s="739"/>
      <c r="I39" s="739"/>
      <c r="J39" s="739"/>
      <c r="K39" s="739"/>
      <c r="L39" s="739"/>
      <c r="M39" s="739"/>
      <c r="N39" s="739"/>
      <c r="O39" s="739"/>
      <c r="P39" s="739"/>
      <c r="Q39" s="739"/>
      <c r="R39" s="739"/>
    </row>
    <row r="40" spans="1:18" x14ac:dyDescent="0.25">
      <c r="A40" s="739"/>
      <c r="B40" s="739"/>
      <c r="C40" s="739"/>
      <c r="D40" s="739"/>
      <c r="E40" s="739"/>
      <c r="F40" s="739"/>
      <c r="G40" s="739"/>
      <c r="H40" s="739"/>
      <c r="I40" s="739"/>
      <c r="J40" s="739"/>
      <c r="K40" s="739"/>
      <c r="L40" s="739"/>
      <c r="M40" s="739"/>
      <c r="N40" s="739"/>
      <c r="O40" s="739"/>
      <c r="P40" s="739"/>
      <c r="Q40" s="739"/>
      <c r="R40" s="739"/>
    </row>
    <row r="42" spans="1:18" ht="15" customHeight="1" x14ac:dyDescent="0.25">
      <c r="A42" s="733" t="s">
        <v>283</v>
      </c>
      <c r="B42" s="733"/>
      <c r="C42" s="733"/>
      <c r="D42" s="733"/>
      <c r="E42" s="733"/>
      <c r="F42" s="733"/>
      <c r="G42" s="733"/>
      <c r="H42" s="733"/>
      <c r="I42" s="733"/>
      <c r="J42" s="733"/>
      <c r="K42" s="733"/>
      <c r="L42" s="733"/>
      <c r="M42" s="733"/>
      <c r="N42" s="733"/>
      <c r="O42" s="733"/>
      <c r="P42" s="733"/>
      <c r="Q42" s="733"/>
      <c r="R42" s="733"/>
    </row>
    <row r="43" spans="1:18" x14ac:dyDescent="0.25">
      <c r="A43" s="733"/>
      <c r="B43" s="733"/>
      <c r="C43" s="733"/>
      <c r="D43" s="733"/>
      <c r="E43" s="733"/>
      <c r="F43" s="733"/>
      <c r="G43" s="733"/>
      <c r="H43" s="733"/>
      <c r="I43" s="733"/>
      <c r="J43" s="733"/>
      <c r="K43" s="733"/>
      <c r="L43" s="733"/>
      <c r="M43" s="733"/>
      <c r="N43" s="733"/>
      <c r="O43" s="733"/>
      <c r="P43" s="733"/>
      <c r="Q43" s="733"/>
      <c r="R43" s="733"/>
    </row>
    <row r="44" spans="1:18" x14ac:dyDescent="0.25">
      <c r="A44" s="733"/>
      <c r="B44" s="733"/>
      <c r="C44" s="733"/>
      <c r="D44" s="733"/>
      <c r="E44" s="733"/>
      <c r="F44" s="733"/>
      <c r="G44" s="733"/>
      <c r="H44" s="733"/>
      <c r="I44" s="733"/>
      <c r="J44" s="733"/>
      <c r="K44" s="733"/>
      <c r="L44" s="733"/>
      <c r="M44" s="733"/>
      <c r="N44" s="733"/>
      <c r="O44" s="733"/>
      <c r="P44" s="733"/>
      <c r="Q44" s="733"/>
      <c r="R44" s="733"/>
    </row>
    <row r="45" spans="1:18" x14ac:dyDescent="0.25">
      <c r="A45" s="733"/>
      <c r="B45" s="733"/>
      <c r="C45" s="733"/>
      <c r="D45" s="733"/>
      <c r="E45" s="733"/>
      <c r="F45" s="733"/>
      <c r="G45" s="733"/>
      <c r="H45" s="733"/>
      <c r="I45" s="733"/>
      <c r="J45" s="733"/>
      <c r="K45" s="733"/>
      <c r="L45" s="733"/>
      <c r="M45" s="733"/>
      <c r="N45" s="733"/>
      <c r="O45" s="733"/>
      <c r="P45" s="733"/>
      <c r="Q45" s="733"/>
      <c r="R45" s="733"/>
    </row>
    <row r="46" spans="1:18" x14ac:dyDescent="0.25">
      <c r="A46" s="733"/>
      <c r="B46" s="733"/>
      <c r="C46" s="733"/>
      <c r="D46" s="733"/>
      <c r="E46" s="733"/>
      <c r="F46" s="733"/>
      <c r="G46" s="733"/>
      <c r="H46" s="733"/>
      <c r="I46" s="733"/>
      <c r="J46" s="733"/>
      <c r="K46" s="733"/>
      <c r="L46" s="733"/>
      <c r="M46" s="733"/>
      <c r="N46" s="733"/>
      <c r="O46" s="733"/>
      <c r="P46" s="733"/>
      <c r="Q46" s="733"/>
      <c r="R46" s="733"/>
    </row>
    <row r="47" spans="1:18" x14ac:dyDescent="0.25">
      <c r="A47" s="733"/>
      <c r="B47" s="733"/>
      <c r="C47" s="733"/>
      <c r="D47" s="733"/>
      <c r="E47" s="733"/>
      <c r="F47" s="733"/>
      <c r="G47" s="733"/>
      <c r="H47" s="733"/>
      <c r="I47" s="733"/>
      <c r="J47" s="733"/>
      <c r="K47" s="733"/>
      <c r="L47" s="733"/>
      <c r="M47" s="733"/>
      <c r="N47" s="733"/>
      <c r="O47" s="733"/>
      <c r="P47" s="733"/>
      <c r="Q47" s="733"/>
      <c r="R47" s="733"/>
    </row>
    <row r="48" spans="1:18" x14ac:dyDescent="0.25">
      <c r="A48" s="733"/>
      <c r="B48" s="733"/>
      <c r="C48" s="733"/>
      <c r="D48" s="733"/>
      <c r="E48" s="733"/>
      <c r="F48" s="733"/>
      <c r="G48" s="733"/>
      <c r="H48" s="733"/>
      <c r="I48" s="733"/>
      <c r="J48" s="733"/>
      <c r="K48" s="733"/>
      <c r="L48" s="733"/>
      <c r="M48" s="733"/>
      <c r="N48" s="733"/>
      <c r="O48" s="733"/>
      <c r="P48" s="733"/>
      <c r="Q48" s="733"/>
      <c r="R48" s="733"/>
    </row>
    <row r="49" spans="1:18" x14ac:dyDescent="0.25">
      <c r="A49" s="733"/>
      <c r="B49" s="733"/>
      <c r="C49" s="733"/>
      <c r="D49" s="733"/>
      <c r="E49" s="733"/>
      <c r="F49" s="733"/>
      <c r="G49" s="733"/>
      <c r="H49" s="733"/>
      <c r="I49" s="733"/>
      <c r="J49" s="733"/>
      <c r="K49" s="733"/>
      <c r="L49" s="733"/>
      <c r="M49" s="733"/>
      <c r="N49" s="733"/>
      <c r="O49" s="733"/>
      <c r="P49" s="733"/>
      <c r="Q49" s="733"/>
      <c r="R49" s="733"/>
    </row>
    <row r="50" spans="1:18" x14ac:dyDescent="0.25">
      <c r="A50" s="733"/>
      <c r="B50" s="733"/>
      <c r="C50" s="733"/>
      <c r="D50" s="733"/>
      <c r="E50" s="733"/>
      <c r="F50" s="733"/>
      <c r="G50" s="733"/>
      <c r="H50" s="733"/>
      <c r="I50" s="733"/>
      <c r="J50" s="733"/>
      <c r="K50" s="733"/>
      <c r="L50" s="733"/>
      <c r="M50" s="733"/>
      <c r="N50" s="733"/>
      <c r="O50" s="733"/>
      <c r="P50" s="733"/>
      <c r="Q50" s="733"/>
      <c r="R50" s="733"/>
    </row>
    <row r="51" spans="1:18" x14ac:dyDescent="0.25">
      <c r="A51" s="733"/>
      <c r="B51" s="733"/>
      <c r="C51" s="733"/>
      <c r="D51" s="733"/>
      <c r="E51" s="733"/>
      <c r="F51" s="733"/>
      <c r="G51" s="733"/>
      <c r="H51" s="733"/>
      <c r="I51" s="733"/>
      <c r="J51" s="733"/>
      <c r="K51" s="733"/>
      <c r="L51" s="733"/>
      <c r="M51" s="733"/>
      <c r="N51" s="733"/>
      <c r="O51" s="733"/>
      <c r="P51" s="733"/>
      <c r="Q51" s="733"/>
      <c r="R51" s="733"/>
    </row>
    <row r="52" spans="1:18" x14ac:dyDescent="0.25">
      <c r="A52" s="733"/>
      <c r="B52" s="733"/>
      <c r="C52" s="733"/>
      <c r="D52" s="733"/>
      <c r="E52" s="733"/>
      <c r="F52" s="733"/>
      <c r="G52" s="733"/>
      <c r="H52" s="733"/>
      <c r="I52" s="733"/>
      <c r="J52" s="733"/>
      <c r="K52" s="733"/>
      <c r="L52" s="733"/>
      <c r="M52" s="733"/>
      <c r="N52" s="733"/>
      <c r="O52" s="733"/>
      <c r="P52" s="733"/>
      <c r="Q52" s="733"/>
      <c r="R52" s="733"/>
    </row>
    <row r="53" spans="1:18" x14ac:dyDescent="0.25">
      <c r="A53" s="733"/>
      <c r="B53" s="733"/>
      <c r="C53" s="733"/>
      <c r="D53" s="733"/>
      <c r="E53" s="733"/>
      <c r="F53" s="733"/>
      <c r="G53" s="733"/>
      <c r="H53" s="733"/>
      <c r="I53" s="733"/>
      <c r="J53" s="733"/>
      <c r="K53" s="733"/>
      <c r="L53" s="733"/>
      <c r="M53" s="733"/>
      <c r="N53" s="733"/>
      <c r="O53" s="733"/>
      <c r="P53" s="733"/>
      <c r="Q53" s="733"/>
      <c r="R53" s="733"/>
    </row>
    <row r="54" spans="1:18" x14ac:dyDescent="0.25">
      <c r="A54" s="733"/>
      <c r="B54" s="733"/>
      <c r="C54" s="733"/>
      <c r="D54" s="733"/>
      <c r="E54" s="733"/>
      <c r="F54" s="733"/>
      <c r="G54" s="733"/>
      <c r="H54" s="733"/>
      <c r="I54" s="733"/>
      <c r="J54" s="733"/>
      <c r="K54" s="733"/>
      <c r="L54" s="733"/>
      <c r="M54" s="733"/>
      <c r="N54" s="733"/>
      <c r="O54" s="733"/>
      <c r="P54" s="733"/>
      <c r="Q54" s="733"/>
      <c r="R54" s="733"/>
    </row>
    <row r="55" spans="1:18" x14ac:dyDescent="0.25">
      <c r="A55" s="733"/>
      <c r="B55" s="733"/>
      <c r="C55" s="733"/>
      <c r="D55" s="733"/>
      <c r="E55" s="733"/>
      <c r="F55" s="733"/>
      <c r="G55" s="733"/>
      <c r="H55" s="733"/>
      <c r="I55" s="733"/>
      <c r="J55" s="733"/>
      <c r="K55" s="733"/>
      <c r="L55" s="733"/>
      <c r="M55" s="733"/>
      <c r="N55" s="733"/>
      <c r="O55" s="733"/>
      <c r="P55" s="733"/>
      <c r="Q55" s="733"/>
      <c r="R55" s="733"/>
    </row>
    <row r="56" spans="1:18" x14ac:dyDescent="0.25">
      <c r="A56" s="733"/>
      <c r="B56" s="733"/>
      <c r="C56" s="733"/>
      <c r="D56" s="733"/>
      <c r="E56" s="733"/>
      <c r="F56" s="733"/>
      <c r="G56" s="733"/>
      <c r="H56" s="733"/>
      <c r="I56" s="733"/>
      <c r="J56" s="733"/>
      <c r="K56" s="733"/>
      <c r="L56" s="733"/>
      <c r="M56" s="733"/>
      <c r="N56" s="733"/>
      <c r="O56" s="733"/>
      <c r="P56" s="733"/>
      <c r="Q56" s="733"/>
      <c r="R56" s="733"/>
    </row>
    <row r="57" spans="1:18" x14ac:dyDescent="0.25">
      <c r="A57" s="733"/>
      <c r="B57" s="733"/>
      <c r="C57" s="733"/>
      <c r="D57" s="733"/>
      <c r="E57" s="733"/>
      <c r="F57" s="733"/>
      <c r="G57" s="733"/>
      <c r="H57" s="733"/>
      <c r="I57" s="733"/>
      <c r="J57" s="733"/>
      <c r="K57" s="733"/>
      <c r="L57" s="733"/>
      <c r="M57" s="733"/>
      <c r="N57" s="733"/>
      <c r="O57" s="733"/>
      <c r="P57" s="733"/>
      <c r="Q57" s="733"/>
      <c r="R57" s="733"/>
    </row>
    <row r="58" spans="1:18" x14ac:dyDescent="0.25">
      <c r="A58" s="733"/>
      <c r="B58" s="733"/>
      <c r="C58" s="733"/>
      <c r="D58" s="733"/>
      <c r="E58" s="733"/>
      <c r="F58" s="733"/>
      <c r="G58" s="733"/>
      <c r="H58" s="733"/>
      <c r="I58" s="733"/>
      <c r="J58" s="733"/>
      <c r="K58" s="733"/>
      <c r="L58" s="733"/>
      <c r="M58" s="733"/>
      <c r="N58" s="733"/>
      <c r="O58" s="733"/>
      <c r="P58" s="733"/>
      <c r="Q58" s="733"/>
      <c r="R58" s="733"/>
    </row>
    <row r="59" spans="1:18" x14ac:dyDescent="0.25">
      <c r="A59" s="126"/>
      <c r="B59" s="126"/>
      <c r="C59" s="126"/>
      <c r="D59" s="126"/>
      <c r="E59" s="126"/>
      <c r="F59" s="126"/>
      <c r="G59" s="126"/>
      <c r="H59" s="126"/>
      <c r="I59" s="126"/>
      <c r="J59" s="126"/>
      <c r="K59" s="126"/>
      <c r="L59" s="126"/>
      <c r="M59" s="126"/>
      <c r="N59" s="126"/>
      <c r="O59" s="126"/>
      <c r="P59" s="126"/>
      <c r="Q59" s="126"/>
      <c r="R59" s="126"/>
    </row>
    <row r="60" spans="1:18" x14ac:dyDescent="0.25">
      <c r="A60" s="126"/>
      <c r="B60" s="126"/>
      <c r="C60" s="126"/>
      <c r="D60" s="126"/>
      <c r="E60" s="126"/>
      <c r="F60" s="126"/>
      <c r="G60" s="126"/>
      <c r="H60" s="126"/>
      <c r="I60" s="126"/>
      <c r="J60" s="126"/>
      <c r="K60" s="126"/>
      <c r="L60" s="126"/>
      <c r="M60" s="126"/>
      <c r="N60" s="126"/>
      <c r="O60" s="126"/>
      <c r="P60" s="126"/>
      <c r="Q60" s="126"/>
      <c r="R60" s="126"/>
    </row>
  </sheetData>
  <mergeCells count="4">
    <mergeCell ref="A2:A4"/>
    <mergeCell ref="K1:M1"/>
    <mergeCell ref="A27:R40"/>
    <mergeCell ref="A42:R58"/>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L36"/>
  <sheetViews>
    <sheetView topLeftCell="U4" workbookViewId="0">
      <selection activeCell="AG7" sqref="AG7"/>
    </sheetView>
  </sheetViews>
  <sheetFormatPr defaultRowHeight="15" x14ac:dyDescent="0.25"/>
  <cols>
    <col min="1" max="1" width="30.140625" customWidth="1"/>
    <col min="4" max="4" width="12.5703125" customWidth="1"/>
    <col min="5" max="5" width="13.85546875" customWidth="1"/>
    <col min="6" max="6" width="14.7109375" customWidth="1"/>
    <col min="7" max="9" width="11.85546875" customWidth="1"/>
    <col min="10" max="13" width="10.140625" bestFit="1" customWidth="1"/>
    <col min="19" max="19" width="29.28515625" customWidth="1"/>
    <col min="21" max="21" width="13" customWidth="1"/>
    <col min="22" max="22" width="13.140625" customWidth="1"/>
    <col min="23" max="23" width="12.28515625" customWidth="1"/>
    <col min="24" max="26" width="11.7109375" customWidth="1"/>
    <col min="36" max="36" width="45" bestFit="1" customWidth="1"/>
    <col min="37" max="37" width="42.42578125" bestFit="1" customWidth="1"/>
    <col min="38" max="38" width="12.140625" bestFit="1" customWidth="1"/>
  </cols>
  <sheetData>
    <row r="1" spans="1:38" x14ac:dyDescent="0.25">
      <c r="K1" s="772" t="s">
        <v>111</v>
      </c>
      <c r="L1" s="772"/>
      <c r="M1" s="772"/>
    </row>
    <row r="2" spans="1:38" ht="45" x14ac:dyDescent="0.25">
      <c r="A2" s="771" t="s">
        <v>4</v>
      </c>
      <c r="B2" s="1" t="s">
        <v>43</v>
      </c>
      <c r="C2" s="1" t="s">
        <v>41</v>
      </c>
      <c r="D2" s="2" t="s">
        <v>44</v>
      </c>
      <c r="E2" s="2" t="s">
        <v>0</v>
      </c>
      <c r="F2" s="3" t="s">
        <v>45</v>
      </c>
      <c r="G2" s="3" t="s">
        <v>42</v>
      </c>
      <c r="H2" s="3" t="s">
        <v>366</v>
      </c>
      <c r="I2" s="3" t="s">
        <v>556</v>
      </c>
      <c r="J2" s="3" t="s">
        <v>37</v>
      </c>
      <c r="K2" s="3" t="s">
        <v>38</v>
      </c>
      <c r="L2" s="3" t="s">
        <v>39</v>
      </c>
      <c r="M2" s="3" t="s">
        <v>40</v>
      </c>
      <c r="N2" s="11"/>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J2" s="430" t="s">
        <v>662</v>
      </c>
      <c r="AK2" s="431" t="s">
        <v>663</v>
      </c>
    </row>
    <row r="3" spans="1:38"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3.2226980177432897E-2</v>
      </c>
      <c r="V3" s="44">
        <f t="shared" si="0"/>
        <v>3.4405252862823817E-2</v>
      </c>
      <c r="W3" s="44">
        <f t="shared" si="0"/>
        <v>3.6270420231160568E-2</v>
      </c>
      <c r="X3" s="44">
        <f t="shared" si="0"/>
        <v>4.1191667315816895E-2</v>
      </c>
      <c r="Y3" s="44">
        <f t="shared" si="0"/>
        <v>3.5534761926876594E-2</v>
      </c>
      <c r="Z3" s="44">
        <f t="shared" si="0"/>
        <v>3.3583758833711071E-2</v>
      </c>
      <c r="AA3" s="44">
        <f t="shared" ref="AA3:AH3" si="1">(J10*4)/J23</f>
        <v>3.203966610401128E-2</v>
      </c>
      <c r="AB3" s="44">
        <f t="shared" si="1"/>
        <v>3.4921140969524291E-2</v>
      </c>
      <c r="AC3" s="44">
        <f t="shared" si="1"/>
        <v>3.4139731867084772E-2</v>
      </c>
      <c r="AD3" s="44">
        <f t="shared" si="1"/>
        <v>3.2204202707685106E-2</v>
      </c>
      <c r="AE3" s="44">
        <f t="shared" si="1"/>
        <v>3.4234759948600937E-2</v>
      </c>
      <c r="AF3" s="44">
        <f t="shared" si="1"/>
        <v>3.3821938728317159E-2</v>
      </c>
      <c r="AG3" s="44">
        <f t="shared" si="1"/>
        <v>3.4918378611734906E-2</v>
      </c>
      <c r="AH3" s="44">
        <f t="shared" si="1"/>
        <v>3.4816974821649777E-2</v>
      </c>
      <c r="AJ3" s="774" t="s">
        <v>664</v>
      </c>
      <c r="AK3" s="774"/>
    </row>
    <row r="4" spans="1:38"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74" t="s">
        <v>665</v>
      </c>
      <c r="AK4" s="774"/>
    </row>
    <row r="5" spans="1:38" x14ac:dyDescent="0.25">
      <c r="A5" s="6" t="s">
        <v>23</v>
      </c>
      <c r="B5" s="7"/>
      <c r="C5" s="8"/>
      <c r="D5">
        <v>25309.72</v>
      </c>
      <c r="E5">
        <v>29791.06</v>
      </c>
      <c r="F5" s="85">
        <v>35387.99</v>
      </c>
      <c r="G5" s="90">
        <v>39132.49</v>
      </c>
      <c r="H5" s="90">
        <v>39208.06</v>
      </c>
      <c r="I5" s="90">
        <v>47146.3</v>
      </c>
      <c r="J5" s="85">
        <v>10975.57</v>
      </c>
      <c r="K5" s="85">
        <v>11575.94</v>
      </c>
      <c r="L5" s="85">
        <v>11981.65</v>
      </c>
      <c r="M5" s="85">
        <v>10113.27</v>
      </c>
      <c r="N5" s="11">
        <v>12613.14</v>
      </c>
      <c r="O5" s="11">
        <v>13023.31</v>
      </c>
      <c r="P5" s="11">
        <v>13571.18</v>
      </c>
      <c r="Q5" s="11">
        <v>14157.19</v>
      </c>
      <c r="R5" s="11"/>
      <c r="S5" s="42" t="s">
        <v>13</v>
      </c>
      <c r="T5" s="46"/>
      <c r="U5" s="47">
        <f t="shared" ref="U5:Z5" si="2">D21/D20</f>
        <v>7.1224533523948681</v>
      </c>
      <c r="V5" s="47">
        <f t="shared" si="2"/>
        <v>8.1632999359116187</v>
      </c>
      <c r="W5" s="47">
        <f t="shared" si="2"/>
        <v>7.5940565605644679</v>
      </c>
      <c r="X5" s="47">
        <f t="shared" si="2"/>
        <v>6.5332491919287019</v>
      </c>
      <c r="Y5" s="47">
        <f t="shared" si="2"/>
        <v>6.602610937267845</v>
      </c>
      <c r="Z5" s="47">
        <f t="shared" si="2"/>
        <v>6.7214133705111001</v>
      </c>
      <c r="AA5" s="18"/>
      <c r="AB5" s="18"/>
      <c r="AC5" s="18"/>
      <c r="AD5" s="18"/>
      <c r="AJ5" s="774" t="s">
        <v>666</v>
      </c>
      <c r="AK5" s="774"/>
    </row>
    <row r="6" spans="1:38" x14ac:dyDescent="0.25">
      <c r="A6" s="6" t="s">
        <v>50</v>
      </c>
      <c r="B6" s="7"/>
      <c r="C6" s="8"/>
      <c r="D6">
        <v>24727.9</v>
      </c>
      <c r="E6">
        <v>29422.33</v>
      </c>
      <c r="F6" s="85">
        <v>34229.919999999998</v>
      </c>
      <c r="G6" s="85">
        <v>37810.839999999997</v>
      </c>
      <c r="H6" s="85">
        <v>38359.910000000003</v>
      </c>
      <c r="I6" s="85">
        <v>45658.74</v>
      </c>
      <c r="J6" s="85">
        <v>10689.49</v>
      </c>
      <c r="K6" s="85">
        <v>11393</v>
      </c>
      <c r="L6" s="85">
        <v>11812</v>
      </c>
      <c r="M6" s="85">
        <v>9903.61</v>
      </c>
      <c r="N6" s="11">
        <v>12168.48</v>
      </c>
      <c r="O6" s="11">
        <v>12500.37</v>
      </c>
      <c r="P6" s="11">
        <v>13186.89</v>
      </c>
      <c r="Q6" s="11">
        <v>13692.03</v>
      </c>
      <c r="R6" s="11"/>
      <c r="S6" s="42" t="s">
        <v>14</v>
      </c>
      <c r="T6" s="43"/>
      <c r="U6" s="43">
        <v>0.1777</v>
      </c>
      <c r="V6" s="43">
        <v>0.16059999999999999</v>
      </c>
      <c r="W6" s="43">
        <v>0.19719999999999999</v>
      </c>
      <c r="X6" s="48">
        <v>0.2361</v>
      </c>
      <c r="Y6" s="48">
        <v>0.25779999999999997</v>
      </c>
      <c r="Z6" s="48">
        <v>0.25819999999999999</v>
      </c>
      <c r="AA6" s="48"/>
      <c r="AB6" s="48">
        <v>0.2853</v>
      </c>
      <c r="AC6" s="48">
        <v>0.28210000000000002</v>
      </c>
      <c r="AD6" s="48">
        <v>0.25779999999999997</v>
      </c>
      <c r="AE6" s="80">
        <v>0.25819999999999999</v>
      </c>
      <c r="AF6" s="80">
        <v>0.26769999999999999</v>
      </c>
      <c r="AG6" s="80">
        <v>0.25309999999999999</v>
      </c>
      <c r="AH6" s="80">
        <v>0.25330000000000003</v>
      </c>
      <c r="AJ6" s="775" t="s">
        <v>667</v>
      </c>
      <c r="AK6" s="432" t="s">
        <v>668</v>
      </c>
      <c r="AL6" s="80">
        <v>3.4200000000000001E-2</v>
      </c>
    </row>
    <row r="7" spans="1:38" x14ac:dyDescent="0.25">
      <c r="A7" s="6" t="s">
        <v>51</v>
      </c>
      <c r="B7" s="7"/>
      <c r="C7" s="8"/>
      <c r="D7" s="87"/>
      <c r="E7" s="85"/>
      <c r="F7" s="85">
        <v>0</v>
      </c>
      <c r="G7" s="85">
        <v>0</v>
      </c>
      <c r="H7" s="85"/>
      <c r="I7" s="85"/>
      <c r="J7" s="85"/>
      <c r="K7" s="85"/>
      <c r="L7" s="85"/>
      <c r="M7" s="85"/>
      <c r="N7" s="11"/>
      <c r="O7" s="11"/>
      <c r="P7" s="11"/>
      <c r="Q7" s="11"/>
      <c r="R7" s="11"/>
      <c r="S7" s="42" t="s">
        <v>15</v>
      </c>
      <c r="T7" s="43"/>
      <c r="U7" s="44">
        <f t="shared" ref="U7:Z7" si="3">D20/D23</f>
        <v>0.12166369892978816</v>
      </c>
      <c r="V7" s="44">
        <f t="shared" si="3"/>
        <v>0.10823441677311688</v>
      </c>
      <c r="W7" s="44">
        <f t="shared" si="3"/>
        <v>0.1147426358293286</v>
      </c>
      <c r="X7" s="44">
        <f t="shared" si="3"/>
        <v>0.1318700418378875</v>
      </c>
      <c r="Y7" s="44">
        <f t="shared" si="3"/>
        <v>0.13218741679513074</v>
      </c>
      <c r="Z7" s="44">
        <f t="shared" si="3"/>
        <v>0.13280998765905824</v>
      </c>
      <c r="AA7" s="18"/>
      <c r="AB7" s="18"/>
      <c r="AC7" s="18"/>
      <c r="AD7" s="18"/>
      <c r="AJ7" s="775"/>
      <c r="AK7" s="432" t="s">
        <v>669</v>
      </c>
      <c r="AL7" s="80">
        <v>3.2199999999999999E-2</v>
      </c>
    </row>
    <row r="8" spans="1:38" x14ac:dyDescent="0.25">
      <c r="A8" s="6" t="s">
        <v>52</v>
      </c>
      <c r="B8" s="7"/>
      <c r="C8" s="8"/>
      <c r="D8" s="85">
        <f t="shared" ref="D8:Q8" si="4">D5-D6-D7</f>
        <v>581.81999999999971</v>
      </c>
      <c r="E8" s="85">
        <f t="shared" si="4"/>
        <v>368.72999999999956</v>
      </c>
      <c r="F8" s="85">
        <f t="shared" si="4"/>
        <v>1158.0699999999997</v>
      </c>
      <c r="G8" s="85">
        <f t="shared" si="4"/>
        <v>1321.6500000000015</v>
      </c>
      <c r="H8" s="85">
        <f t="shared" si="4"/>
        <v>848.14999999999418</v>
      </c>
      <c r="I8" s="85">
        <f t="shared" si="4"/>
        <v>1487.5600000000049</v>
      </c>
      <c r="J8" s="85">
        <f>J5-J6-J7</f>
        <v>286.07999999999993</v>
      </c>
      <c r="K8" s="85">
        <f t="shared" si="4"/>
        <v>182.94000000000051</v>
      </c>
      <c r="L8" s="85">
        <f t="shared" si="4"/>
        <v>169.64999999999964</v>
      </c>
      <c r="M8" s="85">
        <f t="shared" si="4"/>
        <v>209.65999999999985</v>
      </c>
      <c r="N8" s="85">
        <f t="shared" si="4"/>
        <v>444.65999999999985</v>
      </c>
      <c r="O8" s="85">
        <f t="shared" si="4"/>
        <v>522.93999999999869</v>
      </c>
      <c r="P8" s="85">
        <f t="shared" si="4"/>
        <v>384.29000000000087</v>
      </c>
      <c r="Q8" s="85">
        <f t="shared" si="4"/>
        <v>465.15999999999985</v>
      </c>
      <c r="R8" s="11"/>
      <c r="S8" s="40" t="s">
        <v>16</v>
      </c>
      <c r="T8" s="45"/>
      <c r="U8" s="45"/>
      <c r="V8" s="45"/>
      <c r="W8" s="46" t="s">
        <v>5</v>
      </c>
      <c r="X8" s="18"/>
      <c r="Y8" s="18"/>
      <c r="Z8" s="18"/>
      <c r="AA8" s="18"/>
      <c r="AB8" s="18"/>
      <c r="AC8" s="18"/>
      <c r="AD8" s="18"/>
      <c r="AJ8" s="775"/>
      <c r="AK8" s="432" t="s">
        <v>670</v>
      </c>
      <c r="AL8" s="80">
        <v>3.4099999999999998E-2</v>
      </c>
    </row>
    <row r="9" spans="1:38" ht="33.75" x14ac:dyDescent="0.25">
      <c r="A9" s="6" t="s">
        <v>24</v>
      </c>
      <c r="B9" s="7"/>
      <c r="C9" s="7"/>
      <c r="D9" s="88">
        <v>15641.54</v>
      </c>
      <c r="E9" s="85">
        <v>18997.05</v>
      </c>
      <c r="F9" s="85">
        <v>21489.08</v>
      </c>
      <c r="G9" s="85">
        <v>22052.91</v>
      </c>
      <c r="H9" s="85">
        <v>23737.66</v>
      </c>
      <c r="I9" s="85">
        <v>29949.27</v>
      </c>
      <c r="J9" s="85">
        <v>7049.84</v>
      </c>
      <c r="K9" s="85">
        <v>7350.04</v>
      </c>
      <c r="L9" s="85">
        <v>7653.34</v>
      </c>
      <c r="M9" s="85">
        <v>6497.34</v>
      </c>
      <c r="N9" s="11">
        <v>7896.05</v>
      </c>
      <c r="O9" s="11">
        <v>8021.17</v>
      </c>
      <c r="P9" s="11">
        <v>8506.5400000000009</v>
      </c>
      <c r="Q9" s="11">
        <v>8837.34</v>
      </c>
      <c r="R9" s="11"/>
      <c r="S9" s="49" t="s">
        <v>93</v>
      </c>
      <c r="T9" s="45"/>
      <c r="U9" s="50">
        <f t="shared" ref="U9:Z9" si="5">D14/(D11-D9)</f>
        <v>0.14057351021598688</v>
      </c>
      <c r="V9" s="50">
        <f t="shared" si="5"/>
        <v>0.2765496789423022</v>
      </c>
      <c r="W9" s="50">
        <f t="shared" si="5"/>
        <v>5.3645213905263084E-2</v>
      </c>
      <c r="X9" s="50">
        <f t="shared" si="5"/>
        <v>7.4904066727636165E-2</v>
      </c>
      <c r="Y9" s="50">
        <f t="shared" si="5"/>
        <v>0.10739153480194437</v>
      </c>
      <c r="Z9" s="50">
        <f t="shared" si="5"/>
        <v>3.790189352463768E-2</v>
      </c>
      <c r="AA9" s="18"/>
      <c r="AB9" s="18"/>
      <c r="AC9" s="18"/>
      <c r="AD9" s="18"/>
      <c r="AJ9" s="775"/>
      <c r="AK9" s="432" t="s">
        <v>671</v>
      </c>
      <c r="AL9" s="80">
        <v>3.5400000000000001E-2</v>
      </c>
    </row>
    <row r="10" spans="1:38" ht="22.5" x14ac:dyDescent="0.25">
      <c r="A10" s="6" t="s">
        <v>53</v>
      </c>
      <c r="B10" s="10">
        <f t="shared" ref="B10:K10" si="6">B6-B9</f>
        <v>0</v>
      </c>
      <c r="C10" s="10">
        <f t="shared" si="6"/>
        <v>0</v>
      </c>
      <c r="D10" s="89">
        <f t="shared" si="6"/>
        <v>9086.36</v>
      </c>
      <c r="E10" s="89">
        <f t="shared" si="6"/>
        <v>10425.280000000002</v>
      </c>
      <c r="F10" s="89">
        <f t="shared" si="6"/>
        <v>12740.839999999997</v>
      </c>
      <c r="G10" s="89">
        <f t="shared" si="6"/>
        <v>15757.929999999997</v>
      </c>
      <c r="H10" s="89">
        <f>H6-H9</f>
        <v>14622.250000000004</v>
      </c>
      <c r="I10" s="89">
        <f>I6-I9</f>
        <v>15709.469999999998</v>
      </c>
      <c r="J10" s="89">
        <f>J6-J9</f>
        <v>3639.6499999999996</v>
      </c>
      <c r="K10" s="89">
        <f t="shared" si="6"/>
        <v>4042.96</v>
      </c>
      <c r="L10" s="89">
        <f t="shared" ref="L10:Q10" si="7">L6-L9</f>
        <v>4158.66</v>
      </c>
      <c r="M10" s="89">
        <f t="shared" si="7"/>
        <v>3406.2700000000004</v>
      </c>
      <c r="N10" s="89">
        <f t="shared" si="7"/>
        <v>4272.4299999999994</v>
      </c>
      <c r="O10" s="89">
        <f t="shared" si="7"/>
        <v>4479.2000000000007</v>
      </c>
      <c r="P10" s="89">
        <f t="shared" si="7"/>
        <v>4680.3499999999985</v>
      </c>
      <c r="Q10" s="89">
        <f t="shared" si="7"/>
        <v>4854.6900000000005</v>
      </c>
      <c r="R10" s="11"/>
      <c r="S10" s="42" t="s">
        <v>92</v>
      </c>
      <c r="T10" s="43"/>
      <c r="U10" s="44">
        <f t="shared" ref="U10:Z10" si="8">D14/D11</f>
        <v>5.3698341980867433E-2</v>
      </c>
      <c r="V10" s="44">
        <f t="shared" si="8"/>
        <v>0.100200529957645</v>
      </c>
      <c r="W10" s="44">
        <f t="shared" si="8"/>
        <v>2.106957756007052E-2</v>
      </c>
      <c r="X10" s="44">
        <f t="shared" si="8"/>
        <v>3.2692271818123508E-2</v>
      </c>
      <c r="Y10" s="44">
        <f t="shared" si="8"/>
        <v>4.2373685410601797E-2</v>
      </c>
      <c r="Z10" s="44">
        <f t="shared" si="8"/>
        <v>1.3825050958399704E-2</v>
      </c>
      <c r="AA10" s="18"/>
      <c r="AB10" s="18"/>
      <c r="AC10" s="18"/>
      <c r="AD10" s="18"/>
      <c r="AJ10" s="775" t="s">
        <v>672</v>
      </c>
      <c r="AK10" s="432" t="s">
        <v>668</v>
      </c>
      <c r="AL10" s="220">
        <v>4016.3</v>
      </c>
    </row>
    <row r="11" spans="1:38" ht="22.5" x14ac:dyDescent="0.25">
      <c r="A11" s="6" t="s">
        <v>1</v>
      </c>
      <c r="B11" s="10">
        <f>B5-B9</f>
        <v>0</v>
      </c>
      <c r="C11" s="10">
        <f t="shared" ref="C11:K11" si="9">SUM(C6:C8)</f>
        <v>0</v>
      </c>
      <c r="D11" s="89">
        <f t="shared" si="9"/>
        <v>25309.72</v>
      </c>
      <c r="E11" s="89">
        <f t="shared" si="9"/>
        <v>29791.06</v>
      </c>
      <c r="F11" s="89">
        <f>SUM(F6:F8)</f>
        <v>35387.99</v>
      </c>
      <c r="G11" s="89">
        <f>SUM(G6:G8)</f>
        <v>39132.49</v>
      </c>
      <c r="H11" s="89">
        <f>SUM(H6:H8)</f>
        <v>39208.06</v>
      </c>
      <c r="I11" s="89">
        <f>SUM(I6:I8)</f>
        <v>47146.3</v>
      </c>
      <c r="J11" s="89">
        <f>SUM(J6:J8)</f>
        <v>10975.57</v>
      </c>
      <c r="K11" s="89">
        <f t="shared" si="9"/>
        <v>11575.94</v>
      </c>
      <c r="L11" s="89">
        <f t="shared" ref="L11:Q11" si="10">SUM(L6:L8)</f>
        <v>11981.65</v>
      </c>
      <c r="M11" s="89">
        <f t="shared" si="10"/>
        <v>10113.27</v>
      </c>
      <c r="N11" s="89">
        <f t="shared" si="10"/>
        <v>12613.14</v>
      </c>
      <c r="O11" s="89">
        <f t="shared" si="10"/>
        <v>13023.31</v>
      </c>
      <c r="P11" s="89">
        <f t="shared" si="10"/>
        <v>13571.18</v>
      </c>
      <c r="Q11" s="89">
        <f t="shared" si="10"/>
        <v>14157.19</v>
      </c>
      <c r="R11" s="11"/>
      <c r="S11" s="42" t="s">
        <v>17</v>
      </c>
      <c r="T11" s="43"/>
      <c r="U11" s="44">
        <f t="shared" ref="U11:Z11" si="11">D14/AVERAGE(C22:D22)</f>
        <v>4.5650353540086525E-3</v>
      </c>
      <c r="V11" s="44">
        <f t="shared" si="11"/>
        <v>9.2674863116919207E-3</v>
      </c>
      <c r="W11" s="44">
        <f t="shared" si="11"/>
        <v>1.9970249120427582E-3</v>
      </c>
      <c r="X11" s="44">
        <f t="shared" si="11"/>
        <v>3.1563230204856422E-3</v>
      </c>
      <c r="Y11" s="44">
        <f t="shared" si="11"/>
        <v>3.7962058140884867E-3</v>
      </c>
      <c r="Z11" s="44">
        <f t="shared" si="11"/>
        <v>1.2877382582492495E-3</v>
      </c>
      <c r="AA11" s="18"/>
      <c r="AB11" s="18"/>
      <c r="AC11" s="18"/>
      <c r="AD11" s="18"/>
      <c r="AJ11" s="775"/>
      <c r="AK11" s="432" t="s">
        <v>670</v>
      </c>
      <c r="AL11" s="220">
        <v>3269.31</v>
      </c>
    </row>
    <row r="12" spans="1:38" x14ac:dyDescent="0.25">
      <c r="A12" s="6" t="s">
        <v>91</v>
      </c>
      <c r="B12" s="10"/>
      <c r="C12" s="10"/>
      <c r="D12" s="89">
        <v>31.44</v>
      </c>
      <c r="E12" s="89">
        <v>63.92</v>
      </c>
      <c r="F12" s="89">
        <v>22.55</v>
      </c>
      <c r="G12" s="89">
        <v>97.96</v>
      </c>
      <c r="H12" s="89">
        <v>44.67</v>
      </c>
      <c r="I12" s="89">
        <v>67.849999999999994</v>
      </c>
      <c r="J12" s="89">
        <v>5.0599999999999996</v>
      </c>
      <c r="K12" s="89">
        <v>14.22</v>
      </c>
      <c r="L12" s="89">
        <v>18.399999999999999</v>
      </c>
      <c r="M12" s="89">
        <v>10.69</v>
      </c>
      <c r="N12" s="11">
        <v>30.17</v>
      </c>
      <c r="O12" s="11">
        <v>13.75</v>
      </c>
      <c r="P12" s="11">
        <v>24.52</v>
      </c>
      <c r="Q12" s="11">
        <v>15.52</v>
      </c>
      <c r="R12" s="11"/>
      <c r="S12" s="40" t="s">
        <v>18</v>
      </c>
      <c r="T12" s="45"/>
      <c r="U12" s="45"/>
      <c r="V12" s="45"/>
      <c r="W12" s="46" t="s">
        <v>5</v>
      </c>
      <c r="X12" s="18"/>
      <c r="Y12" s="18"/>
      <c r="Z12" s="18"/>
      <c r="AA12" s="18"/>
      <c r="AB12" s="18"/>
      <c r="AC12" s="53"/>
      <c r="AD12" s="54"/>
      <c r="AJ12" s="775"/>
      <c r="AK12" s="432" t="s">
        <v>673</v>
      </c>
      <c r="AL12" s="220">
        <v>3772.87</v>
      </c>
    </row>
    <row r="13" spans="1:38" x14ac:dyDescent="0.25">
      <c r="A13" s="6" t="s">
        <v>25</v>
      </c>
      <c r="B13" s="7"/>
      <c r="C13" s="7"/>
      <c r="D13" s="88">
        <f t="shared" ref="D13:Q13" si="12">D11+D12</f>
        <v>25341.16</v>
      </c>
      <c r="E13" s="88">
        <f t="shared" si="12"/>
        <v>29854.98</v>
      </c>
      <c r="F13" s="88">
        <f t="shared" si="12"/>
        <v>35410.54</v>
      </c>
      <c r="G13" s="88">
        <f t="shared" si="12"/>
        <v>39230.449999999997</v>
      </c>
      <c r="H13" s="88">
        <f t="shared" si="12"/>
        <v>39252.729999999996</v>
      </c>
      <c r="I13" s="88">
        <f t="shared" si="12"/>
        <v>47214.15</v>
      </c>
      <c r="J13" s="88">
        <f t="shared" si="12"/>
        <v>10980.63</v>
      </c>
      <c r="K13" s="88">
        <f t="shared" si="12"/>
        <v>11590.16</v>
      </c>
      <c r="L13" s="88">
        <f t="shared" si="12"/>
        <v>12000.05</v>
      </c>
      <c r="M13" s="88">
        <f t="shared" si="12"/>
        <v>10123.960000000001</v>
      </c>
      <c r="N13" s="88">
        <f t="shared" si="12"/>
        <v>12643.31</v>
      </c>
      <c r="O13" s="88">
        <f t="shared" si="12"/>
        <v>13037.06</v>
      </c>
      <c r="P13" s="88">
        <f t="shared" si="12"/>
        <v>13595.7</v>
      </c>
      <c r="Q13" s="88">
        <f t="shared" si="12"/>
        <v>14172.710000000001</v>
      </c>
      <c r="R13" s="11"/>
      <c r="S13" s="42" t="s">
        <v>19</v>
      </c>
      <c r="T13" s="43"/>
      <c r="U13" s="44">
        <f t="shared" ref="U13:Z13" si="13">D24/D23</f>
        <v>7.2170679185249387E-2</v>
      </c>
      <c r="V13" s="44">
        <f t="shared" si="13"/>
        <v>6.558744806907589E-2</v>
      </c>
      <c r="W13" s="44">
        <f t="shared" si="13"/>
        <v>4.8239083081352281E-2</v>
      </c>
      <c r="X13" s="44">
        <f t="shared" si="13"/>
        <v>4.4382637690515502E-2</v>
      </c>
      <c r="Y13" s="44">
        <f t="shared" si="13"/>
        <v>3.4128932878888366E-2</v>
      </c>
      <c r="Z13" s="44">
        <f t="shared" si="13"/>
        <v>0</v>
      </c>
      <c r="AA13" s="48">
        <v>3.2800000000000003E-2</v>
      </c>
      <c r="AB13" s="48">
        <v>3.1399999999999997E-2</v>
      </c>
      <c r="AC13" s="48">
        <v>2.7799999999999998E-2</v>
      </c>
      <c r="AD13" s="48">
        <v>3.4200000000000001E-2</v>
      </c>
      <c r="AE13" s="80">
        <v>2.7099999999999999E-2</v>
      </c>
      <c r="AF13" s="80">
        <v>2.6100000000000002E-2</v>
      </c>
      <c r="AG13" s="80">
        <v>2.53E-2</v>
      </c>
      <c r="AH13" s="80">
        <v>1.95E-2</v>
      </c>
      <c r="AJ13" s="775"/>
      <c r="AK13" s="432" t="s">
        <v>674</v>
      </c>
      <c r="AL13" s="220">
        <v>2960.73</v>
      </c>
    </row>
    <row r="14" spans="1:38" x14ac:dyDescent="0.25">
      <c r="A14" s="6" t="s">
        <v>26</v>
      </c>
      <c r="B14" s="7"/>
      <c r="C14" s="7"/>
      <c r="D14" s="85">
        <f>521.19+34.38+348.52+157.53+7.17+103.69+186.61</f>
        <v>1359.0900000000001</v>
      </c>
      <c r="E14" s="85">
        <f>131.7+258.4+10+175.79+25.85+25.44+2357.9</f>
        <v>2985.08</v>
      </c>
      <c r="F14" s="85">
        <f>330.26+9.95+144.84+9.53+144.32+106.71</f>
        <v>745.6099999999999</v>
      </c>
      <c r="G14" s="85">
        <f>799.05+16.73+158.86+17.96+170.67+116.06</f>
        <v>1279.33</v>
      </c>
      <c r="H14" s="85">
        <f>1114.04+16.29+122.69+202.65+24.09+181.63</f>
        <v>1661.3899999999999</v>
      </c>
      <c r="I14" s="85">
        <f>213.84+23.72+249.86+164.38</f>
        <v>651.79999999999995</v>
      </c>
      <c r="J14" s="85">
        <f>3.48+48.3+5.78+27.6+26.13</f>
        <v>111.28999999999999</v>
      </c>
      <c r="K14" s="85">
        <f>6.29+42.61+6.07+17.26+40.61</f>
        <v>112.84</v>
      </c>
      <c r="L14" s="85">
        <f>63.36+5.89+87.03+38.63</f>
        <v>194.91</v>
      </c>
      <c r="M14" s="85">
        <f>4.94+25.19+6.25+41.12+87.76</f>
        <v>165.26</v>
      </c>
      <c r="N14" s="11">
        <f>59.57+5.98+117.97+59.01</f>
        <v>242.52999999999997</v>
      </c>
      <c r="O14" s="11">
        <f>4.73+56.64+5.85+50.52+38.81</f>
        <v>156.55000000000001</v>
      </c>
      <c r="P14" s="11">
        <f>4.41+59.22+5.9+31.98+51.37</f>
        <v>152.88</v>
      </c>
      <c r="Q14" s="11">
        <f>3.66+49.47+6.23+119.77+76.48</f>
        <v>255.61</v>
      </c>
      <c r="R14" s="11"/>
      <c r="S14" s="42" t="s">
        <v>20</v>
      </c>
      <c r="T14" s="43"/>
      <c r="U14" s="44">
        <f t="shared" ref="U14:Z14" si="14">D25/D23</f>
        <v>3.7770999952650985E-2</v>
      </c>
      <c r="V14" s="44">
        <f t="shared" si="14"/>
        <v>3.3027138954838067E-2</v>
      </c>
      <c r="W14" s="44">
        <f t="shared" si="14"/>
        <v>1.708368166786272E-2</v>
      </c>
      <c r="X14" s="44">
        <f t="shared" si="14"/>
        <v>1.4468832636035208E-2</v>
      </c>
      <c r="Y14" s="44">
        <f t="shared" si="14"/>
        <v>1.0020839804664014E-2</v>
      </c>
      <c r="Z14" s="44">
        <f t="shared" si="14"/>
        <v>0</v>
      </c>
      <c r="AA14" s="48">
        <v>9.7000000000000003E-3</v>
      </c>
      <c r="AB14" s="48">
        <v>9.5999999999999992E-3</v>
      </c>
      <c r="AC14" s="48">
        <v>8.2000000000000007E-3</v>
      </c>
      <c r="AD14" s="48">
        <v>1.01E-2</v>
      </c>
      <c r="AE14" s="80">
        <v>8.6E-3</v>
      </c>
      <c r="AF14" s="80">
        <v>8.2000000000000007E-3</v>
      </c>
      <c r="AG14" s="80">
        <v>8.8000000000000005E-3</v>
      </c>
      <c r="AH14" s="80">
        <v>7.4000000000000003E-3</v>
      </c>
      <c r="AJ14" s="775"/>
      <c r="AK14" s="432" t="s">
        <v>675</v>
      </c>
      <c r="AL14" s="220">
        <v>14019.21</v>
      </c>
    </row>
    <row r="15" spans="1:38" x14ac:dyDescent="0.25">
      <c r="A15" s="6" t="s">
        <v>54</v>
      </c>
      <c r="B15" s="10"/>
      <c r="C15" s="10"/>
      <c r="D15" s="89">
        <f t="shared" ref="D15:K15" si="15">D11-D14</f>
        <v>23950.63</v>
      </c>
      <c r="E15" s="89">
        <f t="shared" si="15"/>
        <v>26805.980000000003</v>
      </c>
      <c r="F15" s="89">
        <f t="shared" si="15"/>
        <v>34642.379999999997</v>
      </c>
      <c r="G15" s="89">
        <f t="shared" si="15"/>
        <v>37853.159999999996</v>
      </c>
      <c r="H15" s="89">
        <f>H11-H14</f>
        <v>37546.67</v>
      </c>
      <c r="I15" s="89">
        <f>I11-I14</f>
        <v>46494.5</v>
      </c>
      <c r="J15" s="89">
        <f t="shared" si="15"/>
        <v>10864.279999999999</v>
      </c>
      <c r="K15" s="89">
        <f t="shared" si="15"/>
        <v>11463.1</v>
      </c>
      <c r="L15" s="89">
        <f t="shared" ref="L15:Q15" si="16">L11-L14</f>
        <v>11786.74</v>
      </c>
      <c r="M15" s="89">
        <f t="shared" si="16"/>
        <v>9948.01</v>
      </c>
      <c r="N15" s="89">
        <f t="shared" si="16"/>
        <v>12370.609999999999</v>
      </c>
      <c r="O15" s="89">
        <f t="shared" si="16"/>
        <v>12866.76</v>
      </c>
      <c r="P15" s="89">
        <f t="shared" si="16"/>
        <v>13418.300000000001</v>
      </c>
      <c r="Q15" s="89">
        <f t="shared" si="16"/>
        <v>13901.58</v>
      </c>
      <c r="R15" s="11"/>
      <c r="S15" s="42" t="s">
        <v>21</v>
      </c>
      <c r="T15" s="43"/>
      <c r="U15" s="44">
        <f t="shared" ref="U15:AA15" si="17">(U13-U14)/U13</f>
        <v>0.47664341836524082</v>
      </c>
      <c r="V15" s="44">
        <f t="shared" si="17"/>
        <v>0.49644116477814026</v>
      </c>
      <c r="W15" s="44">
        <f t="shared" si="17"/>
        <v>0.64585393053487083</v>
      </c>
      <c r="X15" s="44">
        <f t="shared" si="17"/>
        <v>0.67399791024301436</v>
      </c>
      <c r="Y15" s="44">
        <f t="shared" si="17"/>
        <v>0.70638285585358129</v>
      </c>
      <c r="Z15" s="44" t="e">
        <f>(Z13-Z14)/Z13</f>
        <v>#DIV/0!</v>
      </c>
      <c r="AA15" s="44">
        <f t="shared" si="17"/>
        <v>0.7042682926829269</v>
      </c>
      <c r="AB15" s="18"/>
      <c r="AC15" s="18"/>
      <c r="AD15" s="18"/>
      <c r="AJ15" s="775" t="s">
        <v>676</v>
      </c>
      <c r="AK15" s="432" t="s">
        <v>668</v>
      </c>
      <c r="AL15" s="80">
        <v>2.7099999999999999E-2</v>
      </c>
    </row>
    <row r="16" spans="1:38" x14ac:dyDescent="0.25">
      <c r="A16" s="6" t="s">
        <v>94</v>
      </c>
      <c r="B16" s="10"/>
      <c r="C16" s="10"/>
      <c r="D16" s="89">
        <f t="shared" ref="D16:K16" si="18">D13-D14-D9</f>
        <v>8340.5299999999988</v>
      </c>
      <c r="E16" s="89">
        <f t="shared" si="18"/>
        <v>7872.8500000000022</v>
      </c>
      <c r="F16" s="89">
        <f t="shared" si="18"/>
        <v>13175.849999999999</v>
      </c>
      <c r="G16" s="89">
        <f t="shared" si="18"/>
        <v>15898.209999999995</v>
      </c>
      <c r="H16" s="89">
        <f>H13-H14-H9</f>
        <v>13853.679999999997</v>
      </c>
      <c r="I16" s="89">
        <f>I13-I14-I9</f>
        <v>16613.079999999998</v>
      </c>
      <c r="J16" s="89">
        <f t="shared" si="18"/>
        <v>3819.4999999999982</v>
      </c>
      <c r="K16" s="89">
        <f t="shared" si="18"/>
        <v>4127.28</v>
      </c>
      <c r="L16" s="89">
        <f t="shared" ref="L16:Q16" si="19">L13-L14-L9</f>
        <v>4151.7999999999993</v>
      </c>
      <c r="M16" s="89">
        <f t="shared" si="19"/>
        <v>3461.3600000000006</v>
      </c>
      <c r="N16" s="89">
        <f t="shared" si="19"/>
        <v>4504.7299999999987</v>
      </c>
      <c r="O16" s="89">
        <f t="shared" si="19"/>
        <v>4859.34</v>
      </c>
      <c r="P16" s="89">
        <f t="shared" si="19"/>
        <v>4936.2800000000007</v>
      </c>
      <c r="Q16" s="89">
        <f t="shared" si="19"/>
        <v>5079.76</v>
      </c>
      <c r="R16" s="11"/>
      <c r="S16" s="42" t="s">
        <v>22</v>
      </c>
      <c r="T16" s="43"/>
      <c r="U16" s="44">
        <f t="shared" ref="U16:Z16" si="20">D17/AVERAGE(C23:D23)</f>
        <v>8.5238865134580274E-4</v>
      </c>
      <c r="V16" s="44">
        <f t="shared" si="20"/>
        <v>2.9357040517524273E-3</v>
      </c>
      <c r="W16" s="44">
        <f t="shared" si="20"/>
        <v>6.8881356488050046E-3</v>
      </c>
      <c r="X16" s="44">
        <f t="shared" si="20"/>
        <v>9.0793289476917335E-3</v>
      </c>
      <c r="Y16" s="44">
        <f t="shared" si="20"/>
        <v>2.792524743467926E-4</v>
      </c>
      <c r="Z16" s="44">
        <f t="shared" si="20"/>
        <v>-2.903970799913988E-3</v>
      </c>
      <c r="AA16" s="44">
        <f t="shared" ref="AA16:AH16" si="21">(J17*4)/J23</f>
        <v>5.1065927512087552E-4</v>
      </c>
      <c r="AB16" s="44">
        <f t="shared" si="21"/>
        <v>-6.5677961618237331E-3</v>
      </c>
      <c r="AC16" s="44">
        <f t="shared" si="21"/>
        <v>4.5849000033104046E-4</v>
      </c>
      <c r="AD16" s="44">
        <f t="shared" si="21"/>
        <v>-3.0220955460111918E-3</v>
      </c>
      <c r="AE16" s="44">
        <f t="shared" si="21"/>
        <v>-5.7041773802287117E-3</v>
      </c>
      <c r="AF16" s="44">
        <f t="shared" si="21"/>
        <v>3.5683232686285131E-3</v>
      </c>
      <c r="AG16" s="44">
        <f t="shared" si="21"/>
        <v>-1.0750773677077571E-3</v>
      </c>
      <c r="AH16" s="44">
        <f t="shared" si="21"/>
        <v>-6.3850735440810417E-4</v>
      </c>
      <c r="AJ16" s="775"/>
      <c r="AK16" s="432" t="s">
        <v>670</v>
      </c>
      <c r="AL16" s="80">
        <v>2.7799999999999998E-2</v>
      </c>
    </row>
    <row r="17" spans="1:38" x14ac:dyDescent="0.25">
      <c r="A17" s="6" t="s">
        <v>27</v>
      </c>
      <c r="B17" s="7"/>
      <c r="C17" s="7"/>
      <c r="D17" s="88">
        <v>240.33</v>
      </c>
      <c r="E17" s="85">
        <v>889.56</v>
      </c>
      <c r="F17" s="85">
        <v>2419.62</v>
      </c>
      <c r="G17" s="85">
        <v>3473.31</v>
      </c>
      <c r="H17" s="85">
        <v>114.91</v>
      </c>
      <c r="I17" s="85">
        <v>-1358.39</v>
      </c>
      <c r="J17" s="85">
        <v>58.01</v>
      </c>
      <c r="K17" s="85">
        <v>-760.38</v>
      </c>
      <c r="L17" s="85">
        <v>55.85</v>
      </c>
      <c r="M17" s="85">
        <v>-319.64999999999998</v>
      </c>
      <c r="N17" s="11">
        <v>-711.87</v>
      </c>
      <c r="O17" s="11">
        <v>472.57</v>
      </c>
      <c r="P17" s="11">
        <v>-144.1</v>
      </c>
      <c r="Q17" s="11">
        <v>-89.03</v>
      </c>
      <c r="R17" s="11"/>
      <c r="S17" s="18"/>
      <c r="T17" s="18"/>
      <c r="U17" s="18"/>
      <c r="V17" s="18"/>
      <c r="W17" s="18"/>
      <c r="X17" s="18"/>
      <c r="Y17" s="18"/>
      <c r="Z17" s="18"/>
      <c r="AA17" s="18"/>
      <c r="AB17" s="18"/>
      <c r="AC17" s="18"/>
      <c r="AD17" s="18"/>
      <c r="AJ17" s="775"/>
      <c r="AK17" s="432" t="s">
        <v>669</v>
      </c>
      <c r="AL17" s="80">
        <v>3.4200000000000001E-2</v>
      </c>
    </row>
    <row r="18" spans="1:38" x14ac:dyDescent="0.25">
      <c r="A18" s="6" t="s">
        <v>55</v>
      </c>
      <c r="B18" s="7"/>
      <c r="C18" s="7"/>
      <c r="D18" s="88">
        <v>5763.72</v>
      </c>
      <c r="E18" s="85">
        <v>4886.16</v>
      </c>
      <c r="F18" s="89">
        <v>8361.7800000000007</v>
      </c>
      <c r="G18" s="89">
        <v>10045.92</v>
      </c>
      <c r="H18" s="89">
        <v>11054.64</v>
      </c>
      <c r="I18" s="89">
        <v>14019.21</v>
      </c>
      <c r="J18" s="89">
        <v>2960.73</v>
      </c>
      <c r="K18" s="89">
        <v>3772.87</v>
      </c>
      <c r="L18" s="89">
        <v>3269.31</v>
      </c>
      <c r="M18" s="89">
        <v>3000.91</v>
      </c>
      <c r="N18" s="11">
        <v>4016.3</v>
      </c>
      <c r="O18" s="11">
        <v>3442.45</v>
      </c>
      <c r="P18" s="11">
        <v>4005.47</v>
      </c>
      <c r="Q18" s="11">
        <v>4029.09</v>
      </c>
      <c r="R18" s="11"/>
      <c r="S18" s="40" t="s">
        <v>30</v>
      </c>
      <c r="T18" s="45"/>
      <c r="U18" s="45"/>
      <c r="V18" s="45"/>
      <c r="W18" s="46" t="s">
        <v>5</v>
      </c>
      <c r="X18" s="18"/>
      <c r="Y18" s="18"/>
      <c r="Z18" s="18"/>
      <c r="AA18" s="18"/>
      <c r="AB18" s="18"/>
      <c r="AC18" s="18"/>
      <c r="AD18" s="18"/>
      <c r="AJ18" s="433" t="s">
        <v>677</v>
      </c>
      <c r="AK18" s="432" t="s">
        <v>668</v>
      </c>
      <c r="AL18" s="80">
        <v>8.6E-3</v>
      </c>
    </row>
    <row r="19" spans="1:38" ht="22.5" x14ac:dyDescent="0.25">
      <c r="A19" s="6" t="s">
        <v>28</v>
      </c>
      <c r="B19" s="7"/>
      <c r="C19" s="7"/>
      <c r="D19" s="88">
        <v>34302.94</v>
      </c>
      <c r="E19" s="85">
        <v>35076.559999999998</v>
      </c>
      <c r="F19" s="85">
        <v>43426.37</v>
      </c>
      <c r="G19" s="85">
        <v>50985.599999999999</v>
      </c>
      <c r="H19" s="85">
        <v>57679.67</v>
      </c>
      <c r="I19" s="85">
        <v>66297.689999999988</v>
      </c>
      <c r="J19" s="85"/>
      <c r="K19" s="85">
        <v>63117.32</v>
      </c>
      <c r="L19" s="85"/>
      <c r="M19" s="85">
        <v>57679.67</v>
      </c>
      <c r="N19" s="11">
        <f>68783.15-2485.46</f>
        <v>66297.689999999988</v>
      </c>
      <c r="O19" s="11"/>
      <c r="P19" s="11">
        <f>72893.03-2952.25-0.38</f>
        <v>69940.399999999994</v>
      </c>
      <c r="Q19" s="11"/>
      <c r="R19" s="11"/>
      <c r="S19" s="46" t="s">
        <v>95</v>
      </c>
      <c r="T19" s="51"/>
      <c r="U19" s="51"/>
      <c r="V19" s="52">
        <f>E16/AVERAGE(D22:E22)</f>
        <v>2.4442068423293099E-2</v>
      </c>
      <c r="W19" s="52">
        <f>F16/AVERAGE(E22:F22)</f>
        <v>3.5289897784818572E-2</v>
      </c>
      <c r="X19" s="52">
        <f>G16/AVERAGE(F22:G22)</f>
        <v>3.922356718556981E-2</v>
      </c>
      <c r="Y19" s="52">
        <f>H16/AVERAGE(G22:H22)</f>
        <v>3.1655072296403242E-2</v>
      </c>
      <c r="Z19" s="52">
        <f>I16/AVERAGE(H22:I22)</f>
        <v>3.2821875887320412E-2</v>
      </c>
      <c r="AA19" s="18"/>
      <c r="AB19" s="18"/>
      <c r="AC19" s="18"/>
      <c r="AD19" s="18"/>
      <c r="AJ19" s="776" t="s">
        <v>678</v>
      </c>
      <c r="AK19" s="432" t="s">
        <v>668</v>
      </c>
      <c r="AL19" s="80">
        <v>-5.7000000000000002E-3</v>
      </c>
    </row>
    <row r="20" spans="1:38" x14ac:dyDescent="0.25">
      <c r="A20" s="6" t="s">
        <v>56</v>
      </c>
      <c r="B20" s="7"/>
      <c r="C20" s="7"/>
      <c r="D20" s="88">
        <f t="shared" ref="D20:K20" si="22">D19-D71</f>
        <v>34302.94</v>
      </c>
      <c r="E20" s="89">
        <f t="shared" si="22"/>
        <v>35076.559999999998</v>
      </c>
      <c r="F20" s="89">
        <f t="shared" si="22"/>
        <v>43426.37</v>
      </c>
      <c r="G20" s="89">
        <f t="shared" si="22"/>
        <v>50985.599999999999</v>
      </c>
      <c r="H20" s="89">
        <f t="shared" si="22"/>
        <v>57679.67</v>
      </c>
      <c r="I20" s="89">
        <v>66297.689999999988</v>
      </c>
      <c r="J20" s="89">
        <f t="shared" si="22"/>
        <v>0</v>
      </c>
      <c r="K20" s="89">
        <f t="shared" si="22"/>
        <v>63117.32</v>
      </c>
      <c r="L20" s="89">
        <f>L19-L71</f>
        <v>0</v>
      </c>
      <c r="M20" s="89">
        <f>M19-M71</f>
        <v>57679.67</v>
      </c>
      <c r="N20" s="89">
        <f>N19-N71</f>
        <v>66297.689999999988</v>
      </c>
      <c r="O20" s="89">
        <f t="shared" ref="O20:P20" si="23">O19-O71</f>
        <v>0</v>
      </c>
      <c r="P20" s="89">
        <f t="shared" si="23"/>
        <v>69940.399999999994</v>
      </c>
      <c r="Q20" s="440"/>
      <c r="R20" s="11"/>
      <c r="S20" s="42" t="s">
        <v>31</v>
      </c>
      <c r="T20" s="43"/>
      <c r="U20" s="43">
        <v>4.4699999999999997E-2</v>
      </c>
      <c r="V20" s="44">
        <f>E18/AVERAGE(D22:E22)</f>
        <v>1.5169583701856096E-2</v>
      </c>
      <c r="W20" s="44">
        <f>F18/AVERAGE(E22:F22)</f>
        <v>2.2396001889755903E-2</v>
      </c>
      <c r="X20" s="44">
        <f>G18/AVERAGE(F22:G22)</f>
        <v>2.4784980073911441E-2</v>
      </c>
      <c r="Y20" s="44">
        <f>H18/AVERAGE(G22:H22)</f>
        <v>2.5259384395388891E-2</v>
      </c>
      <c r="Z20" s="44">
        <f>I18/AVERAGE(H22:I22)</f>
        <v>2.769725846491326E-2</v>
      </c>
      <c r="AA20" s="48"/>
      <c r="AB20" s="18"/>
      <c r="AC20" s="18"/>
      <c r="AD20" s="18"/>
      <c r="AJ20" s="775"/>
      <c r="AK20" s="432" t="s">
        <v>670</v>
      </c>
      <c r="AL20" s="80">
        <v>5.0000000000000001E-4</v>
      </c>
    </row>
    <row r="21" spans="1:38" x14ac:dyDescent="0.25">
      <c r="A21" s="6" t="s">
        <v>57</v>
      </c>
      <c r="B21" s="9"/>
      <c r="C21" s="9"/>
      <c r="D21" s="85">
        <f>192839.79+46662.54+4818.76</f>
        <v>244321.09000000003</v>
      </c>
      <c r="E21" s="85">
        <f>219977.22+61543.61+4819.65</f>
        <v>286340.48000000004</v>
      </c>
      <c r="F21" s="85">
        <f>237328.06+85507.36+6946.89</f>
        <v>329782.31</v>
      </c>
      <c r="G21" s="85">
        <f>219633.57+106651.59+6816.47</f>
        <v>333101.63</v>
      </c>
      <c r="H21" s="85">
        <f>236948.99+137114.13+6773.3</f>
        <v>380836.42</v>
      </c>
      <c r="I21" s="85">
        <v>445614.18</v>
      </c>
      <c r="J21" s="85"/>
      <c r="K21" s="85">
        <f>251174.87+164346.4+4043.21</f>
        <v>419564.48000000004</v>
      </c>
      <c r="L21" s="85"/>
      <c r="M21" s="85">
        <f>236948.99+137114.13+6773.3</f>
        <v>380836.42</v>
      </c>
      <c r="N21" s="11">
        <f>266109.92+172092.05+7412.21</f>
        <v>445614.18</v>
      </c>
      <c r="O21" s="11"/>
      <c r="P21" s="11">
        <f>288024.29+188269.01+7372.56</f>
        <v>483665.86</v>
      </c>
      <c r="Q21" s="11"/>
      <c r="R21" s="11"/>
      <c r="S21" s="42" t="s">
        <v>32</v>
      </c>
      <c r="T21" s="43"/>
      <c r="U21" s="44">
        <f t="shared" ref="U21:Z21" si="24">D18/AVERAGE(C19:D19)</f>
        <v>0.16802408190085164</v>
      </c>
      <c r="V21" s="44">
        <f t="shared" si="24"/>
        <v>0.14085313385077725</v>
      </c>
      <c r="W21" s="44">
        <f t="shared" si="24"/>
        <v>0.21303102954246425</v>
      </c>
      <c r="X21" s="44">
        <f t="shared" si="24"/>
        <v>0.21281030360874792</v>
      </c>
      <c r="Y21" s="44">
        <f t="shared" si="24"/>
        <v>0.20346224695341944</v>
      </c>
      <c r="Z21" s="44">
        <f t="shared" si="24"/>
        <v>0.22615758231986874</v>
      </c>
      <c r="AA21" s="18"/>
      <c r="AB21" s="18"/>
      <c r="AC21" s="18"/>
      <c r="AD21" s="18"/>
      <c r="AJ21" s="775"/>
      <c r="AK21" s="432" t="s">
        <v>669</v>
      </c>
      <c r="AL21" s="80">
        <v>-3.0000000000000001E-3</v>
      </c>
    </row>
    <row r="22" spans="1:38" ht="75" x14ac:dyDescent="0.25">
      <c r="A22" s="6" t="s">
        <v>29</v>
      </c>
      <c r="B22" s="7"/>
      <c r="C22" s="7"/>
      <c r="D22" s="88">
        <v>297717.3</v>
      </c>
      <c r="E22" s="85">
        <v>346487.59</v>
      </c>
      <c r="F22" s="85">
        <v>400233.19</v>
      </c>
      <c r="G22" s="85">
        <v>410412.61</v>
      </c>
      <c r="H22" s="85">
        <v>464877.13</v>
      </c>
      <c r="I22" s="85">
        <v>547440.39</v>
      </c>
      <c r="J22" s="85"/>
      <c r="K22" s="85">
        <v>512460.24</v>
      </c>
      <c r="L22" s="85"/>
      <c r="M22" s="85">
        <v>464887.13</v>
      </c>
      <c r="N22" s="11">
        <v>547440.39</v>
      </c>
      <c r="O22" s="11"/>
      <c r="P22" s="11">
        <v>594394.52</v>
      </c>
      <c r="Q22" s="11"/>
      <c r="R22" s="11"/>
      <c r="S22" s="40" t="s">
        <v>33</v>
      </c>
      <c r="T22" s="45"/>
      <c r="U22" s="45"/>
      <c r="V22" s="45"/>
      <c r="W22" s="46" t="s">
        <v>5</v>
      </c>
      <c r="X22" s="18"/>
      <c r="Y22" s="18"/>
      <c r="Z22" s="18"/>
      <c r="AA22" s="18"/>
      <c r="AB22" s="18"/>
      <c r="AC22" s="18"/>
      <c r="AD22" s="18"/>
      <c r="AJ22" s="434" t="s">
        <v>679</v>
      </c>
      <c r="AK22" s="435" t="s">
        <v>668</v>
      </c>
      <c r="AL22" s="236">
        <f>0/37244</f>
        <v>0</v>
      </c>
    </row>
    <row r="23" spans="1:38" x14ac:dyDescent="0.25">
      <c r="A23" s="6" t="s">
        <v>58</v>
      </c>
      <c r="B23" s="7"/>
      <c r="C23" s="7"/>
      <c r="D23" s="88">
        <v>281948.84999999998</v>
      </c>
      <c r="E23" s="85">
        <v>324079.53999999998</v>
      </c>
      <c r="F23" s="85">
        <v>378467.6</v>
      </c>
      <c r="G23" s="85">
        <v>386635.2</v>
      </c>
      <c r="H23" s="85">
        <v>436347.66</v>
      </c>
      <c r="I23" s="85">
        <v>499192.05</v>
      </c>
      <c r="J23" s="85">
        <v>454393</v>
      </c>
      <c r="K23" s="85">
        <v>463095.98</v>
      </c>
      <c r="L23" s="85">
        <v>487251.63</v>
      </c>
      <c r="M23" s="85">
        <v>423083.91</v>
      </c>
      <c r="N23" s="11">
        <v>499192.05</v>
      </c>
      <c r="O23" s="11">
        <v>529739</v>
      </c>
      <c r="P23" s="11">
        <v>536147.46</v>
      </c>
      <c r="Q23" s="11">
        <v>557738.29</v>
      </c>
      <c r="R23" s="11"/>
      <c r="S23" s="42" t="s">
        <v>34</v>
      </c>
      <c r="T23" s="43"/>
      <c r="U23" s="44">
        <f t="shared" ref="U23:Z23" si="25">D6/AVERAGE(C23:D23)</f>
        <v>8.7703496573935322E-2</v>
      </c>
      <c r="V23" s="44">
        <f t="shared" si="25"/>
        <v>9.7098850435043169E-2</v>
      </c>
      <c r="W23" s="44">
        <f t="shared" si="25"/>
        <v>9.7445190652971705E-2</v>
      </c>
      <c r="X23" s="44">
        <f t="shared" si="25"/>
        <v>9.8838587442105802E-2</v>
      </c>
      <c r="Y23" s="44">
        <f t="shared" si="25"/>
        <v>9.3221649840921364E-2</v>
      </c>
      <c r="Z23" s="44">
        <f t="shared" si="25"/>
        <v>9.7609410935640559E-2</v>
      </c>
      <c r="AA23" s="18"/>
      <c r="AB23" s="18"/>
      <c r="AC23" s="18"/>
      <c r="AD23" s="18"/>
      <c r="AJ23" s="433" t="s">
        <v>641</v>
      </c>
      <c r="AK23" s="435" t="s">
        <v>668</v>
      </c>
      <c r="AL23" s="436">
        <v>0.88</v>
      </c>
    </row>
    <row r="24" spans="1:38" x14ac:dyDescent="0.25">
      <c r="A24" s="6" t="s">
        <v>59</v>
      </c>
      <c r="B24" s="10"/>
      <c r="C24" s="10"/>
      <c r="D24" s="89">
        <v>20348.439999999999</v>
      </c>
      <c r="E24" s="89">
        <v>21255.55</v>
      </c>
      <c r="F24" s="89">
        <v>18256.93</v>
      </c>
      <c r="G24" s="89">
        <v>17159.89</v>
      </c>
      <c r="H24" s="89">
        <v>14892.08</v>
      </c>
      <c r="I24" s="89"/>
      <c r="J24" s="89"/>
      <c r="K24" s="89"/>
      <c r="L24" s="89"/>
      <c r="M24" s="89"/>
      <c r="N24" s="11"/>
      <c r="O24" s="11"/>
      <c r="P24" s="11"/>
      <c r="Q24" s="11"/>
      <c r="R24" s="11"/>
      <c r="S24" s="42" t="s">
        <v>35</v>
      </c>
      <c r="T24" s="43"/>
      <c r="U24" s="44">
        <f t="shared" ref="U24:Z24" si="26">D9/AVERAGE(C21:D21)</f>
        <v>6.4020424925248981E-2</v>
      </c>
      <c r="V24" s="44">
        <f t="shared" si="26"/>
        <v>7.1597609753425315E-2</v>
      </c>
      <c r="W24" s="44">
        <f t="shared" si="26"/>
        <v>6.975583552103308E-2</v>
      </c>
      <c r="X24" s="44">
        <f t="shared" si="26"/>
        <v>6.6536262743067814E-2</v>
      </c>
      <c r="Y24" s="44">
        <f t="shared" si="26"/>
        <v>6.6497814481242451E-2</v>
      </c>
      <c r="Z24" s="44">
        <f t="shared" si="26"/>
        <v>7.2476854635957669E-2</v>
      </c>
      <c r="AA24" s="18"/>
      <c r="AB24" s="18"/>
      <c r="AC24" s="18"/>
      <c r="AD24" s="18"/>
      <c r="AJ24" s="433" t="s">
        <v>642</v>
      </c>
      <c r="AK24" s="435" t="s">
        <v>668</v>
      </c>
      <c r="AL24" s="80">
        <v>0.25819999999999999</v>
      </c>
    </row>
    <row r="25" spans="1:38" x14ac:dyDescent="0.25">
      <c r="A25" s="6" t="s">
        <v>60</v>
      </c>
      <c r="B25" s="10"/>
      <c r="C25" s="10"/>
      <c r="D25" s="89">
        <v>10649.49</v>
      </c>
      <c r="E25" s="89">
        <v>10703.42</v>
      </c>
      <c r="F25" s="89">
        <v>6465.62</v>
      </c>
      <c r="G25" s="89">
        <v>5594.16</v>
      </c>
      <c r="H25" s="89">
        <v>4372.57</v>
      </c>
      <c r="I25" s="89"/>
      <c r="J25" s="89"/>
      <c r="K25" s="89"/>
      <c r="L25" s="89"/>
      <c r="M25" s="89"/>
      <c r="N25" s="11"/>
      <c r="O25" s="11"/>
      <c r="P25" s="11"/>
      <c r="Q25" s="11"/>
      <c r="R25" s="11"/>
      <c r="S25" s="42" t="s">
        <v>36</v>
      </c>
      <c r="T25" s="43"/>
      <c r="U25" s="48">
        <f t="shared" ref="U25:Z25" si="27">U23-U24</f>
        <v>2.3683071648686341E-2</v>
      </c>
      <c r="V25" s="48">
        <f t="shared" si="27"/>
        <v>2.5501240681617854E-2</v>
      </c>
      <c r="W25" s="48">
        <f t="shared" si="27"/>
        <v>2.7689355131938626E-2</v>
      </c>
      <c r="X25" s="48">
        <f t="shared" si="27"/>
        <v>3.2302324699037988E-2</v>
      </c>
      <c r="Y25" s="48">
        <f t="shared" si="27"/>
        <v>2.6723835359678913E-2</v>
      </c>
      <c r="Z25" s="48">
        <f t="shared" si="27"/>
        <v>2.513255629968289E-2</v>
      </c>
      <c r="AA25" s="18"/>
      <c r="AB25" s="18"/>
      <c r="AC25" s="18"/>
      <c r="AD25" s="18"/>
      <c r="AJ25" s="433" t="s">
        <v>680</v>
      </c>
      <c r="AK25" s="435" t="s">
        <v>668</v>
      </c>
      <c r="AL25" s="436">
        <v>0.15</v>
      </c>
    </row>
    <row r="27" spans="1:38" x14ac:dyDescent="0.25">
      <c r="A27" s="732" t="s">
        <v>249</v>
      </c>
      <c r="B27" s="732"/>
      <c r="C27" s="732"/>
      <c r="D27" s="732"/>
      <c r="E27" s="732"/>
      <c r="F27" s="732"/>
      <c r="G27" s="732"/>
      <c r="H27" s="732"/>
      <c r="I27" s="732"/>
      <c r="J27" s="732"/>
      <c r="K27" s="732"/>
      <c r="L27" s="732"/>
      <c r="M27" s="732"/>
      <c r="N27" s="732"/>
      <c r="O27" s="732"/>
      <c r="P27" s="732"/>
      <c r="Q27" s="732"/>
      <c r="R27" s="732"/>
      <c r="S27" s="732"/>
    </row>
    <row r="28" spans="1:38" x14ac:dyDescent="0.25">
      <c r="A28" s="732"/>
      <c r="B28" s="732"/>
      <c r="C28" s="732"/>
      <c r="D28" s="732"/>
      <c r="E28" s="732"/>
      <c r="F28" s="732"/>
      <c r="G28" s="732"/>
      <c r="H28" s="732"/>
      <c r="I28" s="732"/>
      <c r="J28" s="732"/>
      <c r="K28" s="732"/>
      <c r="L28" s="732"/>
      <c r="M28" s="732"/>
      <c r="N28" s="732"/>
      <c r="O28" s="732"/>
      <c r="P28" s="732"/>
      <c r="Q28" s="732"/>
      <c r="R28" s="732"/>
      <c r="S28" s="732"/>
    </row>
    <row r="29" spans="1:38" x14ac:dyDescent="0.25">
      <c r="A29" s="732"/>
      <c r="B29" s="732"/>
      <c r="C29" s="732"/>
      <c r="D29" s="732"/>
      <c r="E29" s="732"/>
      <c r="F29" s="732"/>
      <c r="G29" s="732"/>
      <c r="H29" s="732"/>
      <c r="I29" s="732"/>
      <c r="J29" s="732"/>
      <c r="K29" s="732"/>
      <c r="L29" s="732"/>
      <c r="M29" s="732"/>
      <c r="N29" s="732"/>
      <c r="O29" s="732"/>
      <c r="P29" s="732"/>
      <c r="Q29" s="732"/>
      <c r="R29" s="732"/>
      <c r="S29" s="732"/>
    </row>
    <row r="30" spans="1:38" x14ac:dyDescent="0.25">
      <c r="A30" s="732"/>
      <c r="B30" s="732"/>
      <c r="C30" s="732"/>
      <c r="D30" s="732"/>
      <c r="E30" s="732"/>
      <c r="F30" s="732"/>
      <c r="G30" s="732"/>
      <c r="H30" s="732"/>
      <c r="I30" s="732"/>
      <c r="J30" s="732"/>
      <c r="K30" s="732"/>
      <c r="L30" s="732"/>
      <c r="M30" s="732"/>
      <c r="N30" s="732"/>
      <c r="O30" s="732"/>
      <c r="P30" s="732"/>
      <c r="Q30" s="732"/>
      <c r="R30" s="732"/>
      <c r="S30" s="732"/>
    </row>
    <row r="31" spans="1:38" x14ac:dyDescent="0.25">
      <c r="A31" s="732"/>
      <c r="B31" s="732"/>
      <c r="C31" s="732"/>
      <c r="D31" s="732"/>
      <c r="E31" s="732"/>
      <c r="F31" s="732"/>
      <c r="G31" s="732"/>
      <c r="H31" s="732"/>
      <c r="I31" s="732"/>
      <c r="J31" s="732"/>
      <c r="K31" s="732"/>
      <c r="L31" s="732"/>
      <c r="M31" s="732"/>
      <c r="N31" s="732"/>
      <c r="O31" s="732"/>
      <c r="P31" s="732"/>
      <c r="Q31" s="732"/>
      <c r="R31" s="732"/>
      <c r="S31" s="732"/>
    </row>
    <row r="32" spans="1:38" x14ac:dyDescent="0.25">
      <c r="A32" s="732"/>
      <c r="B32" s="732"/>
      <c r="C32" s="732"/>
      <c r="D32" s="732"/>
      <c r="E32" s="732"/>
      <c r="F32" s="732"/>
      <c r="G32" s="732"/>
      <c r="H32" s="732"/>
      <c r="I32" s="732"/>
      <c r="J32" s="732"/>
      <c r="K32" s="732"/>
      <c r="L32" s="732"/>
      <c r="M32" s="732"/>
      <c r="N32" s="732"/>
      <c r="O32" s="732"/>
      <c r="P32" s="732"/>
      <c r="Q32" s="732"/>
      <c r="R32" s="732"/>
      <c r="S32" s="732"/>
    </row>
    <row r="35" spans="19:19" x14ac:dyDescent="0.25">
      <c r="S35" s="155">
        <f>M22-M19</f>
        <v>407207.46</v>
      </c>
    </row>
    <row r="36" spans="19:19" x14ac:dyDescent="0.25">
      <c r="S36">
        <f>S35/M20</f>
        <v>7.0598091147192772</v>
      </c>
    </row>
  </sheetData>
  <mergeCells count="10">
    <mergeCell ref="A2:A4"/>
    <mergeCell ref="K1:M1"/>
    <mergeCell ref="A27:S32"/>
    <mergeCell ref="AJ3:AK3"/>
    <mergeCell ref="AJ4:AK4"/>
    <mergeCell ref="AJ5:AK5"/>
    <mergeCell ref="AJ6:AJ9"/>
    <mergeCell ref="AJ10:AJ14"/>
    <mergeCell ref="AJ15:AJ17"/>
    <mergeCell ref="AJ19:AJ21"/>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25"/>
  <sheetViews>
    <sheetView topLeftCell="D3" workbookViewId="0">
      <selection activeCell="AG6" sqref="AG6"/>
    </sheetView>
  </sheetViews>
  <sheetFormatPr defaultRowHeight="15" x14ac:dyDescent="0.25"/>
  <cols>
    <col min="1" max="1" width="31" customWidth="1"/>
    <col min="4" max="4" width="11.28515625" customWidth="1"/>
    <col min="5" max="5" width="11.7109375" customWidth="1"/>
    <col min="6" max="6" width="12.42578125" customWidth="1"/>
    <col min="7" max="8" width="10.5703125" customWidth="1"/>
    <col min="15" max="15" width="30.42578125" customWidth="1"/>
    <col min="17" max="17" width="14.42578125" customWidth="1"/>
    <col min="18" max="18" width="13.5703125" customWidth="1"/>
    <col min="19" max="19" width="13.140625" customWidth="1"/>
    <col min="20" max="21" width="13.42578125" customWidth="1"/>
  </cols>
  <sheetData>
    <row r="1" spans="1:25" x14ac:dyDescent="0.25">
      <c r="J1" s="772" t="s">
        <v>111</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f>D10/AVERAGE(C23:D23)</f>
        <v>5.2763952127051185E-2</v>
      </c>
      <c r="R3" s="44">
        <f>E10/AVERAGE(D23:E23)</f>
        <v>2.1004458997017039E-2</v>
      </c>
      <c r="S3" s="44">
        <f>F10/AVERAGE(E23:F23)</f>
        <v>2.9388716739645809E-2</v>
      </c>
      <c r="T3" s="44">
        <f>G10/AVERAGE(F23:G23)</f>
        <v>1.9573622056542658E-2</v>
      </c>
      <c r="U3" s="44">
        <f>H10/AVERAGE(G23:H23)</f>
        <v>2.1572281947067725E-2</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15407.35</v>
      </c>
      <c r="E5">
        <v>11399.23</v>
      </c>
      <c r="F5" s="85">
        <v>8654.64</v>
      </c>
      <c r="G5" s="90">
        <v>7765.39</v>
      </c>
      <c r="H5" s="90">
        <v>7363.76</v>
      </c>
      <c r="I5" s="85">
        <v>1766.31</v>
      </c>
      <c r="J5" s="85">
        <v>1867.45</v>
      </c>
      <c r="K5" s="85">
        <v>1985.15</v>
      </c>
      <c r="L5" s="85">
        <v>1899.73</v>
      </c>
      <c r="M5" s="11"/>
      <c r="N5" s="11"/>
      <c r="O5" s="42" t="s">
        <v>13</v>
      </c>
      <c r="P5" s="46"/>
      <c r="Q5" s="47">
        <f>D21/D20</f>
        <v>5.5741946773030993</v>
      </c>
      <c r="R5" s="47">
        <f>E21/E20</f>
        <v>4.8923373700567998</v>
      </c>
      <c r="S5" s="47">
        <f>F21/F20</f>
        <v>4.0633440727834502</v>
      </c>
      <c r="T5" s="47">
        <f>G21/G20</f>
        <v>3.635078611299404</v>
      </c>
      <c r="U5" s="47">
        <f>H21/H20</f>
        <v>2.9617142254660793</v>
      </c>
      <c r="V5" s="47"/>
      <c r="W5" s="47">
        <f>J21/J20</f>
        <v>2.5948197159333977</v>
      </c>
      <c r="X5" s="47"/>
      <c r="Y5" s="47">
        <f>L21/L20</f>
        <v>2.9617142254660793</v>
      </c>
    </row>
    <row r="6" spans="1:25" x14ac:dyDescent="0.25">
      <c r="A6" s="6" t="s">
        <v>50</v>
      </c>
      <c r="B6" s="7"/>
      <c r="C6" s="8"/>
      <c r="D6">
        <v>13162.9</v>
      </c>
      <c r="E6">
        <v>9183.8700000000008</v>
      </c>
      <c r="F6" s="85">
        <v>8058.88</v>
      </c>
      <c r="G6" s="85">
        <v>6929.6</v>
      </c>
      <c r="H6" s="85">
        <v>6219.72</v>
      </c>
      <c r="I6" s="85">
        <v>1644.62</v>
      </c>
      <c r="J6" s="85">
        <v>1492.62</v>
      </c>
      <c r="K6" s="85">
        <v>1630.91</v>
      </c>
      <c r="L6" s="85">
        <v>1552.31</v>
      </c>
      <c r="M6" s="11"/>
      <c r="N6" s="11"/>
      <c r="O6" s="42" t="s">
        <v>14</v>
      </c>
      <c r="P6" s="43"/>
      <c r="Q6" s="43"/>
      <c r="R6" s="43">
        <v>0.22819999999999999</v>
      </c>
      <c r="S6" s="43">
        <v>0.22900000000000001</v>
      </c>
      <c r="T6" s="48">
        <v>0.22559999999999999</v>
      </c>
      <c r="U6" s="48">
        <v>0.23230000000000001</v>
      </c>
      <c r="V6" s="48"/>
      <c r="W6" s="48">
        <v>0.26019999999999999</v>
      </c>
      <c r="X6" s="48">
        <v>0.252</v>
      </c>
      <c r="Y6" s="48">
        <v>0.23230000000000001</v>
      </c>
    </row>
    <row r="7" spans="1:25" x14ac:dyDescent="0.25">
      <c r="A7" s="6" t="s">
        <v>51</v>
      </c>
      <c r="B7" s="7"/>
      <c r="C7" s="8"/>
      <c r="D7" s="87"/>
      <c r="E7" s="85"/>
      <c r="F7" s="85">
        <v>0</v>
      </c>
      <c r="G7" s="85">
        <v>0</v>
      </c>
      <c r="H7" s="85"/>
      <c r="I7" s="85"/>
      <c r="J7" s="85"/>
      <c r="K7" s="85"/>
      <c r="L7" s="85"/>
      <c r="M7" s="11"/>
      <c r="N7" s="11"/>
      <c r="O7" s="42" t="s">
        <v>15</v>
      </c>
      <c r="P7" s="43"/>
      <c r="Q7" s="44">
        <f>D20/D23</f>
        <v>0.22179625081765172</v>
      </c>
      <c r="R7" s="44">
        <f>E20/E23</f>
        <v>0.23863473617447881</v>
      </c>
      <c r="S7" s="44">
        <f>F20/F23</f>
        <v>0.2743024881807834</v>
      </c>
      <c r="T7" s="44">
        <f>G20/G23</f>
        <v>0.29970459079084577</v>
      </c>
      <c r="U7" s="44">
        <f>H20/H23</f>
        <v>0.32911769011716591</v>
      </c>
      <c r="V7" s="18"/>
      <c r="W7" s="18"/>
      <c r="X7" s="18"/>
      <c r="Y7" s="18"/>
    </row>
    <row r="8" spans="1:25" x14ac:dyDescent="0.25">
      <c r="A8" s="6" t="s">
        <v>52</v>
      </c>
      <c r="B8" s="7"/>
      <c r="C8" s="8"/>
      <c r="D8" s="85">
        <f t="shared" ref="D8:L8" si="0">D5-D6-D7</f>
        <v>2244.4500000000007</v>
      </c>
      <c r="E8" s="85">
        <f t="shared" si="0"/>
        <v>2215.3599999999988</v>
      </c>
      <c r="F8" s="85">
        <f t="shared" si="0"/>
        <v>595.75999999999931</v>
      </c>
      <c r="G8" s="85">
        <f t="shared" si="0"/>
        <v>835.79</v>
      </c>
      <c r="H8" s="85">
        <f t="shared" si="0"/>
        <v>1144.04</v>
      </c>
      <c r="I8" s="85">
        <f t="shared" si="0"/>
        <v>121.69000000000005</v>
      </c>
      <c r="J8" s="85">
        <f t="shared" si="0"/>
        <v>374.83000000000015</v>
      </c>
      <c r="K8" s="85">
        <f t="shared" si="0"/>
        <v>354.24</v>
      </c>
      <c r="L8" s="85">
        <f t="shared" si="0"/>
        <v>347.42000000000007</v>
      </c>
      <c r="M8" s="11"/>
      <c r="N8" s="11"/>
      <c r="O8" s="40" t="s">
        <v>16</v>
      </c>
      <c r="P8" s="45"/>
      <c r="Q8" s="45"/>
      <c r="R8" s="45"/>
      <c r="S8" s="46" t="s">
        <v>5</v>
      </c>
      <c r="T8" s="18"/>
      <c r="U8" s="18"/>
      <c r="V8" s="18"/>
      <c r="W8" s="18"/>
      <c r="X8" s="18"/>
      <c r="Y8" s="18"/>
    </row>
    <row r="9" spans="1:25" ht="33.75" x14ac:dyDescent="0.25">
      <c r="A9" s="6" t="s">
        <v>24</v>
      </c>
      <c r="B9" s="7"/>
      <c r="C9" s="7"/>
      <c r="D9" s="88">
        <v>9057.11</v>
      </c>
      <c r="E9" s="85">
        <v>7709.6</v>
      </c>
      <c r="F9" s="85">
        <v>6308.04</v>
      </c>
      <c r="G9" s="85">
        <v>5864.66</v>
      </c>
      <c r="H9" s="85">
        <v>5131.09</v>
      </c>
      <c r="I9" s="85">
        <v>1236.3900000000001</v>
      </c>
      <c r="J9" s="85">
        <v>1223.3</v>
      </c>
      <c r="K9" s="85">
        <v>1260.81</v>
      </c>
      <c r="L9" s="85">
        <v>1229.78</v>
      </c>
      <c r="M9" s="11"/>
      <c r="N9" s="11"/>
      <c r="O9" s="49" t="s">
        <v>93</v>
      </c>
      <c r="P9" s="45"/>
      <c r="Q9" s="50">
        <f>D14/(D11-D9)</f>
        <v>0.16082384287837942</v>
      </c>
      <c r="R9" s="50">
        <f>E14/(E11-E9)</f>
        <v>0.28450549242064932</v>
      </c>
      <c r="S9" s="50">
        <f>F14/(F11-F9)</f>
        <v>0.21724196710133814</v>
      </c>
      <c r="T9" s="50">
        <f>G14/(G11-G9)</f>
        <v>0.35590536267644529</v>
      </c>
      <c r="U9" s="50">
        <f>H14/(H11-H9)</f>
        <v>0.33983078556168173</v>
      </c>
      <c r="V9" s="18"/>
      <c r="W9" s="18"/>
      <c r="X9" s="18"/>
      <c r="Y9" s="18"/>
    </row>
    <row r="10" spans="1:25" ht="22.5" x14ac:dyDescent="0.25">
      <c r="A10" s="6" t="s">
        <v>53</v>
      </c>
      <c r="B10" s="10">
        <f t="shared" ref="B10:J10" si="1">B6-B9</f>
        <v>0</v>
      </c>
      <c r="C10" s="10">
        <f t="shared" si="1"/>
        <v>0</v>
      </c>
      <c r="D10" s="89">
        <f t="shared" si="1"/>
        <v>4105.7899999999991</v>
      </c>
      <c r="E10" s="89">
        <f t="shared" si="1"/>
        <v>1474.2700000000004</v>
      </c>
      <c r="F10" s="89">
        <f t="shared" si="1"/>
        <v>1750.8400000000001</v>
      </c>
      <c r="G10" s="89">
        <f t="shared" si="1"/>
        <v>1064.9400000000005</v>
      </c>
      <c r="H10" s="89">
        <f>H6-H9</f>
        <v>1088.6300000000001</v>
      </c>
      <c r="I10" s="89">
        <f t="shared" si="1"/>
        <v>408.22999999999979</v>
      </c>
      <c r="J10" s="89">
        <f t="shared" si="1"/>
        <v>269.31999999999994</v>
      </c>
      <c r="K10" s="89">
        <f>K6-K9</f>
        <v>370.10000000000014</v>
      </c>
      <c r="L10" s="89">
        <f>L6-L9</f>
        <v>322.52999999999997</v>
      </c>
      <c r="M10" s="11"/>
      <c r="N10" s="11"/>
      <c r="O10" s="42" t="s">
        <v>92</v>
      </c>
      <c r="P10" s="43"/>
      <c r="Q10" s="44">
        <f>D14/D11</f>
        <v>6.6284597935400966E-2</v>
      </c>
      <c r="R10" s="44">
        <f>E14/E11</f>
        <v>9.2086921660498131E-2</v>
      </c>
      <c r="S10" s="44">
        <f>F14/F11</f>
        <v>5.8902507787730048E-2</v>
      </c>
      <c r="T10" s="44">
        <f>G14/G11</f>
        <v>8.7114748905077533E-2</v>
      </c>
      <c r="U10" s="44">
        <f>H14/H11</f>
        <v>0.10303567742566297</v>
      </c>
      <c r="V10" s="18"/>
      <c r="W10" s="18"/>
      <c r="X10" s="18"/>
      <c r="Y10" s="18"/>
    </row>
    <row r="11" spans="1:25" ht="22.5" x14ac:dyDescent="0.25">
      <c r="A11" s="6" t="s">
        <v>1</v>
      </c>
      <c r="B11" s="10">
        <f>B5-B9</f>
        <v>0</v>
      </c>
      <c r="C11" s="10">
        <f t="shared" ref="C11:J11" si="2">SUM(C6:C8)</f>
        <v>0</v>
      </c>
      <c r="D11" s="89">
        <f t="shared" si="2"/>
        <v>15407.35</v>
      </c>
      <c r="E11" s="89">
        <f t="shared" si="2"/>
        <v>11399.23</v>
      </c>
      <c r="F11" s="89">
        <f>SUM(F6:F8)</f>
        <v>8654.64</v>
      </c>
      <c r="G11" s="89">
        <f>SUM(G6:G8)</f>
        <v>7765.39</v>
      </c>
      <c r="H11" s="89">
        <f>SUM(H6:H8)</f>
        <v>7363.76</v>
      </c>
      <c r="I11" s="89">
        <f t="shared" si="2"/>
        <v>1766.31</v>
      </c>
      <c r="J11" s="89">
        <f t="shared" si="2"/>
        <v>1867.45</v>
      </c>
      <c r="K11" s="89">
        <f>SUM(K6:K8)</f>
        <v>1985.15</v>
      </c>
      <c r="L11" s="89">
        <f>SUM(L6:L8)</f>
        <v>1899.73</v>
      </c>
      <c r="M11" s="11"/>
      <c r="N11" s="11"/>
      <c r="O11" s="42" t="s">
        <v>17</v>
      </c>
      <c r="P11" s="43"/>
      <c r="Q11" s="44">
        <f>D14/AVERAGE(C22:D22)</f>
        <v>8.5033052126800481E-3</v>
      </c>
      <c r="R11" s="44">
        <f>E14/AVERAGE(D22:E22)</f>
        <v>9.8678632088472721E-3</v>
      </c>
      <c r="S11" s="44">
        <f>F14/AVERAGE(E22:F22)</f>
        <v>5.788848410025524E-3</v>
      </c>
      <c r="T11" s="44">
        <f>G14/AVERAGE(F22:G22)</f>
        <v>8.4797778270130596E-3</v>
      </c>
      <c r="U11" s="44">
        <f>H14/AVERAGE(G22:H22)</f>
        <v>1.0521831416888098E-2</v>
      </c>
      <c r="V11" s="18"/>
      <c r="W11" s="18"/>
      <c r="X11" s="18"/>
      <c r="Y11" s="18"/>
    </row>
    <row r="12" spans="1:25" x14ac:dyDescent="0.25">
      <c r="A12" s="6" t="s">
        <v>91</v>
      </c>
      <c r="B12" s="10"/>
      <c r="C12" s="10"/>
      <c r="D12" s="89">
        <v>31.77</v>
      </c>
      <c r="E12" s="89">
        <v>16.07</v>
      </c>
      <c r="F12" s="89">
        <v>98.15</v>
      </c>
      <c r="G12" s="89">
        <v>12.31</v>
      </c>
      <c r="H12" s="89">
        <v>17.02</v>
      </c>
      <c r="I12" s="89">
        <v>17.78</v>
      </c>
      <c r="J12" s="89">
        <v>17.61</v>
      </c>
      <c r="K12" s="89">
        <v>4.07</v>
      </c>
      <c r="L12" s="89">
        <v>4.3</v>
      </c>
      <c r="M12" s="11"/>
      <c r="N12" s="11"/>
      <c r="O12" s="40" t="s">
        <v>18</v>
      </c>
      <c r="P12" s="45"/>
      <c r="Q12" s="45"/>
      <c r="R12" s="45"/>
      <c r="S12" s="46" t="s">
        <v>5</v>
      </c>
      <c r="T12" s="18"/>
      <c r="U12" s="18"/>
      <c r="V12" s="18"/>
      <c r="W12" s="18"/>
      <c r="X12" s="53"/>
      <c r="Y12" s="54"/>
    </row>
    <row r="13" spans="1:25" x14ac:dyDescent="0.25">
      <c r="A13" s="6" t="s">
        <v>25</v>
      </c>
      <c r="B13" s="7"/>
      <c r="C13" s="7"/>
      <c r="D13" s="88">
        <f t="shared" ref="D13:L13" si="3">D11+D12</f>
        <v>15439.12</v>
      </c>
      <c r="E13" s="88">
        <f t="shared" si="3"/>
        <v>11415.3</v>
      </c>
      <c r="F13" s="88">
        <f t="shared" si="3"/>
        <v>8752.7899999999991</v>
      </c>
      <c r="G13" s="88">
        <f t="shared" si="3"/>
        <v>7777.7000000000007</v>
      </c>
      <c r="H13" s="88">
        <f t="shared" si="3"/>
        <v>7380.7800000000007</v>
      </c>
      <c r="I13" s="88">
        <f t="shared" si="3"/>
        <v>1784.09</v>
      </c>
      <c r="J13" s="88">
        <f t="shared" si="3"/>
        <v>1885.06</v>
      </c>
      <c r="K13" s="88">
        <f t="shared" si="3"/>
        <v>1989.22</v>
      </c>
      <c r="L13" s="88">
        <f t="shared" si="3"/>
        <v>1904.03</v>
      </c>
      <c r="M13" s="11"/>
      <c r="N13" s="11"/>
      <c r="O13" s="42" t="s">
        <v>19</v>
      </c>
      <c r="P13" s="43"/>
      <c r="Q13" s="44">
        <f>D24/D23</f>
        <v>1.1099502276573843E-2</v>
      </c>
      <c r="R13" s="44">
        <f>E24/E23</f>
        <v>2.1727851289972788E-2</v>
      </c>
      <c r="S13" s="44">
        <f>F24/F23</f>
        <v>2.6976424124367158E-2</v>
      </c>
      <c r="T13" s="44">
        <f>G24/G23</f>
        <v>3.9400595796794918E-2</v>
      </c>
      <c r="U13" s="44">
        <f>H24/H23</f>
        <v>3.5244225529041183E-2</v>
      </c>
      <c r="V13" s="48"/>
      <c r="W13" s="48">
        <v>3.7199999999999997E-2</v>
      </c>
      <c r="X13" s="48">
        <v>4.4900000000000002E-2</v>
      </c>
      <c r="Y13" s="48">
        <v>3.7100000000000001E-2</v>
      </c>
    </row>
    <row r="14" spans="1:25" x14ac:dyDescent="0.25">
      <c r="A14" s="6" t="s">
        <v>26</v>
      </c>
      <c r="B14" s="7"/>
      <c r="C14" s="7"/>
      <c r="D14" s="85">
        <f>723.08+36.97+261.22</f>
        <v>1021.2700000000001</v>
      </c>
      <c r="E14" s="85">
        <f>169.47+556.97+97.8+225.48</f>
        <v>1049.72</v>
      </c>
      <c r="F14" s="85">
        <f>224.72+90.82+194.24</f>
        <v>509.78</v>
      </c>
      <c r="G14" s="85">
        <f>435.15+74.4+166.93</f>
        <v>676.48</v>
      </c>
      <c r="H14" s="85">
        <f>477.29+82.65+198.79</f>
        <v>758.73</v>
      </c>
      <c r="I14" s="85">
        <f>155.91+17.89+36.02</f>
        <v>209.82000000000002</v>
      </c>
      <c r="J14" s="85">
        <f>138.91+21.24+34.95</f>
        <v>195.10000000000002</v>
      </c>
      <c r="K14" s="85">
        <f>185.49+22.39+49.54</f>
        <v>257.42</v>
      </c>
      <c r="L14" s="85">
        <f>95.31+21.18+66.83</f>
        <v>183.32</v>
      </c>
      <c r="M14" s="11"/>
      <c r="N14" s="11"/>
      <c r="O14" s="42" t="s">
        <v>20</v>
      </c>
      <c r="P14" s="43"/>
      <c r="Q14" s="44">
        <f>D25/D23</f>
        <v>6.9601602790232645E-3</v>
      </c>
      <c r="R14" s="44">
        <f>E25/E23</f>
        <v>1.6235428985003172E-2</v>
      </c>
      <c r="S14" s="44">
        <f>F25/F23</f>
        <v>1.5588836700688644E-2</v>
      </c>
      <c r="T14" s="44">
        <f>G25/G23</f>
        <v>2.237627106571342E-2</v>
      </c>
      <c r="U14" s="44">
        <f>H25/H23</f>
        <v>2.3574037841410531E-2</v>
      </c>
      <c r="V14" s="48"/>
      <c r="W14" s="48">
        <v>2.2200000000000001E-2</v>
      </c>
      <c r="X14" s="48">
        <v>2.9700000000000001E-2</v>
      </c>
      <c r="Y14" s="48">
        <v>2.4799999999999999E-2</v>
      </c>
    </row>
    <row r="15" spans="1:25" x14ac:dyDescent="0.25">
      <c r="A15" s="6" t="s">
        <v>54</v>
      </c>
      <c r="B15" s="10"/>
      <c r="C15" s="10"/>
      <c r="D15" s="89">
        <f t="shared" ref="D15:J15" si="4">D11-D14</f>
        <v>14386.08</v>
      </c>
      <c r="E15" s="89">
        <f t="shared" si="4"/>
        <v>10349.51</v>
      </c>
      <c r="F15" s="89">
        <f t="shared" si="4"/>
        <v>8144.86</v>
      </c>
      <c r="G15" s="89">
        <f t="shared" si="4"/>
        <v>7088.91</v>
      </c>
      <c r="H15" s="89">
        <f>H11-H14</f>
        <v>6605.0300000000007</v>
      </c>
      <c r="I15" s="89">
        <f t="shared" si="4"/>
        <v>1556.49</v>
      </c>
      <c r="J15" s="89">
        <f t="shared" si="4"/>
        <v>1672.35</v>
      </c>
      <c r="K15" s="89">
        <f>K11-K14</f>
        <v>1727.73</v>
      </c>
      <c r="L15" s="89">
        <f>L11-L14</f>
        <v>1716.41</v>
      </c>
      <c r="M15" s="11"/>
      <c r="N15" s="11"/>
      <c r="O15" s="42" t="s">
        <v>21</v>
      </c>
      <c r="P15" s="43"/>
      <c r="Q15" s="44">
        <f t="shared" ref="Q15:V15" si="5">(Q13-Q14)/Q13</f>
        <v>0.37293041565358337</v>
      </c>
      <c r="R15" s="44">
        <f t="shared" si="5"/>
        <v>0.25278257990951553</v>
      </c>
      <c r="S15" s="44">
        <f t="shared" si="5"/>
        <v>0.42213109384621433</v>
      </c>
      <c r="T15" s="44">
        <f t="shared" si="5"/>
        <v>0.43208292633144291</v>
      </c>
      <c r="U15" s="44">
        <f t="shared" si="5"/>
        <v>0.33112339716514516</v>
      </c>
      <c r="V15" s="44" t="e">
        <f t="shared" si="5"/>
        <v>#DIV/0!</v>
      </c>
      <c r="W15" s="18"/>
      <c r="X15" s="18"/>
      <c r="Y15" s="18"/>
    </row>
    <row r="16" spans="1:25" x14ac:dyDescent="0.25">
      <c r="A16" s="6" t="s">
        <v>94</v>
      </c>
      <c r="B16" s="10"/>
      <c r="C16" s="10"/>
      <c r="D16" s="89">
        <f t="shared" ref="D16:J16" si="6">D13-D14-D9</f>
        <v>5360.74</v>
      </c>
      <c r="E16" s="89">
        <f t="shared" si="6"/>
        <v>2655.9799999999996</v>
      </c>
      <c r="F16" s="89">
        <f t="shared" si="6"/>
        <v>1934.9699999999984</v>
      </c>
      <c r="G16" s="89">
        <f t="shared" si="6"/>
        <v>1236.5600000000013</v>
      </c>
      <c r="H16" s="89">
        <f>H13-H14-H9</f>
        <v>1490.9600000000009</v>
      </c>
      <c r="I16" s="89">
        <f t="shared" si="6"/>
        <v>337.87999999999988</v>
      </c>
      <c r="J16" s="89">
        <f t="shared" si="6"/>
        <v>466.66000000000008</v>
      </c>
      <c r="K16" s="89">
        <f>K13-K14-K9</f>
        <v>470.99</v>
      </c>
      <c r="L16" s="89">
        <f>L13-L14-L9</f>
        <v>490.93000000000006</v>
      </c>
      <c r="M16" s="11"/>
      <c r="N16" s="11"/>
      <c r="O16" s="42" t="s">
        <v>22</v>
      </c>
      <c r="P16" s="43"/>
      <c r="Q16" s="44">
        <f>D17/AVERAGE(C23:D23)</f>
        <v>2.738828210238992E-3</v>
      </c>
      <c r="R16" s="44">
        <f>E17/AVERAGE(D23:E23)</f>
        <v>1.5566668181636206E-3</v>
      </c>
      <c r="S16" s="44">
        <f>F17/AVERAGE(E23:F23)</f>
        <v>8.2754170796947631E-3</v>
      </c>
      <c r="T16" s="44">
        <f>G17/AVERAGE(F23:G23)</f>
        <v>3.9450882098675168E-3</v>
      </c>
      <c r="U16" s="44">
        <f>H17/AVERAGE(G23:H23)</f>
        <v>7.6321288150364526E-3</v>
      </c>
      <c r="V16" s="18"/>
      <c r="W16" s="18"/>
      <c r="X16" s="18"/>
      <c r="Y16" s="18"/>
    </row>
    <row r="17" spans="1:25" x14ac:dyDescent="0.25">
      <c r="A17" s="6" t="s">
        <v>27</v>
      </c>
      <c r="B17" s="7"/>
      <c r="C17" s="7"/>
      <c r="D17" s="88">
        <v>213.12</v>
      </c>
      <c r="E17" s="85">
        <v>109.26</v>
      </c>
      <c r="F17" s="85">
        <v>493.01</v>
      </c>
      <c r="G17" s="85">
        <v>214.64</v>
      </c>
      <c r="H17" s="85">
        <v>385.15</v>
      </c>
      <c r="I17" s="85">
        <v>33.799999999999997</v>
      </c>
      <c r="J17" s="85">
        <v>133.81</v>
      </c>
      <c r="K17" s="85">
        <v>95.13</v>
      </c>
      <c r="L17" s="85">
        <v>192.61</v>
      </c>
      <c r="M17" s="11"/>
      <c r="N17" s="11"/>
      <c r="O17" s="18"/>
      <c r="P17" s="18"/>
      <c r="Q17" s="18"/>
      <c r="R17" s="18"/>
      <c r="S17" s="18"/>
      <c r="T17" s="18"/>
      <c r="U17" s="18"/>
      <c r="V17" s="18"/>
      <c r="W17" s="18"/>
      <c r="X17" s="18"/>
      <c r="Y17" s="18"/>
    </row>
    <row r="18" spans="1:25" x14ac:dyDescent="0.25">
      <c r="A18" s="6" t="s">
        <v>55</v>
      </c>
      <c r="B18" s="7"/>
      <c r="C18" s="7"/>
      <c r="D18" s="88">
        <v>3729.26</v>
      </c>
      <c r="E18" s="85">
        <v>2159.91</v>
      </c>
      <c r="F18" s="89">
        <v>1058.46</v>
      </c>
      <c r="G18" s="89">
        <v>696.11</v>
      </c>
      <c r="H18" s="89">
        <v>819.17</v>
      </c>
      <c r="I18" s="89">
        <v>240.95</v>
      </c>
      <c r="J18" s="89">
        <v>247.63</v>
      </c>
      <c r="K18" s="89">
        <v>229.38</v>
      </c>
      <c r="L18" s="89">
        <v>216.26</v>
      </c>
      <c r="M18" s="11"/>
      <c r="N18" s="11"/>
      <c r="O18" s="40" t="s">
        <v>30</v>
      </c>
      <c r="P18" s="45"/>
      <c r="Q18" s="45"/>
      <c r="R18" s="45"/>
      <c r="S18" s="46" t="s">
        <v>5</v>
      </c>
      <c r="T18" s="18"/>
      <c r="U18" s="18"/>
      <c r="V18" s="18"/>
      <c r="W18" s="18"/>
      <c r="X18" s="18"/>
      <c r="Y18" s="18"/>
    </row>
    <row r="19" spans="1:25" ht="22.5" x14ac:dyDescent="0.25">
      <c r="A19" s="6" t="s">
        <v>28</v>
      </c>
      <c r="B19" s="7"/>
      <c r="C19" s="7"/>
      <c r="D19" s="88">
        <f>85.48+17173.44</f>
        <v>17258.919999999998</v>
      </c>
      <c r="E19" s="85">
        <f>85.51+14844.09</f>
        <v>14929.6</v>
      </c>
      <c r="F19" s="85">
        <v>15522.21</v>
      </c>
      <c r="G19" s="85">
        <v>15652.33</v>
      </c>
      <c r="H19" s="85">
        <v>16028.93</v>
      </c>
      <c r="I19" s="85"/>
      <c r="J19" s="85">
        <v>16736.919999999998</v>
      </c>
      <c r="K19" s="85">
        <v>15983.89</v>
      </c>
      <c r="L19" s="85">
        <v>16028.93</v>
      </c>
      <c r="M19" s="11"/>
      <c r="N19" s="11"/>
      <c r="O19" s="46" t="s">
        <v>95</v>
      </c>
      <c r="P19" s="51"/>
      <c r="Q19" s="51"/>
      <c r="R19" s="52">
        <f>E16/AVERAGE(D22:E22)</f>
        <v>2.4967464967261911E-2</v>
      </c>
      <c r="S19" s="52">
        <f>F16/AVERAGE(E22:F22)</f>
        <v>2.1972709811971986E-2</v>
      </c>
      <c r="T19" s="52">
        <f>G16/AVERAGE(F22:G22)</f>
        <v>1.5500464270593777E-2</v>
      </c>
      <c r="U19" s="52">
        <f>H16/AVERAGE(G22:H22)</f>
        <v>2.067616908429018E-2</v>
      </c>
      <c r="V19" s="18"/>
      <c r="W19" s="18"/>
      <c r="X19" s="18"/>
      <c r="Y19" s="18"/>
    </row>
    <row r="20" spans="1:25" x14ac:dyDescent="0.25">
      <c r="A20" s="6" t="s">
        <v>56</v>
      </c>
      <c r="B20" s="7"/>
      <c r="C20" s="7"/>
      <c r="D20" s="88">
        <f t="shared" ref="D20:J20" si="7">D19-D71</f>
        <v>17258.919999999998</v>
      </c>
      <c r="E20" s="89">
        <f t="shared" si="7"/>
        <v>14929.6</v>
      </c>
      <c r="F20" s="89">
        <f t="shared" si="7"/>
        <v>15522.21</v>
      </c>
      <c r="G20" s="89">
        <f t="shared" si="7"/>
        <v>15652.33</v>
      </c>
      <c r="H20" s="89">
        <f t="shared" si="7"/>
        <v>16028.93</v>
      </c>
      <c r="I20" s="89">
        <f t="shared" si="7"/>
        <v>0</v>
      </c>
      <c r="J20" s="89">
        <f t="shared" si="7"/>
        <v>16736.919999999998</v>
      </c>
      <c r="K20" s="89"/>
      <c r="L20" s="85">
        <v>16028.93</v>
      </c>
      <c r="M20" s="11"/>
      <c r="N20" s="11"/>
      <c r="O20" s="42" t="s">
        <v>31</v>
      </c>
      <c r="P20" s="43"/>
      <c r="Q20" s="43">
        <v>4.4699999999999997E-2</v>
      </c>
      <c r="R20" s="44">
        <f>E18/AVERAGE(D22:E22)</f>
        <v>2.0304172944615048E-2</v>
      </c>
      <c r="S20" s="44">
        <f>F18/AVERAGE(E22:F22)</f>
        <v>1.2019428945968098E-2</v>
      </c>
      <c r="T20" s="44">
        <f>G18/AVERAGE(F22:G22)</f>
        <v>8.7258428086004914E-3</v>
      </c>
      <c r="U20" s="44">
        <f>H18/AVERAGE(G22:H22)</f>
        <v>1.1359994519489439E-2</v>
      </c>
      <c r="V20" s="48"/>
      <c r="W20" s="18"/>
      <c r="X20" s="18"/>
      <c r="Y20" s="18"/>
    </row>
    <row r="21" spans="1:25" x14ac:dyDescent="0.25">
      <c r="A21" s="6" t="s">
        <v>57</v>
      </c>
      <c r="B21" s="9"/>
      <c r="C21" s="9"/>
      <c r="D21" s="85">
        <f>48188.39+43686.81+4329.38</f>
        <v>96204.58</v>
      </c>
      <c r="E21" s="85">
        <f>32092.12+36609.92+4338.6</f>
        <v>73040.639999999999</v>
      </c>
      <c r="F21" s="85">
        <f>29164.7+29558.67+4348.71</f>
        <v>63072.079999999994</v>
      </c>
      <c r="G21" s="85">
        <f>23555.93+29045.49+4296.03</f>
        <v>56897.45</v>
      </c>
      <c r="H21" s="85">
        <f>17833.88+25572.95+4066.28</f>
        <v>47473.11</v>
      </c>
      <c r="I21" s="85"/>
      <c r="J21" s="85">
        <f>15193.13+24360.15+3876.01</f>
        <v>43429.29</v>
      </c>
      <c r="K21" s="85"/>
      <c r="L21" s="85">
        <f>17833.88+25572.95+4066.28</f>
        <v>47473.11</v>
      </c>
      <c r="M21" s="11"/>
      <c r="N21" s="11"/>
      <c r="O21" s="42" t="s">
        <v>32</v>
      </c>
      <c r="P21" s="43"/>
      <c r="Q21" s="44">
        <f>D18/AVERAGE(C19:D19)</f>
        <v>0.21607725164726418</v>
      </c>
      <c r="R21" s="44">
        <f>E18/AVERAGE(D19:E19)</f>
        <v>0.13420374717445849</v>
      </c>
      <c r="S21" s="44">
        <f>F18/AVERAGE(E19:F19)</f>
        <v>6.9517050053839166E-2</v>
      </c>
      <c r="T21" s="44">
        <f>G18/AVERAGE(F19:G19)</f>
        <v>4.4658878687544389E-2</v>
      </c>
      <c r="U21" s="44">
        <f>H18/AVERAGE(G19:H19)</f>
        <v>5.1713221001942471E-2</v>
      </c>
      <c r="V21" s="18"/>
      <c r="W21" s="18"/>
      <c r="X21" s="18"/>
      <c r="Y21" s="18"/>
    </row>
    <row r="22" spans="1:25" x14ac:dyDescent="0.25">
      <c r="A22" s="6" t="s">
        <v>29</v>
      </c>
      <c r="B22" s="7"/>
      <c r="C22" s="7"/>
      <c r="D22" s="88">
        <v>120102.71</v>
      </c>
      <c r="E22" s="85">
        <v>92652.57</v>
      </c>
      <c r="F22" s="85">
        <v>83472.27</v>
      </c>
      <c r="G22" s="85">
        <v>76079.08</v>
      </c>
      <c r="H22" s="85">
        <v>68141.06</v>
      </c>
      <c r="I22" s="85"/>
      <c r="J22" s="85">
        <v>65829.259999999995</v>
      </c>
      <c r="K22" s="85"/>
      <c r="L22" s="85">
        <v>68141.06</v>
      </c>
      <c r="M22" s="11"/>
      <c r="N22" s="11"/>
      <c r="O22" s="40" t="s">
        <v>33</v>
      </c>
      <c r="P22" s="45"/>
      <c r="Q22" s="45"/>
      <c r="R22" s="45"/>
      <c r="S22" s="46" t="s">
        <v>5</v>
      </c>
      <c r="T22" s="18"/>
      <c r="U22" s="18"/>
      <c r="V22" s="18"/>
      <c r="W22" s="18"/>
      <c r="X22" s="18"/>
      <c r="Y22" s="18"/>
    </row>
    <row r="23" spans="1:25" x14ac:dyDescent="0.25">
      <c r="A23" s="6" t="s">
        <v>58</v>
      </c>
      <c r="B23" s="7"/>
      <c r="C23" s="7"/>
      <c r="D23" s="88">
        <v>77814.3</v>
      </c>
      <c r="E23" s="85">
        <v>62562.559999999998</v>
      </c>
      <c r="F23" s="85">
        <v>56587.93</v>
      </c>
      <c r="G23" s="85">
        <v>52225.86</v>
      </c>
      <c r="H23" s="85">
        <v>48702.73</v>
      </c>
      <c r="I23" s="85"/>
      <c r="J23" s="85">
        <v>44622.79</v>
      </c>
      <c r="K23" s="85"/>
      <c r="L23" s="85">
        <v>47658.76</v>
      </c>
      <c r="M23" s="11"/>
      <c r="N23" s="11"/>
      <c r="O23" s="42" t="s">
        <v>34</v>
      </c>
      <c r="P23" s="43"/>
      <c r="Q23" s="44">
        <f>D6/AVERAGE(C23:D23)</f>
        <v>0.16915785401911987</v>
      </c>
      <c r="R23" s="44">
        <f>E6/AVERAGE(D23:E23)</f>
        <v>0.13084592432114525</v>
      </c>
      <c r="S23" s="44">
        <f>F6/AVERAGE(E23:F23)</f>
        <v>0.13527229304722121</v>
      </c>
      <c r="T23" s="44">
        <f>G6/AVERAGE(F23:G23)</f>
        <v>0.12736620974234975</v>
      </c>
      <c r="U23" s="44">
        <f>H6/AVERAGE(G23:H23)</f>
        <v>0.12324991362705058</v>
      </c>
      <c r="V23" s="18"/>
      <c r="W23" s="18"/>
      <c r="X23" s="18"/>
      <c r="Y23" s="18"/>
    </row>
    <row r="24" spans="1:25" x14ac:dyDescent="0.25">
      <c r="A24" s="6" t="s">
        <v>59</v>
      </c>
      <c r="B24" s="10"/>
      <c r="C24" s="10"/>
      <c r="D24" s="89">
        <v>863.7</v>
      </c>
      <c r="E24" s="89">
        <v>1359.35</v>
      </c>
      <c r="F24" s="89">
        <v>1526.54</v>
      </c>
      <c r="G24" s="89">
        <v>2057.73</v>
      </c>
      <c r="H24" s="89">
        <v>1716.49</v>
      </c>
      <c r="I24" s="89"/>
      <c r="J24" s="89"/>
      <c r="K24" s="89"/>
      <c r="L24" s="89"/>
      <c r="M24" s="11"/>
      <c r="N24" s="11"/>
      <c r="O24" s="42" t="s">
        <v>35</v>
      </c>
      <c r="P24" s="43"/>
      <c r="Q24" s="44">
        <f>D9/AVERAGE(C21:D21)</f>
        <v>9.4144270470283231E-2</v>
      </c>
      <c r="R24" s="44">
        <f>E9/AVERAGE(D21:E21)</f>
        <v>9.1105674949047311E-2</v>
      </c>
      <c r="S24" s="44">
        <f>F9/AVERAGE(E21:F21)</f>
        <v>9.2688471731370875E-2</v>
      </c>
      <c r="T24" s="44">
        <f>G9/AVERAGE(F21:G21)</f>
        <v>9.7769158552175703E-2</v>
      </c>
      <c r="U24" s="44">
        <f>H9/AVERAGE(G21:H21)</f>
        <v>9.8324470042126827E-2</v>
      </c>
      <c r="V24" s="18"/>
      <c r="W24" s="18"/>
      <c r="X24" s="18"/>
      <c r="Y24" s="18"/>
    </row>
    <row r="25" spans="1:25" x14ac:dyDescent="0.25">
      <c r="A25" s="6" t="s">
        <v>60</v>
      </c>
      <c r="B25" s="10"/>
      <c r="C25" s="10"/>
      <c r="D25" s="89">
        <v>541.6</v>
      </c>
      <c r="E25" s="89">
        <v>1015.73</v>
      </c>
      <c r="F25" s="89">
        <v>882.14</v>
      </c>
      <c r="G25" s="89">
        <v>1168.6199999999999</v>
      </c>
      <c r="H25" s="89">
        <v>1148.1199999999999</v>
      </c>
      <c r="I25" s="89"/>
      <c r="J25" s="89"/>
      <c r="K25" s="89"/>
      <c r="L25" s="89"/>
      <c r="M25" s="11"/>
      <c r="N25" s="11"/>
      <c r="O25" s="42" t="s">
        <v>36</v>
      </c>
      <c r="P25" s="43"/>
      <c r="Q25" s="48">
        <f>Q23-Q24</f>
        <v>7.5013583548836638E-2</v>
      </c>
      <c r="R25" s="48">
        <f>R23-R24</f>
        <v>3.9740249372097941E-2</v>
      </c>
      <c r="S25" s="48">
        <f>S23-S24</f>
        <v>4.258382131585034E-2</v>
      </c>
      <c r="T25" s="48">
        <f>T23-T24</f>
        <v>2.9597051190174042E-2</v>
      </c>
      <c r="U25" s="48">
        <f>U23-U24</f>
        <v>2.4925443584923754E-2</v>
      </c>
      <c r="V25" s="18"/>
      <c r="W25" s="18"/>
      <c r="X25" s="18"/>
      <c r="Y25" s="18"/>
    </row>
  </sheetData>
  <mergeCells count="2">
    <mergeCell ref="A2:A4"/>
    <mergeCell ref="J1:L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79"/>
  <sheetViews>
    <sheetView topLeftCell="S8" workbookViewId="0">
      <selection activeCell="AF14" sqref="AF14"/>
    </sheetView>
  </sheetViews>
  <sheetFormatPr defaultRowHeight="15" x14ac:dyDescent="0.25"/>
  <cols>
    <col min="1" max="1" width="35.140625" customWidth="1"/>
    <col min="4" max="4" width="14" customWidth="1"/>
    <col min="5" max="5" width="11.7109375" customWidth="1"/>
    <col min="6" max="6" width="13.7109375" customWidth="1"/>
    <col min="7" max="9" width="12.140625" customWidth="1"/>
    <col min="10" max="11" width="10.140625" bestFit="1" customWidth="1"/>
    <col min="13" max="13" width="10.140625" bestFit="1" customWidth="1"/>
    <col min="15" max="15" width="10.140625" bestFit="1" customWidth="1"/>
    <col min="16" max="16" width="10.140625" customWidth="1"/>
    <col min="18" max="18" width="30.28515625" customWidth="1"/>
    <col min="20" max="20" width="12.42578125" customWidth="1"/>
    <col min="21" max="21" width="13.85546875" customWidth="1"/>
    <col min="22" max="22" width="11.85546875" customWidth="1"/>
    <col min="23" max="25" width="12.85546875" customWidth="1"/>
  </cols>
  <sheetData>
    <row r="1" spans="1:32" x14ac:dyDescent="0.25">
      <c r="K1" s="772" t="s">
        <v>119</v>
      </c>
      <c r="L1" s="772"/>
      <c r="M1" s="772"/>
    </row>
    <row r="2" spans="1:32"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37</v>
      </c>
      <c r="O2" s="11" t="s">
        <v>38</v>
      </c>
      <c r="P2" s="11" t="s">
        <v>39</v>
      </c>
      <c r="Q2" s="11"/>
      <c r="R2" s="40" t="s">
        <v>6</v>
      </c>
      <c r="S2" s="41" t="s">
        <v>7</v>
      </c>
      <c r="T2" s="41" t="s">
        <v>8</v>
      </c>
      <c r="U2" s="41" t="s">
        <v>9</v>
      </c>
      <c r="V2" s="40" t="s">
        <v>10</v>
      </c>
      <c r="W2" s="41" t="s">
        <v>90</v>
      </c>
      <c r="X2" s="41" t="s">
        <v>492</v>
      </c>
      <c r="Y2" s="41" t="s">
        <v>623</v>
      </c>
      <c r="Z2" s="40" t="s">
        <v>37</v>
      </c>
      <c r="AA2" s="41" t="s">
        <v>38</v>
      </c>
      <c r="AB2" s="41" t="s">
        <v>39</v>
      </c>
      <c r="AC2" s="41" t="s">
        <v>40</v>
      </c>
    </row>
    <row r="3" spans="1:32" x14ac:dyDescent="0.25">
      <c r="A3" s="771"/>
      <c r="B3" s="1" t="s">
        <v>46</v>
      </c>
      <c r="C3" s="4" t="s">
        <v>47</v>
      </c>
      <c r="D3" s="5" t="s">
        <v>47</v>
      </c>
      <c r="E3" s="5" t="s">
        <v>47</v>
      </c>
      <c r="F3" s="1" t="s">
        <v>46</v>
      </c>
      <c r="G3" s="1" t="s">
        <v>46</v>
      </c>
      <c r="H3" s="1" t="s">
        <v>46</v>
      </c>
      <c r="I3" s="1" t="s">
        <v>46</v>
      </c>
      <c r="J3" s="1" t="s">
        <v>96</v>
      </c>
      <c r="K3" s="1"/>
      <c r="L3" s="1"/>
      <c r="M3" s="1"/>
      <c r="N3" s="11"/>
      <c r="O3" s="11"/>
      <c r="P3" s="11"/>
      <c r="Q3" s="11"/>
      <c r="R3" s="42" t="s">
        <v>11</v>
      </c>
      <c r="S3" s="43"/>
      <c r="T3" s="44">
        <f t="shared" ref="T3:Y3" si="0">D10/AVERAGE(C23:D23)</f>
        <v>6.0050863971985266E-2</v>
      </c>
      <c r="U3" s="44">
        <f t="shared" si="0"/>
        <v>7.7420576856414319E-2</v>
      </c>
      <c r="V3" s="44">
        <f t="shared" si="0"/>
        <v>7.9813390415043775E-2</v>
      </c>
      <c r="W3" s="44">
        <f t="shared" si="0"/>
        <v>9.3346718060133713E-2</v>
      </c>
      <c r="X3" s="44">
        <f t="shared" si="0"/>
        <v>0.10476811033915222</v>
      </c>
      <c r="Y3" s="44">
        <f t="shared" si="0"/>
        <v>8.8974704672911381E-2</v>
      </c>
      <c r="Z3" s="18"/>
      <c r="AA3" s="18"/>
      <c r="AB3" s="18"/>
      <c r="AC3" s="18"/>
    </row>
    <row r="4" spans="1:32" x14ac:dyDescent="0.25">
      <c r="A4" s="771"/>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D5">
        <v>15502.06</v>
      </c>
      <c r="E5">
        <v>25047.4</v>
      </c>
      <c r="F5" s="85">
        <v>35195.040000000001</v>
      </c>
      <c r="G5" s="90">
        <v>48216.23</v>
      </c>
      <c r="H5" s="90">
        <v>68774.61</v>
      </c>
      <c r="I5" s="90">
        <v>101464.45</v>
      </c>
      <c r="J5" s="85">
        <v>21847.05</v>
      </c>
      <c r="K5" s="85">
        <v>23343.97</v>
      </c>
      <c r="L5" s="85">
        <v>23944.53</v>
      </c>
      <c r="M5" s="85">
        <v>32328.9</v>
      </c>
      <c r="N5" s="11">
        <v>25706.61</v>
      </c>
      <c r="O5" s="11">
        <v>27734.39</v>
      </c>
      <c r="P5" s="11">
        <v>29021.49</v>
      </c>
      <c r="Q5" s="11"/>
      <c r="R5" s="42" t="s">
        <v>13</v>
      </c>
      <c r="S5" s="46"/>
      <c r="T5" s="47">
        <f t="shared" ref="T5:Y5" si="1">D21/D20</f>
        <v>1.3048438400361182</v>
      </c>
      <c r="U5" s="47">
        <f t="shared" si="1"/>
        <v>1.4565035056495725</v>
      </c>
      <c r="V5" s="47">
        <f t="shared" si="1"/>
        <v>1.5359247301516266</v>
      </c>
      <c r="W5" s="47">
        <f t="shared" si="1"/>
        <v>0.62579032139914936</v>
      </c>
      <c r="X5" s="47">
        <f t="shared" si="1"/>
        <v>1.1548029727654949</v>
      </c>
      <c r="Y5" s="47">
        <f t="shared" si="1"/>
        <v>1.1550595815570657</v>
      </c>
      <c r="Z5" s="47"/>
      <c r="AA5" s="47">
        <f>K21/K20</f>
        <v>1.4013190082136242</v>
      </c>
      <c r="AB5" s="47"/>
      <c r="AC5" s="47">
        <f>M21/M20</f>
        <v>1.1550595815570657</v>
      </c>
      <c r="AD5" s="47">
        <v>1.22</v>
      </c>
      <c r="AE5" s="47">
        <f t="shared" ref="AE5" si="2">O21/O20</f>
        <v>1.2522074338696776</v>
      </c>
    </row>
    <row r="6" spans="1:32" x14ac:dyDescent="0.25">
      <c r="A6" s="6" t="s">
        <v>50</v>
      </c>
      <c r="B6" s="7"/>
      <c r="C6" s="8"/>
      <c r="D6">
        <v>15035.11</v>
      </c>
      <c r="E6">
        <v>22875.4</v>
      </c>
      <c r="F6" s="85">
        <v>28290.66</v>
      </c>
      <c r="G6" s="85">
        <v>35951.360000000001</v>
      </c>
      <c r="H6" s="85">
        <v>52557.21</v>
      </c>
      <c r="I6" s="85">
        <v>78980.14</v>
      </c>
      <c r="J6" s="85">
        <v>18948.400000000001</v>
      </c>
      <c r="K6" s="85">
        <v>20277.47</v>
      </c>
      <c r="L6" s="85">
        <v>21359.02</v>
      </c>
      <c r="M6" s="85">
        <v>23203.82</v>
      </c>
      <c r="N6" s="11">
        <v>23623.89</v>
      </c>
      <c r="O6" s="11">
        <v>25299.9</v>
      </c>
      <c r="P6" s="11">
        <v>26217.759999999998</v>
      </c>
      <c r="Q6" s="11"/>
      <c r="R6" s="42" t="s">
        <v>14</v>
      </c>
      <c r="S6" s="43"/>
      <c r="T6" s="43"/>
      <c r="U6" s="43"/>
      <c r="V6" s="43">
        <v>0.57010000000000005</v>
      </c>
      <c r="W6" s="48">
        <v>0.998</v>
      </c>
      <c r="X6" s="48">
        <v>0.67620000000000002</v>
      </c>
      <c r="Y6" s="48">
        <v>0.63759999999999994</v>
      </c>
      <c r="Z6" s="48">
        <v>0.87739999999999996</v>
      </c>
      <c r="AA6" s="18"/>
      <c r="AB6" s="18"/>
      <c r="AC6" s="18"/>
    </row>
    <row r="7" spans="1:32" x14ac:dyDescent="0.25">
      <c r="A7" s="6" t="s">
        <v>51</v>
      </c>
      <c r="B7" s="7"/>
      <c r="C7" s="8"/>
      <c r="D7" s="87"/>
      <c r="E7" s="85"/>
      <c r="F7" s="85">
        <v>0</v>
      </c>
      <c r="G7" s="85">
        <v>0</v>
      </c>
      <c r="H7" s="85"/>
      <c r="I7" s="85"/>
      <c r="J7" s="85"/>
      <c r="K7" s="85"/>
      <c r="L7" s="85"/>
      <c r="M7" s="85"/>
      <c r="N7" s="11"/>
      <c r="O7" s="11"/>
      <c r="P7" s="11"/>
      <c r="Q7" s="11"/>
      <c r="R7" s="42" t="s">
        <v>15</v>
      </c>
      <c r="S7" s="43"/>
      <c r="T7" s="44">
        <f t="shared" ref="T7:Y7" si="3">D20/D23</f>
        <v>0.5611040240373526</v>
      </c>
      <c r="U7" s="44">
        <f t="shared" si="3"/>
        <v>0.52029084765548805</v>
      </c>
      <c r="V7" s="44">
        <f t="shared" si="3"/>
        <v>0.45695579887042553</v>
      </c>
      <c r="W7" s="44">
        <f t="shared" si="3"/>
        <v>0.74295674397901224</v>
      </c>
      <c r="X7" s="44">
        <f t="shared" si="3"/>
        <v>0.53867505448361319</v>
      </c>
      <c r="Y7" s="44">
        <f t="shared" si="3"/>
        <v>0.54737045014076768</v>
      </c>
      <c r="Z7" s="18"/>
      <c r="AA7" s="18"/>
      <c r="AB7" s="18"/>
      <c r="AC7" s="18"/>
    </row>
    <row r="8" spans="1:32" x14ac:dyDescent="0.25">
      <c r="A8" s="6" t="s">
        <v>52</v>
      </c>
      <c r="B8" s="7"/>
      <c r="C8" s="8"/>
      <c r="D8" s="85">
        <f t="shared" ref="D8:P8" si="4">D5-D6-D7</f>
        <v>466.94999999999891</v>
      </c>
      <c r="E8" s="85">
        <f t="shared" si="4"/>
        <v>2172</v>
      </c>
      <c r="F8" s="85">
        <f t="shared" si="4"/>
        <v>6904.380000000001</v>
      </c>
      <c r="G8" s="85">
        <f t="shared" si="4"/>
        <v>12264.870000000003</v>
      </c>
      <c r="H8" s="85">
        <f t="shared" si="4"/>
        <v>16217.400000000001</v>
      </c>
      <c r="I8" s="85">
        <f t="shared" si="4"/>
        <v>22484.309999999998</v>
      </c>
      <c r="J8" s="85">
        <f t="shared" si="4"/>
        <v>2898.6499999999978</v>
      </c>
      <c r="K8" s="85">
        <f t="shared" si="4"/>
        <v>3066.5</v>
      </c>
      <c r="L8" s="85">
        <f t="shared" si="4"/>
        <v>2585.5099999999984</v>
      </c>
      <c r="M8" s="85">
        <f t="shared" si="4"/>
        <v>9125.0800000000017</v>
      </c>
      <c r="N8" s="85">
        <f t="shared" si="4"/>
        <v>2082.7200000000012</v>
      </c>
      <c r="O8" s="85">
        <f t="shared" si="4"/>
        <v>2434.489999999998</v>
      </c>
      <c r="P8" s="85">
        <f t="shared" si="4"/>
        <v>2803.7300000000032</v>
      </c>
      <c r="Q8" s="11"/>
      <c r="R8" s="40" t="s">
        <v>16</v>
      </c>
      <c r="S8" s="45"/>
      <c r="T8" s="45"/>
      <c r="U8" s="45"/>
      <c r="V8" s="46" t="s">
        <v>5</v>
      </c>
      <c r="W8" s="18"/>
      <c r="X8" s="18"/>
      <c r="Y8" s="18"/>
      <c r="Z8" s="18"/>
      <c r="AA8" s="18"/>
      <c r="AB8" s="18"/>
      <c r="AC8" s="18"/>
    </row>
    <row r="9" spans="1:32" ht="33.75" x14ac:dyDescent="0.25">
      <c r="A9" s="6" t="s">
        <v>24</v>
      </c>
      <c r="B9" s="7"/>
      <c r="C9" s="7"/>
      <c r="D9" s="88">
        <v>6928.05</v>
      </c>
      <c r="E9" s="85">
        <v>11050.55</v>
      </c>
      <c r="F9" s="85">
        <v>12800.13</v>
      </c>
      <c r="G9" s="85">
        <v>12557.83</v>
      </c>
      <c r="H9" s="85">
        <v>14384.18</v>
      </c>
      <c r="I9" s="85">
        <v>31872.31</v>
      </c>
      <c r="J9" s="85">
        <v>7015.24</v>
      </c>
      <c r="K9" s="85">
        <v>7982.29</v>
      </c>
      <c r="L9" s="85">
        <v>8090.21</v>
      </c>
      <c r="M9" s="85">
        <v>8784.57</v>
      </c>
      <c r="N9" s="11">
        <v>8925.1</v>
      </c>
      <c r="O9" s="11">
        <v>9711.57</v>
      </c>
      <c r="P9" s="11">
        <v>9934.9500000000007</v>
      </c>
      <c r="Q9" s="11"/>
      <c r="R9" s="49" t="s">
        <v>93</v>
      </c>
      <c r="S9" s="45"/>
      <c r="T9" s="50">
        <f t="shared" ref="T9:Y9" si="5">D14/(D11-D9)</f>
        <v>0.62857985936568783</v>
      </c>
      <c r="U9" s="50">
        <f t="shared" si="5"/>
        <v>0.41503624029692388</v>
      </c>
      <c r="V9" s="50">
        <f t="shared" si="5"/>
        <v>0.36206084328983679</v>
      </c>
      <c r="W9" s="50">
        <f t="shared" si="5"/>
        <v>0.31733532631862338</v>
      </c>
      <c r="X9" s="50">
        <f t="shared" si="5"/>
        <v>0.33886788539822177</v>
      </c>
      <c r="Y9" s="50">
        <f t="shared" si="5"/>
        <v>0.36850411555098028</v>
      </c>
      <c r="Z9" s="18"/>
      <c r="AA9" s="18"/>
      <c r="AB9" s="18"/>
      <c r="AC9" s="18"/>
    </row>
    <row r="10" spans="1:32" ht="22.5" x14ac:dyDescent="0.25">
      <c r="A10" s="6" t="s">
        <v>53</v>
      </c>
      <c r="B10" s="10">
        <f t="shared" ref="B10:K10" si="6">B6-B9</f>
        <v>0</v>
      </c>
      <c r="C10" s="10">
        <f t="shared" si="6"/>
        <v>0</v>
      </c>
      <c r="D10" s="89">
        <f t="shared" si="6"/>
        <v>8107.06</v>
      </c>
      <c r="E10" s="89">
        <f t="shared" si="6"/>
        <v>11824.850000000002</v>
      </c>
      <c r="F10" s="89">
        <f t="shared" si="6"/>
        <v>15490.53</v>
      </c>
      <c r="G10" s="89">
        <f t="shared" si="6"/>
        <v>23393.53</v>
      </c>
      <c r="H10" s="89">
        <f>H6-H9</f>
        <v>38173.03</v>
      </c>
      <c r="I10" s="89">
        <f>I6-I9</f>
        <v>47107.83</v>
      </c>
      <c r="J10" s="89">
        <f t="shared" si="6"/>
        <v>11933.160000000002</v>
      </c>
      <c r="K10" s="89">
        <f t="shared" si="6"/>
        <v>12295.18</v>
      </c>
      <c r="L10" s="89">
        <f>L6-L9</f>
        <v>13268.810000000001</v>
      </c>
      <c r="M10" s="89">
        <f>M6-M9</f>
        <v>14419.25</v>
      </c>
      <c r="N10" s="89">
        <f>N6-N9</f>
        <v>14698.789999999999</v>
      </c>
      <c r="O10" s="89">
        <f>O6-O9</f>
        <v>15588.330000000002</v>
      </c>
      <c r="P10" s="89">
        <f>P6-P9</f>
        <v>16282.809999999998</v>
      </c>
      <c r="Q10" s="11"/>
      <c r="R10" s="42" t="s">
        <v>92</v>
      </c>
      <c r="S10" s="43"/>
      <c r="T10" s="44">
        <f t="shared" ref="T10:Y10" si="7">D14/D11</f>
        <v>0.34766024644466609</v>
      </c>
      <c r="U10" s="44">
        <f t="shared" si="7"/>
        <v>0.23192826401143429</v>
      </c>
      <c r="V10" s="44">
        <f t="shared" si="7"/>
        <v>0.23038246298342038</v>
      </c>
      <c r="W10" s="44">
        <f t="shared" si="7"/>
        <v>0.23468591385099996</v>
      </c>
      <c r="X10" s="44">
        <f t="shared" si="7"/>
        <v>0.26799381341457262</v>
      </c>
      <c r="Y10" s="44">
        <f t="shared" si="7"/>
        <v>0.25274852423681399</v>
      </c>
      <c r="Z10" s="18"/>
      <c r="AA10" s="18"/>
      <c r="AB10" s="18"/>
      <c r="AC10" s="18"/>
    </row>
    <row r="11" spans="1:32" ht="22.5" x14ac:dyDescent="0.25">
      <c r="A11" s="6" t="s">
        <v>1</v>
      </c>
      <c r="B11" s="10">
        <f>B5-B9</f>
        <v>0</v>
      </c>
      <c r="C11" s="10">
        <f t="shared" ref="C11:K11" si="8">SUM(C6:C8)</f>
        <v>0</v>
      </c>
      <c r="D11" s="89">
        <f t="shared" si="8"/>
        <v>15502.06</v>
      </c>
      <c r="E11" s="89">
        <f t="shared" si="8"/>
        <v>25047.4</v>
      </c>
      <c r="F11" s="89">
        <f>SUM(F6:F8)</f>
        <v>35195.040000000001</v>
      </c>
      <c r="G11" s="89">
        <f>SUM(G6:G8)</f>
        <v>48216.23</v>
      </c>
      <c r="H11" s="89">
        <f>SUM(H6:H8)</f>
        <v>68774.61</v>
      </c>
      <c r="I11" s="89">
        <f>SUM(I6:I8)</f>
        <v>101464.45</v>
      </c>
      <c r="J11" s="89">
        <f t="shared" si="8"/>
        <v>21847.05</v>
      </c>
      <c r="K11" s="89">
        <f t="shared" si="8"/>
        <v>23343.97</v>
      </c>
      <c r="L11" s="89">
        <f>SUM(L6:L8)</f>
        <v>23944.53</v>
      </c>
      <c r="M11" s="89">
        <f>SUM(M6:M8)</f>
        <v>32328.9</v>
      </c>
      <c r="N11" s="89">
        <f>SUM(N6:N8)</f>
        <v>25706.61</v>
      </c>
      <c r="O11" s="89">
        <f>SUM(O6:O8)</f>
        <v>27734.39</v>
      </c>
      <c r="P11" s="89">
        <f>SUM(P6:P8)</f>
        <v>29021.49</v>
      </c>
      <c r="Q11" s="11"/>
      <c r="R11" s="42" t="s">
        <v>17</v>
      </c>
      <c r="S11" s="43"/>
      <c r="T11" s="44">
        <f t="shared" ref="T11:Y11" si="9">D14/AVERAGE(C22:D22)</f>
        <v>2.8924159929037876E-2</v>
      </c>
      <c r="U11" s="44">
        <f t="shared" si="9"/>
        <v>2.812975821854936E-2</v>
      </c>
      <c r="V11" s="44">
        <f t="shared" si="9"/>
        <v>3.2216202715832344E-2</v>
      </c>
      <c r="W11" s="44">
        <f t="shared" si="9"/>
        <v>3.4451231156707181E-2</v>
      </c>
      <c r="X11" s="44">
        <f t="shared" si="9"/>
        <v>3.8656092068729615E-2</v>
      </c>
      <c r="Y11" s="44">
        <f t="shared" si="9"/>
        <v>3.7432385765458723E-2</v>
      </c>
      <c r="Z11" s="18"/>
      <c r="AA11" s="18"/>
      <c r="AB11" s="18"/>
      <c r="AC11" s="18"/>
    </row>
    <row r="12" spans="1:32" x14ac:dyDescent="0.25">
      <c r="A12" s="6" t="s">
        <v>91</v>
      </c>
      <c r="B12" s="10"/>
      <c r="C12" s="10"/>
      <c r="D12" s="89">
        <v>2114.34</v>
      </c>
      <c r="E12" s="89">
        <v>4182.4399999999996</v>
      </c>
      <c r="F12" s="89">
        <v>118.22</v>
      </c>
      <c r="G12" s="89">
        <v>243.29</v>
      </c>
      <c r="H12" s="89">
        <v>442.46</v>
      </c>
      <c r="I12" s="89">
        <v>564.49</v>
      </c>
      <c r="J12" s="89">
        <v>155.41</v>
      </c>
      <c r="K12" s="89">
        <v>115.57</v>
      </c>
      <c r="L12" s="89">
        <v>103.97</v>
      </c>
      <c r="M12" s="89">
        <v>189.54</v>
      </c>
      <c r="N12" s="11">
        <v>139.87</v>
      </c>
      <c r="O12" s="11">
        <v>172.28</v>
      </c>
      <c r="P12" s="11">
        <v>196.55</v>
      </c>
      <c r="Q12" s="11"/>
      <c r="R12" s="40" t="s">
        <v>18</v>
      </c>
      <c r="S12" s="45"/>
      <c r="T12" s="45"/>
      <c r="U12" s="45"/>
      <c r="V12" s="46" t="s">
        <v>5</v>
      </c>
      <c r="W12" s="18"/>
      <c r="X12" s="18"/>
      <c r="Y12" s="18"/>
      <c r="Z12" s="18"/>
      <c r="AA12" s="18"/>
      <c r="AB12" s="53"/>
      <c r="AC12" s="54"/>
    </row>
    <row r="13" spans="1:32" x14ac:dyDescent="0.25">
      <c r="A13" s="6" t="s">
        <v>25</v>
      </c>
      <c r="B13" s="7"/>
      <c r="C13" s="7"/>
      <c r="D13" s="88">
        <f t="shared" ref="D13:P13" si="10">D11+D12</f>
        <v>17616.400000000001</v>
      </c>
      <c r="E13" s="88">
        <f t="shared" si="10"/>
        <v>29229.84</v>
      </c>
      <c r="F13" s="88">
        <f t="shared" si="10"/>
        <v>35313.26</v>
      </c>
      <c r="G13" s="88">
        <f t="shared" si="10"/>
        <v>48459.520000000004</v>
      </c>
      <c r="H13" s="88">
        <f t="shared" si="10"/>
        <v>69217.070000000007</v>
      </c>
      <c r="I13" s="88">
        <f t="shared" si="10"/>
        <v>102028.94</v>
      </c>
      <c r="J13" s="88">
        <f t="shared" si="10"/>
        <v>22002.46</v>
      </c>
      <c r="K13" s="88">
        <f t="shared" si="10"/>
        <v>23459.54</v>
      </c>
      <c r="L13" s="88">
        <f t="shared" si="10"/>
        <v>24048.5</v>
      </c>
      <c r="M13" s="88">
        <f t="shared" si="10"/>
        <v>32518.440000000002</v>
      </c>
      <c r="N13" s="88">
        <f t="shared" si="10"/>
        <v>25846.48</v>
      </c>
      <c r="O13" s="88">
        <f t="shared" si="10"/>
        <v>27906.67</v>
      </c>
      <c r="P13" s="88">
        <f t="shared" si="10"/>
        <v>29218.04</v>
      </c>
      <c r="Q13" s="11"/>
      <c r="R13" s="42" t="s">
        <v>19</v>
      </c>
      <c r="S13" s="43"/>
      <c r="T13" s="44">
        <f t="shared" ref="T13:Y13" si="11">D24/D23</f>
        <v>8.7901607087593917E-4</v>
      </c>
      <c r="U13" s="44">
        <f t="shared" si="11"/>
        <v>3.3695621886315405E-3</v>
      </c>
      <c r="V13" s="44">
        <f t="shared" si="11"/>
        <v>4.8534357488202303E-3</v>
      </c>
      <c r="W13" s="44">
        <f t="shared" si="11"/>
        <v>1.2797839703213146E-2</v>
      </c>
      <c r="X13" s="44">
        <f t="shared" si="11"/>
        <v>8.8148628134245323E-3</v>
      </c>
      <c r="Y13" s="44">
        <f t="shared" si="11"/>
        <v>8.7394481199297765E-3</v>
      </c>
      <c r="Z13" s="48"/>
      <c r="AA13" s="48">
        <v>1.12E-2</v>
      </c>
      <c r="AB13" s="48">
        <v>1.15E-2</v>
      </c>
      <c r="AC13" s="48">
        <v>8.6999999999999994E-3</v>
      </c>
      <c r="AD13" s="80">
        <v>1.2200000000000001E-2</v>
      </c>
      <c r="AE13" s="80">
        <v>1.47E-2</v>
      </c>
      <c r="AF13" s="80">
        <v>1.55E-2</v>
      </c>
    </row>
    <row r="14" spans="1:32" x14ac:dyDescent="0.25">
      <c r="A14" s="6" t="s">
        <v>26</v>
      </c>
      <c r="B14" s="7"/>
      <c r="C14" s="7"/>
      <c r="D14" s="85">
        <f>4476.46+44.07+868.92</f>
        <v>5389.45</v>
      </c>
      <c r="E14" s="85">
        <f>4616.54+132.7+1059.96</f>
        <v>5809.2</v>
      </c>
      <c r="F14" s="85">
        <f>6156.86+336+1615.46</f>
        <v>8108.32</v>
      </c>
      <c r="G14" s="85">
        <f>9128.84+432.55+1754.28</f>
        <v>11315.67</v>
      </c>
      <c r="H14" s="85">
        <f>14343.42+683.35+3404.4</f>
        <v>18431.170000000002</v>
      </c>
      <c r="I14" s="85">
        <f>19835.93+1139.14+4669.92</f>
        <v>25644.989999999998</v>
      </c>
      <c r="J14" s="85">
        <f>4546.37+251.9+1083.57</f>
        <v>5881.8399999999992</v>
      </c>
      <c r="K14" s="85">
        <f>4436.66+287.06+1122.94</f>
        <v>5846.66</v>
      </c>
      <c r="L14" s="85">
        <f>5036.08+292.95+1026.1</f>
        <v>6355.1299999999992</v>
      </c>
      <c r="M14" s="85">
        <f>5726.97+307.23+1527.16</f>
        <v>7561.3600000000006</v>
      </c>
      <c r="N14" s="11">
        <f>5641.32+331.5+1213.47</f>
        <v>7186.29</v>
      </c>
      <c r="O14" s="11">
        <f>6893.79+349.83+1567.66</f>
        <v>8811.2800000000007</v>
      </c>
      <c r="P14" s="11">
        <f>6833.01+376.51+1307.25</f>
        <v>8516.77</v>
      </c>
      <c r="Q14" s="11"/>
      <c r="R14" s="42" t="s">
        <v>20</v>
      </c>
      <c r="S14" s="43"/>
      <c r="T14" s="44">
        <f t="shared" ref="T14:Y14" si="12">D25/D23</f>
        <v>7.3346398700712464E-4</v>
      </c>
      <c r="U14" s="44">
        <f t="shared" si="12"/>
        <v>2.8081640315075181E-3</v>
      </c>
      <c r="V14" s="44">
        <f t="shared" si="12"/>
        <v>3.5187638851280041E-3</v>
      </c>
      <c r="W14" s="44">
        <f t="shared" si="12"/>
        <v>9.3424864716916047E-3</v>
      </c>
      <c r="X14" s="44">
        <f t="shared" si="12"/>
        <v>6.4348435644646087E-3</v>
      </c>
      <c r="Y14" s="44">
        <f t="shared" si="12"/>
        <v>6.3797832772641214E-3</v>
      </c>
      <c r="Z14" s="48"/>
      <c r="AA14" s="48">
        <v>8.0999999999999996E-3</v>
      </c>
      <c r="AB14" s="48">
        <v>8.3999999999999995E-3</v>
      </c>
      <c r="AC14" s="48">
        <v>6.4000000000000003E-3</v>
      </c>
      <c r="AD14" s="80">
        <v>8.8999999999999999E-3</v>
      </c>
      <c r="AE14" s="80">
        <v>1.0699999999999999E-2</v>
      </c>
      <c r="AF14" s="80">
        <v>1.12E-2</v>
      </c>
    </row>
    <row r="15" spans="1:32" x14ac:dyDescent="0.25">
      <c r="A15" s="6" t="s">
        <v>54</v>
      </c>
      <c r="B15" s="10"/>
      <c r="C15" s="10"/>
      <c r="D15" s="89">
        <f t="shared" ref="D15:K15" si="13">D11-D14</f>
        <v>10112.61</v>
      </c>
      <c r="E15" s="89">
        <f t="shared" si="13"/>
        <v>19238.2</v>
      </c>
      <c r="F15" s="89">
        <f t="shared" si="13"/>
        <v>27086.720000000001</v>
      </c>
      <c r="G15" s="89">
        <f t="shared" si="13"/>
        <v>36900.560000000005</v>
      </c>
      <c r="H15" s="89">
        <f>H11-H14</f>
        <v>50343.44</v>
      </c>
      <c r="I15" s="89">
        <f>I11-I14</f>
        <v>75819.459999999992</v>
      </c>
      <c r="J15" s="89">
        <f t="shared" si="13"/>
        <v>15965.21</v>
      </c>
      <c r="K15" s="89">
        <f t="shared" si="13"/>
        <v>17497.310000000001</v>
      </c>
      <c r="L15" s="89">
        <f>L11-L14</f>
        <v>17589.400000000001</v>
      </c>
      <c r="M15" s="89">
        <f>M11-M14</f>
        <v>24767.54</v>
      </c>
      <c r="N15" s="89">
        <f>N11-N14</f>
        <v>18520.32</v>
      </c>
      <c r="O15" s="89">
        <f>O11-O14</f>
        <v>18923.11</v>
      </c>
      <c r="P15" s="89">
        <f>P11-P14</f>
        <v>20504.72</v>
      </c>
      <c r="Q15" s="11"/>
      <c r="R15" s="42" t="s">
        <v>21</v>
      </c>
      <c r="S15" s="43"/>
      <c r="T15" s="44">
        <f t="shared" ref="T15:Z15" si="14">(T13-T14)/T13</f>
        <v>0.16558523636976505</v>
      </c>
      <c r="U15" s="44">
        <f t="shared" si="14"/>
        <v>0.16660863509749305</v>
      </c>
      <c r="V15" s="44">
        <f t="shared" si="14"/>
        <v>0.27499526784024231</v>
      </c>
      <c r="W15" s="44">
        <f t="shared" si="14"/>
        <v>0.26999503913570722</v>
      </c>
      <c r="X15" s="44">
        <f t="shared" si="14"/>
        <v>0.27000071349213628</v>
      </c>
      <c r="Y15" s="44">
        <f t="shared" ref="Y15" si="15">(Y13-Y14)/Y13</f>
        <v>0.27000158480082787</v>
      </c>
      <c r="Z15" s="44" t="e">
        <f t="shared" si="14"/>
        <v>#DIV/0!</v>
      </c>
      <c r="AA15" s="18"/>
      <c r="AB15" s="18"/>
      <c r="AC15" s="18"/>
    </row>
    <row r="16" spans="1:32" x14ac:dyDescent="0.25">
      <c r="A16" s="6" t="s">
        <v>94</v>
      </c>
      <c r="B16" s="10"/>
      <c r="C16" s="10"/>
      <c r="D16" s="89">
        <f t="shared" ref="D16:K16" si="16">D13-D14-D9</f>
        <v>5298.9000000000005</v>
      </c>
      <c r="E16" s="89">
        <f t="shared" si="16"/>
        <v>12370.09</v>
      </c>
      <c r="F16" s="89">
        <f t="shared" si="16"/>
        <v>14404.810000000003</v>
      </c>
      <c r="G16" s="89">
        <f t="shared" si="16"/>
        <v>24586.020000000004</v>
      </c>
      <c r="H16" s="89">
        <f>H13-H14-H9</f>
        <v>36401.720000000008</v>
      </c>
      <c r="I16" s="89">
        <f>I13-I14-I9</f>
        <v>44511.640000000014</v>
      </c>
      <c r="J16" s="89">
        <f t="shared" si="16"/>
        <v>9105.3799999999992</v>
      </c>
      <c r="K16" s="89">
        <f t="shared" si="16"/>
        <v>9630.59</v>
      </c>
      <c r="L16" s="89">
        <f>L13-L14-L9</f>
        <v>9603.1600000000035</v>
      </c>
      <c r="M16" s="89">
        <f>M13-M14-M9</f>
        <v>16172.510000000002</v>
      </c>
      <c r="N16" s="89">
        <f>N13-N14-N9</f>
        <v>9735.0899999999983</v>
      </c>
      <c r="O16" s="89">
        <f>O13-O14-O9</f>
        <v>9383.82</v>
      </c>
      <c r="P16" s="89">
        <f>P13-P14-P9</f>
        <v>10766.32</v>
      </c>
      <c r="Q16" s="11"/>
      <c r="R16" s="42" t="s">
        <v>22</v>
      </c>
      <c r="S16" s="43"/>
      <c r="T16" s="44">
        <f t="shared" ref="T16:Y16" si="17">D17/AVERAGE(C23:D23)</f>
        <v>2.6426036356762455E-3</v>
      </c>
      <c r="U16" s="44">
        <f t="shared" si="17"/>
        <v>2.8181447457097902E-3</v>
      </c>
      <c r="V16" s="44">
        <f t="shared" si="17"/>
        <v>5.5741743216287136E-3</v>
      </c>
      <c r="W16" s="44">
        <f t="shared" si="17"/>
        <v>7.4827712210284525E-3</v>
      </c>
      <c r="X16" s="44">
        <f t="shared" si="17"/>
        <v>3.4440365603722982E-3</v>
      </c>
      <c r="Y16" s="44">
        <f t="shared" si="17"/>
        <v>3.7288181435315921E-3</v>
      </c>
      <c r="Z16" s="18"/>
      <c r="AA16" s="18"/>
      <c r="AB16" s="18"/>
      <c r="AC16" s="18"/>
    </row>
    <row r="17" spans="1:29" x14ac:dyDescent="0.25">
      <c r="A17" s="6" t="s">
        <v>27</v>
      </c>
      <c r="B17" s="7"/>
      <c r="C17" s="7"/>
      <c r="D17" s="88">
        <v>356.76</v>
      </c>
      <c r="E17" s="85">
        <v>430.43</v>
      </c>
      <c r="F17" s="85">
        <v>1081.8599999999999</v>
      </c>
      <c r="G17" s="85">
        <v>1875.25</v>
      </c>
      <c r="H17" s="85">
        <v>1254.8599999999999</v>
      </c>
      <c r="I17" s="85">
        <v>1974.23</v>
      </c>
      <c r="J17" s="85">
        <v>528.76</v>
      </c>
      <c r="K17" s="85">
        <v>417.02</v>
      </c>
      <c r="L17" s="85">
        <v>687.81</v>
      </c>
      <c r="M17" s="85">
        <v>340.64</v>
      </c>
      <c r="N17" s="11">
        <v>990.2</v>
      </c>
      <c r="O17" s="11">
        <v>747.65</v>
      </c>
      <c r="P17" s="11">
        <v>671.53</v>
      </c>
      <c r="Q17" s="11"/>
      <c r="R17" s="18"/>
      <c r="S17" s="18"/>
      <c r="T17" s="18"/>
      <c r="U17" s="18"/>
      <c r="V17" s="18"/>
      <c r="W17" s="18"/>
      <c r="X17" s="18"/>
      <c r="Y17" s="18"/>
      <c r="Z17" s="18"/>
      <c r="AA17" s="18"/>
      <c r="AB17" s="18"/>
      <c r="AC17" s="18"/>
    </row>
    <row r="18" spans="1:29" x14ac:dyDescent="0.25">
      <c r="A18" s="6" t="s">
        <v>55</v>
      </c>
      <c r="B18" s="7"/>
      <c r="C18" s="7"/>
      <c r="D18" s="88">
        <v>3609.34</v>
      </c>
      <c r="E18" s="85">
        <v>9224.81</v>
      </c>
      <c r="F18" s="89">
        <v>10026.530000000001</v>
      </c>
      <c r="G18" s="89">
        <v>17628.16</v>
      </c>
      <c r="H18" s="89">
        <v>27404.11</v>
      </c>
      <c r="I18" s="89">
        <v>33212.160000000003</v>
      </c>
      <c r="J18" s="89">
        <v>6621.7</v>
      </c>
      <c r="K18" s="89">
        <v>7346.82</v>
      </c>
      <c r="L18" s="89">
        <v>7029.89</v>
      </c>
      <c r="M18" s="89">
        <v>12213.75</v>
      </c>
      <c r="N18" s="11">
        <v>6757.32</v>
      </c>
      <c r="O18" s="11">
        <v>6870.26</v>
      </c>
      <c r="P18" s="11">
        <v>7566.76</v>
      </c>
      <c r="Q18" s="11"/>
      <c r="R18" s="40" t="s">
        <v>30</v>
      </c>
      <c r="S18" s="45"/>
      <c r="T18" s="45"/>
      <c r="U18" s="45"/>
      <c r="V18" s="46" t="s">
        <v>5</v>
      </c>
      <c r="W18" s="18"/>
      <c r="X18" s="18"/>
      <c r="Y18" s="18"/>
      <c r="Z18" s="18"/>
      <c r="AA18" s="18"/>
      <c r="AB18" s="18"/>
      <c r="AC18" s="18"/>
    </row>
    <row r="19" spans="1:29" ht="22.5" x14ac:dyDescent="0.25">
      <c r="A19" s="6" t="s">
        <v>28</v>
      </c>
      <c r="B19" s="7"/>
      <c r="C19" s="7"/>
      <c r="D19" s="88">
        <v>75750.850000000006</v>
      </c>
      <c r="E19" s="85">
        <v>88692.55</v>
      </c>
      <c r="F19" s="85">
        <v>99479.94</v>
      </c>
      <c r="G19" s="85">
        <v>210640.57</v>
      </c>
      <c r="H19" s="85">
        <v>239817.1</v>
      </c>
      <c r="I19" s="85">
        <f>335924.42</f>
        <v>335924.42</v>
      </c>
      <c r="J19" s="85"/>
      <c r="K19" s="85">
        <v>254247.09</v>
      </c>
      <c r="L19" s="85"/>
      <c r="M19" s="85">
        <f>335924.42</f>
        <v>335924.42</v>
      </c>
      <c r="N19" s="11"/>
      <c r="O19" s="11">
        <f>351727.03-31.33</f>
        <v>351695.7</v>
      </c>
      <c r="P19" s="11"/>
      <c r="Q19" s="11"/>
      <c r="R19" s="46" t="s">
        <v>95</v>
      </c>
      <c r="S19" s="51"/>
      <c r="T19" s="51"/>
      <c r="U19" s="52">
        <f>E16/AVERAGE(D22:E22)</f>
        <v>5.9899407980736639E-2</v>
      </c>
      <c r="V19" s="52">
        <f>F16/AVERAGE(E22:F22)</f>
        <v>5.7233592044103956E-2</v>
      </c>
      <c r="W19" s="52">
        <f>G16/AVERAGE(F22:G22)</f>
        <v>7.4853601973495693E-2</v>
      </c>
      <c r="X19" s="52">
        <f>H16/AVERAGE(G22:H22)</f>
        <v>7.6346115834215425E-2</v>
      </c>
      <c r="Y19" s="52">
        <f>I16/AVERAGE(H22:I22)</f>
        <v>6.4970853158188943E-2</v>
      </c>
      <c r="Z19" s="18"/>
      <c r="AA19" s="18"/>
      <c r="AB19" s="18"/>
      <c r="AC19" s="18"/>
    </row>
    <row r="20" spans="1:29" x14ac:dyDescent="0.25">
      <c r="A20" s="6" t="s">
        <v>56</v>
      </c>
      <c r="B20" s="7"/>
      <c r="C20" s="7"/>
      <c r="D20" s="88">
        <f t="shared" ref="D20:O20" si="18">D19-D71</f>
        <v>75750.850000000006</v>
      </c>
      <c r="E20" s="89">
        <f t="shared" si="18"/>
        <v>88692.55</v>
      </c>
      <c r="F20" s="89">
        <f t="shared" si="18"/>
        <v>99479.94</v>
      </c>
      <c r="G20" s="89">
        <f t="shared" si="18"/>
        <v>210640.57</v>
      </c>
      <c r="H20" s="89">
        <f t="shared" si="18"/>
        <v>239817.1</v>
      </c>
      <c r="I20" s="89">
        <f t="shared" si="18"/>
        <v>335924.42</v>
      </c>
      <c r="J20" s="89">
        <f t="shared" si="18"/>
        <v>0</v>
      </c>
      <c r="K20" s="89">
        <f t="shared" si="18"/>
        <v>254247.09</v>
      </c>
      <c r="L20" s="89">
        <f t="shared" si="18"/>
        <v>0</v>
      </c>
      <c r="M20" s="89">
        <f t="shared" si="18"/>
        <v>335924.42</v>
      </c>
      <c r="N20" s="89">
        <f t="shared" si="18"/>
        <v>0</v>
      </c>
      <c r="O20" s="89">
        <f t="shared" si="18"/>
        <v>351695.7</v>
      </c>
      <c r="P20" s="440"/>
      <c r="Q20" s="11"/>
      <c r="R20" s="42" t="s">
        <v>31</v>
      </c>
      <c r="S20" s="43"/>
      <c r="T20" s="43">
        <v>4.4699999999999997E-2</v>
      </c>
      <c r="U20" s="44">
        <f>E18/AVERAGE(D22:E22)</f>
        <v>4.4669089532475441E-2</v>
      </c>
      <c r="V20" s="44">
        <f>F18/AVERAGE(E22:F22)</f>
        <v>3.9837688080437687E-2</v>
      </c>
      <c r="W20" s="44">
        <f>G18/AVERAGE(F22:G22)</f>
        <v>5.3669982866893368E-2</v>
      </c>
      <c r="X20" s="44">
        <f>H18/AVERAGE(G22:H22)</f>
        <v>5.7475233488790668E-2</v>
      </c>
      <c r="Y20" s="44">
        <f>I18/AVERAGE(H22:I22)</f>
        <v>4.8477709885016054E-2</v>
      </c>
      <c r="Z20" s="48"/>
      <c r="AA20" s="18"/>
      <c r="AB20" s="18"/>
      <c r="AC20" s="18"/>
    </row>
    <row r="21" spans="1:29" x14ac:dyDescent="0.25">
      <c r="A21" s="6" t="s">
        <v>57</v>
      </c>
      <c r="B21" s="9"/>
      <c r="C21" s="9"/>
      <c r="D21" s="85">
        <f>41891.3+56951.73</f>
        <v>98843.03</v>
      </c>
      <c r="E21" s="85">
        <f>36129+93052.01</f>
        <v>129181.01</v>
      </c>
      <c r="F21" s="85">
        <f>33277.38+119516.32</f>
        <v>152793.70000000001</v>
      </c>
      <c r="G21" s="85">
        <f>17970.83+113846</f>
        <v>131816.83000000002</v>
      </c>
      <c r="H21" s="85">
        <f>22166.08+254775.42</f>
        <v>276941.5</v>
      </c>
      <c r="I21" s="85">
        <f>6242.74+381769.98</f>
        <v>388012.72</v>
      </c>
      <c r="J21" s="85"/>
      <c r="K21" s="85">
        <f>7492.89+348788.39</f>
        <v>356281.28</v>
      </c>
      <c r="L21" s="85"/>
      <c r="M21" s="85">
        <f>6242.74+381769.98</f>
        <v>388012.72</v>
      </c>
      <c r="N21" s="11"/>
      <c r="O21" s="11">
        <f>5000.22+435395.75</f>
        <v>440395.97</v>
      </c>
      <c r="P21" s="11"/>
      <c r="Q21" s="11"/>
      <c r="R21" s="42" t="s">
        <v>32</v>
      </c>
      <c r="S21" s="43"/>
      <c r="T21" s="44">
        <f t="shared" ref="T21:Y21" si="19">D18/AVERAGE(C19:D19)</f>
        <v>4.7647518146661058E-2</v>
      </c>
      <c r="U21" s="44">
        <f t="shared" si="19"/>
        <v>0.11219434772085712</v>
      </c>
      <c r="V21" s="44">
        <f t="shared" si="19"/>
        <v>0.10656743714237933</v>
      </c>
      <c r="W21" s="44">
        <f t="shared" si="19"/>
        <v>0.11368587005096825</v>
      </c>
      <c r="X21" s="44">
        <f t="shared" si="19"/>
        <v>0.12167229830940607</v>
      </c>
      <c r="Y21" s="44">
        <f t="shared" si="19"/>
        <v>0.11537177308317108</v>
      </c>
      <c r="Z21" s="18"/>
      <c r="AA21" s="18"/>
      <c r="AB21" s="18"/>
      <c r="AC21" s="18"/>
    </row>
    <row r="22" spans="1:29" x14ac:dyDescent="0.25">
      <c r="A22" s="6" t="s">
        <v>29</v>
      </c>
      <c r="B22" s="7"/>
      <c r="C22" s="7"/>
      <c r="D22" s="88">
        <v>186330.39</v>
      </c>
      <c r="E22" s="85">
        <v>226698.4</v>
      </c>
      <c r="F22" s="85">
        <v>276670.67</v>
      </c>
      <c r="G22" s="85">
        <v>380238.8</v>
      </c>
      <c r="H22" s="85">
        <v>573358.37</v>
      </c>
      <c r="I22" s="85">
        <v>796844.97</v>
      </c>
      <c r="J22" s="85"/>
      <c r="K22" s="85">
        <v>656539.13</v>
      </c>
      <c r="L22" s="85"/>
      <c r="M22" s="85">
        <v>796844.97</v>
      </c>
      <c r="N22" s="11"/>
      <c r="O22" s="11">
        <v>809960.07</v>
      </c>
      <c r="P22" s="11"/>
      <c r="Q22" s="11"/>
      <c r="R22" s="40" t="s">
        <v>33</v>
      </c>
      <c r="S22" s="45"/>
      <c r="T22" s="45"/>
      <c r="U22" s="45"/>
      <c r="V22" s="46" t="s">
        <v>5</v>
      </c>
      <c r="W22" s="18"/>
      <c r="X22" s="18"/>
      <c r="Y22" s="18"/>
      <c r="Z22" s="18"/>
      <c r="AA22" s="18"/>
      <c r="AB22" s="18"/>
      <c r="AC22" s="18"/>
    </row>
    <row r="23" spans="1:29" x14ac:dyDescent="0.25">
      <c r="A23" s="6" t="s">
        <v>58</v>
      </c>
      <c r="B23" s="7"/>
      <c r="C23" s="7"/>
      <c r="D23" s="88">
        <v>135003.22</v>
      </c>
      <c r="E23" s="85">
        <v>170467.25</v>
      </c>
      <c r="F23" s="85">
        <v>217701.45</v>
      </c>
      <c r="G23" s="85">
        <v>283516.59999999998</v>
      </c>
      <c r="H23" s="85">
        <v>445198.08000000002</v>
      </c>
      <c r="I23" s="85">
        <v>613705.80000000005</v>
      </c>
      <c r="J23" s="85"/>
      <c r="K23" s="85">
        <v>509388.58</v>
      </c>
      <c r="L23" s="85"/>
      <c r="M23" s="85">
        <v>608409.27</v>
      </c>
      <c r="N23" s="11"/>
      <c r="O23" s="11">
        <v>659725.84</v>
      </c>
      <c r="P23" s="11"/>
      <c r="Q23" s="11"/>
      <c r="R23" s="42" t="s">
        <v>34</v>
      </c>
      <c r="S23" s="43"/>
      <c r="T23" s="44">
        <f t="shared" ref="T23:Y23" si="20">D6/AVERAGE(C23:D23)</f>
        <v>0.11136852883953435</v>
      </c>
      <c r="U23" s="44">
        <f t="shared" si="20"/>
        <v>0.14977159658018666</v>
      </c>
      <c r="V23" s="44">
        <f t="shared" si="20"/>
        <v>0.14576476671096872</v>
      </c>
      <c r="W23" s="44">
        <f t="shared" si="20"/>
        <v>0.14345596691898865</v>
      </c>
      <c r="X23" s="44">
        <f t="shared" si="20"/>
        <v>0.14424633246032592</v>
      </c>
      <c r="Y23" s="44">
        <f t="shared" si="20"/>
        <v>0.14917338861767129</v>
      </c>
      <c r="Z23" s="18"/>
      <c r="AA23" s="18"/>
      <c r="AB23" s="18"/>
      <c r="AC23" s="18"/>
    </row>
    <row r="24" spans="1:29" x14ac:dyDescent="0.25">
      <c r="A24" s="6" t="s">
        <v>59</v>
      </c>
      <c r="B24" s="10"/>
      <c r="C24" s="10"/>
      <c r="D24" s="89">
        <v>118.67</v>
      </c>
      <c r="E24" s="89">
        <v>574.4</v>
      </c>
      <c r="F24" s="89">
        <v>1056.5999999999999</v>
      </c>
      <c r="G24" s="89">
        <v>3628.4</v>
      </c>
      <c r="H24" s="89">
        <v>3924.36</v>
      </c>
      <c r="I24" s="89">
        <v>5363.45</v>
      </c>
      <c r="J24" s="89"/>
      <c r="K24" s="89"/>
      <c r="L24" s="89"/>
      <c r="M24" s="89"/>
      <c r="N24" s="11"/>
      <c r="O24" s="11"/>
      <c r="P24" s="11"/>
      <c r="Q24" s="11"/>
      <c r="R24" s="42" t="s">
        <v>35</v>
      </c>
      <c r="S24" s="43"/>
      <c r="T24" s="44">
        <f t="shared" ref="T24:Y24" si="21">D9/AVERAGE(C21:D21)</f>
        <v>7.0091436897472686E-2</v>
      </c>
      <c r="U24" s="44">
        <f t="shared" si="21"/>
        <v>9.6924429546989876E-2</v>
      </c>
      <c r="V24" s="44">
        <f t="shared" si="21"/>
        <v>9.0789205883038224E-2</v>
      </c>
      <c r="W24" s="44">
        <f t="shared" si="21"/>
        <v>8.824571599652338E-2</v>
      </c>
      <c r="X24" s="44">
        <f t="shared" si="21"/>
        <v>7.0379874582617061E-2</v>
      </c>
      <c r="Y24" s="44">
        <f t="shared" si="21"/>
        <v>9.5863170851070031E-2</v>
      </c>
      <c r="Z24" s="18"/>
      <c r="AA24" s="18"/>
      <c r="AB24" s="18"/>
      <c r="AC24" s="18"/>
    </row>
    <row r="25" spans="1:29" x14ac:dyDescent="0.25">
      <c r="A25" s="6" t="s">
        <v>60</v>
      </c>
      <c r="B25" s="10"/>
      <c r="C25" s="10"/>
      <c r="D25" s="89">
        <v>99.02</v>
      </c>
      <c r="E25" s="89">
        <v>478.7</v>
      </c>
      <c r="F25" s="89">
        <v>766.04</v>
      </c>
      <c r="G25" s="89">
        <v>2648.75</v>
      </c>
      <c r="H25" s="89">
        <v>2864.78</v>
      </c>
      <c r="I25" s="89">
        <v>3915.31</v>
      </c>
      <c r="J25" s="89"/>
      <c r="K25" s="89"/>
      <c r="L25" s="89"/>
      <c r="M25" s="89"/>
      <c r="N25" s="11"/>
      <c r="O25" s="11"/>
      <c r="P25" s="11"/>
      <c r="Q25" s="11"/>
      <c r="R25" s="42" t="s">
        <v>36</v>
      </c>
      <c r="S25" s="43"/>
      <c r="T25" s="48">
        <f t="shared" ref="T25:Y25" si="22">T23-T24</f>
        <v>4.1277091942061667E-2</v>
      </c>
      <c r="U25" s="48">
        <f t="shared" si="22"/>
        <v>5.2847167033196779E-2</v>
      </c>
      <c r="V25" s="48">
        <f t="shared" si="22"/>
        <v>5.4975560827930495E-2</v>
      </c>
      <c r="W25" s="48">
        <f t="shared" si="22"/>
        <v>5.5210250922465273E-2</v>
      </c>
      <c r="X25" s="48">
        <f t="shared" si="22"/>
        <v>7.386645787770886E-2</v>
      </c>
      <c r="Y25" s="48">
        <f t="shared" si="22"/>
        <v>5.3310217766601262E-2</v>
      </c>
      <c r="Z25" s="18"/>
      <c r="AA25" s="18"/>
      <c r="AB25" s="18"/>
      <c r="AC25" s="18"/>
    </row>
    <row r="27" spans="1:29" x14ac:dyDescent="0.25">
      <c r="A27" s="732" t="s">
        <v>245</v>
      </c>
      <c r="B27" s="732"/>
      <c r="C27" s="732"/>
      <c r="D27" s="732"/>
      <c r="E27" s="732"/>
      <c r="F27" s="732"/>
      <c r="G27" s="732"/>
      <c r="H27" s="732"/>
      <c r="I27" s="732"/>
      <c r="J27" s="732"/>
      <c r="K27" s="732"/>
    </row>
    <row r="28" spans="1:29" x14ac:dyDescent="0.25">
      <c r="A28" s="732"/>
      <c r="B28" s="732"/>
      <c r="C28" s="732"/>
      <c r="D28" s="732"/>
      <c r="E28" s="732"/>
      <c r="F28" s="732"/>
      <c r="G28" s="732"/>
      <c r="H28" s="732"/>
      <c r="I28" s="732"/>
      <c r="J28" s="732"/>
      <c r="K28" s="732"/>
    </row>
    <row r="29" spans="1:29" x14ac:dyDescent="0.25">
      <c r="A29" s="732"/>
      <c r="B29" s="732"/>
      <c r="C29" s="732"/>
      <c r="D29" s="732"/>
      <c r="E29" s="732"/>
      <c r="F29" s="732"/>
      <c r="G29" s="732"/>
      <c r="H29" s="732"/>
      <c r="I29" s="732"/>
      <c r="J29" s="732"/>
      <c r="K29" s="732"/>
    </row>
    <row r="30" spans="1:29" ht="15" customHeight="1" x14ac:dyDescent="0.25">
      <c r="A30" s="733" t="s">
        <v>285</v>
      </c>
      <c r="B30" s="733"/>
      <c r="C30" s="733"/>
      <c r="D30" s="733"/>
      <c r="E30" s="733"/>
      <c r="F30" s="733"/>
      <c r="G30" s="733"/>
      <c r="H30" s="733"/>
      <c r="I30" s="733"/>
      <c r="J30" s="733"/>
      <c r="K30" s="733"/>
      <c r="L30" s="733"/>
      <c r="M30" s="733"/>
      <c r="N30" s="733"/>
      <c r="O30" s="733"/>
      <c r="P30" s="733"/>
      <c r="Q30" s="733"/>
      <c r="R30" s="733"/>
    </row>
    <row r="31" spans="1:29" x14ac:dyDescent="0.25">
      <c r="A31" s="733"/>
      <c r="B31" s="733"/>
      <c r="C31" s="733"/>
      <c r="D31" s="733"/>
      <c r="E31" s="733"/>
      <c r="F31" s="733"/>
      <c r="G31" s="733"/>
      <c r="H31" s="733"/>
      <c r="I31" s="733"/>
      <c r="J31" s="733"/>
      <c r="K31" s="733"/>
      <c r="L31" s="733"/>
      <c r="M31" s="733"/>
      <c r="N31" s="733"/>
      <c r="O31" s="733"/>
      <c r="P31" s="733"/>
      <c r="Q31" s="733"/>
      <c r="R31" s="733"/>
    </row>
    <row r="32" spans="1:29" x14ac:dyDescent="0.25">
      <c r="A32" s="733"/>
      <c r="B32" s="733"/>
      <c r="C32" s="733"/>
      <c r="D32" s="733"/>
      <c r="E32" s="733"/>
      <c r="F32" s="733"/>
      <c r="G32" s="733"/>
      <c r="H32" s="733"/>
      <c r="I32" s="733"/>
      <c r="J32" s="733"/>
      <c r="K32" s="733"/>
      <c r="L32" s="733"/>
      <c r="M32" s="733"/>
      <c r="N32" s="733"/>
      <c r="O32" s="733"/>
      <c r="P32" s="733"/>
      <c r="Q32" s="733"/>
      <c r="R32" s="733"/>
    </row>
    <row r="33" spans="1:18" x14ac:dyDescent="0.25">
      <c r="A33" s="733"/>
      <c r="B33" s="733"/>
      <c r="C33" s="733"/>
      <c r="D33" s="733"/>
      <c r="E33" s="733"/>
      <c r="F33" s="733"/>
      <c r="G33" s="733"/>
      <c r="H33" s="733"/>
      <c r="I33" s="733"/>
      <c r="J33" s="733"/>
      <c r="K33" s="733"/>
      <c r="L33" s="733"/>
      <c r="M33" s="733"/>
      <c r="N33" s="733"/>
      <c r="O33" s="733"/>
      <c r="P33" s="733"/>
      <c r="Q33" s="733"/>
      <c r="R33" s="733"/>
    </row>
    <row r="34" spans="1:18" x14ac:dyDescent="0.25">
      <c r="A34" s="733"/>
      <c r="B34" s="733"/>
      <c r="C34" s="733"/>
      <c r="D34" s="733"/>
      <c r="E34" s="733"/>
      <c r="F34" s="733"/>
      <c r="G34" s="733"/>
      <c r="H34" s="733"/>
      <c r="I34" s="733"/>
      <c r="J34" s="733"/>
      <c r="K34" s="733"/>
      <c r="L34" s="733"/>
      <c r="M34" s="733"/>
      <c r="N34" s="733"/>
      <c r="O34" s="733"/>
      <c r="P34" s="733"/>
      <c r="Q34" s="733"/>
      <c r="R34" s="733"/>
    </row>
    <row r="35" spans="1:18" x14ac:dyDescent="0.25">
      <c r="A35" s="733"/>
      <c r="B35" s="733"/>
      <c r="C35" s="733"/>
      <c r="D35" s="733"/>
      <c r="E35" s="733"/>
      <c r="F35" s="733"/>
      <c r="G35" s="733"/>
      <c r="H35" s="733"/>
      <c r="I35" s="733"/>
      <c r="J35" s="733"/>
      <c r="K35" s="733"/>
      <c r="L35" s="733"/>
      <c r="M35" s="733"/>
      <c r="N35" s="733"/>
      <c r="O35" s="733"/>
      <c r="P35" s="733"/>
      <c r="Q35" s="733"/>
      <c r="R35" s="733"/>
    </row>
    <row r="36" spans="1:18" x14ac:dyDescent="0.25">
      <c r="A36" s="733"/>
      <c r="B36" s="733"/>
      <c r="C36" s="733"/>
      <c r="D36" s="733"/>
      <c r="E36" s="733"/>
      <c r="F36" s="733"/>
      <c r="G36" s="733"/>
      <c r="H36" s="733"/>
      <c r="I36" s="733"/>
      <c r="J36" s="733"/>
      <c r="K36" s="733"/>
      <c r="L36" s="733"/>
      <c r="M36" s="733"/>
      <c r="N36" s="733"/>
      <c r="O36" s="733"/>
      <c r="P36" s="733"/>
      <c r="Q36" s="733"/>
      <c r="R36" s="733"/>
    </row>
    <row r="37" spans="1:18" x14ac:dyDescent="0.25">
      <c r="A37" s="733"/>
      <c r="B37" s="733"/>
      <c r="C37" s="733"/>
      <c r="D37" s="733"/>
      <c r="E37" s="733"/>
      <c r="F37" s="733"/>
      <c r="G37" s="733"/>
      <c r="H37" s="733"/>
      <c r="I37" s="733"/>
      <c r="J37" s="733"/>
      <c r="K37" s="733"/>
      <c r="L37" s="733"/>
      <c r="M37" s="733"/>
      <c r="N37" s="733"/>
      <c r="O37" s="733"/>
      <c r="P37" s="733"/>
      <c r="Q37" s="733"/>
      <c r="R37" s="733"/>
    </row>
    <row r="38" spans="1:18" x14ac:dyDescent="0.25">
      <c r="A38" s="733"/>
      <c r="B38" s="733"/>
      <c r="C38" s="733"/>
      <c r="D38" s="733"/>
      <c r="E38" s="733"/>
      <c r="F38" s="733"/>
      <c r="G38" s="733"/>
      <c r="H38" s="733"/>
      <c r="I38" s="733"/>
      <c r="J38" s="733"/>
      <c r="K38" s="733"/>
      <c r="L38" s="733"/>
      <c r="M38" s="733"/>
      <c r="N38" s="733"/>
      <c r="O38" s="733"/>
      <c r="P38" s="733"/>
      <c r="Q38" s="733"/>
      <c r="R38" s="733"/>
    </row>
    <row r="39" spans="1:18" x14ac:dyDescent="0.25">
      <c r="A39" s="733"/>
      <c r="B39" s="733"/>
      <c r="C39" s="733"/>
      <c r="D39" s="733"/>
      <c r="E39" s="733"/>
      <c r="F39" s="733"/>
      <c r="G39" s="733"/>
      <c r="H39" s="733"/>
      <c r="I39" s="733"/>
      <c r="J39" s="733"/>
      <c r="K39" s="733"/>
      <c r="L39" s="733"/>
      <c r="M39" s="733"/>
      <c r="N39" s="733"/>
      <c r="O39" s="733"/>
      <c r="P39" s="733"/>
      <c r="Q39" s="733"/>
      <c r="R39" s="733"/>
    </row>
    <row r="40" spans="1:18" x14ac:dyDescent="0.25">
      <c r="A40" s="733"/>
      <c r="B40" s="733"/>
      <c r="C40" s="733"/>
      <c r="D40" s="733"/>
      <c r="E40" s="733"/>
      <c r="F40" s="733"/>
      <c r="G40" s="733"/>
      <c r="H40" s="733"/>
      <c r="I40" s="733"/>
      <c r="J40" s="733"/>
      <c r="K40" s="733"/>
      <c r="L40" s="733"/>
      <c r="M40" s="733"/>
      <c r="N40" s="733"/>
      <c r="O40" s="733"/>
      <c r="P40" s="733"/>
      <c r="Q40" s="733"/>
      <c r="R40" s="733"/>
    </row>
    <row r="41" spans="1:18" x14ac:dyDescent="0.25">
      <c r="A41" s="733"/>
      <c r="B41" s="733"/>
      <c r="C41" s="733"/>
      <c r="D41" s="733"/>
      <c r="E41" s="733"/>
      <c r="F41" s="733"/>
      <c r="G41" s="733"/>
      <c r="H41" s="733"/>
      <c r="I41" s="733"/>
      <c r="J41" s="733"/>
      <c r="K41" s="733"/>
      <c r="L41" s="733"/>
      <c r="M41" s="733"/>
      <c r="N41" s="733"/>
      <c r="O41" s="733"/>
      <c r="P41" s="733"/>
      <c r="Q41" s="733"/>
      <c r="R41" s="733"/>
    </row>
    <row r="42" spans="1:18" x14ac:dyDescent="0.25">
      <c r="A42" s="733"/>
      <c r="B42" s="733"/>
      <c r="C42" s="733"/>
      <c r="D42" s="733"/>
      <c r="E42" s="733"/>
      <c r="F42" s="733"/>
      <c r="G42" s="733"/>
      <c r="H42" s="733"/>
      <c r="I42" s="733"/>
      <c r="J42" s="733"/>
      <c r="K42" s="733"/>
      <c r="L42" s="733"/>
      <c r="M42" s="733"/>
      <c r="N42" s="733"/>
      <c r="O42" s="733"/>
      <c r="P42" s="733"/>
      <c r="Q42" s="733"/>
      <c r="R42" s="733"/>
    </row>
    <row r="43" spans="1:18" x14ac:dyDescent="0.25">
      <c r="A43" s="733"/>
      <c r="B43" s="733"/>
      <c r="C43" s="733"/>
      <c r="D43" s="733"/>
      <c r="E43" s="733"/>
      <c r="F43" s="733"/>
      <c r="G43" s="733"/>
      <c r="H43" s="733"/>
      <c r="I43" s="733"/>
      <c r="J43" s="733"/>
      <c r="K43" s="733"/>
      <c r="L43" s="733"/>
      <c r="M43" s="733"/>
      <c r="N43" s="733"/>
      <c r="O43" s="733"/>
      <c r="P43" s="733"/>
      <c r="Q43" s="733"/>
      <c r="R43" s="733"/>
    </row>
    <row r="44" spans="1:18" x14ac:dyDescent="0.25">
      <c r="A44" s="733"/>
      <c r="B44" s="733"/>
      <c r="C44" s="733"/>
      <c r="D44" s="733"/>
      <c r="E44" s="733"/>
      <c r="F44" s="733"/>
      <c r="G44" s="733"/>
      <c r="H44" s="733"/>
      <c r="I44" s="733"/>
      <c r="J44" s="733"/>
      <c r="K44" s="733"/>
      <c r="L44" s="733"/>
      <c r="M44" s="733"/>
      <c r="N44" s="733"/>
      <c r="O44" s="733"/>
      <c r="P44" s="733"/>
      <c r="Q44" s="733"/>
      <c r="R44" s="733"/>
    </row>
    <row r="45" spans="1:18" x14ac:dyDescent="0.25">
      <c r="A45" s="733"/>
      <c r="B45" s="733"/>
      <c r="C45" s="733"/>
      <c r="D45" s="733"/>
      <c r="E45" s="733"/>
      <c r="F45" s="733"/>
      <c r="G45" s="733"/>
      <c r="H45" s="733"/>
      <c r="I45" s="733"/>
      <c r="J45" s="733"/>
      <c r="K45" s="733"/>
      <c r="L45" s="733"/>
      <c r="M45" s="733"/>
      <c r="N45" s="733"/>
      <c r="O45" s="733"/>
      <c r="P45" s="733"/>
      <c r="Q45" s="733"/>
      <c r="R45" s="733"/>
    </row>
    <row r="46" spans="1:18" x14ac:dyDescent="0.25">
      <c r="A46" s="733"/>
      <c r="B46" s="733"/>
      <c r="C46" s="733"/>
      <c r="D46" s="733"/>
      <c r="E46" s="733"/>
      <c r="F46" s="733"/>
      <c r="G46" s="733"/>
      <c r="H46" s="733"/>
      <c r="I46" s="733"/>
      <c r="J46" s="733"/>
      <c r="K46" s="733"/>
      <c r="L46" s="733"/>
      <c r="M46" s="733"/>
      <c r="N46" s="733"/>
      <c r="O46" s="733"/>
      <c r="P46" s="733"/>
      <c r="Q46" s="733"/>
      <c r="R46" s="733"/>
    </row>
    <row r="47" spans="1:18" x14ac:dyDescent="0.25">
      <c r="A47" s="733"/>
      <c r="B47" s="733"/>
      <c r="C47" s="733"/>
      <c r="D47" s="733"/>
      <c r="E47" s="733"/>
      <c r="F47" s="733"/>
      <c r="G47" s="733"/>
      <c r="H47" s="733"/>
      <c r="I47" s="733"/>
      <c r="J47" s="733"/>
      <c r="K47" s="733"/>
      <c r="L47" s="733"/>
      <c r="M47" s="733"/>
      <c r="N47" s="733"/>
      <c r="O47" s="733"/>
      <c r="P47" s="733"/>
      <c r="Q47" s="733"/>
      <c r="R47" s="733"/>
    </row>
    <row r="48" spans="1:18" x14ac:dyDescent="0.25">
      <c r="A48" s="733"/>
      <c r="B48" s="733"/>
      <c r="C48" s="733"/>
      <c r="D48" s="733"/>
      <c r="E48" s="733"/>
      <c r="F48" s="733"/>
      <c r="G48" s="733"/>
      <c r="H48" s="733"/>
      <c r="I48" s="733"/>
      <c r="J48" s="733"/>
      <c r="K48" s="733"/>
      <c r="L48" s="733"/>
      <c r="M48" s="733"/>
      <c r="N48" s="733"/>
      <c r="O48" s="733"/>
      <c r="P48" s="733"/>
      <c r="Q48" s="733"/>
      <c r="R48" s="733"/>
    </row>
    <row r="49" spans="1:18" x14ac:dyDescent="0.25">
      <c r="A49" s="733"/>
      <c r="B49" s="733"/>
      <c r="C49" s="733"/>
      <c r="D49" s="733"/>
      <c r="E49" s="733"/>
      <c r="F49" s="733"/>
      <c r="G49" s="733"/>
      <c r="H49" s="733"/>
      <c r="I49" s="733"/>
      <c r="J49" s="733"/>
      <c r="K49" s="733"/>
      <c r="L49" s="733"/>
      <c r="M49" s="733"/>
      <c r="N49" s="733"/>
      <c r="O49" s="733"/>
      <c r="P49" s="733"/>
      <c r="Q49" s="733"/>
      <c r="R49" s="733"/>
    </row>
    <row r="50" spans="1:18" x14ac:dyDescent="0.25">
      <c r="A50" s="733"/>
      <c r="B50" s="733"/>
      <c r="C50" s="733"/>
      <c r="D50" s="733"/>
      <c r="E50" s="733"/>
      <c r="F50" s="733"/>
      <c r="G50" s="733"/>
      <c r="H50" s="733"/>
      <c r="I50" s="733"/>
      <c r="J50" s="733"/>
      <c r="K50" s="733"/>
      <c r="L50" s="733"/>
      <c r="M50" s="733"/>
      <c r="N50" s="733"/>
      <c r="O50" s="733"/>
      <c r="P50" s="733"/>
      <c r="Q50" s="733"/>
      <c r="R50" s="733"/>
    </row>
    <row r="71" spans="1:18" x14ac:dyDescent="0.25">
      <c r="A71" s="733" t="s">
        <v>286</v>
      </c>
      <c r="B71" s="733"/>
      <c r="C71" s="733"/>
      <c r="D71" s="733"/>
      <c r="E71" s="733"/>
      <c r="F71" s="733"/>
      <c r="G71" s="733"/>
      <c r="H71" s="733"/>
      <c r="I71" s="733"/>
      <c r="J71" s="733"/>
      <c r="K71" s="733"/>
      <c r="L71" s="733"/>
      <c r="M71" s="733"/>
      <c r="N71" s="733"/>
      <c r="O71" s="733"/>
      <c r="P71" s="733"/>
      <c r="Q71" s="733"/>
      <c r="R71" s="733"/>
    </row>
    <row r="72" spans="1:18" x14ac:dyDescent="0.25">
      <c r="A72" s="733"/>
      <c r="B72" s="733"/>
      <c r="C72" s="733"/>
      <c r="D72" s="733"/>
      <c r="E72" s="733"/>
      <c r="F72" s="733"/>
      <c r="G72" s="733"/>
      <c r="H72" s="733"/>
      <c r="I72" s="733"/>
      <c r="J72" s="733"/>
      <c r="K72" s="733"/>
      <c r="L72" s="733"/>
      <c r="M72" s="733"/>
      <c r="N72" s="733"/>
      <c r="O72" s="733"/>
      <c r="P72" s="733"/>
      <c r="Q72" s="733"/>
      <c r="R72" s="733"/>
    </row>
    <row r="73" spans="1:18" x14ac:dyDescent="0.25">
      <c r="A73" s="733"/>
      <c r="B73" s="733"/>
      <c r="C73" s="733"/>
      <c r="D73" s="733"/>
      <c r="E73" s="733"/>
      <c r="F73" s="733"/>
      <c r="G73" s="733"/>
      <c r="H73" s="733"/>
      <c r="I73" s="733"/>
      <c r="J73" s="733"/>
      <c r="K73" s="733"/>
      <c r="L73" s="733"/>
      <c r="M73" s="733"/>
      <c r="N73" s="733"/>
      <c r="O73" s="733"/>
      <c r="P73" s="733"/>
      <c r="Q73" s="733"/>
      <c r="R73" s="733"/>
    </row>
    <row r="74" spans="1:18" x14ac:dyDescent="0.25">
      <c r="A74" s="733"/>
      <c r="B74" s="733"/>
      <c r="C74" s="733"/>
      <c r="D74" s="733"/>
      <c r="E74" s="733"/>
      <c r="F74" s="733"/>
      <c r="G74" s="733"/>
      <c r="H74" s="733"/>
      <c r="I74" s="733"/>
      <c r="J74" s="733"/>
      <c r="K74" s="733"/>
      <c r="L74" s="733"/>
      <c r="M74" s="733"/>
      <c r="N74" s="733"/>
      <c r="O74" s="733"/>
      <c r="P74" s="733"/>
      <c r="Q74" s="733"/>
      <c r="R74" s="733"/>
    </row>
    <row r="75" spans="1:18" x14ac:dyDescent="0.25">
      <c r="A75" s="733"/>
      <c r="B75" s="733"/>
      <c r="C75" s="733"/>
      <c r="D75" s="733"/>
      <c r="E75" s="733"/>
      <c r="F75" s="733"/>
      <c r="G75" s="733"/>
      <c r="H75" s="733"/>
      <c r="I75" s="733"/>
      <c r="J75" s="733"/>
      <c r="K75" s="733"/>
      <c r="L75" s="733"/>
      <c r="M75" s="733"/>
      <c r="N75" s="733"/>
      <c r="O75" s="733"/>
      <c r="P75" s="733"/>
      <c r="Q75" s="733"/>
      <c r="R75" s="733"/>
    </row>
    <row r="76" spans="1:18" x14ac:dyDescent="0.25">
      <c r="A76" s="733"/>
      <c r="B76" s="733"/>
      <c r="C76" s="733"/>
      <c r="D76" s="733"/>
      <c r="E76" s="733"/>
      <c r="F76" s="733"/>
      <c r="G76" s="733"/>
      <c r="H76" s="733"/>
      <c r="I76" s="733"/>
      <c r="J76" s="733"/>
      <c r="K76" s="733"/>
      <c r="L76" s="733"/>
      <c r="M76" s="733"/>
      <c r="N76" s="733"/>
      <c r="O76" s="733"/>
      <c r="P76" s="733"/>
      <c r="Q76" s="733"/>
      <c r="R76" s="733"/>
    </row>
    <row r="77" spans="1:18" x14ac:dyDescent="0.25">
      <c r="A77" s="733"/>
      <c r="B77" s="733"/>
      <c r="C77" s="733"/>
      <c r="D77" s="733"/>
      <c r="E77" s="733"/>
      <c r="F77" s="733"/>
      <c r="G77" s="733"/>
      <c r="H77" s="733"/>
      <c r="I77" s="733"/>
      <c r="J77" s="733"/>
      <c r="K77" s="733"/>
      <c r="L77" s="733"/>
      <c r="M77" s="733"/>
      <c r="N77" s="733"/>
      <c r="O77" s="733"/>
      <c r="P77" s="733"/>
      <c r="Q77" s="733"/>
      <c r="R77" s="733"/>
    </row>
    <row r="78" spans="1:18" x14ac:dyDescent="0.25">
      <c r="A78" s="733"/>
      <c r="B78" s="733"/>
      <c r="C78" s="733"/>
      <c r="D78" s="733"/>
      <c r="E78" s="733"/>
      <c r="F78" s="733"/>
      <c r="G78" s="733"/>
      <c r="H78" s="733"/>
      <c r="I78" s="733"/>
      <c r="J78" s="733"/>
      <c r="K78" s="733"/>
      <c r="L78" s="733"/>
      <c r="M78" s="733"/>
      <c r="N78" s="733"/>
      <c r="O78" s="733"/>
      <c r="P78" s="733"/>
      <c r="Q78" s="733"/>
      <c r="R78" s="733"/>
    </row>
    <row r="79" spans="1:18" x14ac:dyDescent="0.25">
      <c r="A79" s="733"/>
      <c r="B79" s="733"/>
      <c r="C79" s="733"/>
      <c r="D79" s="733"/>
      <c r="E79" s="733"/>
      <c r="F79" s="733"/>
      <c r="G79" s="733"/>
      <c r="H79" s="733"/>
      <c r="I79" s="733"/>
      <c r="J79" s="733"/>
      <c r="K79" s="733"/>
      <c r="L79" s="733"/>
      <c r="M79" s="733"/>
      <c r="N79" s="733"/>
      <c r="O79" s="733"/>
      <c r="P79" s="733"/>
      <c r="Q79" s="733"/>
      <c r="R79" s="733"/>
    </row>
  </sheetData>
  <mergeCells count="5">
    <mergeCell ref="A2:A4"/>
    <mergeCell ref="K1:M1"/>
    <mergeCell ref="A27:K29"/>
    <mergeCell ref="A30:R50"/>
    <mergeCell ref="A71:R7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Y35"/>
  <sheetViews>
    <sheetView zoomScale="89" workbookViewId="0">
      <selection activeCell="AG6" sqref="AG6"/>
    </sheetView>
  </sheetViews>
  <sheetFormatPr defaultRowHeight="15" x14ac:dyDescent="0.25"/>
  <cols>
    <col min="1" max="1" width="30.28515625" customWidth="1"/>
    <col min="15" max="15" width="31.28515625" customWidth="1"/>
    <col min="17" max="17" width="12.85546875" customWidth="1"/>
    <col min="18" max="18" width="13.85546875" customWidth="1"/>
    <col min="19" max="19" width="14.42578125" customWidth="1"/>
    <col min="20" max="21" width="12.7109375" customWidth="1"/>
  </cols>
  <sheetData>
    <row r="1" spans="1:25" x14ac:dyDescent="0.25">
      <c r="H1" t="s">
        <v>661</v>
      </c>
      <c r="J1" s="772" t="s">
        <v>114</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f>D10/AVERAGE(C23:D23)</f>
        <v>0.10721143384577125</v>
      </c>
      <c r="R3" s="44">
        <f>E10/AVERAGE(D23:E23)</f>
        <v>0.12443980545870441</v>
      </c>
      <c r="S3" s="44">
        <f>F10/AVERAGE(E23:F23)</f>
        <v>0.12418951388849381</v>
      </c>
      <c r="T3" s="44">
        <f>G10/AVERAGE(F23:G23)</f>
        <v>0.12860236819075516</v>
      </c>
      <c r="U3" s="44">
        <f>H10/AVERAGE(G23:H23)</f>
        <v>0.14406596423646684</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1601.32</v>
      </c>
      <c r="E5">
        <v>1989.64</v>
      </c>
      <c r="F5" s="85">
        <v>2237.8200000000002</v>
      </c>
      <c r="G5" s="90">
        <v>2746.45</v>
      </c>
      <c r="H5" s="90">
        <v>4155.62</v>
      </c>
      <c r="I5" s="85">
        <v>1346.26</v>
      </c>
      <c r="J5" s="85">
        <v>1398.89</v>
      </c>
      <c r="K5" s="85">
        <v>1093.73</v>
      </c>
      <c r="L5" s="85"/>
      <c r="M5" s="11"/>
      <c r="N5" s="11"/>
      <c r="O5" s="42" t="s">
        <v>13</v>
      </c>
      <c r="P5" s="46"/>
      <c r="Q5" s="47">
        <f>D21/D20</f>
        <v>6.3571887759534365</v>
      </c>
      <c r="R5" s="47">
        <f>E21/E20</f>
        <v>6.2386026544609079</v>
      </c>
      <c r="S5" s="47">
        <f>F21/F20</f>
        <v>6.4940525676280618</v>
      </c>
      <c r="T5" s="47">
        <f>G21/G20</f>
        <v>6.9563434998175611</v>
      </c>
      <c r="U5" s="47">
        <f>H21/H20</f>
        <v>6.8419207355761733</v>
      </c>
      <c r="V5" s="47"/>
      <c r="W5" s="47"/>
      <c r="X5" s="18"/>
      <c r="Y5" s="18"/>
    </row>
    <row r="6" spans="1:25" x14ac:dyDescent="0.25">
      <c r="A6" s="6" t="s">
        <v>50</v>
      </c>
      <c r="B6" s="7"/>
      <c r="C6" s="8"/>
      <c r="D6">
        <v>1454.17</v>
      </c>
      <c r="E6">
        <v>1820.49</v>
      </c>
      <c r="F6" s="85">
        <v>2039.16</v>
      </c>
      <c r="G6" s="85">
        <v>2444.16</v>
      </c>
      <c r="H6" s="85">
        <v>3736.84</v>
      </c>
      <c r="I6" s="85">
        <v>1157.1600000000001</v>
      </c>
      <c r="J6" s="85">
        <v>1237.47</v>
      </c>
      <c r="K6" s="85">
        <v>978.63</v>
      </c>
      <c r="L6" s="85"/>
      <c r="M6" s="11"/>
      <c r="N6" s="11"/>
      <c r="O6" s="42" t="s">
        <v>14</v>
      </c>
      <c r="P6" s="43"/>
      <c r="Q6" s="43">
        <v>0.17510000000000001</v>
      </c>
      <c r="R6" s="43">
        <v>0.17</v>
      </c>
      <c r="S6" s="43">
        <v>0.18509999999999999</v>
      </c>
      <c r="T6" s="48">
        <v>0.18640000000000001</v>
      </c>
      <c r="U6" s="48">
        <v>0.1875</v>
      </c>
      <c r="V6" s="48"/>
      <c r="W6" s="48">
        <v>0.18690000000000001</v>
      </c>
      <c r="X6" s="48">
        <v>0.17269999999999999</v>
      </c>
      <c r="Y6" s="18"/>
    </row>
    <row r="7" spans="1:25" x14ac:dyDescent="0.25">
      <c r="A7" s="6" t="s">
        <v>51</v>
      </c>
      <c r="B7" s="7"/>
      <c r="C7" s="8"/>
      <c r="D7" s="87"/>
      <c r="E7" s="85"/>
      <c r="F7" s="85">
        <v>0</v>
      </c>
      <c r="G7" s="85">
        <v>0</v>
      </c>
      <c r="H7" s="85"/>
      <c r="I7" s="85"/>
      <c r="J7" s="85"/>
      <c r="K7" s="85"/>
      <c r="L7" s="85"/>
      <c r="M7" s="11"/>
      <c r="N7" s="11"/>
      <c r="O7" s="42" t="s">
        <v>15</v>
      </c>
      <c r="P7" s="43"/>
      <c r="Q7" s="44">
        <f>D20/D23</f>
        <v>0.13762652529788591</v>
      </c>
      <c r="R7" s="44">
        <f>E20/E23</f>
        <v>0.14221375960595625</v>
      </c>
      <c r="S7" s="44">
        <f>F20/F23</f>
        <v>0.13663188467594381</v>
      </c>
      <c r="T7" s="44">
        <f>G20/G23</f>
        <v>0.12939284702588913</v>
      </c>
      <c r="U7" s="44">
        <f>H20/H23</f>
        <v>0.12976196357118158</v>
      </c>
      <c r="V7" s="18"/>
      <c r="W7" s="18"/>
      <c r="X7" s="18"/>
      <c r="Y7" s="18"/>
    </row>
    <row r="8" spans="1:25" x14ac:dyDescent="0.25">
      <c r="A8" s="6" t="s">
        <v>52</v>
      </c>
      <c r="B8" s="7"/>
      <c r="C8" s="8"/>
      <c r="D8" s="85">
        <f t="shared" ref="D8:I8" si="0">D5-D6-D7</f>
        <v>147.14999999999986</v>
      </c>
      <c r="E8" s="85">
        <f t="shared" si="0"/>
        <v>169.15000000000009</v>
      </c>
      <c r="F8" s="85">
        <f t="shared" si="0"/>
        <v>198.66000000000008</v>
      </c>
      <c r="G8" s="85">
        <f t="shared" si="0"/>
        <v>302.28999999999996</v>
      </c>
      <c r="H8" s="85">
        <f t="shared" si="0"/>
        <v>418.77999999999975</v>
      </c>
      <c r="I8" s="85">
        <f t="shared" si="0"/>
        <v>189.09999999999991</v>
      </c>
      <c r="J8" s="85">
        <f>J5-J6-J7</f>
        <v>161.42000000000007</v>
      </c>
      <c r="K8" s="85">
        <f>K5-K6-K7</f>
        <v>115.10000000000002</v>
      </c>
      <c r="L8" s="85"/>
      <c r="M8" s="11"/>
      <c r="N8" s="11"/>
      <c r="O8" s="40" t="s">
        <v>16</v>
      </c>
      <c r="P8" s="45"/>
      <c r="Q8" s="45"/>
      <c r="R8" s="45"/>
      <c r="S8" s="46" t="s">
        <v>5</v>
      </c>
      <c r="T8" s="18"/>
      <c r="U8" s="18"/>
      <c r="V8" s="18"/>
      <c r="W8" s="18"/>
      <c r="X8" s="18"/>
      <c r="Y8" s="18"/>
    </row>
    <row r="9" spans="1:25" ht="33.75" x14ac:dyDescent="0.25">
      <c r="A9" s="6" t="s">
        <v>24</v>
      </c>
      <c r="B9" s="7"/>
      <c r="C9" s="7"/>
      <c r="D9" s="88">
        <v>557.46</v>
      </c>
      <c r="E9" s="85">
        <v>699.81</v>
      </c>
      <c r="F9" s="85">
        <v>729.44</v>
      </c>
      <c r="G9" s="85">
        <v>782.13</v>
      </c>
      <c r="H9" s="85">
        <v>1168.28</v>
      </c>
      <c r="I9" s="85">
        <v>371.35</v>
      </c>
      <c r="J9" s="85">
        <v>402.68</v>
      </c>
      <c r="K9" s="85">
        <v>329.19</v>
      </c>
      <c r="L9" s="85"/>
      <c r="M9" s="11"/>
      <c r="N9" s="11"/>
      <c r="O9" s="49" t="s">
        <v>93</v>
      </c>
      <c r="P9" s="45"/>
      <c r="Q9" s="50">
        <f>D14/(D11-D9)</f>
        <v>0.79272124614411899</v>
      </c>
      <c r="R9" s="50">
        <f>E14/(E11-E9)</f>
        <v>0.80028375832474041</v>
      </c>
      <c r="S9" s="50">
        <f>F14/(F11-F9)</f>
        <v>0.62272106498362467</v>
      </c>
      <c r="T9" s="50">
        <f>G14/(G11-G9)</f>
        <v>0.6429349596807038</v>
      </c>
      <c r="U9" s="50">
        <f>H14/(H11-H9)</f>
        <v>0.61982231684374733</v>
      </c>
      <c r="V9" s="18"/>
      <c r="W9" s="18"/>
      <c r="X9" s="18"/>
      <c r="Y9" s="18"/>
    </row>
    <row r="10" spans="1:25" ht="22.5" x14ac:dyDescent="0.25">
      <c r="A10" s="6" t="s">
        <v>53</v>
      </c>
      <c r="B10" s="10">
        <f t="shared" ref="B10:I10" si="1">B6-B9</f>
        <v>0</v>
      </c>
      <c r="C10" s="10">
        <f t="shared" si="1"/>
        <v>0</v>
      </c>
      <c r="D10" s="89">
        <f t="shared" si="1"/>
        <v>896.71</v>
      </c>
      <c r="E10" s="89">
        <f t="shared" si="1"/>
        <v>1120.68</v>
      </c>
      <c r="F10" s="89">
        <f t="shared" si="1"/>
        <v>1309.72</v>
      </c>
      <c r="G10" s="89">
        <f t="shared" si="1"/>
        <v>1662.0299999999997</v>
      </c>
      <c r="H10" s="89">
        <f>H6-H9</f>
        <v>2568.5600000000004</v>
      </c>
      <c r="I10" s="89">
        <f t="shared" si="1"/>
        <v>785.81000000000006</v>
      </c>
      <c r="J10" s="89">
        <f>J6-J9</f>
        <v>834.79</v>
      </c>
      <c r="K10" s="89">
        <f>K6-K9</f>
        <v>649.44000000000005</v>
      </c>
      <c r="L10" s="89"/>
      <c r="M10" s="11"/>
      <c r="N10" s="11"/>
      <c r="O10" s="42" t="s">
        <v>92</v>
      </c>
      <c r="P10" s="43"/>
      <c r="Q10" s="44">
        <f>D14/D11</f>
        <v>0.51675492718507232</v>
      </c>
      <c r="R10" s="44">
        <f>E14/E11</f>
        <v>0.51880239641342152</v>
      </c>
      <c r="S10" s="44">
        <f>F14/F11</f>
        <v>0.41973885299085706</v>
      </c>
      <c r="T10" s="44">
        <f>G14/G11</f>
        <v>0.45984088550674507</v>
      </c>
      <c r="U10" s="44">
        <f>H14/H11</f>
        <v>0.4455700954370227</v>
      </c>
      <c r="V10" s="18"/>
      <c r="W10" s="18"/>
      <c r="X10" s="18"/>
      <c r="Y10" s="18"/>
    </row>
    <row r="11" spans="1:25" ht="22.5" x14ac:dyDescent="0.25">
      <c r="A11" s="6" t="s">
        <v>1</v>
      </c>
      <c r="B11" s="10">
        <f>B5-B9</f>
        <v>0</v>
      </c>
      <c r="C11" s="10">
        <f t="shared" ref="C11:I11" si="2">SUM(C6:C8)</f>
        <v>0</v>
      </c>
      <c r="D11" s="89">
        <f t="shared" si="2"/>
        <v>1601.32</v>
      </c>
      <c r="E11" s="89">
        <f t="shared" si="2"/>
        <v>1989.64</v>
      </c>
      <c r="F11" s="89">
        <f>SUM(F6:F8)</f>
        <v>2237.8200000000002</v>
      </c>
      <c r="G11" s="89">
        <f>SUM(G6:G8)</f>
        <v>2746.45</v>
      </c>
      <c r="H11" s="89">
        <f>SUM(H6:H8)</f>
        <v>4155.62</v>
      </c>
      <c r="I11" s="89">
        <f t="shared" si="2"/>
        <v>1346.26</v>
      </c>
      <c r="J11" s="89">
        <f>SUM(J6:J8)</f>
        <v>1398.89</v>
      </c>
      <c r="K11" s="89">
        <f>SUM(K6:K8)</f>
        <v>1093.73</v>
      </c>
      <c r="L11" s="89"/>
      <c r="M11" s="11"/>
      <c r="N11" s="11"/>
      <c r="O11" s="42" t="s">
        <v>17</v>
      </c>
      <c r="P11" s="43"/>
      <c r="Q11" s="44">
        <f>D14/AVERAGE(C22:D22)</f>
        <v>9.4569204923372299E-2</v>
      </c>
      <c r="R11" s="44">
        <f>E14/AVERAGE(D22:E22)</f>
        <v>0.1084626688375382</v>
      </c>
      <c r="S11" s="44">
        <f>F14/AVERAGE(E22:F22)</f>
        <v>8.3454091365038105E-2</v>
      </c>
      <c r="T11" s="44">
        <f>G14/AVERAGE(F22:G22)</f>
        <v>9.122916258833573E-2</v>
      </c>
      <c r="U11" s="44">
        <f>H14/AVERAGE(G22:H22)</f>
        <v>9.691798281289421E-2</v>
      </c>
      <c r="V11" s="18"/>
      <c r="W11" s="18"/>
      <c r="X11" s="18"/>
      <c r="Y11" s="18"/>
    </row>
    <row r="12" spans="1:25" x14ac:dyDescent="0.25">
      <c r="A12" s="6" t="s">
        <v>91</v>
      </c>
      <c r="B12" s="10"/>
      <c r="C12" s="10"/>
      <c r="D12" s="89">
        <v>32.85</v>
      </c>
      <c r="E12" s="89">
        <v>25.04</v>
      </c>
      <c r="F12" s="89">
        <v>3.11</v>
      </c>
      <c r="G12" s="89">
        <v>8.9700000000000006</v>
      </c>
      <c r="H12" s="89">
        <v>4.7</v>
      </c>
      <c r="I12" s="89">
        <v>2.94</v>
      </c>
      <c r="J12" s="89">
        <v>0.37</v>
      </c>
      <c r="K12" s="89">
        <v>0.4</v>
      </c>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I13" si="3">D11+D12</f>
        <v>1634.1699999999998</v>
      </c>
      <c r="E13" s="88">
        <f t="shared" si="3"/>
        <v>2014.68</v>
      </c>
      <c r="F13" s="88">
        <f t="shared" si="3"/>
        <v>2240.9300000000003</v>
      </c>
      <c r="G13" s="88">
        <f t="shared" si="3"/>
        <v>2755.4199999999996</v>
      </c>
      <c r="H13" s="88">
        <f t="shared" si="3"/>
        <v>4160.32</v>
      </c>
      <c r="I13" s="88">
        <f t="shared" si="3"/>
        <v>1349.2</v>
      </c>
      <c r="J13" s="88">
        <f>J11+J12</f>
        <v>1399.26</v>
      </c>
      <c r="K13" s="88">
        <f>K11+K12</f>
        <v>1094.1300000000001</v>
      </c>
      <c r="L13" s="88"/>
      <c r="M13" s="11"/>
      <c r="N13" s="11"/>
      <c r="O13" s="42" t="s">
        <v>19</v>
      </c>
      <c r="P13" s="43"/>
      <c r="Q13" s="44">
        <f>D24/D23</f>
        <v>3.2842177251391089E-2</v>
      </c>
      <c r="R13" s="44">
        <f>E24/E23</f>
        <v>3.8419678968786217E-2</v>
      </c>
      <c r="S13" s="44">
        <f>F24/F23</f>
        <v>4.9551667071514822E-2</v>
      </c>
      <c r="T13" s="44">
        <f>G24/G23</f>
        <v>3.672786704955093E-2</v>
      </c>
      <c r="U13" s="44">
        <f>H24/H23</f>
        <v>4.2814094466517523E-2</v>
      </c>
      <c r="V13" s="48"/>
      <c r="W13" s="48">
        <v>3.1399999999999997E-2</v>
      </c>
      <c r="X13" s="48">
        <v>2.7799999999999998E-2</v>
      </c>
      <c r="Y13" s="18"/>
    </row>
    <row r="14" spans="1:25" x14ac:dyDescent="0.25">
      <c r="A14" s="6" t="s">
        <v>26</v>
      </c>
      <c r="B14" s="7"/>
      <c r="C14" s="7"/>
      <c r="D14" s="85">
        <f>80.78+151.19+391.95+15.22+188.35</f>
        <v>827.49</v>
      </c>
      <c r="E14" s="85">
        <f>195.65+20.1+477.73+209.4+129.35</f>
        <v>1032.23</v>
      </c>
      <c r="F14" s="85">
        <f>135.17+584.81+19.92+199.4</f>
        <v>939.29999999999984</v>
      </c>
      <c r="G14" s="85">
        <f>208.52+711.78+19.12+323.51</f>
        <v>1262.9299999999998</v>
      </c>
      <c r="H14" s="85">
        <f>281.02+1039.51+21.43+509.66</f>
        <v>1851.6200000000001</v>
      </c>
      <c r="I14" s="85">
        <f>90.3+293.91+6.15+181.18</f>
        <v>571.54</v>
      </c>
      <c r="J14" s="85">
        <f>84.28+285.58+7.14+155.58</f>
        <v>532.58000000000004</v>
      </c>
      <c r="K14" s="85">
        <f>77.47+247.26+5.99+144.27</f>
        <v>474.99</v>
      </c>
      <c r="L14" s="85"/>
      <c r="M14" s="11"/>
      <c r="N14" s="11"/>
      <c r="O14" s="42" t="s">
        <v>20</v>
      </c>
      <c r="P14" s="43"/>
      <c r="Q14" s="44">
        <f>D25/D23</f>
        <v>2.0334913928124785E-2</v>
      </c>
      <c r="R14" s="44">
        <f>E25/E23</f>
        <v>2.3558044126762344E-2</v>
      </c>
      <c r="S14" s="44">
        <f>F25/F23</f>
        <v>3.352667017340899E-2</v>
      </c>
      <c r="T14" s="44">
        <f>G25/G23</f>
        <v>1.8147658536856313E-2</v>
      </c>
      <c r="U14" s="44">
        <f>H25/H23</f>
        <v>2.5995111772911503E-2</v>
      </c>
      <c r="V14" s="48"/>
      <c r="W14" s="48">
        <v>1.4999999999999999E-2</v>
      </c>
      <c r="X14" s="48">
        <v>1.32E-2</v>
      </c>
      <c r="Y14" s="18"/>
    </row>
    <row r="15" spans="1:25" x14ac:dyDescent="0.25">
      <c r="A15" s="6" t="s">
        <v>54</v>
      </c>
      <c r="B15" s="10"/>
      <c r="C15" s="10"/>
      <c r="D15" s="89">
        <f t="shared" ref="D15:I15" si="4">D11-D14</f>
        <v>773.82999999999993</v>
      </c>
      <c r="E15" s="89">
        <f t="shared" si="4"/>
        <v>957.41000000000008</v>
      </c>
      <c r="F15" s="89">
        <f t="shared" si="4"/>
        <v>1298.5200000000004</v>
      </c>
      <c r="G15" s="89">
        <f t="shared" si="4"/>
        <v>1483.52</v>
      </c>
      <c r="H15" s="89">
        <f t="shared" si="4"/>
        <v>2304</v>
      </c>
      <c r="I15" s="89">
        <f t="shared" si="4"/>
        <v>774.72</v>
      </c>
      <c r="J15" s="89">
        <f>J11-J14</f>
        <v>866.31000000000006</v>
      </c>
      <c r="K15" s="89">
        <f>K11-K14</f>
        <v>618.74</v>
      </c>
      <c r="L15" s="89"/>
      <c r="M15" s="11"/>
      <c r="N15" s="11"/>
      <c r="O15" s="42" t="s">
        <v>21</v>
      </c>
      <c r="P15" s="43"/>
      <c r="Q15" s="44">
        <f>(Q13-Q14)/Q13</f>
        <v>0.38082929848192498</v>
      </c>
      <c r="R15" s="44">
        <f>(R13-R14)/R13</f>
        <v>0.38682350401985655</v>
      </c>
      <c r="S15" s="44">
        <f>(S13-S14)/S13</f>
        <v>0.32339975312995939</v>
      </c>
      <c r="T15" s="44">
        <f>(T13-T14)/T13</f>
        <v>0.50588858012438798</v>
      </c>
      <c r="U15" s="44">
        <f>(U13-U14)/U13</f>
        <v>0.39283752005450429</v>
      </c>
      <c r="V15" s="44"/>
      <c r="W15" s="18"/>
      <c r="X15" s="18"/>
      <c r="Y15" s="18"/>
    </row>
    <row r="16" spans="1:25" x14ac:dyDescent="0.25">
      <c r="A16" s="6" t="s">
        <v>94</v>
      </c>
      <c r="B16" s="10"/>
      <c r="C16" s="10"/>
      <c r="D16" s="89">
        <f t="shared" ref="D16:I16" si="5">D13-D14-D9</f>
        <v>249.2199999999998</v>
      </c>
      <c r="E16" s="89">
        <f t="shared" si="5"/>
        <v>282.6400000000001</v>
      </c>
      <c r="F16" s="89">
        <f t="shared" si="5"/>
        <v>572.19000000000051</v>
      </c>
      <c r="G16" s="89">
        <f t="shared" si="5"/>
        <v>710.35999999999979</v>
      </c>
      <c r="H16" s="89">
        <f t="shared" si="5"/>
        <v>1140.4199999999998</v>
      </c>
      <c r="I16" s="89">
        <f t="shared" si="5"/>
        <v>406.31000000000006</v>
      </c>
      <c r="J16" s="89">
        <f>J13-J14-J9</f>
        <v>463.99999999999994</v>
      </c>
      <c r="K16" s="89">
        <f>K13-K14-K9</f>
        <v>289.9500000000001</v>
      </c>
      <c r="L16" s="89"/>
      <c r="M16" s="11"/>
      <c r="N16" s="11"/>
      <c r="O16" s="42" t="s">
        <v>22</v>
      </c>
      <c r="P16" s="43"/>
      <c r="Q16" s="44">
        <f>D17/AVERAGE(C23:D23)</f>
        <v>3.9753991539872354E-3</v>
      </c>
      <c r="R16" s="44">
        <f>E17/AVERAGE(D23:E23)</f>
        <v>7.143174398720825E-3</v>
      </c>
      <c r="S16" s="44">
        <f>F17/AVERAGE(E23:F23)</f>
        <v>4.4261691955540139E-2</v>
      </c>
      <c r="T16" s="44">
        <f>G17/AVERAGE(F23:G23)</f>
        <v>4.2878288799183518E-2</v>
      </c>
      <c r="U16" s="44">
        <f>H17/AVERAGE(G23:H23)</f>
        <v>3.5287344169390916E-2</v>
      </c>
      <c r="V16" s="18"/>
      <c r="W16" s="18"/>
      <c r="X16" s="18"/>
      <c r="Y16" s="18"/>
    </row>
    <row r="17" spans="1:25" x14ac:dyDescent="0.25">
      <c r="A17" s="6" t="s">
        <v>27</v>
      </c>
      <c r="B17" s="7"/>
      <c r="C17" s="7"/>
      <c r="D17" s="88">
        <v>33.25</v>
      </c>
      <c r="E17" s="85">
        <v>64.33</v>
      </c>
      <c r="F17" s="85">
        <v>466.79</v>
      </c>
      <c r="G17" s="85">
        <v>554.15</v>
      </c>
      <c r="H17" s="85">
        <v>629.14</v>
      </c>
      <c r="I17" s="85">
        <v>249.61</v>
      </c>
      <c r="J17" s="85">
        <v>284.26</v>
      </c>
      <c r="K17" s="85">
        <v>159</v>
      </c>
      <c r="L17" s="85"/>
      <c r="M17" s="11"/>
      <c r="N17" s="11"/>
      <c r="O17" s="18"/>
      <c r="P17" s="18"/>
      <c r="Q17" s="18"/>
      <c r="R17" s="18"/>
      <c r="S17" s="18"/>
      <c r="T17" s="18"/>
      <c r="U17" s="18"/>
      <c r="V17" s="18"/>
      <c r="W17" s="18"/>
      <c r="X17" s="18"/>
      <c r="Y17" s="18"/>
    </row>
    <row r="18" spans="1:25" x14ac:dyDescent="0.25">
      <c r="A18" s="6" t="s">
        <v>55</v>
      </c>
      <c r="B18" s="7"/>
      <c r="C18" s="7"/>
      <c r="D18" s="88">
        <v>148.30000000000001</v>
      </c>
      <c r="E18" s="85">
        <v>150.51</v>
      </c>
      <c r="F18" s="89">
        <v>105.4</v>
      </c>
      <c r="G18" s="89">
        <v>120.72</v>
      </c>
      <c r="H18" s="89">
        <v>388.67</v>
      </c>
      <c r="I18" s="89">
        <v>117.26</v>
      </c>
      <c r="J18" s="89">
        <v>134.46</v>
      </c>
      <c r="K18" s="89">
        <v>97.97</v>
      </c>
      <c r="L18" s="89"/>
      <c r="M18" s="11"/>
      <c r="N18" s="11"/>
      <c r="O18" s="40" t="s">
        <v>30</v>
      </c>
      <c r="P18" s="45"/>
      <c r="Q18" s="45"/>
      <c r="R18" s="45"/>
      <c r="S18" s="46" t="s">
        <v>5</v>
      </c>
      <c r="T18" s="18"/>
      <c r="U18" s="18"/>
      <c r="V18" s="18"/>
      <c r="W18" s="18"/>
      <c r="X18" s="18"/>
      <c r="Y18" s="18"/>
    </row>
    <row r="19" spans="1:25" ht="22.5" x14ac:dyDescent="0.25">
      <c r="A19" s="6" t="s">
        <v>28</v>
      </c>
      <c r="B19" s="7"/>
      <c r="C19" s="7"/>
      <c r="D19" s="88">
        <v>1151.0999999999999</v>
      </c>
      <c r="E19" s="85">
        <v>1372.03</v>
      </c>
      <c r="F19" s="85">
        <v>1563.7</v>
      </c>
      <c r="G19" s="85">
        <v>1863.64</v>
      </c>
      <c r="H19" s="85">
        <v>2758.11</v>
      </c>
      <c r="I19" s="85"/>
      <c r="J19" s="85">
        <v>3558.2</v>
      </c>
      <c r="K19" s="85">
        <v>2451.1</v>
      </c>
      <c r="L19" s="85"/>
      <c r="M19" s="11"/>
      <c r="N19" s="11"/>
      <c r="O19" s="46" t="s">
        <v>95</v>
      </c>
      <c r="P19" s="51"/>
      <c r="Q19" s="51"/>
      <c r="R19" s="52">
        <f>E16/AVERAGE(D22:E22)</f>
        <v>2.9698699631130473E-2</v>
      </c>
      <c r="S19" s="52">
        <f>F16/AVERAGE(E22:F22)</f>
        <v>5.0837428444758019E-2</v>
      </c>
      <c r="T19" s="52">
        <f>G16/AVERAGE(F22:G22)</f>
        <v>5.1313649953877223E-2</v>
      </c>
      <c r="U19" s="52">
        <f>H16/AVERAGE(G22:H22)</f>
        <v>5.9692164677137206E-2</v>
      </c>
      <c r="V19" s="18"/>
      <c r="W19" s="18"/>
      <c r="X19" s="18"/>
      <c r="Y19" s="18"/>
    </row>
    <row r="20" spans="1:25" x14ac:dyDescent="0.25">
      <c r="A20" s="6" t="s">
        <v>56</v>
      </c>
      <c r="B20" s="7"/>
      <c r="C20" s="7"/>
      <c r="D20" s="88">
        <f t="shared" ref="D20:I20" si="6">D19-D71</f>
        <v>1151.0999999999999</v>
      </c>
      <c r="E20" s="89">
        <f t="shared" si="6"/>
        <v>1372.03</v>
      </c>
      <c r="F20" s="89">
        <f t="shared" si="6"/>
        <v>1563.7</v>
      </c>
      <c r="G20" s="89">
        <f t="shared" si="6"/>
        <v>1863.64</v>
      </c>
      <c r="H20" s="89">
        <f t="shared" si="6"/>
        <v>2758.11</v>
      </c>
      <c r="I20" s="89">
        <f t="shared" si="6"/>
        <v>0</v>
      </c>
      <c r="J20" s="89">
        <f>J19-J71</f>
        <v>3558.2</v>
      </c>
      <c r="K20" s="89">
        <f>K19-K71</f>
        <v>2451.1</v>
      </c>
      <c r="L20" s="89"/>
      <c r="M20" s="11"/>
      <c r="N20" s="11"/>
      <c r="O20" s="42" t="s">
        <v>31</v>
      </c>
      <c r="P20" s="43"/>
      <c r="Q20" s="43">
        <v>4.4699999999999997E-2</v>
      </c>
      <c r="R20" s="44">
        <f>E18/AVERAGE(D22:E22)</f>
        <v>1.5814998873059177E-2</v>
      </c>
      <c r="S20" s="44">
        <f>F18/AVERAGE(E22:F22)</f>
        <v>9.3644854997072483E-3</v>
      </c>
      <c r="T20" s="44">
        <f>G18/AVERAGE(F22:G22)</f>
        <v>8.7203443640295909E-3</v>
      </c>
      <c r="U20" s="44">
        <f>H18/AVERAGE(G22:H22)</f>
        <v>2.034386773738002E-2</v>
      </c>
      <c r="V20" s="48"/>
      <c r="W20" s="18"/>
      <c r="X20" s="18"/>
      <c r="Y20" s="18"/>
    </row>
    <row r="21" spans="1:25" x14ac:dyDescent="0.25">
      <c r="A21" s="6" t="s">
        <v>57</v>
      </c>
      <c r="B21" s="9"/>
      <c r="C21" s="9"/>
      <c r="D21" s="85">
        <f>492.44+6185.56+639.76</f>
        <v>7317.76</v>
      </c>
      <c r="E21" s="85">
        <f>496.19+7450.59+612.77</f>
        <v>8559.5499999999993</v>
      </c>
      <c r="F21" s="85">
        <f>1170.85+8041.11+942.79</f>
        <v>10154.75</v>
      </c>
      <c r="G21" s="85">
        <f>2213.68+9457.1+1293.34</f>
        <v>12964.12</v>
      </c>
      <c r="H21" s="85">
        <f>2607.04+14518.93+1744.8</f>
        <v>18870.77</v>
      </c>
      <c r="I21" s="85"/>
      <c r="J21" s="85">
        <f>2590.9+16977.49+1645.52</f>
        <v>21213.910000000003</v>
      </c>
      <c r="K21" s="85"/>
      <c r="L21" s="85"/>
      <c r="M21" s="11"/>
      <c r="N21" s="11"/>
      <c r="O21" s="42" t="s">
        <v>32</v>
      </c>
      <c r="P21" s="43"/>
      <c r="Q21" s="44">
        <f>D18/AVERAGE(C19:D19)</f>
        <v>0.12883328989662066</v>
      </c>
      <c r="R21" s="44">
        <f>E18/AVERAGE(D19:E19)</f>
        <v>0.1193041975641366</v>
      </c>
      <c r="S21" s="44">
        <f>F18/AVERAGE(E19:F19)</f>
        <v>7.1804968440558226E-2</v>
      </c>
      <c r="T21" s="44">
        <f>G18/AVERAGE(F19:G19)</f>
        <v>7.0445301604159488E-2</v>
      </c>
      <c r="U21" s="44">
        <f>H18/AVERAGE(G19:H19)</f>
        <v>0.16819170227727592</v>
      </c>
      <c r="V21" s="18"/>
      <c r="W21" s="18"/>
      <c r="X21" s="18"/>
      <c r="Y21" s="18"/>
    </row>
    <row r="22" spans="1:25" x14ac:dyDescent="0.25">
      <c r="A22" s="6" t="s">
        <v>29</v>
      </c>
      <c r="B22" s="7"/>
      <c r="C22" s="7"/>
      <c r="D22" s="88">
        <v>8750.1</v>
      </c>
      <c r="E22" s="85">
        <v>10283.73</v>
      </c>
      <c r="F22" s="85">
        <v>12226.85</v>
      </c>
      <c r="G22" s="85">
        <v>15460.13</v>
      </c>
      <c r="H22" s="85">
        <v>22749.91</v>
      </c>
      <c r="I22" s="85"/>
      <c r="J22" s="85">
        <v>26265.89</v>
      </c>
      <c r="K22" s="85"/>
      <c r="L22" s="85"/>
      <c r="M22" s="11"/>
      <c r="N22" s="11"/>
      <c r="O22" s="40" t="s">
        <v>33</v>
      </c>
      <c r="P22" s="45"/>
      <c r="Q22" s="45"/>
      <c r="R22" s="45"/>
      <c r="S22" s="46" t="s">
        <v>5</v>
      </c>
      <c r="T22" s="18"/>
      <c r="U22" s="18"/>
      <c r="V22" s="18"/>
      <c r="W22" s="18"/>
      <c r="X22" s="18"/>
      <c r="Y22" s="18"/>
    </row>
    <row r="23" spans="1:25" x14ac:dyDescent="0.25">
      <c r="A23" s="6" t="s">
        <v>58</v>
      </c>
      <c r="B23" s="7"/>
      <c r="C23" s="7"/>
      <c r="D23" s="88">
        <v>8363.94</v>
      </c>
      <c r="E23" s="85">
        <v>9647.66</v>
      </c>
      <c r="F23" s="85">
        <v>11444.62</v>
      </c>
      <c r="G23" s="85">
        <v>14402.96</v>
      </c>
      <c r="H23" s="85">
        <v>21255.15</v>
      </c>
      <c r="I23" s="85"/>
      <c r="J23" s="85">
        <v>23448.65</v>
      </c>
      <c r="K23" s="85"/>
      <c r="L23" s="85"/>
      <c r="M23" s="11"/>
      <c r="N23" s="11"/>
      <c r="O23" s="42" t="s">
        <v>34</v>
      </c>
      <c r="P23" s="43"/>
      <c r="Q23" s="44">
        <f>D6/AVERAGE(C23:D23)</f>
        <v>0.17386184023319154</v>
      </c>
      <c r="R23" s="44">
        <f>E6/AVERAGE(D23:E23)</f>
        <v>0.20214639454573721</v>
      </c>
      <c r="S23" s="44">
        <f>F6/AVERAGE(E23:F23)</f>
        <v>0.19335605254623969</v>
      </c>
      <c r="T23" s="44">
        <f>G6/AVERAGE(F23:G23)</f>
        <v>0.18912099314519965</v>
      </c>
      <c r="U23" s="44">
        <f>H6/AVERAGE(G23:H23)</f>
        <v>0.20959271256945475</v>
      </c>
      <c r="V23" s="18"/>
      <c r="W23" s="18"/>
      <c r="X23" s="18"/>
      <c r="Y23" s="18"/>
    </row>
    <row r="24" spans="1:25" x14ac:dyDescent="0.25">
      <c r="A24" s="6" t="s">
        <v>59</v>
      </c>
      <c r="B24" s="10"/>
      <c r="C24" s="10"/>
      <c r="D24" s="89">
        <v>274.69</v>
      </c>
      <c r="E24" s="89">
        <v>370.66</v>
      </c>
      <c r="F24" s="89">
        <v>567.1</v>
      </c>
      <c r="G24" s="89">
        <v>528.99</v>
      </c>
      <c r="H24" s="89">
        <v>910.02</v>
      </c>
      <c r="I24" s="89"/>
      <c r="J24" s="89"/>
      <c r="K24" s="89"/>
      <c r="L24" s="89"/>
      <c r="M24" s="11"/>
      <c r="N24" s="11"/>
      <c r="O24" s="42" t="s">
        <v>35</v>
      </c>
      <c r="P24" s="43"/>
      <c r="Q24" s="44">
        <f>D9/AVERAGE(C21:D21)</f>
        <v>7.6179049326569881E-2</v>
      </c>
      <c r="R24" s="44">
        <f>E9/AVERAGE(D21:E21)</f>
        <v>8.8152212182038392E-2</v>
      </c>
      <c r="S24" s="44">
        <f>F9/AVERAGE(E21:F21)</f>
        <v>7.7955360339419591E-2</v>
      </c>
      <c r="T24" s="44">
        <f>G9/AVERAGE(F21:G21)</f>
        <v>6.7661611488796805E-2</v>
      </c>
      <c r="U24" s="44">
        <f>H9/AVERAGE(G21:H21)</f>
        <v>7.3396201463237346E-2</v>
      </c>
      <c r="V24" s="18"/>
      <c r="W24" s="18"/>
      <c r="X24" s="18"/>
      <c r="Y24" s="18"/>
    </row>
    <row r="25" spans="1:25" x14ac:dyDescent="0.25">
      <c r="A25" s="6" t="s">
        <v>60</v>
      </c>
      <c r="B25" s="10"/>
      <c r="C25" s="10"/>
      <c r="D25" s="89">
        <v>170.08</v>
      </c>
      <c r="E25" s="89">
        <v>227.28</v>
      </c>
      <c r="F25" s="89">
        <v>383.7</v>
      </c>
      <c r="G25" s="89">
        <v>261.38</v>
      </c>
      <c r="H25" s="89">
        <v>552.53</v>
      </c>
      <c r="I25" s="89"/>
      <c r="J25" s="89"/>
      <c r="K25" s="89"/>
      <c r="L25" s="89"/>
      <c r="M25" s="11"/>
      <c r="N25" s="11"/>
      <c r="O25" s="42" t="s">
        <v>36</v>
      </c>
      <c r="P25" s="43"/>
      <c r="Q25" s="48">
        <f>Q23-Q24</f>
        <v>9.7682790906621658E-2</v>
      </c>
      <c r="R25" s="48">
        <f>R23-R24</f>
        <v>0.11399418236369882</v>
      </c>
      <c r="S25" s="48">
        <f>S23-S24</f>
        <v>0.1154006922068201</v>
      </c>
      <c r="T25" s="48">
        <f>T23-T24</f>
        <v>0.12145938165640284</v>
      </c>
      <c r="U25" s="48">
        <f>U23-U24</f>
        <v>0.13619651110621739</v>
      </c>
      <c r="V25" s="18"/>
      <c r="W25" s="18"/>
      <c r="X25" s="18"/>
      <c r="Y25" s="18"/>
    </row>
    <row r="27" spans="1:25" x14ac:dyDescent="0.25">
      <c r="A27" s="739" t="s">
        <v>246</v>
      </c>
      <c r="B27" s="739"/>
      <c r="C27" s="739"/>
      <c r="D27" s="739"/>
      <c r="E27" s="739"/>
      <c r="F27" s="739"/>
      <c r="G27" s="739"/>
      <c r="H27" s="739"/>
      <c r="I27" s="739"/>
      <c r="J27" s="739"/>
      <c r="K27" s="739"/>
      <c r="L27" s="739"/>
      <c r="M27" s="739"/>
      <c r="N27" s="739"/>
      <c r="O27" s="739"/>
    </row>
    <row r="28" spans="1:25" x14ac:dyDescent="0.25">
      <c r="A28" s="739"/>
      <c r="B28" s="739"/>
      <c r="C28" s="739"/>
      <c r="D28" s="739"/>
      <c r="E28" s="739"/>
      <c r="F28" s="739"/>
      <c r="G28" s="739"/>
      <c r="H28" s="739"/>
      <c r="I28" s="739"/>
      <c r="J28" s="739"/>
      <c r="K28" s="739"/>
      <c r="L28" s="739"/>
      <c r="M28" s="739"/>
      <c r="N28" s="739"/>
      <c r="O28" s="739"/>
    </row>
    <row r="29" spans="1:25" x14ac:dyDescent="0.25">
      <c r="A29" s="739"/>
      <c r="B29" s="739"/>
      <c r="C29" s="739"/>
      <c r="D29" s="739"/>
      <c r="E29" s="739"/>
      <c r="F29" s="739"/>
      <c r="G29" s="739"/>
      <c r="H29" s="739"/>
      <c r="I29" s="739"/>
      <c r="J29" s="739"/>
      <c r="K29" s="739"/>
      <c r="L29" s="739"/>
      <c r="M29" s="739"/>
      <c r="N29" s="739"/>
      <c r="O29" s="739"/>
    </row>
    <row r="30" spans="1:25" x14ac:dyDescent="0.25">
      <c r="A30" s="739"/>
      <c r="B30" s="739"/>
      <c r="C30" s="739"/>
      <c r="D30" s="739"/>
      <c r="E30" s="739"/>
      <c r="F30" s="739"/>
      <c r="G30" s="739"/>
      <c r="H30" s="739"/>
      <c r="I30" s="739"/>
      <c r="J30" s="739"/>
      <c r="K30" s="739"/>
      <c r="L30" s="739"/>
      <c r="M30" s="739"/>
      <c r="N30" s="739"/>
      <c r="O30" s="739"/>
    </row>
    <row r="31" spans="1:25" x14ac:dyDescent="0.25">
      <c r="A31" s="739"/>
      <c r="B31" s="739"/>
      <c r="C31" s="739"/>
      <c r="D31" s="739"/>
      <c r="E31" s="739"/>
      <c r="F31" s="739"/>
      <c r="G31" s="739"/>
      <c r="H31" s="739"/>
      <c r="I31" s="739"/>
      <c r="J31" s="739"/>
      <c r="K31" s="739"/>
      <c r="L31" s="739"/>
      <c r="M31" s="739"/>
      <c r="N31" s="739"/>
      <c r="O31" s="739"/>
    </row>
    <row r="32" spans="1:25" x14ac:dyDescent="0.25">
      <c r="A32" s="739"/>
      <c r="B32" s="739"/>
      <c r="C32" s="739"/>
      <c r="D32" s="739"/>
      <c r="E32" s="739"/>
      <c r="F32" s="739"/>
      <c r="G32" s="739"/>
      <c r="H32" s="739"/>
      <c r="I32" s="739"/>
      <c r="J32" s="739"/>
      <c r="K32" s="739"/>
      <c r="L32" s="739"/>
      <c r="M32" s="739"/>
      <c r="N32" s="739"/>
      <c r="O32" s="739"/>
    </row>
    <row r="33" spans="1:15" x14ac:dyDescent="0.25">
      <c r="A33" s="739"/>
      <c r="B33" s="739"/>
      <c r="C33" s="739"/>
      <c r="D33" s="739"/>
      <c r="E33" s="739"/>
      <c r="F33" s="739"/>
      <c r="G33" s="739"/>
      <c r="H33" s="739"/>
      <c r="I33" s="739"/>
      <c r="J33" s="739"/>
      <c r="K33" s="739"/>
      <c r="L33" s="739"/>
      <c r="M33" s="739"/>
      <c r="N33" s="739"/>
      <c r="O33" s="739"/>
    </row>
    <row r="34" spans="1:15" x14ac:dyDescent="0.25">
      <c r="A34" s="739"/>
      <c r="B34" s="739"/>
      <c r="C34" s="739"/>
      <c r="D34" s="739"/>
      <c r="E34" s="739"/>
      <c r="F34" s="739"/>
      <c r="G34" s="739"/>
      <c r="H34" s="739"/>
      <c r="I34" s="739"/>
      <c r="J34" s="739"/>
      <c r="K34" s="739"/>
      <c r="L34" s="739"/>
      <c r="M34" s="739"/>
      <c r="N34" s="739"/>
      <c r="O34" s="739"/>
    </row>
    <row r="35" spans="1:15" x14ac:dyDescent="0.25">
      <c r="A35" s="739"/>
      <c r="B35" s="739"/>
      <c r="C35" s="739"/>
      <c r="D35" s="739"/>
      <c r="E35" s="739"/>
      <c r="F35" s="739"/>
      <c r="G35" s="739"/>
      <c r="H35" s="739"/>
      <c r="I35" s="739"/>
      <c r="J35" s="739"/>
      <c r="K35" s="739"/>
      <c r="L35" s="739"/>
      <c r="M35" s="739"/>
      <c r="N35" s="739"/>
      <c r="O35" s="739"/>
    </row>
  </sheetData>
  <mergeCells count="3">
    <mergeCell ref="A2:A4"/>
    <mergeCell ref="J1:L1"/>
    <mergeCell ref="A27:O3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38"/>
  <sheetViews>
    <sheetView workbookViewId="0">
      <selection activeCell="AG6" sqref="AG6"/>
    </sheetView>
  </sheetViews>
  <sheetFormatPr defaultRowHeight="15" x14ac:dyDescent="0.25"/>
  <cols>
    <col min="1" max="1" width="33.85546875" customWidth="1"/>
    <col min="7" max="7" width="10.140625" bestFit="1" customWidth="1"/>
    <col min="9" max="9" width="10.140625" bestFit="1" customWidth="1"/>
    <col min="14" max="14" width="29.42578125" customWidth="1"/>
    <col min="18" max="18" width="11.5703125" customWidth="1"/>
    <col min="19" max="19" width="14.5703125" customWidth="1"/>
  </cols>
  <sheetData>
    <row r="1" spans="1:23" x14ac:dyDescent="0.25">
      <c r="F1" t="s">
        <v>356</v>
      </c>
      <c r="I1" s="772" t="s">
        <v>113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6.5539424632431634E-2</v>
      </c>
      <c r="Q3" s="44">
        <f>E10/AVERAGE(D23:E23)</f>
        <v>0.1670634012446249</v>
      </c>
      <c r="R3" s="44">
        <f>F10/AVERAGE(E23:F23)</f>
        <v>0.12838463274397982</v>
      </c>
      <c r="S3" s="44">
        <f>G10/AVERAGE(F23:G23)</f>
        <v>9.2785801296454792E-2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5638.21</v>
      </c>
      <c r="E5">
        <v>10519.41</v>
      </c>
      <c r="F5" s="85">
        <v>9348.7999999999993</v>
      </c>
      <c r="G5" s="90">
        <v>12440.62</v>
      </c>
      <c r="H5" s="85">
        <v>3839.6</v>
      </c>
      <c r="I5" s="85">
        <v>4139.08</v>
      </c>
      <c r="J5" s="85">
        <v>4169.4799999999996</v>
      </c>
      <c r="K5" s="85"/>
      <c r="L5" s="11"/>
      <c r="M5" s="11"/>
      <c r="N5" s="42" t="s">
        <v>13</v>
      </c>
      <c r="O5" s="46"/>
      <c r="P5" s="47">
        <f>D21/D20</f>
        <v>0.25829385783118275</v>
      </c>
      <c r="Q5" s="47">
        <f>E21/E20</f>
        <v>0.21582689280396639</v>
      </c>
      <c r="R5" s="47">
        <f>F21/F20</f>
        <v>0.4348107431750734</v>
      </c>
      <c r="S5" s="47">
        <f>G21/G20</f>
        <v>1.1097090917945431</v>
      </c>
      <c r="T5" s="18"/>
      <c r="U5" s="18"/>
      <c r="V5" s="18"/>
      <c r="W5" s="18"/>
    </row>
    <row r="6" spans="1:23" x14ac:dyDescent="0.25">
      <c r="A6" s="6" t="s">
        <v>50</v>
      </c>
      <c r="B6" s="7"/>
      <c r="C6" s="8"/>
      <c r="D6">
        <v>4574.4399999999996</v>
      </c>
      <c r="E6">
        <v>10141.58</v>
      </c>
      <c r="F6" s="85">
        <v>8777.6200000000008</v>
      </c>
      <c r="G6" s="85">
        <v>10890.17</v>
      </c>
      <c r="H6" s="85">
        <v>3150.85</v>
      </c>
      <c r="I6" s="85">
        <v>3255.34</v>
      </c>
      <c r="J6" s="85">
        <v>3196.65</v>
      </c>
      <c r="K6" s="85"/>
      <c r="L6" s="11"/>
      <c r="M6" s="11"/>
      <c r="N6" s="42" t="s">
        <v>14</v>
      </c>
      <c r="O6" s="43"/>
      <c r="P6" s="43">
        <v>0.81220000000000003</v>
      </c>
      <c r="Q6" s="43">
        <v>0.80349999999999999</v>
      </c>
      <c r="R6" s="43">
        <v>0.63680000000000003</v>
      </c>
      <c r="S6" s="48">
        <v>0.4108</v>
      </c>
      <c r="T6" s="48">
        <v>0.42720000000000002</v>
      </c>
      <c r="U6" s="18">
        <v>43.27</v>
      </c>
      <c r="V6" s="48">
        <v>0.39679999999999999</v>
      </c>
      <c r="W6" s="18"/>
    </row>
    <row r="7" spans="1:23" x14ac:dyDescent="0.25">
      <c r="A7" s="6" t="s">
        <v>51</v>
      </c>
      <c r="B7" s="7"/>
      <c r="C7" s="8"/>
      <c r="D7" s="87"/>
      <c r="E7" s="85"/>
      <c r="F7" s="85">
        <v>0</v>
      </c>
      <c r="G7" s="85">
        <v>0</v>
      </c>
      <c r="H7" s="85"/>
      <c r="I7" s="85"/>
      <c r="J7" s="85"/>
      <c r="K7" s="85"/>
      <c r="L7" s="11"/>
      <c r="M7" s="11"/>
      <c r="N7" s="42" t="s">
        <v>15</v>
      </c>
      <c r="O7" s="43"/>
      <c r="P7" s="44">
        <f>D20/D23</f>
        <v>0.92127322494993391</v>
      </c>
      <c r="Q7" s="44">
        <f>E20/E23</f>
        <v>1.0723317099306851</v>
      </c>
      <c r="R7" s="44">
        <f>F20/F23</f>
        <v>0.98386358277346275</v>
      </c>
      <c r="S7" s="44">
        <f>G20/G23</f>
        <v>0.61383039500989867</v>
      </c>
      <c r="T7" s="18"/>
      <c r="U7" s="18"/>
      <c r="V7" s="18"/>
      <c r="W7" s="18"/>
    </row>
    <row r="8" spans="1:23" x14ac:dyDescent="0.25">
      <c r="A8" s="6" t="s">
        <v>52</v>
      </c>
      <c r="B8" s="7"/>
      <c r="C8" s="8"/>
      <c r="D8" s="85">
        <f t="shared" ref="D8:J8" si="0">D5-D6-D7</f>
        <v>1063.7700000000004</v>
      </c>
      <c r="E8" s="85">
        <f t="shared" si="0"/>
        <v>377.82999999999993</v>
      </c>
      <c r="F8" s="85">
        <f t="shared" si="0"/>
        <v>571.17999999999847</v>
      </c>
      <c r="G8" s="85">
        <f t="shared" si="0"/>
        <v>1550.4500000000007</v>
      </c>
      <c r="H8" s="85">
        <f t="shared" si="0"/>
        <v>688.75</v>
      </c>
      <c r="I8" s="85">
        <f t="shared" si="0"/>
        <v>883.73999999999978</v>
      </c>
      <c r="J8" s="85">
        <f t="shared" si="0"/>
        <v>972.82999999999947</v>
      </c>
      <c r="K8" s="85"/>
      <c r="L8" s="11"/>
      <c r="M8" s="11"/>
      <c r="N8" s="40" t="s">
        <v>16</v>
      </c>
      <c r="O8" s="45"/>
      <c r="P8" s="45"/>
      <c r="Q8" s="45"/>
      <c r="R8" s="46" t="s">
        <v>5</v>
      </c>
      <c r="S8" s="18"/>
      <c r="T8" s="18"/>
      <c r="U8" s="18"/>
      <c r="V8" s="18"/>
      <c r="W8" s="18"/>
    </row>
    <row r="9" spans="1:23" ht="33.75" x14ac:dyDescent="0.25">
      <c r="A9" s="6" t="s">
        <v>24</v>
      </c>
      <c r="B9" s="7"/>
      <c r="C9" s="7"/>
      <c r="D9" s="88">
        <v>930.68</v>
      </c>
      <c r="E9" s="85">
        <v>1294.3499999999999</v>
      </c>
      <c r="F9" s="85">
        <v>1899.62</v>
      </c>
      <c r="G9" s="85">
        <v>3939.33</v>
      </c>
      <c r="H9" s="85">
        <v>1544.92</v>
      </c>
      <c r="I9" s="85">
        <v>1529.4</v>
      </c>
      <c r="J9" s="85">
        <v>1610.41</v>
      </c>
      <c r="K9" s="85"/>
      <c r="L9" s="11"/>
      <c r="M9" s="11"/>
      <c r="N9" s="49" t="s">
        <v>93</v>
      </c>
      <c r="O9" s="45"/>
      <c r="P9" s="93">
        <f>D14/(D11-D9)</f>
        <v>0.61625523363632306</v>
      </c>
      <c r="Q9" s="93">
        <f>E14/(E11-E9)</f>
        <v>0.4082705153137216</v>
      </c>
      <c r="R9" s="93">
        <f>F14/(F11-F9)</f>
        <v>0.62093948595684356</v>
      </c>
      <c r="S9" s="93">
        <f>G14/(G11-G9)</f>
        <v>0.81737830376331122</v>
      </c>
      <c r="T9" s="18"/>
      <c r="U9" s="18"/>
      <c r="V9" s="18"/>
      <c r="W9" s="18"/>
    </row>
    <row r="10" spans="1:23" ht="22.5" x14ac:dyDescent="0.25">
      <c r="A10" s="6" t="s">
        <v>53</v>
      </c>
      <c r="B10" s="10">
        <f t="shared" ref="B10:H10" si="1">B6-B9</f>
        <v>0</v>
      </c>
      <c r="C10" s="10">
        <f t="shared" si="1"/>
        <v>0</v>
      </c>
      <c r="D10" s="89">
        <f t="shared" si="1"/>
        <v>3643.7599999999998</v>
      </c>
      <c r="E10" s="89">
        <f t="shared" si="1"/>
        <v>8847.23</v>
      </c>
      <c r="F10" s="89">
        <f t="shared" si="1"/>
        <v>6878.0000000000009</v>
      </c>
      <c r="G10" s="89">
        <f t="shared" si="1"/>
        <v>6950.84</v>
      </c>
      <c r="H10" s="89">
        <f t="shared" si="1"/>
        <v>1605.9299999999998</v>
      </c>
      <c r="I10" s="89">
        <f>I6-I9</f>
        <v>1725.94</v>
      </c>
      <c r="J10" s="89">
        <f>J6-J9</f>
        <v>1586.24</v>
      </c>
      <c r="K10" s="89"/>
      <c r="L10" s="11"/>
      <c r="M10" s="11"/>
      <c r="N10" s="42" t="s">
        <v>92</v>
      </c>
      <c r="O10" s="43"/>
      <c r="P10" s="44">
        <f>D14/D11</f>
        <v>0.51453209440584868</v>
      </c>
      <c r="Q10" s="44">
        <f>E14/E11</f>
        <v>0.35803528905138216</v>
      </c>
      <c r="R10" s="44">
        <f>F14/F11</f>
        <v>0.49476831251069658</v>
      </c>
      <c r="S10" s="44">
        <f>G14/G11</f>
        <v>0.5585549594795115</v>
      </c>
      <c r="T10" s="18"/>
      <c r="U10" s="18"/>
      <c r="V10" s="18"/>
      <c r="W10" s="18"/>
    </row>
    <row r="11" spans="1:23" ht="22.5" x14ac:dyDescent="0.25">
      <c r="A11" s="6" t="s">
        <v>1</v>
      </c>
      <c r="B11" s="10">
        <f>B5-B9</f>
        <v>0</v>
      </c>
      <c r="C11" s="10">
        <f t="shared" ref="C11:H11" si="2">SUM(C6:C8)</f>
        <v>0</v>
      </c>
      <c r="D11" s="89">
        <f t="shared" si="2"/>
        <v>5638.21</v>
      </c>
      <c r="E11" s="89">
        <f t="shared" si="2"/>
        <v>10519.41</v>
      </c>
      <c r="F11" s="89">
        <f>SUM(F6:F8)</f>
        <v>9348.7999999999993</v>
      </c>
      <c r="G11" s="89">
        <f>SUM(G6:G8)</f>
        <v>12440.62</v>
      </c>
      <c r="H11" s="89">
        <f t="shared" si="2"/>
        <v>3839.6</v>
      </c>
      <c r="I11" s="89">
        <f>SUM(I6:I8)</f>
        <v>4139.08</v>
      </c>
      <c r="J11" s="89">
        <f>SUM(J6:J8)</f>
        <v>4169.4799999999996</v>
      </c>
      <c r="K11" s="89"/>
      <c r="L11" s="11"/>
      <c r="M11" s="11"/>
      <c r="N11" s="42" t="s">
        <v>17</v>
      </c>
      <c r="O11" s="43"/>
      <c r="P11" s="44">
        <f>D14/AVERAGE(C22:D22)</f>
        <v>4.329463931406477E-2</v>
      </c>
      <c r="Q11" s="44">
        <f>E14/AVERAGE(D22:E22)</f>
        <v>5.5929513416708154E-2</v>
      </c>
      <c r="R11" s="44">
        <f>F14/AVERAGE(E22:F22)</f>
        <v>6.2158045184044594E-2</v>
      </c>
      <c r="S11" s="44">
        <f>G14/AVERAGE(F22:G22)</f>
        <v>6.8330643546695102E-2</v>
      </c>
      <c r="T11" s="18"/>
      <c r="U11" s="18"/>
      <c r="V11" s="18"/>
      <c r="W11" s="18"/>
    </row>
    <row r="12" spans="1:23" x14ac:dyDescent="0.25">
      <c r="A12" s="6" t="s">
        <v>91</v>
      </c>
      <c r="B12" s="10"/>
      <c r="C12" s="10"/>
      <c r="D12" s="89">
        <v>50.94</v>
      </c>
      <c r="E12" s="89">
        <v>4.63</v>
      </c>
      <c r="F12" s="89">
        <v>0.71</v>
      </c>
      <c r="G12" s="89">
        <v>125.5</v>
      </c>
      <c r="H12" s="89">
        <v>19.75</v>
      </c>
      <c r="I12" s="89">
        <v>23.91</v>
      </c>
      <c r="J12" s="89">
        <v>86.55</v>
      </c>
      <c r="K12" s="89"/>
      <c r="L12" s="11"/>
      <c r="M12" s="11"/>
      <c r="N12" s="40" t="s">
        <v>18</v>
      </c>
      <c r="O12" s="45"/>
      <c r="P12" s="45"/>
      <c r="Q12" s="45"/>
      <c r="R12" s="46" t="s">
        <v>5</v>
      </c>
      <c r="S12" s="18"/>
      <c r="T12" s="18"/>
      <c r="U12" s="18"/>
      <c r="V12" s="53"/>
      <c r="W12" s="54"/>
    </row>
    <row r="13" spans="1:23" x14ac:dyDescent="0.25">
      <c r="A13" s="6" t="s">
        <v>25</v>
      </c>
      <c r="B13" s="7"/>
      <c r="C13" s="7"/>
      <c r="D13" s="88">
        <f t="shared" ref="D13:J13" si="3">D11+D12</f>
        <v>5689.15</v>
      </c>
      <c r="E13" s="88">
        <f t="shared" si="3"/>
        <v>10524.039999999999</v>
      </c>
      <c r="F13" s="88">
        <f t="shared" si="3"/>
        <v>9349.5099999999984</v>
      </c>
      <c r="G13" s="88">
        <f t="shared" si="3"/>
        <v>12566.12</v>
      </c>
      <c r="H13" s="88">
        <f t="shared" si="3"/>
        <v>3859.35</v>
      </c>
      <c r="I13" s="88">
        <f t="shared" si="3"/>
        <v>4162.99</v>
      </c>
      <c r="J13" s="88">
        <f t="shared" si="3"/>
        <v>4256.03</v>
      </c>
      <c r="K13" s="88"/>
      <c r="L13" s="11"/>
      <c r="M13" s="11"/>
      <c r="N13" s="42" t="s">
        <v>19</v>
      </c>
      <c r="O13" s="43"/>
      <c r="P13" s="44">
        <f>D24/D23</f>
        <v>0</v>
      </c>
      <c r="Q13" s="44">
        <f>E24/E23</f>
        <v>0</v>
      </c>
      <c r="R13" s="44">
        <f>F24/F23</f>
        <v>0</v>
      </c>
      <c r="S13" s="44">
        <f>G24/G23</f>
        <v>2.2760971305390682E-3</v>
      </c>
      <c r="T13" s="48">
        <v>2.2000000000000001E-3</v>
      </c>
      <c r="U13" s="48">
        <v>1.1999999999999999E-3</v>
      </c>
      <c r="V13" s="48">
        <v>1.1000000000000001E-3</v>
      </c>
      <c r="W13" s="18"/>
    </row>
    <row r="14" spans="1:23" x14ac:dyDescent="0.25">
      <c r="A14" s="6" t="s">
        <v>26</v>
      </c>
      <c r="B14" s="7"/>
      <c r="C14" s="7"/>
      <c r="D14" s="85">
        <f>1465.1+724.33+711.61</f>
        <v>2901.04</v>
      </c>
      <c r="E14" s="85">
        <f>2293.91+772.22+700.19</f>
        <v>3766.32</v>
      </c>
      <c r="F14" s="85">
        <f>2768.24+932.37+924.88</f>
        <v>4625.49</v>
      </c>
      <c r="G14" s="85">
        <f>3808.05+1168.34+1972.38</f>
        <v>6948.77</v>
      </c>
      <c r="H14" s="85">
        <f>1174.49+254.51+552.34</f>
        <v>1981.3400000000001</v>
      </c>
      <c r="I14" s="85">
        <f>1236.76+260.99+518.92</f>
        <v>2016.67</v>
      </c>
      <c r="J14" s="85">
        <f>1248.53+269.3+629.96</f>
        <v>2147.79</v>
      </c>
      <c r="K14" s="85"/>
      <c r="L14" s="11"/>
      <c r="M14" s="11"/>
      <c r="N14" s="42" t="s">
        <v>20</v>
      </c>
      <c r="O14" s="43"/>
      <c r="P14" s="44">
        <f>D25/D23</f>
        <v>0</v>
      </c>
      <c r="Q14" s="44">
        <f>E25/E23</f>
        <v>0</v>
      </c>
      <c r="R14" s="44">
        <f>F25/F23</f>
        <v>0</v>
      </c>
      <c r="S14" s="44">
        <f>G25/G23</f>
        <v>2.2651290241794057E-3</v>
      </c>
      <c r="T14" s="48">
        <v>1.1000000000000001E-3</v>
      </c>
      <c r="U14" s="48">
        <v>5.0000000000000001E-4</v>
      </c>
      <c r="V14" s="48">
        <v>2.9999999999999997E-4</v>
      </c>
      <c r="W14" s="18"/>
    </row>
    <row r="15" spans="1:23" x14ac:dyDescent="0.25">
      <c r="A15" s="6" t="s">
        <v>54</v>
      </c>
      <c r="B15" s="10"/>
      <c r="C15" s="10"/>
      <c r="D15" s="89">
        <f t="shared" ref="D15:I15" si="4">D11-D14</f>
        <v>2737.17</v>
      </c>
      <c r="E15" s="89">
        <f t="shared" si="4"/>
        <v>6753.09</v>
      </c>
      <c r="F15" s="89">
        <f t="shared" si="4"/>
        <v>4723.3099999999995</v>
      </c>
      <c r="G15" s="89">
        <f t="shared" si="4"/>
        <v>5491.85</v>
      </c>
      <c r="H15" s="89">
        <f t="shared" si="4"/>
        <v>1858.2599999999998</v>
      </c>
      <c r="I15" s="89">
        <f t="shared" si="4"/>
        <v>2122.41</v>
      </c>
      <c r="J15" s="89">
        <f>J11-J14</f>
        <v>2021.6899999999996</v>
      </c>
      <c r="K15" s="89">
        <f>K11-K14</f>
        <v>0</v>
      </c>
      <c r="L15" s="11"/>
      <c r="M15" s="11"/>
      <c r="N15" s="42" t="s">
        <v>21</v>
      </c>
      <c r="O15" s="43"/>
      <c r="P15" s="44" t="e">
        <f>(P13-P14)/P13</f>
        <v>#DIV/0!</v>
      </c>
      <c r="Q15" s="44" t="e">
        <f>(Q13-Q14)/Q13</f>
        <v>#DIV/0!</v>
      </c>
      <c r="R15" s="44" t="e">
        <f>(R13-R14)/R13</f>
        <v>#DIV/0!</v>
      </c>
      <c r="S15" s="44">
        <f>(S13-S14)/S13</f>
        <v>4.8188217508383802E-3</v>
      </c>
      <c r="T15" s="44">
        <f>(T13-T14)/T13</f>
        <v>0.5</v>
      </c>
      <c r="U15" s="18"/>
      <c r="V15" s="18"/>
      <c r="W15" s="18"/>
    </row>
    <row r="16" spans="1:23" x14ac:dyDescent="0.25">
      <c r="A16" s="6" t="s">
        <v>94</v>
      </c>
      <c r="B16" s="10"/>
      <c r="C16" s="10"/>
      <c r="D16" s="89">
        <f t="shared" ref="D16:I16" si="5">D13-D14-D9</f>
        <v>1857.4299999999998</v>
      </c>
      <c r="E16" s="89">
        <f t="shared" si="5"/>
        <v>5463.369999999999</v>
      </c>
      <c r="F16" s="89">
        <f t="shared" si="5"/>
        <v>2824.3999999999987</v>
      </c>
      <c r="G16" s="89">
        <f t="shared" si="5"/>
        <v>1678.0200000000004</v>
      </c>
      <c r="H16" s="89">
        <f t="shared" si="5"/>
        <v>333.08999999999969</v>
      </c>
      <c r="I16" s="89">
        <f t="shared" si="5"/>
        <v>616.91999999999962</v>
      </c>
      <c r="J16" s="89">
        <f>J13-J14-J9</f>
        <v>497.8299999999997</v>
      </c>
      <c r="K16" s="89">
        <f>K13-K14-K9</f>
        <v>0</v>
      </c>
      <c r="L16" s="11"/>
      <c r="M16" s="11"/>
      <c r="N16" s="42" t="s">
        <v>22</v>
      </c>
      <c r="O16" s="43"/>
      <c r="P16" s="44">
        <f>D17/AVERAGE(C23:D23)</f>
        <v>4.7884343715409224E-3</v>
      </c>
      <c r="Q16" s="44">
        <f>E17/AVERAGE(D23:E23)</f>
        <v>2.5284134469040351E-2</v>
      </c>
      <c r="R16" s="44">
        <f>F17/AVERAGE(E23:F23)</f>
        <v>-1.8951572786415048E-3</v>
      </c>
      <c r="S16" s="44">
        <f>G17/AVERAGE(F23:G23)</f>
        <v>2.4433756307587402E-3</v>
      </c>
      <c r="T16" s="18"/>
      <c r="U16" s="18"/>
      <c r="V16" s="18"/>
      <c r="W16" s="18"/>
    </row>
    <row r="17" spans="1:23" x14ac:dyDescent="0.25">
      <c r="A17" s="6" t="s">
        <v>27</v>
      </c>
      <c r="B17" s="7"/>
      <c r="C17" s="7"/>
      <c r="D17" s="88">
        <v>266.22000000000003</v>
      </c>
      <c r="E17" s="85">
        <v>1338.98</v>
      </c>
      <c r="F17" s="85">
        <v>-101.53</v>
      </c>
      <c r="G17" s="85">
        <v>183.04</v>
      </c>
      <c r="H17" s="85">
        <v>-114.94</v>
      </c>
      <c r="I17" s="85">
        <v>22.92</v>
      </c>
      <c r="J17" s="85">
        <v>-52.62</v>
      </c>
      <c r="K17" s="85"/>
      <c r="L17" s="11"/>
      <c r="M17" s="11"/>
      <c r="N17" s="18"/>
      <c r="O17" s="18"/>
      <c r="P17" s="18"/>
      <c r="Q17" s="18"/>
      <c r="R17" s="18"/>
      <c r="S17" s="18"/>
      <c r="T17" s="18"/>
      <c r="U17" s="18"/>
      <c r="V17" s="18"/>
      <c r="W17" s="18"/>
    </row>
    <row r="18" spans="1:23" x14ac:dyDescent="0.25">
      <c r="A18" s="6" t="s">
        <v>55</v>
      </c>
      <c r="B18" s="7"/>
      <c r="C18" s="7"/>
      <c r="D18" s="88">
        <v>1120.08</v>
      </c>
      <c r="E18" s="85">
        <v>3028.26</v>
      </c>
      <c r="F18" s="89">
        <v>2045.99</v>
      </c>
      <c r="G18" s="89">
        <v>1166.01</v>
      </c>
      <c r="H18" s="89">
        <v>323.77999999999997</v>
      </c>
      <c r="I18" s="89">
        <v>431.82</v>
      </c>
      <c r="J18" s="89">
        <v>451.25</v>
      </c>
      <c r="K18" s="89"/>
      <c r="L18" s="11"/>
      <c r="M18" s="11"/>
      <c r="N18" s="40" t="s">
        <v>30</v>
      </c>
      <c r="O18" s="45"/>
      <c r="P18" s="45"/>
      <c r="Q18" s="45"/>
      <c r="R18" s="46" t="s">
        <v>5</v>
      </c>
      <c r="S18" s="18"/>
      <c r="T18" s="18"/>
      <c r="U18" s="18"/>
      <c r="V18" s="18"/>
      <c r="W18" s="18"/>
    </row>
    <row r="19" spans="1:23" ht="22.5" x14ac:dyDescent="0.25">
      <c r="A19" s="6" t="s">
        <v>28</v>
      </c>
      <c r="B19" s="7"/>
      <c r="C19" s="7"/>
      <c r="D19" s="88">
        <f>7773.43+43446.1</f>
        <v>51219.53</v>
      </c>
      <c r="E19" s="85">
        <f>7773.43+46184.35</f>
        <v>53957.78</v>
      </c>
      <c r="F19" s="85">
        <f>7773.43+48138.16</f>
        <v>55911.590000000004</v>
      </c>
      <c r="G19" s="85">
        <f>7773.43+49310.9</f>
        <v>57084.33</v>
      </c>
      <c r="H19" s="85"/>
      <c r="I19" s="85">
        <f>7773.43+49975.18</f>
        <v>57748.61</v>
      </c>
      <c r="J19" s="85"/>
      <c r="K19" s="85"/>
      <c r="L19" s="11"/>
      <c r="M19" s="11"/>
      <c r="N19" s="46" t="s">
        <v>95</v>
      </c>
      <c r="O19" s="51"/>
      <c r="P19" s="51"/>
      <c r="Q19" s="52">
        <f>E16/AVERAGE(D22:E22)</f>
        <v>8.1130553355912599E-2</v>
      </c>
      <c r="R19" s="52">
        <f>F16/AVERAGE(E22:F22)</f>
        <v>3.795472108205087E-2</v>
      </c>
      <c r="S19" s="52">
        <f>G16/AVERAGE(F22:G22)</f>
        <v>1.6500788842374312E-2</v>
      </c>
      <c r="T19" s="18"/>
      <c r="U19" s="18"/>
      <c r="V19" s="18"/>
      <c r="W19" s="18"/>
    </row>
    <row r="20" spans="1:23" x14ac:dyDescent="0.25">
      <c r="A20" s="6" t="s">
        <v>56</v>
      </c>
      <c r="B20" s="7"/>
      <c r="C20" s="7"/>
      <c r="D20" s="88">
        <f t="shared" ref="D20:I20" si="6">D19-D71</f>
        <v>51219.53</v>
      </c>
      <c r="E20" s="89">
        <f t="shared" si="6"/>
        <v>53957.78</v>
      </c>
      <c r="F20" s="89">
        <f t="shared" si="6"/>
        <v>55911.590000000004</v>
      </c>
      <c r="G20" s="89">
        <f t="shared" si="6"/>
        <v>57084.33</v>
      </c>
      <c r="H20" s="89">
        <f t="shared" si="6"/>
        <v>0</v>
      </c>
      <c r="I20" s="89">
        <f t="shared" si="6"/>
        <v>57748.61</v>
      </c>
      <c r="J20" s="89"/>
      <c r="K20" s="89"/>
      <c r="L20" s="11"/>
      <c r="M20" s="11"/>
      <c r="N20" s="42" t="s">
        <v>31</v>
      </c>
      <c r="O20" s="43"/>
      <c r="P20" s="43">
        <v>4.4699999999999997E-2</v>
      </c>
      <c r="Q20" s="44">
        <f>E18/AVERAGE(D22:E22)</f>
        <v>4.4969388766562757E-2</v>
      </c>
      <c r="R20" s="44">
        <f>F18/AVERAGE(E22:F22)</f>
        <v>2.7494327923334262E-2</v>
      </c>
      <c r="S20" s="44">
        <f>G18/AVERAGE(F22:G22)</f>
        <v>1.1465944862455075E-2</v>
      </c>
      <c r="T20" s="48"/>
      <c r="U20" s="18"/>
      <c r="V20" s="18"/>
      <c r="W20" s="18"/>
    </row>
    <row r="21" spans="1:23" x14ac:dyDescent="0.25">
      <c r="A21" s="6" t="s">
        <v>57</v>
      </c>
      <c r="B21" s="9"/>
      <c r="C21" s="9"/>
      <c r="D21" s="85">
        <f>12679.69+550</f>
        <v>13229.69</v>
      </c>
      <c r="E21" s="85">
        <f>4000+7645.54</f>
        <v>11645.54</v>
      </c>
      <c r="F21" s="85">
        <f>12191.26+10519.64+1600.06</f>
        <v>24310.960000000003</v>
      </c>
      <c r="G21" s="85">
        <v>63347</v>
      </c>
      <c r="H21" s="85"/>
      <c r="I21" s="85">
        <f>7678.98+48262.67+1577.38</f>
        <v>57519.029999999992</v>
      </c>
      <c r="J21" s="85"/>
      <c r="K21" s="85"/>
      <c r="L21" s="11"/>
      <c r="M21" s="11"/>
      <c r="N21" s="42" t="s">
        <v>32</v>
      </c>
      <c r="O21" s="43"/>
      <c r="P21" s="44">
        <f>D18/AVERAGE(C19:D19)</f>
        <v>2.1868220969618424E-2</v>
      </c>
      <c r="Q21" s="44">
        <f>E18/AVERAGE(D19:E19)</f>
        <v>5.7583902839880581E-2</v>
      </c>
      <c r="R21" s="44">
        <f>F18/AVERAGE(E19:F19)</f>
        <v>3.7244047180756565E-2</v>
      </c>
      <c r="S21" s="44">
        <f>G18/AVERAGE(F19:G19)</f>
        <v>2.063809029564961E-2</v>
      </c>
      <c r="T21" s="18"/>
      <c r="U21" s="18"/>
      <c r="V21" s="18"/>
      <c r="W21" s="18"/>
    </row>
    <row r="22" spans="1:23" x14ac:dyDescent="0.25">
      <c r="A22" s="6" t="s">
        <v>29</v>
      </c>
      <c r="B22" s="7"/>
      <c r="C22" s="7"/>
      <c r="D22" s="88">
        <v>67006.91</v>
      </c>
      <c r="E22" s="85">
        <v>67674.039999999994</v>
      </c>
      <c r="F22" s="85">
        <v>81155.929999999993</v>
      </c>
      <c r="G22" s="85">
        <v>122230.71</v>
      </c>
      <c r="H22" s="85"/>
      <c r="I22" s="85">
        <v>118638.51</v>
      </c>
      <c r="J22" s="85"/>
      <c r="K22" s="85"/>
      <c r="L22" s="11"/>
      <c r="M22" s="11"/>
      <c r="N22" s="40" t="s">
        <v>33</v>
      </c>
      <c r="O22" s="45"/>
      <c r="P22" s="45"/>
      <c r="Q22" s="45"/>
      <c r="R22" s="46" t="s">
        <v>5</v>
      </c>
      <c r="S22" s="18"/>
      <c r="T22" s="18"/>
      <c r="U22" s="18"/>
      <c r="V22" s="18"/>
      <c r="W22" s="18"/>
    </row>
    <row r="23" spans="1:23" x14ac:dyDescent="0.25">
      <c r="A23" s="6" t="s">
        <v>58</v>
      </c>
      <c r="B23" s="7"/>
      <c r="C23" s="7"/>
      <c r="D23" s="88">
        <v>55596.46</v>
      </c>
      <c r="E23" s="85">
        <v>50318.18</v>
      </c>
      <c r="F23" s="85">
        <v>56828.6</v>
      </c>
      <c r="G23" s="85">
        <v>92996.91</v>
      </c>
      <c r="H23" s="85"/>
      <c r="I23" s="85">
        <v>81073.119999999995</v>
      </c>
      <c r="J23" s="85"/>
      <c r="K23" s="85"/>
      <c r="L23" s="11"/>
      <c r="M23" s="11"/>
      <c r="N23" s="42" t="s">
        <v>34</v>
      </c>
      <c r="O23" s="43"/>
      <c r="P23" s="44">
        <f>D6/AVERAGE(C23:D23)</f>
        <v>8.2279339368010115E-2</v>
      </c>
      <c r="Q23" s="44">
        <f>E6/AVERAGE(D23:E23)</f>
        <v>0.19150478158637937</v>
      </c>
      <c r="R23" s="44">
        <f>F6/AVERAGE(E23:F23)</f>
        <v>0.16384290783166794</v>
      </c>
      <c r="S23" s="44">
        <f>G6/AVERAGE(F23:G23)</f>
        <v>0.1453713723383955</v>
      </c>
      <c r="T23" s="18"/>
      <c r="U23" s="18"/>
      <c r="V23" s="18"/>
      <c r="W23" s="18"/>
    </row>
    <row r="24" spans="1:23" x14ac:dyDescent="0.25">
      <c r="A24" s="6" t="s">
        <v>59</v>
      </c>
      <c r="B24" s="10"/>
      <c r="C24" s="10"/>
      <c r="D24" s="89"/>
      <c r="E24" s="89"/>
      <c r="F24" s="89"/>
      <c r="G24" s="89">
        <v>211.67</v>
      </c>
      <c r="H24" s="89"/>
      <c r="I24" s="89"/>
      <c r="J24" s="89"/>
      <c r="K24" s="89"/>
      <c r="L24" s="11"/>
      <c r="M24" s="11"/>
      <c r="N24" s="42" t="s">
        <v>35</v>
      </c>
      <c r="O24" s="43"/>
      <c r="P24" s="44">
        <f>D9/AVERAGE(C21:D21)</f>
        <v>7.0347831279493317E-2</v>
      </c>
      <c r="Q24" s="44">
        <f>E9/AVERAGE(D21:E21)</f>
        <v>0.10406737947749627</v>
      </c>
      <c r="R24" s="44">
        <f>F9/AVERAGE(E21:F21)</f>
        <v>0.1056621195055136</v>
      </c>
      <c r="S24" s="44">
        <f>G9/AVERAGE(F21:G21)</f>
        <v>8.9879572830579207E-2</v>
      </c>
      <c r="T24" s="18"/>
      <c r="U24" s="18"/>
      <c r="V24" s="18"/>
      <c r="W24" s="18"/>
    </row>
    <row r="25" spans="1:23" x14ac:dyDescent="0.25">
      <c r="A25" s="6" t="s">
        <v>60</v>
      </c>
      <c r="B25" s="10"/>
      <c r="C25" s="10"/>
      <c r="D25" s="89"/>
      <c r="E25" s="89"/>
      <c r="F25" s="89"/>
      <c r="G25" s="89">
        <v>210.65</v>
      </c>
      <c r="H25" s="89"/>
      <c r="I25" s="89"/>
      <c r="J25" s="89"/>
      <c r="K25" s="89"/>
      <c r="L25" s="11"/>
      <c r="M25" s="11"/>
      <c r="N25" s="42" t="s">
        <v>36</v>
      </c>
      <c r="O25" s="43"/>
      <c r="P25" s="48">
        <f>P23-P24</f>
        <v>1.1931508088516798E-2</v>
      </c>
      <c r="Q25" s="48">
        <f>Q23-Q24</f>
        <v>8.7437402108883108E-2</v>
      </c>
      <c r="R25" s="48">
        <f>R23-R24</f>
        <v>5.8180788326154337E-2</v>
      </c>
      <c r="S25" s="48">
        <f>S23-S24</f>
        <v>5.5491799507816297E-2</v>
      </c>
      <c r="T25" s="18"/>
      <c r="U25" s="18"/>
      <c r="V25" s="18"/>
      <c r="W25" s="18"/>
    </row>
    <row r="27" spans="1:23" x14ac:dyDescent="0.25">
      <c r="A27" s="739" t="s">
        <v>237</v>
      </c>
      <c r="B27" s="739"/>
      <c r="C27" s="739"/>
      <c r="D27" s="739"/>
      <c r="E27" s="739"/>
      <c r="F27" s="739"/>
      <c r="G27" s="739"/>
      <c r="H27" s="739"/>
      <c r="I27" s="739"/>
      <c r="J27" s="739"/>
      <c r="K27" s="739"/>
      <c r="L27" s="739"/>
      <c r="M27" s="739"/>
      <c r="N27" s="739"/>
      <c r="O27" s="739"/>
    </row>
    <row r="28" spans="1:23" x14ac:dyDescent="0.25">
      <c r="A28" s="739"/>
      <c r="B28" s="739"/>
      <c r="C28" s="739"/>
      <c r="D28" s="739"/>
      <c r="E28" s="739"/>
      <c r="F28" s="739"/>
      <c r="G28" s="739"/>
      <c r="H28" s="739"/>
      <c r="I28" s="739"/>
      <c r="J28" s="739"/>
      <c r="K28" s="739"/>
      <c r="L28" s="739"/>
      <c r="M28" s="739"/>
      <c r="N28" s="739"/>
      <c r="O28" s="739"/>
    </row>
    <row r="29" spans="1:23" x14ac:dyDescent="0.25">
      <c r="A29" s="739"/>
      <c r="B29" s="739"/>
      <c r="C29" s="739"/>
      <c r="D29" s="739"/>
      <c r="E29" s="739"/>
      <c r="F29" s="739"/>
      <c r="G29" s="739"/>
      <c r="H29" s="739"/>
      <c r="I29" s="739"/>
      <c r="J29" s="739"/>
      <c r="K29" s="739"/>
      <c r="L29" s="739"/>
      <c r="M29" s="739"/>
      <c r="N29" s="739"/>
      <c r="O29" s="739"/>
    </row>
    <row r="30" spans="1:23" x14ac:dyDescent="0.25">
      <c r="A30" s="739"/>
      <c r="B30" s="739"/>
      <c r="C30" s="739"/>
      <c r="D30" s="739"/>
      <c r="E30" s="739"/>
      <c r="F30" s="739"/>
      <c r="G30" s="739"/>
      <c r="H30" s="739"/>
      <c r="I30" s="739"/>
      <c r="J30" s="739"/>
      <c r="K30" s="739"/>
      <c r="L30" s="739"/>
      <c r="M30" s="739"/>
      <c r="N30" s="739"/>
      <c r="O30" s="739"/>
    </row>
    <row r="31" spans="1:23" x14ac:dyDescent="0.25">
      <c r="A31" s="739"/>
      <c r="B31" s="739"/>
      <c r="C31" s="739"/>
      <c r="D31" s="739"/>
      <c r="E31" s="739"/>
      <c r="F31" s="739"/>
      <c r="G31" s="739"/>
      <c r="H31" s="739"/>
      <c r="I31" s="739"/>
      <c r="J31" s="739"/>
      <c r="K31" s="739"/>
      <c r="L31" s="739"/>
      <c r="M31" s="739"/>
      <c r="N31" s="739"/>
      <c r="O31" s="739"/>
    </row>
    <row r="32" spans="1:23" x14ac:dyDescent="0.25">
      <c r="A32" s="739"/>
      <c r="B32" s="739"/>
      <c r="C32" s="739"/>
      <c r="D32" s="739"/>
      <c r="E32" s="739"/>
      <c r="F32" s="739"/>
      <c r="G32" s="739"/>
      <c r="H32" s="739"/>
      <c r="I32" s="739"/>
      <c r="J32" s="739"/>
      <c r="K32" s="739"/>
      <c r="L32" s="739"/>
      <c r="M32" s="739"/>
      <c r="N32" s="739"/>
      <c r="O32" s="739"/>
    </row>
    <row r="33" spans="1:15" x14ac:dyDescent="0.25">
      <c r="A33" s="739"/>
      <c r="B33" s="739"/>
      <c r="C33" s="739"/>
      <c r="D33" s="739"/>
      <c r="E33" s="739"/>
      <c r="F33" s="739"/>
      <c r="G33" s="739"/>
      <c r="H33" s="739"/>
      <c r="I33" s="739"/>
      <c r="J33" s="739"/>
      <c r="K33" s="739"/>
      <c r="L33" s="739"/>
      <c r="M33" s="739"/>
      <c r="N33" s="739"/>
      <c r="O33" s="739"/>
    </row>
    <row r="34" spans="1:15" x14ac:dyDescent="0.25">
      <c r="A34" s="739"/>
      <c r="B34" s="739"/>
      <c r="C34" s="739"/>
      <c r="D34" s="739"/>
      <c r="E34" s="739"/>
      <c r="F34" s="739"/>
      <c r="G34" s="739"/>
      <c r="H34" s="739"/>
      <c r="I34" s="739"/>
      <c r="J34" s="739"/>
      <c r="K34" s="739"/>
      <c r="L34" s="739"/>
      <c r="M34" s="739"/>
      <c r="N34" s="739"/>
      <c r="O34" s="739"/>
    </row>
    <row r="35" spans="1:15" x14ac:dyDescent="0.25">
      <c r="A35" s="739"/>
      <c r="B35" s="739"/>
      <c r="C35" s="739"/>
      <c r="D35" s="739"/>
      <c r="E35" s="739"/>
      <c r="F35" s="739"/>
      <c r="G35" s="739"/>
      <c r="H35" s="739"/>
      <c r="I35" s="739"/>
      <c r="J35" s="739"/>
      <c r="K35" s="739"/>
      <c r="L35" s="739"/>
      <c r="M35" s="739"/>
      <c r="N35" s="739"/>
      <c r="O35" s="739"/>
    </row>
    <row r="36" spans="1:15" x14ac:dyDescent="0.25">
      <c r="A36" s="739"/>
      <c r="B36" s="739"/>
      <c r="C36" s="739"/>
      <c r="D36" s="739"/>
      <c r="E36" s="739"/>
      <c r="F36" s="739"/>
      <c r="G36" s="739"/>
      <c r="H36" s="739"/>
      <c r="I36" s="739"/>
      <c r="J36" s="739"/>
      <c r="K36" s="739"/>
      <c r="L36" s="739"/>
      <c r="M36" s="739"/>
      <c r="N36" s="739"/>
      <c r="O36" s="739"/>
    </row>
    <row r="37" spans="1:15" x14ac:dyDescent="0.25">
      <c r="A37" s="739"/>
      <c r="B37" s="739"/>
      <c r="C37" s="739"/>
      <c r="D37" s="739"/>
      <c r="E37" s="739"/>
      <c r="F37" s="739"/>
      <c r="G37" s="739"/>
      <c r="H37" s="739"/>
      <c r="I37" s="739"/>
      <c r="J37" s="739"/>
      <c r="K37" s="739"/>
      <c r="L37" s="739"/>
      <c r="M37" s="739"/>
      <c r="N37" s="739"/>
      <c r="O37" s="739"/>
    </row>
    <row r="38" spans="1:15" x14ac:dyDescent="0.25">
      <c r="A38" s="739"/>
      <c r="B38" s="739"/>
      <c r="C38" s="739"/>
      <c r="D38" s="739"/>
      <c r="E38" s="739"/>
      <c r="F38" s="739"/>
      <c r="G38" s="739"/>
      <c r="H38" s="739"/>
      <c r="I38" s="739"/>
      <c r="J38" s="739"/>
      <c r="K38" s="739"/>
      <c r="L38" s="739"/>
      <c r="M38" s="739"/>
      <c r="N38" s="739"/>
      <c r="O38" s="739"/>
    </row>
  </sheetData>
  <mergeCells count="3">
    <mergeCell ref="A2:A4"/>
    <mergeCell ref="I1:K1"/>
    <mergeCell ref="A27:O38"/>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Y51"/>
  <sheetViews>
    <sheetView topLeftCell="F1" workbookViewId="0">
      <selection activeCell="AG6" sqref="AG6"/>
    </sheetView>
  </sheetViews>
  <sheetFormatPr defaultRowHeight="15" x14ac:dyDescent="0.25"/>
  <cols>
    <col min="1" max="1" width="32.140625" customWidth="1"/>
    <col min="4" max="4" width="12.140625" customWidth="1"/>
    <col min="5" max="5" width="11" customWidth="1"/>
    <col min="6" max="6" width="11.28515625" customWidth="1"/>
    <col min="7" max="8" width="10.85546875" customWidth="1"/>
    <col min="15" max="15" width="34.28515625" customWidth="1"/>
    <col min="17" max="17" width="14.7109375" customWidth="1"/>
    <col min="18" max="18" width="12.7109375" customWidth="1"/>
    <col min="19" max="19" width="13.42578125" customWidth="1"/>
    <col min="20" max="21" width="13.140625" customWidth="1"/>
  </cols>
  <sheetData>
    <row r="1" spans="1:25" x14ac:dyDescent="0.25">
      <c r="A1" t="s">
        <v>357</v>
      </c>
      <c r="J1" s="772" t="s">
        <v>113</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f>D10/AVERAGE(C23:D23)</f>
        <v>3.2165164470503604E-2</v>
      </c>
      <c r="R3" s="44">
        <f>E10/AVERAGE(D23:E23)</f>
        <v>3.061909594569014E-2</v>
      </c>
      <c r="S3" s="44">
        <f>F10/AVERAGE(E23:F23)</f>
        <v>3.4738657585761383E-2</v>
      </c>
      <c r="T3" s="44">
        <f>G10/AVERAGE(F23:G23)</f>
        <v>3.3040728831835814E-2</v>
      </c>
      <c r="U3" s="44">
        <f>H10/AVERAGE(G23:H23)</f>
        <v>4.3591416617695791E-2</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6029.62</v>
      </c>
      <c r="E5">
        <v>7533.96</v>
      </c>
      <c r="F5" s="85">
        <v>9114.49</v>
      </c>
      <c r="G5" s="90">
        <v>11186.13</v>
      </c>
      <c r="H5" s="90">
        <v>17622.88</v>
      </c>
      <c r="I5" s="85"/>
      <c r="J5" s="85"/>
      <c r="K5" s="85"/>
      <c r="L5" s="85"/>
      <c r="M5" s="11"/>
      <c r="N5" s="11"/>
      <c r="O5" s="42" t="s">
        <v>13</v>
      </c>
      <c r="P5" s="46"/>
      <c r="Q5" s="47">
        <f>D21/D20</f>
        <v>4.0033889447692887</v>
      </c>
      <c r="R5" s="47">
        <f>E21/E20</f>
        <v>3.8891735542263595</v>
      </c>
      <c r="S5" s="47">
        <f>F21/F20</f>
        <v>4.5256136316281861</v>
      </c>
      <c r="T5" s="47">
        <f>G21/G20</f>
        <v>5.4352943274607961</v>
      </c>
      <c r="U5" s="47">
        <f>H21/H20</f>
        <v>5.0030224899996965</v>
      </c>
      <c r="V5" s="18"/>
      <c r="W5" s="18"/>
      <c r="X5" s="18"/>
      <c r="Y5" s="18"/>
    </row>
    <row r="6" spans="1:25" x14ac:dyDescent="0.25">
      <c r="A6" s="6" t="s">
        <v>50</v>
      </c>
      <c r="B6" s="7"/>
      <c r="C6" s="8"/>
      <c r="D6">
        <v>5739.38</v>
      </c>
      <c r="E6">
        <v>7168.39</v>
      </c>
      <c r="F6" s="85">
        <v>8779.2099999999991</v>
      </c>
      <c r="G6" s="85">
        <v>10666.12</v>
      </c>
      <c r="H6" s="85">
        <v>16553.97</v>
      </c>
      <c r="I6" s="85"/>
      <c r="J6" s="85"/>
      <c r="K6" s="85"/>
      <c r="L6" s="85"/>
      <c r="M6" s="11"/>
      <c r="N6" s="11"/>
      <c r="O6" s="42" t="s">
        <v>14</v>
      </c>
      <c r="P6" s="43"/>
      <c r="Q6" s="43">
        <v>0.36459999999999998</v>
      </c>
      <c r="R6" s="43">
        <v>0.3654</v>
      </c>
      <c r="S6" s="43">
        <v>0.3654</v>
      </c>
      <c r="T6" s="48">
        <v>0.35659999999999997</v>
      </c>
      <c r="U6" s="48">
        <v>0.3856</v>
      </c>
      <c r="V6" s="48"/>
      <c r="W6" s="18"/>
      <c r="X6" s="18"/>
      <c r="Y6" s="18"/>
    </row>
    <row r="7" spans="1:25" x14ac:dyDescent="0.25">
      <c r="A7" s="6" t="s">
        <v>51</v>
      </c>
      <c r="B7" s="7"/>
      <c r="C7" s="8"/>
      <c r="D7" s="87"/>
      <c r="E7" s="85"/>
      <c r="F7" s="85">
        <v>0</v>
      </c>
      <c r="G7" s="85">
        <v>0</v>
      </c>
      <c r="H7" s="85"/>
      <c r="I7" s="85"/>
      <c r="J7" s="85"/>
      <c r="K7" s="85"/>
      <c r="L7" s="85"/>
      <c r="M7" s="11"/>
      <c r="N7" s="11"/>
      <c r="O7" s="42" t="s">
        <v>15</v>
      </c>
      <c r="P7" s="43"/>
      <c r="Q7" s="44">
        <f>D20/D23</f>
        <v>0.20007875099247407</v>
      </c>
      <c r="R7" s="44">
        <f>E20/E23</f>
        <v>0.21195054633270582</v>
      </c>
      <c r="S7" s="44">
        <f>F20/F23</f>
        <v>0.20554981443309595</v>
      </c>
      <c r="T7" s="44">
        <f>G20/G23</f>
        <v>0.17358781587383523</v>
      </c>
      <c r="U7" s="44">
        <f>H20/H23</f>
        <v>0.1902140241410023</v>
      </c>
      <c r="V7" s="18"/>
      <c r="W7" s="18"/>
      <c r="X7" s="18"/>
      <c r="Y7" s="18"/>
    </row>
    <row r="8" spans="1:25" x14ac:dyDescent="0.25">
      <c r="A8" s="6" t="s">
        <v>52</v>
      </c>
      <c r="B8" s="7"/>
      <c r="C8" s="8"/>
      <c r="D8" s="85">
        <f t="shared" ref="D8:I8" si="0">D5-D6-D7</f>
        <v>290.23999999999978</v>
      </c>
      <c r="E8" s="85">
        <f t="shared" si="0"/>
        <v>365.56999999999971</v>
      </c>
      <c r="F8" s="85">
        <f t="shared" si="0"/>
        <v>335.28000000000065</v>
      </c>
      <c r="G8" s="85">
        <f t="shared" si="0"/>
        <v>520.0099999999984</v>
      </c>
      <c r="H8" s="85">
        <f t="shared" si="0"/>
        <v>1068.9099999999999</v>
      </c>
      <c r="I8" s="85">
        <f t="shared" si="0"/>
        <v>0</v>
      </c>
      <c r="J8" s="85"/>
      <c r="K8" s="85"/>
      <c r="L8" s="85"/>
      <c r="M8" s="11"/>
      <c r="N8" s="11"/>
      <c r="O8" s="40" t="s">
        <v>16</v>
      </c>
      <c r="P8" s="45"/>
      <c r="Q8" s="45"/>
      <c r="R8" s="45"/>
      <c r="S8" s="46" t="s">
        <v>5</v>
      </c>
      <c r="T8" s="18"/>
      <c r="U8" s="18"/>
      <c r="V8" s="18"/>
      <c r="W8" s="18"/>
      <c r="X8" s="18"/>
      <c r="Y8" s="18"/>
    </row>
    <row r="9" spans="1:25" ht="22.5" x14ac:dyDescent="0.25">
      <c r="A9" s="6" t="s">
        <v>24</v>
      </c>
      <c r="B9" s="7"/>
      <c r="C9" s="7"/>
      <c r="D9" s="88">
        <v>3899.76</v>
      </c>
      <c r="E9" s="85">
        <v>5233.84</v>
      </c>
      <c r="F9" s="85">
        <v>6162.39</v>
      </c>
      <c r="G9" s="85">
        <v>7452.17</v>
      </c>
      <c r="H9" s="85">
        <v>10764.66</v>
      </c>
      <c r="I9" s="85"/>
      <c r="J9" s="85"/>
      <c r="K9" s="85"/>
      <c r="L9" s="85"/>
      <c r="M9" s="11"/>
      <c r="N9" s="11"/>
      <c r="O9" s="49" t="s">
        <v>93</v>
      </c>
      <c r="P9" s="45"/>
      <c r="Q9" s="50">
        <f>D14/(D11-D9)</f>
        <v>0.56805142122017427</v>
      </c>
      <c r="R9" s="50">
        <f>E14/(E11-E9)</f>
        <v>0.84657322226666443</v>
      </c>
      <c r="S9" s="50">
        <f>F14/(F11-F9)</f>
        <v>0.65761322448426562</v>
      </c>
      <c r="T9" s="50">
        <f>G14/(G11-G9)</f>
        <v>0.7382992854770809</v>
      </c>
      <c r="U9" s="50">
        <f>H14/(H11-H9)</f>
        <v>0.58471731732140397</v>
      </c>
      <c r="V9" s="18"/>
      <c r="W9" s="18"/>
      <c r="X9" s="18"/>
      <c r="Y9" s="18"/>
    </row>
    <row r="10" spans="1:25" ht="22.5" x14ac:dyDescent="0.25">
      <c r="A10" s="6" t="s">
        <v>53</v>
      </c>
      <c r="B10" s="10">
        <f t="shared" ref="B10:I10" si="1">B6-B9</f>
        <v>0</v>
      </c>
      <c r="C10" s="10">
        <f t="shared" si="1"/>
        <v>0</v>
      </c>
      <c r="D10" s="89">
        <f t="shared" si="1"/>
        <v>1839.62</v>
      </c>
      <c r="E10" s="89">
        <f t="shared" si="1"/>
        <v>1934.5500000000002</v>
      </c>
      <c r="F10" s="89">
        <f t="shared" si="1"/>
        <v>2616.8199999999988</v>
      </c>
      <c r="G10" s="89">
        <f t="shared" si="1"/>
        <v>3213.9500000000007</v>
      </c>
      <c r="H10" s="89">
        <f>H6-H9</f>
        <v>5789.3100000000013</v>
      </c>
      <c r="I10" s="89">
        <f t="shared" si="1"/>
        <v>0</v>
      </c>
      <c r="J10" s="89"/>
      <c r="K10" s="89"/>
      <c r="L10" s="89"/>
      <c r="M10" s="11"/>
      <c r="N10" s="11"/>
      <c r="O10" s="42" t="s">
        <v>92</v>
      </c>
      <c r="P10" s="43"/>
      <c r="Q10" s="44">
        <f>D14/D11</f>
        <v>0.20065443593460286</v>
      </c>
      <c r="R10" s="44">
        <f>E14/E11</f>
        <v>0.2584590308416822</v>
      </c>
      <c r="S10" s="44">
        <f>F14/F11</f>
        <v>0.21299491249647542</v>
      </c>
      <c r="T10" s="44">
        <f>G14/G11</f>
        <v>0.24644626872743303</v>
      </c>
      <c r="U10" s="44">
        <f>H14/H11</f>
        <v>0.22755190979000026</v>
      </c>
      <c r="V10" s="18"/>
      <c r="W10" s="18"/>
      <c r="X10" s="18"/>
      <c r="Y10" s="18"/>
    </row>
    <row r="11" spans="1:25" x14ac:dyDescent="0.25">
      <c r="A11" s="6" t="s">
        <v>1</v>
      </c>
      <c r="B11" s="10">
        <f>B5-B9</f>
        <v>0</v>
      </c>
      <c r="C11" s="10">
        <f t="shared" ref="C11:I11" si="2">SUM(C6:C8)</f>
        <v>0</v>
      </c>
      <c r="D11" s="89">
        <f t="shared" si="2"/>
        <v>6029.62</v>
      </c>
      <c r="E11" s="89">
        <f t="shared" si="2"/>
        <v>7533.96</v>
      </c>
      <c r="F11" s="89">
        <f>SUM(F6:F8)</f>
        <v>9114.49</v>
      </c>
      <c r="G11" s="89">
        <f>SUM(G6:G8)</f>
        <v>11186.13</v>
      </c>
      <c r="H11" s="89">
        <f>SUM(H6:H8)</f>
        <v>17622.88</v>
      </c>
      <c r="I11" s="89">
        <f t="shared" si="2"/>
        <v>0</v>
      </c>
      <c r="J11" s="89"/>
      <c r="K11" s="89"/>
      <c r="L11" s="89"/>
      <c r="M11" s="11"/>
      <c r="N11" s="11"/>
      <c r="O11" s="42" t="s">
        <v>17</v>
      </c>
      <c r="P11" s="43"/>
      <c r="Q11" s="44">
        <f>D14/AVERAGE(C22:D22)</f>
        <v>2.0847329971325813E-2</v>
      </c>
      <c r="R11" s="44">
        <f>E14/AVERAGE(D22:E22)</f>
        <v>2.9832677047735161E-2</v>
      </c>
      <c r="S11" s="44">
        <f>F14/AVERAGE(E22:F22)</f>
        <v>2.3414231960751063E-2</v>
      </c>
      <c r="T11" s="44">
        <f>G14/AVERAGE(F22:G22)</f>
        <v>2.5001528144245212E-2</v>
      </c>
      <c r="U11" s="44">
        <f>H14/AVERAGE(G22:H22)</f>
        <v>2.6499727345129259E-2</v>
      </c>
      <c r="V11" s="18"/>
      <c r="W11" s="18"/>
      <c r="X11" s="18"/>
      <c r="Y11" s="18"/>
    </row>
    <row r="12" spans="1:25" x14ac:dyDescent="0.25">
      <c r="A12" s="6" t="s">
        <v>91</v>
      </c>
      <c r="B12" s="10"/>
      <c r="C12" s="10"/>
      <c r="D12" s="89">
        <v>6.85</v>
      </c>
      <c r="E12" s="89">
        <v>67.819999999999993</v>
      </c>
      <c r="F12" s="89">
        <v>115.69</v>
      </c>
      <c r="G12" s="89">
        <v>177.13</v>
      </c>
      <c r="H12" s="89">
        <v>181.66</v>
      </c>
      <c r="I12" s="89"/>
      <c r="J12" s="89"/>
      <c r="K12" s="89"/>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I13" si="3">D11+D12</f>
        <v>6036.47</v>
      </c>
      <c r="E13" s="88">
        <f t="shared" si="3"/>
        <v>7601.78</v>
      </c>
      <c r="F13" s="88">
        <f t="shared" si="3"/>
        <v>9230.18</v>
      </c>
      <c r="G13" s="88">
        <f t="shared" si="3"/>
        <v>11363.259999999998</v>
      </c>
      <c r="H13" s="88">
        <f t="shared" si="3"/>
        <v>17804.54</v>
      </c>
      <c r="I13" s="88">
        <f t="shared" si="3"/>
        <v>0</v>
      </c>
      <c r="J13" s="88"/>
      <c r="K13" s="88"/>
      <c r="L13" s="88"/>
      <c r="M13" s="11"/>
      <c r="N13" s="11"/>
      <c r="O13" s="42" t="s">
        <v>19</v>
      </c>
      <c r="P13" s="43"/>
      <c r="Q13" s="44">
        <f>D24/D23</f>
        <v>1.5325495651298159E-2</v>
      </c>
      <c r="R13" s="44">
        <f>E24/E23</f>
        <v>1.5968045981032939E-2</v>
      </c>
      <c r="S13" s="44">
        <f>F24/F23</f>
        <v>1.7704296318985353E-2</v>
      </c>
      <c r="T13" s="44">
        <f>G24/G23</f>
        <v>1.6565506430804885E-2</v>
      </c>
      <c r="U13" s="44">
        <f>H24/H23</f>
        <v>2.0619969695928879E-2</v>
      </c>
      <c r="V13" s="48"/>
      <c r="W13" s="18"/>
      <c r="X13" s="18"/>
      <c r="Y13" s="18"/>
    </row>
    <row r="14" spans="1:25" x14ac:dyDescent="0.25">
      <c r="A14" s="6" t="s">
        <v>26</v>
      </c>
      <c r="B14" s="7"/>
      <c r="C14" s="7"/>
      <c r="D14" s="85">
        <f>751.83+75.49+382.55</f>
        <v>1209.8700000000001</v>
      </c>
      <c r="E14" s="85">
        <f>1303.47+88.69+555.06</f>
        <v>1947.22</v>
      </c>
      <c r="F14" s="85">
        <f>1383.7+78.41+479.23</f>
        <v>1941.3400000000001</v>
      </c>
      <c r="G14" s="85">
        <f>1954.88+104.69+697.21</f>
        <v>2756.78</v>
      </c>
      <c r="H14" s="85">
        <f>2933.89+145.85+930.38</f>
        <v>4010.12</v>
      </c>
      <c r="I14" s="85"/>
      <c r="J14" s="85"/>
      <c r="K14" s="85"/>
      <c r="L14" s="85"/>
      <c r="M14" s="11"/>
      <c r="N14" s="11"/>
      <c r="O14" s="42" t="s">
        <v>20</v>
      </c>
      <c r="P14" s="43"/>
      <c r="Q14" s="44">
        <f>D25/D23</f>
        <v>1.2697023915368559E-2</v>
      </c>
      <c r="R14" s="44">
        <f>E25/E23</f>
        <v>1.3157698802895327E-2</v>
      </c>
      <c r="S14" s="44">
        <f>F25/F23</f>
        <v>1.7399098494467843E-2</v>
      </c>
      <c r="T14" s="44">
        <f>G25/G23</f>
        <v>1.3750279616556697E-2</v>
      </c>
      <c r="U14" s="44">
        <f>H25/H23</f>
        <v>1.5957159513781956E-2</v>
      </c>
      <c r="V14" s="48"/>
      <c r="W14" s="18"/>
      <c r="X14" s="18"/>
      <c r="Y14" s="18"/>
    </row>
    <row r="15" spans="1:25" x14ac:dyDescent="0.25">
      <c r="A15" s="6" t="s">
        <v>54</v>
      </c>
      <c r="B15" s="10"/>
      <c r="C15" s="10"/>
      <c r="D15" s="89">
        <f t="shared" ref="D15:I15" si="4">D11-D14</f>
        <v>4819.75</v>
      </c>
      <c r="E15" s="89">
        <f t="shared" si="4"/>
        <v>5586.74</v>
      </c>
      <c r="F15" s="89">
        <f t="shared" si="4"/>
        <v>7173.15</v>
      </c>
      <c r="G15" s="89">
        <f t="shared" si="4"/>
        <v>8429.3499999999985</v>
      </c>
      <c r="H15" s="89">
        <f t="shared" si="4"/>
        <v>13612.760000000002</v>
      </c>
      <c r="I15" s="89">
        <f t="shared" si="4"/>
        <v>0</v>
      </c>
      <c r="J15" s="89"/>
      <c r="K15" s="89"/>
      <c r="L15" s="89"/>
      <c r="M15" s="11"/>
      <c r="N15" s="11"/>
      <c r="O15" s="42" t="s">
        <v>21</v>
      </c>
      <c r="P15" s="43"/>
      <c r="Q15" s="44">
        <f t="shared" ref="Q15:V15" si="5">(Q13-Q14)/Q13</f>
        <v>0.17150973748160331</v>
      </c>
      <c r="R15" s="44">
        <f t="shared" si="5"/>
        <v>0.17599818922589403</v>
      </c>
      <c r="S15" s="44">
        <f t="shared" si="5"/>
        <v>1.7238630613645368E-2</v>
      </c>
      <c r="T15" s="44">
        <f t="shared" si="5"/>
        <v>0.16994511010016869</v>
      </c>
      <c r="U15" s="44">
        <f t="shared" si="5"/>
        <v>0.22613079703349556</v>
      </c>
      <c r="V15" s="44" t="e">
        <f t="shared" si="5"/>
        <v>#DIV/0!</v>
      </c>
      <c r="W15" s="18"/>
      <c r="X15" s="18"/>
      <c r="Y15" s="18"/>
    </row>
    <row r="16" spans="1:25" x14ac:dyDescent="0.25">
      <c r="A16" s="6" t="s">
        <v>94</v>
      </c>
      <c r="B16" s="10"/>
      <c r="C16" s="10"/>
      <c r="D16" s="89">
        <f t="shared" ref="D16:I16" si="6">D13-D14-D9</f>
        <v>926.84000000000015</v>
      </c>
      <c r="E16" s="89">
        <f t="shared" si="6"/>
        <v>420.71999999999935</v>
      </c>
      <c r="F16" s="89">
        <f t="shared" si="6"/>
        <v>1126.4499999999998</v>
      </c>
      <c r="G16" s="89">
        <f t="shared" si="6"/>
        <v>1154.3099999999977</v>
      </c>
      <c r="H16" s="89">
        <f t="shared" si="6"/>
        <v>3029.760000000002</v>
      </c>
      <c r="I16" s="89">
        <f t="shared" si="6"/>
        <v>0</v>
      </c>
      <c r="J16" s="89"/>
      <c r="K16" s="89"/>
      <c r="L16" s="89"/>
      <c r="M16" s="11"/>
      <c r="N16" s="11"/>
      <c r="O16" s="42" t="s">
        <v>22</v>
      </c>
      <c r="P16" s="43"/>
      <c r="Q16" s="44">
        <f>D17/AVERAGE(C23:D23)</f>
        <v>-1.8149096400551605E-3</v>
      </c>
      <c r="R16" s="44">
        <f>E17/AVERAGE(D23:E23)</f>
        <v>8.975776956295199E-4</v>
      </c>
      <c r="S16" s="44">
        <f>F17/AVERAGE(E23:F23)</f>
        <v>4.7416152874413435E-3</v>
      </c>
      <c r="T16" s="44">
        <f>G17/AVERAGE(F23:G23)</f>
        <v>7.6928319932988165E-4</v>
      </c>
      <c r="U16" s="44">
        <f>H17/AVERAGE(G23:H23)</f>
        <v>5.1017071687851877E-3</v>
      </c>
      <c r="V16" s="18"/>
      <c r="W16" s="18"/>
      <c r="X16" s="18"/>
      <c r="Y16" s="18"/>
    </row>
    <row r="17" spans="1:25" x14ac:dyDescent="0.25">
      <c r="A17" s="6" t="s">
        <v>27</v>
      </c>
      <c r="B17" s="7"/>
      <c r="C17" s="7"/>
      <c r="D17" s="88">
        <v>-103.8</v>
      </c>
      <c r="E17" s="85">
        <v>56.71</v>
      </c>
      <c r="F17" s="85">
        <v>357.18</v>
      </c>
      <c r="G17" s="85">
        <v>74.83</v>
      </c>
      <c r="H17" s="85">
        <v>677.55</v>
      </c>
      <c r="I17" s="85"/>
      <c r="J17" s="85"/>
      <c r="K17" s="85"/>
      <c r="L17" s="85"/>
      <c r="M17" s="11"/>
      <c r="N17" s="11"/>
      <c r="O17" s="18"/>
      <c r="P17" s="18"/>
      <c r="Q17" s="18"/>
      <c r="R17" s="18"/>
      <c r="S17" s="18"/>
      <c r="T17" s="18"/>
      <c r="U17" s="18"/>
      <c r="V17" s="18"/>
      <c r="W17" s="18"/>
      <c r="X17" s="18"/>
      <c r="Y17" s="18"/>
    </row>
    <row r="18" spans="1:25" x14ac:dyDescent="0.25">
      <c r="A18" s="6" t="s">
        <v>55</v>
      </c>
      <c r="B18" s="7"/>
      <c r="C18" s="7"/>
      <c r="D18" s="88">
        <v>785.48</v>
      </c>
      <c r="E18" s="85">
        <v>249.06</v>
      </c>
      <c r="F18" s="89">
        <v>577.6</v>
      </c>
      <c r="G18" s="89">
        <v>869.78</v>
      </c>
      <c r="H18" s="89">
        <v>1901.18</v>
      </c>
      <c r="I18" s="89"/>
      <c r="J18" s="89"/>
      <c r="K18" s="89"/>
      <c r="L18" s="89"/>
      <c r="M18" s="11"/>
      <c r="N18" s="11"/>
      <c r="O18" s="40" t="s">
        <v>30</v>
      </c>
      <c r="P18" s="45"/>
      <c r="Q18" s="45"/>
      <c r="R18" s="45"/>
      <c r="S18" s="46" t="s">
        <v>5</v>
      </c>
      <c r="T18" s="18"/>
      <c r="U18" s="18"/>
      <c r="V18" s="18"/>
      <c r="W18" s="18"/>
      <c r="X18" s="18"/>
      <c r="Y18" s="18"/>
    </row>
    <row r="19" spans="1:25" ht="22.5" x14ac:dyDescent="0.25">
      <c r="A19" s="6" t="s">
        <v>28</v>
      </c>
      <c r="B19" s="7"/>
      <c r="C19" s="7"/>
      <c r="D19" s="88">
        <v>11443.09</v>
      </c>
      <c r="E19" s="85">
        <v>14660.49</v>
      </c>
      <c r="F19" s="85">
        <v>16749.87</v>
      </c>
      <c r="G19" s="85">
        <v>19625.25</v>
      </c>
      <c r="H19" s="85">
        <v>29019.119999999999</v>
      </c>
      <c r="I19" s="85"/>
      <c r="J19" s="85"/>
      <c r="K19" s="85"/>
      <c r="L19" s="85"/>
      <c r="M19" s="11"/>
      <c r="N19" s="11"/>
      <c r="O19" s="46" t="s">
        <v>95</v>
      </c>
      <c r="P19" s="51"/>
      <c r="Q19" s="51"/>
      <c r="R19" s="52">
        <f>E16/AVERAGE(D22:E22)</f>
        <v>6.4457040742818567E-3</v>
      </c>
      <c r="S19" s="52">
        <f>F16/AVERAGE(E22:F22)</f>
        <v>1.3585956912332733E-2</v>
      </c>
      <c r="T19" s="52">
        <f>G16/AVERAGE(F22:G22)</f>
        <v>1.0468558953628375E-2</v>
      </c>
      <c r="U19" s="52">
        <f>H16/AVERAGE(G22:H22)</f>
        <v>2.0021299592326135E-2</v>
      </c>
      <c r="V19" s="18"/>
      <c r="W19" s="18"/>
      <c r="X19" s="18"/>
      <c r="Y19" s="18"/>
    </row>
    <row r="20" spans="1:25" x14ac:dyDescent="0.25">
      <c r="A20" s="6" t="s">
        <v>56</v>
      </c>
      <c r="B20" s="7"/>
      <c r="C20" s="7"/>
      <c r="D20" s="88">
        <f t="shared" ref="D20:I20" si="7">D19-D71</f>
        <v>11443.09</v>
      </c>
      <c r="E20" s="89">
        <f t="shared" si="7"/>
        <v>14660.49</v>
      </c>
      <c r="F20" s="89">
        <f t="shared" si="7"/>
        <v>16749.87</v>
      </c>
      <c r="G20" s="89">
        <f t="shared" si="7"/>
        <v>19625.25</v>
      </c>
      <c r="H20" s="89">
        <f t="shared" si="7"/>
        <v>29019.119999999999</v>
      </c>
      <c r="I20" s="89">
        <f t="shared" si="7"/>
        <v>0</v>
      </c>
      <c r="J20" s="89"/>
      <c r="K20" s="89"/>
      <c r="L20" s="89"/>
      <c r="M20" s="11"/>
      <c r="N20" s="11"/>
      <c r="O20" s="42" t="s">
        <v>31</v>
      </c>
      <c r="P20" s="43"/>
      <c r="Q20" s="43">
        <v>4.4699999999999997E-2</v>
      </c>
      <c r="R20" s="44">
        <f>E18/AVERAGE(D22:E22)</f>
        <v>3.8157612111158058E-3</v>
      </c>
      <c r="S20" s="44">
        <f>F18/AVERAGE(E22:F22)</f>
        <v>6.9663533335375637E-3</v>
      </c>
      <c r="T20" s="44">
        <f>G18/AVERAGE(F22:G22)</f>
        <v>7.88812641897489E-3</v>
      </c>
      <c r="U20" s="44">
        <f>H18/AVERAGE(G22:H22)</f>
        <v>1.2563402500177762E-2</v>
      </c>
      <c r="V20" s="48"/>
      <c r="W20" s="18"/>
      <c r="X20" s="18"/>
      <c r="Y20" s="18"/>
    </row>
    <row r="21" spans="1:25" x14ac:dyDescent="0.25">
      <c r="A21" s="6" t="s">
        <v>57</v>
      </c>
      <c r="B21" s="9"/>
      <c r="C21" s="9"/>
      <c r="D21" s="85">
        <f>5255.4+40555.74</f>
        <v>45811.14</v>
      </c>
      <c r="E21" s="85">
        <f>5263+51754.19</f>
        <v>57017.19</v>
      </c>
      <c r="F21" s="85">
        <f>9222.09+66581.35</f>
        <v>75803.44</v>
      </c>
      <c r="G21" s="85">
        <f>11754.39+92914.62+2000</f>
        <v>106669.01</v>
      </c>
      <c r="H21" s="85">
        <f>10784.36+131398.95+3000</f>
        <v>145183.31</v>
      </c>
      <c r="I21" s="85"/>
      <c r="J21" s="85"/>
      <c r="K21" s="85"/>
      <c r="L21" s="85"/>
      <c r="M21" s="11"/>
      <c r="N21" s="11"/>
      <c r="O21" s="42" t="s">
        <v>32</v>
      </c>
      <c r="P21" s="43"/>
      <c r="Q21" s="44">
        <f>D18/AVERAGE(C19:D19)</f>
        <v>6.8642298539992264E-2</v>
      </c>
      <c r="R21" s="44">
        <f>E18/AVERAGE(D19:E19)</f>
        <v>1.9082440033129554E-2</v>
      </c>
      <c r="S21" s="44">
        <f>F18/AVERAGE(E19:F19)</f>
        <v>3.6777674627097558E-2</v>
      </c>
      <c r="T21" s="44">
        <f>G18/AVERAGE(F19:G19)</f>
        <v>4.7822797560530386E-2</v>
      </c>
      <c r="U21" s="44">
        <f>H18/AVERAGE(G19:H19)</f>
        <v>7.8166496965630355E-2</v>
      </c>
      <c r="V21" s="18"/>
      <c r="W21" s="18"/>
      <c r="X21" s="18"/>
      <c r="Y21" s="18"/>
    </row>
    <row r="22" spans="1:25" x14ac:dyDescent="0.25">
      <c r="A22" s="6" t="s">
        <v>29</v>
      </c>
      <c r="B22" s="7"/>
      <c r="C22" s="7"/>
      <c r="D22" s="88">
        <v>58034.77</v>
      </c>
      <c r="E22" s="85">
        <v>72507.990000000005</v>
      </c>
      <c r="F22" s="85">
        <v>93317.65</v>
      </c>
      <c r="G22" s="85">
        <v>127211.27</v>
      </c>
      <c r="H22" s="85">
        <v>175442.41</v>
      </c>
      <c r="I22" s="85"/>
      <c r="J22" s="85"/>
      <c r="K22" s="85"/>
      <c r="L22" s="85"/>
      <c r="M22" s="11"/>
      <c r="N22" s="11"/>
      <c r="O22" s="40" t="s">
        <v>33</v>
      </c>
      <c r="P22" s="45"/>
      <c r="Q22" s="45"/>
      <c r="R22" s="45"/>
      <c r="S22" s="46" t="s">
        <v>5</v>
      </c>
      <c r="T22" s="18"/>
      <c r="U22" s="18"/>
      <c r="V22" s="18"/>
      <c r="W22" s="18"/>
      <c r="X22" s="18"/>
      <c r="Y22" s="18"/>
    </row>
    <row r="23" spans="1:25" x14ac:dyDescent="0.25">
      <c r="A23" s="6" t="s">
        <v>58</v>
      </c>
      <c r="B23" s="7"/>
      <c r="C23" s="7"/>
      <c r="D23" s="88">
        <v>57192.93</v>
      </c>
      <c r="E23" s="85">
        <v>69169.39</v>
      </c>
      <c r="F23" s="85">
        <v>81488.13</v>
      </c>
      <c r="G23" s="85">
        <v>113056.61</v>
      </c>
      <c r="H23" s="85">
        <v>152560.35999999999</v>
      </c>
      <c r="I23" s="85"/>
      <c r="J23" s="85"/>
      <c r="K23" s="85"/>
      <c r="L23" s="85"/>
      <c r="M23" s="11"/>
      <c r="N23" s="11"/>
      <c r="O23" s="42" t="s">
        <v>34</v>
      </c>
      <c r="P23" s="43"/>
      <c r="Q23" s="44">
        <f>D6/AVERAGE(C23:D23)</f>
        <v>0.10035121473930432</v>
      </c>
      <c r="R23" s="44">
        <f>E6/AVERAGE(D23:E23)</f>
        <v>0.11345771429331149</v>
      </c>
      <c r="S23" s="44">
        <f>F6/AVERAGE(E23:F23)</f>
        <v>0.11654526106629126</v>
      </c>
      <c r="T23" s="44">
        <f>G6/AVERAGE(F23:G23)</f>
        <v>0.1096521036754836</v>
      </c>
      <c r="U23" s="44">
        <f>H6/AVERAGE(G23:H23)</f>
        <v>0.124645424575094</v>
      </c>
      <c r="V23" s="18"/>
      <c r="W23" s="18"/>
      <c r="X23" s="18"/>
      <c r="Y23" s="18"/>
    </row>
    <row r="24" spans="1:25" x14ac:dyDescent="0.25">
      <c r="A24" s="6" t="s">
        <v>59</v>
      </c>
      <c r="B24" s="10"/>
      <c r="C24" s="10"/>
      <c r="D24" s="89">
        <v>876.51</v>
      </c>
      <c r="E24" s="89">
        <v>1104.5</v>
      </c>
      <c r="F24" s="89">
        <v>1442.69</v>
      </c>
      <c r="G24" s="89">
        <v>1872.84</v>
      </c>
      <c r="H24" s="89">
        <v>3145.79</v>
      </c>
      <c r="I24" s="89"/>
      <c r="J24" s="89"/>
      <c r="K24" s="89"/>
      <c r="L24" s="89"/>
      <c r="M24" s="11"/>
      <c r="N24" s="11"/>
      <c r="O24" s="42" t="s">
        <v>35</v>
      </c>
      <c r="P24" s="43"/>
      <c r="Q24" s="44">
        <f>D9/AVERAGE(C21:D21)</f>
        <v>8.512689271648774E-2</v>
      </c>
      <c r="R24" s="44">
        <f>E9/AVERAGE(D21:E21)</f>
        <v>0.1017976271714225</v>
      </c>
      <c r="S24" s="44">
        <f>F9/AVERAGE(E21:F21)</f>
        <v>9.2792663308403217E-2</v>
      </c>
      <c r="T24" s="44">
        <f>G9/AVERAGE(F21:G21)</f>
        <v>8.167994675360582E-2</v>
      </c>
      <c r="U24" s="44">
        <f>H9/AVERAGE(G21:H21)</f>
        <v>8.5483905806386845E-2</v>
      </c>
      <c r="V24" s="18"/>
      <c r="W24" s="18"/>
      <c r="X24" s="18"/>
      <c r="Y24" s="18"/>
    </row>
    <row r="25" spans="1:25" x14ac:dyDescent="0.25">
      <c r="A25" s="6" t="s">
        <v>60</v>
      </c>
      <c r="B25" s="10"/>
      <c r="C25" s="10"/>
      <c r="D25" s="89">
        <v>726.18</v>
      </c>
      <c r="E25" s="89">
        <v>910.11</v>
      </c>
      <c r="F25" s="89">
        <v>1417.82</v>
      </c>
      <c r="G25" s="89">
        <v>1554.56</v>
      </c>
      <c r="H25" s="89">
        <v>2434.4299999999998</v>
      </c>
      <c r="I25" s="89"/>
      <c r="J25" s="89"/>
      <c r="K25" s="89"/>
      <c r="L25" s="89"/>
      <c r="M25" s="11"/>
      <c r="N25" s="11"/>
      <c r="O25" s="42" t="s">
        <v>36</v>
      </c>
      <c r="P25" s="43"/>
      <c r="Q25" s="48">
        <f>Q23-Q24</f>
        <v>1.522432202281658E-2</v>
      </c>
      <c r="R25" s="48">
        <f>R23-R24</f>
        <v>1.1660087121888985E-2</v>
      </c>
      <c r="S25" s="48">
        <f>S23-S24</f>
        <v>2.3752597757888044E-2</v>
      </c>
      <c r="T25" s="48">
        <f>T23-T24</f>
        <v>2.797215692187778E-2</v>
      </c>
      <c r="U25" s="48">
        <f>U23-U24</f>
        <v>3.916151876870716E-2</v>
      </c>
      <c r="V25" s="18"/>
      <c r="W25" s="18"/>
      <c r="X25" s="18"/>
      <c r="Y25" s="18"/>
    </row>
    <row r="27" spans="1:25" ht="15" customHeight="1" x14ac:dyDescent="0.25">
      <c r="A27" s="739" t="s">
        <v>247</v>
      </c>
      <c r="B27" s="739"/>
      <c r="C27" s="739"/>
      <c r="D27" s="739"/>
      <c r="E27" s="739"/>
      <c r="F27" s="739"/>
      <c r="G27" s="739"/>
      <c r="H27" s="739"/>
      <c r="I27" s="739"/>
      <c r="J27" s="739"/>
      <c r="K27" s="739"/>
      <c r="L27" s="739"/>
      <c r="M27" s="739"/>
      <c r="N27" s="739"/>
      <c r="O27" s="739"/>
    </row>
    <row r="28" spans="1:25" x14ac:dyDescent="0.25">
      <c r="A28" s="739"/>
      <c r="B28" s="739"/>
      <c r="C28" s="739"/>
      <c r="D28" s="739"/>
      <c r="E28" s="739"/>
      <c r="F28" s="739"/>
      <c r="G28" s="739"/>
      <c r="H28" s="739"/>
      <c r="I28" s="739"/>
      <c r="J28" s="739"/>
      <c r="K28" s="739"/>
      <c r="L28" s="739"/>
      <c r="M28" s="739"/>
      <c r="N28" s="739"/>
      <c r="O28" s="739"/>
    </row>
    <row r="29" spans="1:25" x14ac:dyDescent="0.25">
      <c r="A29" s="739"/>
      <c r="B29" s="739"/>
      <c r="C29" s="739"/>
      <c r="D29" s="739"/>
      <c r="E29" s="739"/>
      <c r="F29" s="739"/>
      <c r="G29" s="739"/>
      <c r="H29" s="739"/>
      <c r="I29" s="739"/>
      <c r="J29" s="739"/>
      <c r="K29" s="739"/>
      <c r="L29" s="739"/>
      <c r="M29" s="739"/>
      <c r="N29" s="739"/>
      <c r="O29" s="739"/>
    </row>
    <row r="30" spans="1:25" x14ac:dyDescent="0.25">
      <c r="A30" s="739"/>
      <c r="B30" s="739"/>
      <c r="C30" s="739"/>
      <c r="D30" s="739"/>
      <c r="E30" s="739"/>
      <c r="F30" s="739"/>
      <c r="G30" s="739"/>
      <c r="H30" s="739"/>
      <c r="I30" s="739"/>
      <c r="J30" s="739"/>
      <c r="K30" s="739"/>
      <c r="L30" s="739"/>
      <c r="M30" s="739"/>
      <c r="N30" s="739"/>
      <c r="O30" s="739"/>
    </row>
    <row r="31" spans="1:25" x14ac:dyDescent="0.25">
      <c r="A31" s="739"/>
      <c r="B31" s="739"/>
      <c r="C31" s="739"/>
      <c r="D31" s="739"/>
      <c r="E31" s="739"/>
      <c r="F31" s="739"/>
      <c r="G31" s="739"/>
      <c r="H31" s="739"/>
      <c r="I31" s="739"/>
      <c r="J31" s="739"/>
      <c r="K31" s="739"/>
      <c r="L31" s="739"/>
      <c r="M31" s="739"/>
      <c r="N31" s="739"/>
      <c r="O31" s="739"/>
    </row>
    <row r="32" spans="1:25" x14ac:dyDescent="0.25">
      <c r="A32" s="739"/>
      <c r="B32" s="739"/>
      <c r="C32" s="739"/>
      <c r="D32" s="739"/>
      <c r="E32" s="739"/>
      <c r="F32" s="739"/>
      <c r="G32" s="739"/>
      <c r="H32" s="739"/>
      <c r="I32" s="739"/>
      <c r="J32" s="739"/>
      <c r="K32" s="739"/>
      <c r="L32" s="739"/>
      <c r="M32" s="739"/>
      <c r="N32" s="739"/>
      <c r="O32" s="739"/>
    </row>
    <row r="33" spans="1:15" x14ac:dyDescent="0.25">
      <c r="A33" s="739"/>
      <c r="B33" s="739"/>
      <c r="C33" s="739"/>
      <c r="D33" s="739"/>
      <c r="E33" s="739"/>
      <c r="F33" s="739"/>
      <c r="G33" s="739"/>
      <c r="H33" s="739"/>
      <c r="I33" s="739"/>
      <c r="J33" s="739"/>
      <c r="K33" s="739"/>
      <c r="L33" s="739"/>
      <c r="M33" s="739"/>
      <c r="N33" s="739"/>
      <c r="O33" s="739"/>
    </row>
    <row r="34" spans="1:15" x14ac:dyDescent="0.25">
      <c r="A34" s="739"/>
      <c r="B34" s="739"/>
      <c r="C34" s="739"/>
      <c r="D34" s="739"/>
      <c r="E34" s="739"/>
      <c r="F34" s="739"/>
      <c r="G34" s="739"/>
      <c r="H34" s="739"/>
      <c r="I34" s="739"/>
      <c r="J34" s="739"/>
      <c r="K34" s="739"/>
      <c r="L34" s="739"/>
      <c r="M34" s="739"/>
      <c r="N34" s="739"/>
      <c r="O34" s="739"/>
    </row>
    <row r="35" spans="1:15" x14ac:dyDescent="0.25">
      <c r="A35" s="739"/>
      <c r="B35" s="739"/>
      <c r="C35" s="739"/>
      <c r="D35" s="739"/>
      <c r="E35" s="739"/>
      <c r="F35" s="739"/>
      <c r="G35" s="739"/>
      <c r="H35" s="739"/>
      <c r="I35" s="739"/>
      <c r="J35" s="739"/>
      <c r="K35" s="739"/>
      <c r="L35" s="739"/>
      <c r="M35" s="739"/>
      <c r="N35" s="739"/>
      <c r="O35" s="739"/>
    </row>
    <row r="36" spans="1:15" x14ac:dyDescent="0.25">
      <c r="A36" s="739"/>
      <c r="B36" s="739"/>
      <c r="C36" s="739"/>
      <c r="D36" s="739"/>
      <c r="E36" s="739"/>
      <c r="F36" s="739"/>
      <c r="G36" s="739"/>
      <c r="H36" s="739"/>
      <c r="I36" s="739"/>
      <c r="J36" s="739"/>
      <c r="K36" s="739"/>
      <c r="L36" s="739"/>
      <c r="M36" s="739"/>
      <c r="N36" s="739"/>
      <c r="O36" s="739"/>
    </row>
    <row r="37" spans="1:15" x14ac:dyDescent="0.25">
      <c r="A37" s="739"/>
      <c r="B37" s="739"/>
      <c r="C37" s="739"/>
      <c r="D37" s="739"/>
      <c r="E37" s="739"/>
      <c r="F37" s="739"/>
      <c r="G37" s="739"/>
      <c r="H37" s="739"/>
      <c r="I37" s="739"/>
      <c r="J37" s="739"/>
      <c r="K37" s="739"/>
      <c r="L37" s="739"/>
      <c r="M37" s="739"/>
      <c r="N37" s="739"/>
      <c r="O37" s="739"/>
    </row>
    <row r="38" spans="1:15" x14ac:dyDescent="0.25">
      <c r="A38" s="739"/>
      <c r="B38" s="739"/>
      <c r="C38" s="739"/>
      <c r="D38" s="739"/>
      <c r="E38" s="739"/>
      <c r="F38" s="739"/>
      <c r="G38" s="739"/>
      <c r="H38" s="739"/>
      <c r="I38" s="739"/>
      <c r="J38" s="739"/>
      <c r="K38" s="739"/>
      <c r="L38" s="739"/>
      <c r="M38" s="739"/>
      <c r="N38" s="739"/>
      <c r="O38" s="739"/>
    </row>
    <row r="39" spans="1:15" x14ac:dyDescent="0.25">
      <c r="A39" s="739"/>
      <c r="B39" s="739"/>
      <c r="C39" s="739"/>
      <c r="D39" s="739"/>
      <c r="E39" s="739"/>
      <c r="F39" s="739"/>
      <c r="G39" s="739"/>
      <c r="H39" s="739"/>
      <c r="I39" s="739"/>
      <c r="J39" s="739"/>
      <c r="K39" s="739"/>
      <c r="L39" s="739"/>
      <c r="M39" s="739"/>
      <c r="N39" s="739"/>
      <c r="O39" s="739"/>
    </row>
    <row r="40" spans="1:15" x14ac:dyDescent="0.25">
      <c r="A40" s="739"/>
      <c r="B40" s="739"/>
      <c r="C40" s="739"/>
      <c r="D40" s="739"/>
      <c r="E40" s="739"/>
      <c r="F40" s="739"/>
      <c r="G40" s="739"/>
      <c r="H40" s="739"/>
      <c r="I40" s="739"/>
      <c r="J40" s="739"/>
      <c r="K40" s="739"/>
      <c r="L40" s="739"/>
      <c r="M40" s="739"/>
      <c r="N40" s="739"/>
      <c r="O40" s="739"/>
    </row>
    <row r="41" spans="1:15" x14ac:dyDescent="0.25">
      <c r="A41" s="739"/>
      <c r="B41" s="739"/>
      <c r="C41" s="739"/>
      <c r="D41" s="739"/>
      <c r="E41" s="739"/>
      <c r="F41" s="739"/>
      <c r="G41" s="739"/>
      <c r="H41" s="739"/>
      <c r="I41" s="739"/>
      <c r="J41" s="739"/>
      <c r="K41" s="739"/>
      <c r="L41" s="739"/>
      <c r="M41" s="739"/>
      <c r="N41" s="739"/>
      <c r="O41" s="739"/>
    </row>
    <row r="42" spans="1:15" x14ac:dyDescent="0.25">
      <c r="A42" s="739"/>
      <c r="B42" s="739"/>
      <c r="C42" s="739"/>
      <c r="D42" s="739"/>
      <c r="E42" s="739"/>
      <c r="F42" s="739"/>
      <c r="G42" s="739"/>
      <c r="H42" s="739"/>
      <c r="I42" s="739"/>
      <c r="J42" s="739"/>
      <c r="K42" s="739"/>
      <c r="L42" s="739"/>
      <c r="M42" s="739"/>
      <c r="N42" s="739"/>
      <c r="O42" s="739"/>
    </row>
    <row r="43" spans="1:15" x14ac:dyDescent="0.25">
      <c r="A43" s="739"/>
      <c r="B43" s="739"/>
      <c r="C43" s="739"/>
      <c r="D43" s="739"/>
      <c r="E43" s="739"/>
      <c r="F43" s="739"/>
      <c r="G43" s="739"/>
      <c r="H43" s="739"/>
      <c r="I43" s="739"/>
      <c r="J43" s="739"/>
      <c r="K43" s="739"/>
      <c r="L43" s="739"/>
      <c r="M43" s="739"/>
      <c r="N43" s="739"/>
      <c r="O43" s="739"/>
    </row>
    <row r="44" spans="1:15" x14ac:dyDescent="0.25">
      <c r="A44" s="739"/>
      <c r="B44" s="739"/>
      <c r="C44" s="739"/>
      <c r="D44" s="739"/>
      <c r="E44" s="739"/>
      <c r="F44" s="739"/>
      <c r="G44" s="739"/>
      <c r="H44" s="739"/>
      <c r="I44" s="739"/>
      <c r="J44" s="739"/>
      <c r="K44" s="739"/>
      <c r="L44" s="739"/>
      <c r="M44" s="739"/>
      <c r="N44" s="739"/>
      <c r="O44" s="739"/>
    </row>
    <row r="45" spans="1:15" x14ac:dyDescent="0.25">
      <c r="A45" s="739"/>
      <c r="B45" s="739"/>
      <c r="C45" s="739"/>
      <c r="D45" s="739"/>
      <c r="E45" s="739"/>
      <c r="F45" s="739"/>
      <c r="G45" s="739"/>
      <c r="H45" s="739"/>
      <c r="I45" s="739"/>
      <c r="J45" s="739"/>
      <c r="K45" s="739"/>
      <c r="L45" s="739"/>
      <c r="M45" s="739"/>
      <c r="N45" s="739"/>
      <c r="O45" s="739"/>
    </row>
    <row r="46" spans="1:15" x14ac:dyDescent="0.25">
      <c r="A46" s="739"/>
      <c r="B46" s="739"/>
      <c r="C46" s="739"/>
      <c r="D46" s="739"/>
      <c r="E46" s="739"/>
      <c r="F46" s="739"/>
      <c r="G46" s="739"/>
      <c r="H46" s="739"/>
      <c r="I46" s="739"/>
      <c r="J46" s="739"/>
      <c r="K46" s="739"/>
      <c r="L46" s="739"/>
      <c r="M46" s="739"/>
      <c r="N46" s="739"/>
      <c r="O46" s="739"/>
    </row>
    <row r="47" spans="1:15" x14ac:dyDescent="0.25">
      <c r="A47" s="739"/>
      <c r="B47" s="739"/>
      <c r="C47" s="739"/>
      <c r="D47" s="739"/>
      <c r="E47" s="739"/>
      <c r="F47" s="739"/>
      <c r="G47" s="739"/>
      <c r="H47" s="739"/>
      <c r="I47" s="739"/>
      <c r="J47" s="739"/>
      <c r="K47" s="739"/>
      <c r="L47" s="739"/>
      <c r="M47" s="739"/>
      <c r="N47" s="739"/>
      <c r="O47" s="739"/>
    </row>
    <row r="48" spans="1:15" x14ac:dyDescent="0.25">
      <c r="A48" s="739"/>
      <c r="B48" s="739"/>
      <c r="C48" s="739"/>
      <c r="D48" s="739"/>
      <c r="E48" s="739"/>
      <c r="F48" s="739"/>
      <c r="G48" s="739"/>
      <c r="H48" s="739"/>
      <c r="I48" s="739"/>
      <c r="J48" s="739"/>
      <c r="K48" s="739"/>
      <c r="L48" s="739"/>
      <c r="M48" s="739"/>
      <c r="N48" s="739"/>
      <c r="O48" s="739"/>
    </row>
    <row r="49" spans="1:15" x14ac:dyDescent="0.25">
      <c r="A49" s="739"/>
      <c r="B49" s="739"/>
      <c r="C49" s="739"/>
      <c r="D49" s="739"/>
      <c r="E49" s="739"/>
      <c r="F49" s="739"/>
      <c r="G49" s="739"/>
      <c r="H49" s="739"/>
      <c r="I49" s="739"/>
      <c r="J49" s="739"/>
      <c r="K49" s="739"/>
      <c r="L49" s="739"/>
      <c r="M49" s="739"/>
      <c r="N49" s="739"/>
      <c r="O49" s="739"/>
    </row>
    <row r="50" spans="1:15" x14ac:dyDescent="0.25">
      <c r="A50" s="739"/>
      <c r="B50" s="739"/>
      <c r="C50" s="739"/>
      <c r="D50" s="739"/>
      <c r="E50" s="739"/>
      <c r="F50" s="739"/>
      <c r="G50" s="739"/>
      <c r="H50" s="739"/>
      <c r="I50" s="739"/>
      <c r="J50" s="739"/>
      <c r="K50" s="739"/>
      <c r="L50" s="739"/>
      <c r="M50" s="739"/>
      <c r="N50" s="739"/>
      <c r="O50" s="739"/>
    </row>
    <row r="51" spans="1:15" x14ac:dyDescent="0.25">
      <c r="A51" s="739"/>
      <c r="B51" s="739"/>
      <c r="C51" s="739"/>
      <c r="D51" s="739"/>
      <c r="E51" s="739"/>
      <c r="F51" s="739"/>
      <c r="G51" s="739"/>
      <c r="H51" s="739"/>
      <c r="I51" s="739"/>
      <c r="J51" s="739"/>
      <c r="K51" s="739"/>
      <c r="L51" s="739"/>
      <c r="M51" s="739"/>
      <c r="N51" s="739"/>
      <c r="O51" s="739"/>
    </row>
  </sheetData>
  <mergeCells count="3">
    <mergeCell ref="A2:A4"/>
    <mergeCell ref="J1:L1"/>
    <mergeCell ref="A27:O5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W47"/>
  <sheetViews>
    <sheetView topLeftCell="E1" workbookViewId="0">
      <selection activeCell="AG6" sqref="AG6"/>
    </sheetView>
  </sheetViews>
  <sheetFormatPr defaultRowHeight="15" x14ac:dyDescent="0.25"/>
  <cols>
    <col min="1" max="1" width="30" customWidth="1"/>
    <col min="4" max="4" width="10.7109375" customWidth="1"/>
    <col min="5" max="5" width="11.140625" customWidth="1"/>
    <col min="6" max="6" width="12.140625" customWidth="1"/>
    <col min="7" max="7" width="11.42578125" customWidth="1"/>
    <col min="14" max="14" width="28" customWidth="1"/>
    <col min="16" max="17" width="15.140625" customWidth="1"/>
  </cols>
  <sheetData>
    <row r="1" spans="1:23" x14ac:dyDescent="0.25">
      <c r="G1" t="s">
        <v>358</v>
      </c>
      <c r="I1" s="772" t="s">
        <v>111</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9.3100259662625348E-3</v>
      </c>
      <c r="Q3" s="44">
        <f>E10/AVERAGE(D23:E23)</f>
        <v>3.3702689514564087E-2</v>
      </c>
      <c r="R3" s="44">
        <f>F10/AVERAGE(E23:F23)</f>
        <v>0</v>
      </c>
      <c r="S3" s="44" t="e">
        <f>G10/AVERAGE(F23:G23)</f>
        <v>#DIV/0!</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2157.23</v>
      </c>
      <c r="E5">
        <v>2245.5700000000002</v>
      </c>
      <c r="F5" s="85"/>
      <c r="G5" s="90"/>
      <c r="H5" s="85"/>
      <c r="I5" s="85"/>
      <c r="J5" s="85"/>
      <c r="K5" s="85"/>
      <c r="L5" s="11"/>
      <c r="M5" s="11"/>
      <c r="N5" s="42" t="s">
        <v>13</v>
      </c>
      <c r="O5" s="46"/>
      <c r="P5" s="47">
        <f>D21/D20</f>
        <v>3.8089129765933776</v>
      </c>
      <c r="Q5" s="47">
        <f>E21/E20</f>
        <v>3.0000219096979621</v>
      </c>
      <c r="R5" s="47" t="e">
        <f>F21/F20</f>
        <v>#DIV/0!</v>
      </c>
      <c r="S5" s="47" t="e">
        <f>G21/G20</f>
        <v>#DIV/0!</v>
      </c>
      <c r="T5" s="18"/>
      <c r="U5" s="18"/>
      <c r="V5" s="18"/>
      <c r="W5" s="18"/>
    </row>
    <row r="6" spans="1:23" x14ac:dyDescent="0.25">
      <c r="A6" s="6" t="s">
        <v>50</v>
      </c>
      <c r="B6" s="7"/>
      <c r="C6" s="8"/>
      <c r="D6">
        <v>1955.49</v>
      </c>
      <c r="E6">
        <v>2057.65</v>
      </c>
      <c r="F6" s="85"/>
      <c r="G6" s="85"/>
      <c r="H6" s="85"/>
      <c r="I6" s="85"/>
      <c r="J6" s="85"/>
      <c r="K6" s="85"/>
      <c r="L6" s="11"/>
      <c r="M6" s="11"/>
      <c r="N6" s="42" t="s">
        <v>14</v>
      </c>
      <c r="O6" s="43"/>
      <c r="P6" s="43">
        <v>7.9699999999999993E-2</v>
      </c>
      <c r="Q6" s="43">
        <v>0.13539999999999999</v>
      </c>
      <c r="R6" s="43"/>
      <c r="S6" s="48"/>
      <c r="T6" s="48"/>
      <c r="U6" s="18"/>
      <c r="V6" s="18"/>
      <c r="W6" s="18"/>
    </row>
    <row r="7" spans="1:23" x14ac:dyDescent="0.25">
      <c r="A7" s="6" t="s">
        <v>51</v>
      </c>
      <c r="B7" s="7"/>
      <c r="C7" s="8"/>
      <c r="D7" s="87"/>
      <c r="E7" s="85"/>
      <c r="F7" s="85">
        <v>0</v>
      </c>
      <c r="G7" s="85">
        <v>0</v>
      </c>
      <c r="H7" s="85"/>
      <c r="I7" s="85"/>
      <c r="J7" s="85"/>
      <c r="K7" s="85"/>
      <c r="L7" s="11"/>
      <c r="M7" s="11"/>
      <c r="N7" s="42" t="s">
        <v>15</v>
      </c>
      <c r="O7" s="43"/>
      <c r="P7" s="44">
        <f>D20/D23</f>
        <v>0.197329584726607</v>
      </c>
      <c r="Q7" s="44">
        <f>E20/E23</f>
        <v>0.24680318506889309</v>
      </c>
      <c r="R7" s="44" t="e">
        <f>F20/F23</f>
        <v>#DIV/0!</v>
      </c>
      <c r="S7" s="44" t="e">
        <f>G20/G23</f>
        <v>#DIV/0!</v>
      </c>
      <c r="T7" s="18"/>
      <c r="U7" s="18"/>
      <c r="V7" s="18"/>
      <c r="W7" s="18"/>
    </row>
    <row r="8" spans="1:23" x14ac:dyDescent="0.25">
      <c r="A8" s="6" t="s">
        <v>52</v>
      </c>
      <c r="B8" s="7"/>
      <c r="C8" s="8"/>
      <c r="D8" s="85">
        <f>D5-D6-D7</f>
        <v>201.74</v>
      </c>
      <c r="E8" s="85">
        <f>E5-E6-E7</f>
        <v>187.92000000000007</v>
      </c>
      <c r="F8" s="85">
        <f>F5-F6-F7</f>
        <v>0</v>
      </c>
      <c r="G8" s="85">
        <f>G5-G6-G7</f>
        <v>0</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v>1756.14</v>
      </c>
      <c r="E9" s="85">
        <v>1416.35</v>
      </c>
      <c r="F9" s="85"/>
      <c r="G9" s="85"/>
      <c r="H9" s="85"/>
      <c r="I9" s="85"/>
      <c r="J9" s="85"/>
      <c r="K9" s="85"/>
      <c r="L9" s="11"/>
      <c r="M9" s="11"/>
      <c r="N9" s="49" t="s">
        <v>93</v>
      </c>
      <c r="O9" s="45"/>
      <c r="P9" s="45"/>
      <c r="Q9" s="50">
        <f>D14/(D11-D9)</f>
        <v>0.78914956742875675</v>
      </c>
      <c r="R9" s="50">
        <f>E14/(E11-E9)</f>
        <v>0.68336509008465762</v>
      </c>
      <c r="S9" s="50" t="e">
        <f>F14/(F11-F9)</f>
        <v>#DIV/0!</v>
      </c>
      <c r="T9" s="18"/>
      <c r="U9" s="18"/>
      <c r="V9" s="18"/>
      <c r="W9" s="18"/>
    </row>
    <row r="10" spans="1:23" ht="22.5" x14ac:dyDescent="0.25">
      <c r="A10" s="6" t="s">
        <v>53</v>
      </c>
      <c r="B10" s="10">
        <f t="shared" ref="B10:H10" si="0">B6-B9</f>
        <v>0</v>
      </c>
      <c r="C10" s="10">
        <f t="shared" si="0"/>
        <v>0</v>
      </c>
      <c r="D10" s="89">
        <f t="shared" si="0"/>
        <v>199.34999999999991</v>
      </c>
      <c r="E10" s="89">
        <f t="shared" si="0"/>
        <v>641.30000000000018</v>
      </c>
      <c r="F10" s="89">
        <f t="shared" si="0"/>
        <v>0</v>
      </c>
      <c r="G10" s="89">
        <f t="shared" si="0"/>
        <v>0</v>
      </c>
      <c r="H10" s="89">
        <f t="shared" si="0"/>
        <v>0</v>
      </c>
      <c r="I10" s="89"/>
      <c r="J10" s="89"/>
      <c r="K10" s="89"/>
      <c r="L10" s="11"/>
      <c r="M10" s="11"/>
      <c r="N10" s="42" t="s">
        <v>92</v>
      </c>
      <c r="O10" s="43"/>
      <c r="P10" s="44">
        <f>D14/D11</f>
        <v>0.14672519851847043</v>
      </c>
      <c r="Q10" s="44">
        <f>E14/E11</f>
        <v>0.25234572959204121</v>
      </c>
      <c r="R10" s="44" t="e">
        <f>F14/F11</f>
        <v>#DIV/0!</v>
      </c>
      <c r="S10" s="44" t="e">
        <f>G14/G11</f>
        <v>#DIV/0!</v>
      </c>
      <c r="T10" s="18"/>
      <c r="U10" s="18"/>
      <c r="V10" s="18"/>
      <c r="W10" s="18"/>
    </row>
    <row r="11" spans="1:23" ht="22.5" x14ac:dyDescent="0.25">
      <c r="A11" s="6" t="s">
        <v>1</v>
      </c>
      <c r="B11" s="10">
        <f>B5-B9</f>
        <v>0</v>
      </c>
      <c r="C11" s="10">
        <f t="shared" ref="C11:H11" si="1">SUM(C6:C8)</f>
        <v>0</v>
      </c>
      <c r="D11" s="89">
        <f t="shared" si="1"/>
        <v>2157.23</v>
      </c>
      <c r="E11" s="89">
        <f t="shared" si="1"/>
        <v>2245.5700000000002</v>
      </c>
      <c r="F11" s="89">
        <f>SUM(F6:F8)</f>
        <v>0</v>
      </c>
      <c r="G11" s="89">
        <f>SUM(G6:G8)</f>
        <v>0</v>
      </c>
      <c r="H11" s="89">
        <f t="shared" si="1"/>
        <v>0</v>
      </c>
      <c r="I11" s="89"/>
      <c r="J11" s="89"/>
      <c r="K11" s="89"/>
      <c r="L11" s="11"/>
      <c r="M11" s="11"/>
      <c r="N11" s="42" t="s">
        <v>17</v>
      </c>
      <c r="O11" s="43"/>
      <c r="P11" s="44">
        <f>D14/AVERAGE(C22:D22)</f>
        <v>1.4222070449842849E-2</v>
      </c>
      <c r="Q11" s="44">
        <f>E14/AVERAGE(D22:E22)</f>
        <v>2.7856082967533596E-2</v>
      </c>
      <c r="R11" s="44">
        <f>F14/AVERAGE(E22:F22)</f>
        <v>0</v>
      </c>
      <c r="S11" s="44" t="e">
        <f>G14/AVERAGE(F22:G22)</f>
        <v>#DIV/0!</v>
      </c>
      <c r="T11" s="18"/>
      <c r="U11" s="18"/>
      <c r="V11" s="18"/>
      <c r="W11" s="18"/>
    </row>
    <row r="12" spans="1:23" x14ac:dyDescent="0.25">
      <c r="A12" s="6" t="s">
        <v>91</v>
      </c>
      <c r="B12" s="10"/>
      <c r="C12" s="10"/>
      <c r="D12" s="89">
        <v>308.97000000000003</v>
      </c>
      <c r="E12" s="89">
        <v>18.489999999999998</v>
      </c>
      <c r="F12" s="89"/>
      <c r="G12" s="89"/>
      <c r="H12" s="89"/>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2466.1999999999998</v>
      </c>
      <c r="E13" s="88">
        <f>E11+E12</f>
        <v>2264.06</v>
      </c>
      <c r="F13" s="88">
        <f>F11+F12</f>
        <v>0</v>
      </c>
      <c r="G13" s="88">
        <f>G11+G12</f>
        <v>0</v>
      </c>
      <c r="H13" s="88">
        <f>H11+H12</f>
        <v>0</v>
      </c>
      <c r="I13" s="88"/>
      <c r="J13" s="88"/>
      <c r="K13" s="88"/>
      <c r="L13" s="11"/>
      <c r="M13" s="11"/>
      <c r="N13" s="42" t="s">
        <v>19</v>
      </c>
      <c r="O13" s="43"/>
      <c r="P13" s="44">
        <f>D24/D23</f>
        <v>0.40209364667202185</v>
      </c>
      <c r="Q13" s="44">
        <f>E24/E23</f>
        <v>0.46711860374154873</v>
      </c>
      <c r="R13" s="44" t="e">
        <f>F24/F23</f>
        <v>#DIV/0!</v>
      </c>
      <c r="S13" s="44" t="e">
        <f>G24/G23</f>
        <v>#DIV/0!</v>
      </c>
      <c r="T13" s="48"/>
      <c r="U13" s="18"/>
      <c r="V13" s="18"/>
      <c r="W13" s="18"/>
    </row>
    <row r="14" spans="1:23" x14ac:dyDescent="0.25">
      <c r="A14" s="6" t="s">
        <v>26</v>
      </c>
      <c r="B14" s="7"/>
      <c r="C14" s="7"/>
      <c r="D14" s="85">
        <f>112.12+32.81+58.78+112.81</f>
        <v>316.52</v>
      </c>
      <c r="E14" s="85">
        <f>275.5+143.92+30.66+116.58</f>
        <v>566.66</v>
      </c>
      <c r="F14" s="85"/>
      <c r="G14" s="85"/>
      <c r="H14" s="85"/>
      <c r="I14" s="85"/>
      <c r="J14" s="85"/>
      <c r="K14" s="85"/>
      <c r="L14" s="11"/>
      <c r="M14" s="11"/>
      <c r="N14" s="42" t="s">
        <v>20</v>
      </c>
      <c r="O14" s="43"/>
      <c r="P14" s="44">
        <f>D25/D23</f>
        <v>0.19004548766135509</v>
      </c>
      <c r="Q14" s="44">
        <f>E25/E23</f>
        <v>0.21004259215532889</v>
      </c>
      <c r="R14" s="44" t="e">
        <f>F25/F23</f>
        <v>#DIV/0!</v>
      </c>
      <c r="S14" s="44" t="e">
        <f>G25/G23</f>
        <v>#DIV/0!</v>
      </c>
      <c r="T14" s="48"/>
      <c r="U14" s="18"/>
      <c r="V14" s="18"/>
      <c r="W14" s="18"/>
    </row>
    <row r="15" spans="1:23" x14ac:dyDescent="0.25">
      <c r="A15" s="6" t="s">
        <v>54</v>
      </c>
      <c r="B15" s="10"/>
      <c r="C15" s="10"/>
      <c r="D15" s="89">
        <f>D11-D14</f>
        <v>1840.71</v>
      </c>
      <c r="E15" s="89">
        <f>E11-E14</f>
        <v>1678.9100000000003</v>
      </c>
      <c r="F15" s="89">
        <f>F11-F14</f>
        <v>0</v>
      </c>
      <c r="G15" s="89">
        <f>G11-G14</f>
        <v>0</v>
      </c>
      <c r="H15" s="89">
        <f>H11-H14</f>
        <v>0</v>
      </c>
      <c r="I15" s="89"/>
      <c r="J15" s="89"/>
      <c r="K15" s="89"/>
      <c r="L15" s="11"/>
      <c r="M15" s="11"/>
      <c r="N15" s="42" t="s">
        <v>21</v>
      </c>
      <c r="O15" s="43"/>
      <c r="P15" s="44">
        <f>(P13-P14)/P13</f>
        <v>0.52736013305783302</v>
      </c>
      <c r="Q15" s="44">
        <f>(Q13-Q14)/Q13</f>
        <v>0.55034419423050207</v>
      </c>
      <c r="R15" s="44" t="e">
        <f>(R13-R14)/R13</f>
        <v>#DIV/0!</v>
      </c>
      <c r="S15" s="44" t="e">
        <f>(S13-S14)/S13</f>
        <v>#DIV/0!</v>
      </c>
      <c r="T15" s="44" t="e">
        <f>(T13-T14)/T13</f>
        <v>#DIV/0!</v>
      </c>
      <c r="U15" s="18"/>
      <c r="V15" s="18"/>
      <c r="W15" s="18"/>
    </row>
    <row r="16" spans="1:23" x14ac:dyDescent="0.25">
      <c r="A16" s="6" t="s">
        <v>94</v>
      </c>
      <c r="B16" s="10"/>
      <c r="C16" s="10"/>
      <c r="D16" s="89">
        <f>D13-D14-D9</f>
        <v>393.53999999999974</v>
      </c>
      <c r="E16" s="89">
        <f>E13-E14-E9</f>
        <v>281.05000000000018</v>
      </c>
      <c r="F16" s="89">
        <f>F13-F14-F9</f>
        <v>0</v>
      </c>
      <c r="G16" s="89">
        <f>G13-G14-G9</f>
        <v>0</v>
      </c>
      <c r="H16" s="89">
        <f>H13-H14-H9</f>
        <v>0</v>
      </c>
      <c r="I16" s="89"/>
      <c r="J16" s="89"/>
      <c r="K16" s="89"/>
      <c r="L16" s="11"/>
      <c r="M16" s="11"/>
      <c r="N16" s="42" t="s">
        <v>22</v>
      </c>
      <c r="O16" s="43"/>
      <c r="P16" s="44">
        <f>D17/AVERAGE(C23:D23)</f>
        <v>5.0663634155909652E-2</v>
      </c>
      <c r="Q16" s="44">
        <f>E17/AVERAGE(D23:E23)</f>
        <v>2.217556037356223E-2</v>
      </c>
      <c r="R16" s="44">
        <f>F17/AVERAGE(E23:F23)</f>
        <v>0</v>
      </c>
      <c r="S16" s="44" t="e">
        <f>G17/AVERAGE(F23:G23)</f>
        <v>#DIV/0!</v>
      </c>
      <c r="T16" s="18"/>
      <c r="U16" s="18"/>
      <c r="V16" s="18"/>
      <c r="W16" s="18"/>
    </row>
    <row r="17" spans="1:23" x14ac:dyDescent="0.25">
      <c r="A17" s="6" t="s">
        <v>27</v>
      </c>
      <c r="B17" s="7"/>
      <c r="C17" s="7"/>
      <c r="D17" s="88">
        <v>1084.83</v>
      </c>
      <c r="E17" s="85">
        <v>421.96</v>
      </c>
      <c r="F17" s="85"/>
      <c r="G17" s="85"/>
      <c r="H17" s="85"/>
      <c r="I17" s="85"/>
      <c r="J17" s="85"/>
      <c r="K17" s="85"/>
      <c r="L17" s="11"/>
      <c r="M17" s="11"/>
      <c r="N17" s="18"/>
      <c r="O17" s="18"/>
      <c r="P17" s="18"/>
      <c r="Q17" s="18"/>
      <c r="R17" s="18"/>
      <c r="S17" s="18"/>
      <c r="T17" s="18"/>
      <c r="U17" s="18"/>
      <c r="V17" s="18"/>
      <c r="W17" s="18"/>
    </row>
    <row r="18" spans="1:23" x14ac:dyDescent="0.25">
      <c r="A18" s="6" t="s">
        <v>55</v>
      </c>
      <c r="B18" s="7"/>
      <c r="C18" s="7"/>
      <c r="D18" s="88">
        <v>-443.83</v>
      </c>
      <c r="E18" s="85">
        <v>-277.88</v>
      </c>
      <c r="F18" s="89"/>
      <c r="G18" s="89"/>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v>4225.3</v>
      </c>
      <c r="E19" s="85">
        <v>4107.7700000000004</v>
      </c>
      <c r="F19" s="85"/>
      <c r="G19" s="85"/>
      <c r="H19" s="85"/>
      <c r="I19" s="85"/>
      <c r="J19" s="85"/>
      <c r="K19" s="85"/>
      <c r="L19" s="11"/>
      <c r="M19" s="11"/>
      <c r="N19" s="46" t="s">
        <v>95</v>
      </c>
      <c r="O19" s="51"/>
      <c r="P19" s="51"/>
      <c r="Q19" s="52">
        <f>E16/AVERAGE(D22:E22)</f>
        <v>1.3815960396049346E-2</v>
      </c>
      <c r="R19" s="52">
        <f>F16/AVERAGE(E22:F22)</f>
        <v>0</v>
      </c>
      <c r="S19" s="52" t="e">
        <f>G16/AVERAGE(F22:G22)</f>
        <v>#DIV/0!</v>
      </c>
      <c r="T19" s="18"/>
      <c r="U19" s="18"/>
      <c r="V19" s="18"/>
      <c r="W19" s="18"/>
    </row>
    <row r="20" spans="1:23" x14ac:dyDescent="0.25">
      <c r="A20" s="6" t="s">
        <v>56</v>
      </c>
      <c r="B20" s="7"/>
      <c r="C20" s="7"/>
      <c r="D20" s="88">
        <f>D19-D71</f>
        <v>4225.3</v>
      </c>
      <c r="E20" s="89">
        <f>E19-E71</f>
        <v>4107.7700000000004</v>
      </c>
      <c r="F20" s="89">
        <f>F19-F71</f>
        <v>0</v>
      </c>
      <c r="G20" s="89">
        <f>G19-G71</f>
        <v>0</v>
      </c>
      <c r="H20" s="89">
        <f>H19-H71</f>
        <v>0</v>
      </c>
      <c r="I20" s="89"/>
      <c r="J20" s="89"/>
      <c r="K20" s="89"/>
      <c r="L20" s="11"/>
      <c r="M20" s="11"/>
      <c r="N20" s="42" t="s">
        <v>31</v>
      </c>
      <c r="O20" s="43"/>
      <c r="P20" s="43">
        <v>4.4699999999999997E-2</v>
      </c>
      <c r="Q20" s="44">
        <f>E18/AVERAGE(D22:E22)</f>
        <v>-1.3660128357424622E-2</v>
      </c>
      <c r="R20" s="44">
        <f>F18/AVERAGE(E22:F22)</f>
        <v>0</v>
      </c>
      <c r="S20" s="44" t="e">
        <f>G18/AVERAGE(F22:G22)</f>
        <v>#DIV/0!</v>
      </c>
      <c r="T20" s="48"/>
      <c r="U20" s="18"/>
      <c r="V20" s="18"/>
      <c r="W20" s="18"/>
    </row>
    <row r="21" spans="1:23" x14ac:dyDescent="0.25">
      <c r="A21" s="6" t="s">
        <v>57</v>
      </c>
      <c r="B21" s="9"/>
      <c r="C21" s="9"/>
      <c r="D21" s="85">
        <f>9226.79+5553.71+1313.3</f>
        <v>16093.8</v>
      </c>
      <c r="E21" s="85">
        <f>7844.6+3165.5+1313.3</f>
        <v>12323.4</v>
      </c>
      <c r="F21" s="85"/>
      <c r="G21" s="85"/>
      <c r="H21" s="85"/>
      <c r="I21" s="85"/>
      <c r="J21" s="85"/>
      <c r="K21" s="85"/>
      <c r="L21" s="11"/>
      <c r="M21" s="11"/>
      <c r="N21" s="42" t="s">
        <v>32</v>
      </c>
      <c r="O21" s="43"/>
      <c r="P21" s="44">
        <f>D18/AVERAGE(C19:D19)</f>
        <v>-0.10504106217310012</v>
      </c>
      <c r="Q21" s="44">
        <f>E18/AVERAGE(D19:E19)</f>
        <v>-6.6693307508517277E-2</v>
      </c>
      <c r="R21" s="44">
        <f>F18/AVERAGE(E19:F19)</f>
        <v>0</v>
      </c>
      <c r="S21" s="44" t="e">
        <f>G18/AVERAGE(F19:G19)</f>
        <v>#DIV/0!</v>
      </c>
      <c r="T21" s="18"/>
      <c r="U21" s="18"/>
      <c r="V21" s="18"/>
      <c r="W21" s="18"/>
    </row>
    <row r="22" spans="1:23" x14ac:dyDescent="0.25">
      <c r="A22" s="6" t="s">
        <v>29</v>
      </c>
      <c r="B22" s="7"/>
      <c r="C22" s="7"/>
      <c r="D22" s="88">
        <v>22255.55</v>
      </c>
      <c r="E22" s="85">
        <v>18429.28</v>
      </c>
      <c r="F22" s="85"/>
      <c r="G22" s="85"/>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v>21412.400000000001</v>
      </c>
      <c r="E23" s="85">
        <v>16643.91</v>
      </c>
      <c r="F23" s="85"/>
      <c r="G23" s="85"/>
      <c r="H23" s="85"/>
      <c r="I23" s="85"/>
      <c r="J23" s="85"/>
      <c r="K23" s="85"/>
      <c r="L23" s="11"/>
      <c r="M23" s="11"/>
      <c r="N23" s="42" t="s">
        <v>34</v>
      </c>
      <c r="O23" s="43"/>
      <c r="P23" s="44">
        <f>D6/AVERAGE(C23:D23)</f>
        <v>9.1325120023911369E-2</v>
      </c>
      <c r="Q23" s="44">
        <f>E6/AVERAGE(D23:E23)</f>
        <v>0.10813712627419737</v>
      </c>
      <c r="R23" s="44">
        <f>F6/AVERAGE(E23:F23)</f>
        <v>0</v>
      </c>
      <c r="S23" s="44" t="e">
        <f>G6/AVERAGE(F23:G23)</f>
        <v>#DIV/0!</v>
      </c>
      <c r="T23" s="18"/>
      <c r="U23" s="18"/>
      <c r="V23" s="18"/>
      <c r="W23" s="18"/>
    </row>
    <row r="24" spans="1:23" x14ac:dyDescent="0.25">
      <c r="A24" s="6" t="s">
        <v>59</v>
      </c>
      <c r="B24" s="10"/>
      <c r="C24" s="10"/>
      <c r="D24" s="89">
        <v>8609.7900000000009</v>
      </c>
      <c r="E24" s="89">
        <v>7774.68</v>
      </c>
      <c r="F24" s="89"/>
      <c r="G24" s="89"/>
      <c r="H24" s="89"/>
      <c r="I24" s="89"/>
      <c r="J24" s="89"/>
      <c r="K24" s="89"/>
      <c r="L24" s="11"/>
      <c r="M24" s="11"/>
      <c r="N24" s="42" t="s">
        <v>35</v>
      </c>
      <c r="O24" s="43"/>
      <c r="P24" s="44">
        <f>D9/AVERAGE(C21:D21)</f>
        <v>0.10911903963016815</v>
      </c>
      <c r="Q24" s="44">
        <f>E9/AVERAGE(D21:E21)</f>
        <v>9.9682586602480194E-2</v>
      </c>
      <c r="R24" s="44">
        <f>F9/AVERAGE(E21:F21)</f>
        <v>0</v>
      </c>
      <c r="S24" s="44" t="e">
        <f>G9/AVERAGE(F21:G21)</f>
        <v>#DIV/0!</v>
      </c>
      <c r="T24" s="18"/>
      <c r="U24" s="18"/>
      <c r="V24" s="18"/>
      <c r="W24" s="18"/>
    </row>
    <row r="25" spans="1:23" x14ac:dyDescent="0.25">
      <c r="A25" s="6" t="s">
        <v>60</v>
      </c>
      <c r="B25" s="10"/>
      <c r="C25" s="10"/>
      <c r="D25" s="89">
        <v>4069.33</v>
      </c>
      <c r="E25" s="89">
        <v>3495.93</v>
      </c>
      <c r="F25" s="89"/>
      <c r="G25" s="89"/>
      <c r="H25" s="89"/>
      <c r="I25" s="89"/>
      <c r="J25" s="89"/>
      <c r="K25" s="89"/>
      <c r="L25" s="11"/>
      <c r="M25" s="11"/>
      <c r="N25" s="42" t="s">
        <v>36</v>
      </c>
      <c r="O25" s="43"/>
      <c r="P25" s="48">
        <f>P23-P24</f>
        <v>-1.7793919606256786E-2</v>
      </c>
      <c r="Q25" s="48">
        <f>Q23-Q24</f>
        <v>8.4545396717171789E-3</v>
      </c>
      <c r="R25" s="48">
        <f>R23-R24</f>
        <v>0</v>
      </c>
      <c r="S25" s="48" t="e">
        <f>S23-S24</f>
        <v>#DIV/0!</v>
      </c>
      <c r="T25" s="18"/>
      <c r="U25" s="18"/>
      <c r="V25" s="18"/>
      <c r="W25" s="18"/>
    </row>
    <row r="27" spans="1:23" ht="15" customHeight="1" x14ac:dyDescent="0.25">
      <c r="A27" s="739" t="s">
        <v>238</v>
      </c>
      <c r="B27" s="739"/>
      <c r="C27" s="739"/>
      <c r="D27" s="739"/>
      <c r="E27" s="739"/>
      <c r="F27" s="739"/>
      <c r="G27" s="739"/>
      <c r="H27" s="739"/>
      <c r="I27" s="739"/>
      <c r="J27" s="739"/>
      <c r="K27" s="739"/>
      <c r="L27" s="739"/>
      <c r="M27" s="739"/>
      <c r="N27" s="739"/>
      <c r="O27" s="739"/>
    </row>
    <row r="28" spans="1:23" x14ac:dyDescent="0.25">
      <c r="A28" s="739"/>
      <c r="B28" s="739"/>
      <c r="C28" s="739"/>
      <c r="D28" s="739"/>
      <c r="E28" s="739"/>
      <c r="F28" s="739"/>
      <c r="G28" s="739"/>
      <c r="H28" s="739"/>
      <c r="I28" s="739"/>
      <c r="J28" s="739"/>
      <c r="K28" s="739"/>
      <c r="L28" s="739"/>
      <c r="M28" s="739"/>
      <c r="N28" s="739"/>
      <c r="O28" s="739"/>
    </row>
    <row r="29" spans="1:23" x14ac:dyDescent="0.25">
      <c r="A29" s="739"/>
      <c r="B29" s="739"/>
      <c r="C29" s="739"/>
      <c r="D29" s="739"/>
      <c r="E29" s="739"/>
      <c r="F29" s="739"/>
      <c r="G29" s="739"/>
      <c r="H29" s="739"/>
      <c r="I29" s="739"/>
      <c r="J29" s="739"/>
      <c r="K29" s="739"/>
      <c r="L29" s="739"/>
      <c r="M29" s="739"/>
      <c r="N29" s="739"/>
      <c r="O29" s="739"/>
    </row>
    <row r="30" spans="1:23" x14ac:dyDescent="0.25">
      <c r="A30" s="739"/>
      <c r="B30" s="739"/>
      <c r="C30" s="739"/>
      <c r="D30" s="739"/>
      <c r="E30" s="739"/>
      <c r="F30" s="739"/>
      <c r="G30" s="739"/>
      <c r="H30" s="739"/>
      <c r="I30" s="739"/>
      <c r="J30" s="739"/>
      <c r="K30" s="739"/>
      <c r="L30" s="739"/>
      <c r="M30" s="739"/>
      <c r="N30" s="739"/>
      <c r="O30" s="739"/>
    </row>
    <row r="31" spans="1:23" x14ac:dyDescent="0.25">
      <c r="A31" s="739"/>
      <c r="B31" s="739"/>
      <c r="C31" s="739"/>
      <c r="D31" s="739"/>
      <c r="E31" s="739"/>
      <c r="F31" s="739"/>
      <c r="G31" s="739"/>
      <c r="H31" s="739"/>
      <c r="I31" s="739"/>
      <c r="J31" s="739"/>
      <c r="K31" s="739"/>
      <c r="L31" s="739"/>
      <c r="M31" s="739"/>
      <c r="N31" s="739"/>
      <c r="O31" s="739"/>
    </row>
    <row r="32" spans="1:23" x14ac:dyDescent="0.25">
      <c r="A32" s="739"/>
      <c r="B32" s="739"/>
      <c r="C32" s="739"/>
      <c r="D32" s="739"/>
      <c r="E32" s="739"/>
      <c r="F32" s="739"/>
      <c r="G32" s="739"/>
      <c r="H32" s="739"/>
      <c r="I32" s="739"/>
      <c r="J32" s="739"/>
      <c r="K32" s="739"/>
      <c r="L32" s="739"/>
      <c r="M32" s="739"/>
      <c r="N32" s="739"/>
      <c r="O32" s="739"/>
    </row>
    <row r="33" spans="1:15" x14ac:dyDescent="0.25">
      <c r="A33" s="739"/>
      <c r="B33" s="739"/>
      <c r="C33" s="739"/>
      <c r="D33" s="739"/>
      <c r="E33" s="739"/>
      <c r="F33" s="739"/>
      <c r="G33" s="739"/>
      <c r="H33" s="739"/>
      <c r="I33" s="739"/>
      <c r="J33" s="739"/>
      <c r="K33" s="739"/>
      <c r="L33" s="739"/>
      <c r="M33" s="739"/>
      <c r="N33" s="739"/>
      <c r="O33" s="739"/>
    </row>
    <row r="34" spans="1:15" x14ac:dyDescent="0.25">
      <c r="A34" s="739"/>
      <c r="B34" s="739"/>
      <c r="C34" s="739"/>
      <c r="D34" s="739"/>
      <c r="E34" s="739"/>
      <c r="F34" s="739"/>
      <c r="G34" s="739"/>
      <c r="H34" s="739"/>
      <c r="I34" s="739"/>
      <c r="J34" s="739"/>
      <c r="K34" s="739"/>
      <c r="L34" s="739"/>
      <c r="M34" s="739"/>
      <c r="N34" s="739"/>
      <c r="O34" s="739"/>
    </row>
    <row r="35" spans="1:15" x14ac:dyDescent="0.25">
      <c r="A35" s="739"/>
      <c r="B35" s="739"/>
      <c r="C35" s="739"/>
      <c r="D35" s="739"/>
      <c r="E35" s="739"/>
      <c r="F35" s="739"/>
      <c r="G35" s="739"/>
      <c r="H35" s="739"/>
      <c r="I35" s="739"/>
      <c r="J35" s="739"/>
      <c r="K35" s="739"/>
      <c r="L35" s="739"/>
      <c r="M35" s="739"/>
      <c r="N35" s="739"/>
      <c r="O35" s="739"/>
    </row>
    <row r="36" spans="1:15" x14ac:dyDescent="0.25">
      <c r="A36" s="739"/>
      <c r="B36" s="739"/>
      <c r="C36" s="739"/>
      <c r="D36" s="739"/>
      <c r="E36" s="739"/>
      <c r="F36" s="739"/>
      <c r="G36" s="739"/>
      <c r="H36" s="739"/>
      <c r="I36" s="739"/>
      <c r="J36" s="739"/>
      <c r="K36" s="739"/>
      <c r="L36" s="739"/>
      <c r="M36" s="739"/>
      <c r="N36" s="739"/>
      <c r="O36" s="739"/>
    </row>
    <row r="37" spans="1:15" x14ac:dyDescent="0.25">
      <c r="A37" s="739"/>
      <c r="B37" s="739"/>
      <c r="C37" s="739"/>
      <c r="D37" s="739"/>
      <c r="E37" s="739"/>
      <c r="F37" s="739"/>
      <c r="G37" s="739"/>
      <c r="H37" s="739"/>
      <c r="I37" s="739"/>
      <c r="J37" s="739"/>
      <c r="K37" s="739"/>
      <c r="L37" s="739"/>
      <c r="M37" s="739"/>
      <c r="N37" s="739"/>
      <c r="O37" s="739"/>
    </row>
    <row r="38" spans="1:15" x14ac:dyDescent="0.25">
      <c r="A38" s="739"/>
      <c r="B38" s="739"/>
      <c r="C38" s="739"/>
      <c r="D38" s="739"/>
      <c r="E38" s="739"/>
      <c r="F38" s="739"/>
      <c r="G38" s="739"/>
      <c r="H38" s="739"/>
      <c r="I38" s="739"/>
      <c r="J38" s="739"/>
      <c r="K38" s="739"/>
      <c r="L38" s="739"/>
      <c r="M38" s="739"/>
      <c r="N38" s="739"/>
      <c r="O38" s="739"/>
    </row>
    <row r="39" spans="1:15" x14ac:dyDescent="0.25">
      <c r="A39" s="739"/>
      <c r="B39" s="739"/>
      <c r="C39" s="739"/>
      <c r="D39" s="739"/>
      <c r="E39" s="739"/>
      <c r="F39" s="739"/>
      <c r="G39" s="739"/>
      <c r="H39" s="739"/>
      <c r="I39" s="739"/>
      <c r="J39" s="739"/>
      <c r="K39" s="739"/>
      <c r="L39" s="739"/>
      <c r="M39" s="739"/>
      <c r="N39" s="739"/>
      <c r="O39" s="739"/>
    </row>
    <row r="40" spans="1:15" x14ac:dyDescent="0.25">
      <c r="A40" s="739"/>
      <c r="B40" s="739"/>
      <c r="C40" s="739"/>
      <c r="D40" s="739"/>
      <c r="E40" s="739"/>
      <c r="F40" s="739"/>
      <c r="G40" s="739"/>
      <c r="H40" s="739"/>
      <c r="I40" s="739"/>
      <c r="J40" s="739"/>
      <c r="K40" s="739"/>
      <c r="L40" s="739"/>
      <c r="M40" s="739"/>
      <c r="N40" s="739"/>
      <c r="O40" s="739"/>
    </row>
    <row r="41" spans="1:15" x14ac:dyDescent="0.25">
      <c r="A41" s="739"/>
      <c r="B41" s="739"/>
      <c r="C41" s="739"/>
      <c r="D41" s="739"/>
      <c r="E41" s="739"/>
      <c r="F41" s="739"/>
      <c r="G41" s="739"/>
      <c r="H41" s="739"/>
      <c r="I41" s="739"/>
      <c r="J41" s="739"/>
      <c r="K41" s="739"/>
      <c r="L41" s="739"/>
      <c r="M41" s="739"/>
      <c r="N41" s="739"/>
      <c r="O41" s="739"/>
    </row>
    <row r="42" spans="1:15" x14ac:dyDescent="0.25">
      <c r="A42" s="739"/>
      <c r="B42" s="739"/>
      <c r="C42" s="739"/>
      <c r="D42" s="739"/>
      <c r="E42" s="739"/>
      <c r="F42" s="739"/>
      <c r="G42" s="739"/>
      <c r="H42" s="739"/>
      <c r="I42" s="739"/>
      <c r="J42" s="739"/>
      <c r="K42" s="739"/>
      <c r="L42" s="739"/>
      <c r="M42" s="739"/>
      <c r="N42" s="739"/>
      <c r="O42" s="739"/>
    </row>
    <row r="43" spans="1:15" x14ac:dyDescent="0.25">
      <c r="A43" s="739"/>
      <c r="B43" s="739"/>
      <c r="C43" s="739"/>
      <c r="D43" s="739"/>
      <c r="E43" s="739"/>
      <c r="F43" s="739"/>
      <c r="G43" s="739"/>
      <c r="H43" s="739"/>
      <c r="I43" s="739"/>
      <c r="J43" s="739"/>
      <c r="K43" s="739"/>
      <c r="L43" s="739"/>
      <c r="M43" s="739"/>
      <c r="N43" s="739"/>
      <c r="O43" s="739"/>
    </row>
    <row r="44" spans="1:15" x14ac:dyDescent="0.25">
      <c r="A44" s="739"/>
      <c r="B44" s="739"/>
      <c r="C44" s="739"/>
      <c r="D44" s="739"/>
      <c r="E44" s="739"/>
      <c r="F44" s="739"/>
      <c r="G44" s="739"/>
      <c r="H44" s="739"/>
      <c r="I44" s="739"/>
      <c r="J44" s="739"/>
      <c r="K44" s="739"/>
      <c r="L44" s="739"/>
      <c r="M44" s="739"/>
      <c r="N44" s="739"/>
      <c r="O44" s="739"/>
    </row>
    <row r="45" spans="1:15" x14ac:dyDescent="0.25">
      <c r="A45" s="126"/>
      <c r="B45" s="126"/>
      <c r="C45" s="126"/>
      <c r="D45" s="126"/>
      <c r="E45" s="126"/>
      <c r="F45" s="126"/>
      <c r="G45" s="126"/>
      <c r="H45" s="126"/>
      <c r="I45" s="126"/>
      <c r="J45" s="126"/>
      <c r="K45" s="126"/>
      <c r="L45" s="126"/>
      <c r="M45" s="126"/>
      <c r="N45" s="126"/>
      <c r="O45" s="126"/>
    </row>
    <row r="46" spans="1:15" x14ac:dyDescent="0.25">
      <c r="A46" s="126"/>
      <c r="B46" s="126"/>
      <c r="C46" s="126"/>
      <c r="D46" s="126"/>
      <c r="E46" s="126"/>
      <c r="F46" s="126"/>
      <c r="G46" s="126"/>
      <c r="H46" s="126"/>
      <c r="I46" s="126"/>
      <c r="J46" s="126"/>
      <c r="K46" s="126"/>
      <c r="L46" s="126"/>
      <c r="M46" s="126"/>
      <c r="N46" s="126"/>
      <c r="O46" s="126"/>
    </row>
    <row r="47" spans="1:15" x14ac:dyDescent="0.25">
      <c r="A47" s="126"/>
      <c r="B47" s="126"/>
      <c r="C47" s="126"/>
      <c r="D47" s="126"/>
      <c r="E47" s="126"/>
      <c r="F47" s="126"/>
      <c r="G47" s="126"/>
      <c r="H47" s="126"/>
      <c r="I47" s="126"/>
      <c r="J47" s="126"/>
      <c r="K47" s="126"/>
      <c r="L47" s="126"/>
      <c r="M47" s="126"/>
      <c r="N47" s="126"/>
    </row>
  </sheetData>
  <mergeCells count="3">
    <mergeCell ref="A2:A4"/>
    <mergeCell ref="I1:K1"/>
    <mergeCell ref="A27:O4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R32"/>
  <sheetViews>
    <sheetView topLeftCell="E1" zoomScaleNormal="100" workbookViewId="0">
      <selection activeCell="AG3" sqref="AG3:AH3"/>
    </sheetView>
  </sheetViews>
  <sheetFormatPr defaultRowHeight="15" x14ac:dyDescent="0.25"/>
  <cols>
    <col min="1" max="1" width="32.28515625" customWidth="1"/>
    <col min="4" max="4" width="14.5703125" customWidth="1"/>
    <col min="5" max="5" width="14.7109375" customWidth="1"/>
    <col min="6" max="6" width="14.28515625" customWidth="1"/>
    <col min="7" max="9" width="12.85546875" customWidth="1"/>
    <col min="10" max="13" width="10.140625" bestFit="1" customWidth="1"/>
    <col min="19" max="19" width="31.28515625" customWidth="1"/>
    <col min="21" max="21" width="14.85546875" customWidth="1"/>
    <col min="22" max="22" width="13" customWidth="1"/>
    <col min="23" max="26" width="12.710937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113</v>
      </c>
      <c r="L1" s="772"/>
      <c r="M1" s="772"/>
    </row>
    <row r="2" spans="1:44"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648</v>
      </c>
      <c r="O2" s="11" t="s">
        <v>37</v>
      </c>
      <c r="P2" s="11" t="s">
        <v>38</v>
      </c>
      <c r="Q2" s="11" t="s">
        <v>39</v>
      </c>
      <c r="R2" s="11"/>
      <c r="S2" s="40" t="s">
        <v>6</v>
      </c>
      <c r="T2" s="41" t="s">
        <v>7</v>
      </c>
      <c r="U2" s="41" t="s">
        <v>8</v>
      </c>
      <c r="V2" s="41" t="s">
        <v>9</v>
      </c>
      <c r="W2" s="40" t="s">
        <v>10</v>
      </c>
      <c r="X2" s="41" t="s">
        <v>90</v>
      </c>
      <c r="Y2" s="41" t="s">
        <v>492</v>
      </c>
      <c r="Z2" s="41" t="s">
        <v>623</v>
      </c>
      <c r="AA2" s="40" t="s">
        <v>37</v>
      </c>
      <c r="AB2" s="41" t="s">
        <v>38</v>
      </c>
      <c r="AC2" s="41" t="s">
        <v>39</v>
      </c>
      <c r="AD2" s="41" t="s">
        <v>40</v>
      </c>
      <c r="AF2" s="441" t="s">
        <v>37</v>
      </c>
      <c r="AG2" s="443"/>
      <c r="AH2" s="443"/>
      <c r="AL2" s="403"/>
      <c r="AM2" s="403"/>
      <c r="AN2" s="403"/>
      <c r="AO2" s="403"/>
      <c r="AP2" s="403"/>
    </row>
    <row r="3" spans="1:44"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0.12351399181938578</v>
      </c>
      <c r="V3" s="44">
        <f t="shared" si="0"/>
        <v>0.13257670534513497</v>
      </c>
      <c r="W3" s="44">
        <f t="shared" si="0"/>
        <v>0.12441234052343475</v>
      </c>
      <c r="X3" s="44">
        <f t="shared" si="0"/>
        <v>0.10279610491873835</v>
      </c>
      <c r="Y3" s="44">
        <f t="shared" si="0"/>
        <v>0.12108773792277201</v>
      </c>
      <c r="Z3" s="44">
        <f t="shared" si="0"/>
        <v>0.1020479675322573</v>
      </c>
      <c r="AA3" s="44">
        <f t="shared" ref="AA3:AH3" si="1">(J10*4)/J23</f>
        <v>0.11071867469879518</v>
      </c>
      <c r="AB3" s="44">
        <f t="shared" si="1"/>
        <v>0.12306174743475315</v>
      </c>
      <c r="AC3" s="44">
        <f t="shared" si="1"/>
        <v>0.10164032921810701</v>
      </c>
      <c r="AD3" s="44">
        <f t="shared" si="1"/>
        <v>0.10360990053706579</v>
      </c>
      <c r="AE3" s="44">
        <f t="shared" si="1"/>
        <v>0.11988679134922324</v>
      </c>
      <c r="AF3" s="44">
        <f t="shared" si="1"/>
        <v>9.2853235429095918E-2</v>
      </c>
      <c r="AG3" s="44">
        <f t="shared" si="1"/>
        <v>8.9865927014075142E-2</v>
      </c>
      <c r="AH3" s="44">
        <f t="shared" si="1"/>
        <v>8.1519735859041695E-2</v>
      </c>
      <c r="AJ3" s="741" t="s">
        <v>624</v>
      </c>
      <c r="AK3" s="742"/>
      <c r="AL3" s="404" t="s">
        <v>625</v>
      </c>
      <c r="AM3" s="404" t="s">
        <v>626</v>
      </c>
      <c r="AN3" s="404" t="s">
        <v>627</v>
      </c>
      <c r="AO3" s="404" t="s">
        <v>628</v>
      </c>
      <c r="AP3" s="404" t="s">
        <v>629</v>
      </c>
      <c r="AQ3" s="404" t="s">
        <v>630</v>
      </c>
      <c r="AR3" s="404" t="s">
        <v>631</v>
      </c>
    </row>
    <row r="4" spans="1:44"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D5">
        <v>51847</v>
      </c>
      <c r="E5">
        <v>58649</v>
      </c>
      <c r="F5" s="85">
        <v>50414</v>
      </c>
      <c r="G5" s="90">
        <v>39749</v>
      </c>
      <c r="H5" s="90">
        <v>44259.44</v>
      </c>
      <c r="I5" s="90">
        <v>39840.019999999997</v>
      </c>
      <c r="J5" s="85">
        <v>10682.56</v>
      </c>
      <c r="K5" s="85">
        <v>9813.2000000000007</v>
      </c>
      <c r="L5" s="85">
        <v>9595.08</v>
      </c>
      <c r="M5" s="85">
        <v>9797.49</v>
      </c>
      <c r="N5" s="11">
        <v>11505.6</v>
      </c>
      <c r="O5" s="11">
        <v>10000.41</v>
      </c>
      <c r="P5" s="11">
        <v>10865.28</v>
      </c>
      <c r="Q5" s="11">
        <v>12568.11</v>
      </c>
      <c r="R5" s="11"/>
      <c r="S5" s="42" t="s">
        <v>13</v>
      </c>
      <c r="T5" s="46"/>
      <c r="U5" s="47">
        <f t="shared" ref="U5:AD5" si="2">D21/D20</f>
        <v>4.7538014311270125</v>
      </c>
      <c r="V5" s="47">
        <f t="shared" si="2"/>
        <v>4.6409594386850088</v>
      </c>
      <c r="W5" s="47">
        <f t="shared" si="2"/>
        <v>3.475043336847937</v>
      </c>
      <c r="X5" s="47">
        <f t="shared" si="2"/>
        <v>4.1899935525467438</v>
      </c>
      <c r="Y5" s="47">
        <f t="shared" si="2"/>
        <v>4.765722683269404</v>
      </c>
      <c r="Z5" s="47">
        <f t="shared" si="2"/>
        <v>2.9837982725778289</v>
      </c>
      <c r="AA5" s="47" t="e">
        <f t="shared" si="2"/>
        <v>#DIV/0!</v>
      </c>
      <c r="AB5" s="47" t="e">
        <f t="shared" si="2"/>
        <v>#DIV/0!</v>
      </c>
      <c r="AC5" s="47" t="e">
        <f t="shared" si="2"/>
        <v>#DIV/0!</v>
      </c>
      <c r="AD5" s="47">
        <f t="shared" si="2"/>
        <v>2.9837982725778289</v>
      </c>
      <c r="AE5" s="47">
        <f t="shared" ref="AE5" si="3">N21/N20</f>
        <v>4.765722683269404</v>
      </c>
      <c r="AF5" s="47" t="e">
        <f t="shared" ref="AF5" si="4">O21/O20</f>
        <v>#DIV/0!</v>
      </c>
      <c r="AG5" s="47">
        <f t="shared" ref="AG5" si="5">P21/P20</f>
        <v>3.572639101345485</v>
      </c>
      <c r="AH5" s="461"/>
      <c r="AJ5" s="406" t="s">
        <v>632</v>
      </c>
      <c r="AK5" s="406" t="s">
        <v>557</v>
      </c>
      <c r="AL5" s="745" t="s">
        <v>633</v>
      </c>
      <c r="AM5" s="745"/>
      <c r="AN5" s="745"/>
      <c r="AO5" s="745"/>
      <c r="AP5" s="745"/>
      <c r="AQ5" s="745"/>
      <c r="AR5" s="745"/>
    </row>
    <row r="6" spans="1:44" x14ac:dyDescent="0.25">
      <c r="A6" s="6" t="s">
        <v>50</v>
      </c>
      <c r="B6" s="7"/>
      <c r="C6" s="8"/>
      <c r="D6">
        <v>49533</v>
      </c>
      <c r="E6">
        <v>56685</v>
      </c>
      <c r="F6" s="85">
        <v>47365</v>
      </c>
      <c r="G6" s="85">
        <v>36010</v>
      </c>
      <c r="H6" s="85">
        <v>39802.15</v>
      </c>
      <c r="I6" s="85">
        <v>36881.53</v>
      </c>
      <c r="J6" s="85">
        <v>9931.57</v>
      </c>
      <c r="K6" s="85">
        <v>9033</v>
      </c>
      <c r="L6" s="85">
        <v>8918.17</v>
      </c>
      <c r="M6" s="85">
        <v>9047.6</v>
      </c>
      <c r="N6" s="11">
        <v>10526.34</v>
      </c>
      <c r="O6" s="11">
        <v>9428.58</v>
      </c>
      <c r="P6" s="11">
        <v>10233.66</v>
      </c>
      <c r="Q6" s="11">
        <v>11983.22</v>
      </c>
      <c r="R6" s="11"/>
      <c r="S6" s="42" t="s">
        <v>14</v>
      </c>
      <c r="T6" s="43"/>
      <c r="U6" s="43">
        <v>0.20849999999999999</v>
      </c>
      <c r="V6" s="43">
        <v>0.24929999999999999</v>
      </c>
      <c r="W6" s="43"/>
      <c r="X6" s="48">
        <v>0.2157</v>
      </c>
      <c r="Y6" s="48">
        <v>0.2792</v>
      </c>
      <c r="Z6" s="48">
        <v>0.31240000000000001</v>
      </c>
      <c r="AA6" s="48"/>
      <c r="AB6" s="18"/>
      <c r="AC6" s="48">
        <v>0.33200000000000002</v>
      </c>
      <c r="AD6" s="48">
        <v>0.31240000000000001</v>
      </c>
      <c r="AF6" s="80">
        <v>0.28799999999999998</v>
      </c>
      <c r="AG6" s="80">
        <v>0.26929999999999998</v>
      </c>
      <c r="AH6" s="80">
        <v>0.23200000000000001</v>
      </c>
      <c r="AJ6" s="392">
        <v>1</v>
      </c>
      <c r="AK6" s="108" t="s">
        <v>646</v>
      </c>
      <c r="AL6" s="418">
        <v>0.1036</v>
      </c>
      <c r="AM6" s="429">
        <v>0.1016</v>
      </c>
      <c r="AN6" s="81"/>
      <c r="AO6" s="81"/>
      <c r="AP6" s="417">
        <v>0.11990000000000001</v>
      </c>
      <c r="AQ6" s="417">
        <v>0.10199999999999999</v>
      </c>
      <c r="AR6" s="417">
        <v>0.1211</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f t="shared" ref="U7:Z7" si="6">D20/D23</f>
        <v>0.17470729106031543</v>
      </c>
      <c r="V7" s="44">
        <f t="shared" si="6"/>
        <v>0.19850780721213473</v>
      </c>
      <c r="W7" s="44">
        <f t="shared" si="6"/>
        <v>0.27278931794139299</v>
      </c>
      <c r="X7" s="44">
        <f t="shared" si="6"/>
        <v>0.19026285961029848</v>
      </c>
      <c r="Y7" s="44">
        <f t="shared" si="6"/>
        <v>0.18995279686146541</v>
      </c>
      <c r="Z7" s="44">
        <f t="shared" si="6"/>
        <v>0.29992116623939891</v>
      </c>
      <c r="AA7" s="18"/>
      <c r="AB7" s="18"/>
      <c r="AC7" s="18"/>
      <c r="AD7" s="18"/>
      <c r="AJ7" s="392">
        <v>2</v>
      </c>
      <c r="AK7" s="108" t="s">
        <v>634</v>
      </c>
      <c r="AL7" s="410">
        <v>11.68</v>
      </c>
      <c r="AM7" s="410">
        <v>10.01</v>
      </c>
      <c r="AN7" s="410">
        <v>83.21</v>
      </c>
      <c r="AO7" s="410">
        <v>17.739999999999998</v>
      </c>
      <c r="AP7" s="81"/>
      <c r="AQ7" s="411">
        <v>122.66</v>
      </c>
      <c r="AR7" s="412">
        <v>78.680000000000007</v>
      </c>
    </row>
    <row r="8" spans="1:44" x14ac:dyDescent="0.25">
      <c r="A8" s="6" t="s">
        <v>52</v>
      </c>
      <c r="B8" s="7"/>
      <c r="C8" s="8"/>
      <c r="D8" s="85">
        <f t="shared" ref="D8:Q8" si="7">D5-D6-D7</f>
        <v>2314</v>
      </c>
      <c r="E8" s="85">
        <f t="shared" si="7"/>
        <v>1964</v>
      </c>
      <c r="F8" s="85">
        <f t="shared" si="7"/>
        <v>3049</v>
      </c>
      <c r="G8" s="85">
        <f t="shared" si="7"/>
        <v>3739</v>
      </c>
      <c r="H8" s="85">
        <f t="shared" si="7"/>
        <v>4457.2900000000009</v>
      </c>
      <c r="I8" s="85">
        <f t="shared" si="7"/>
        <v>2958.489999999998</v>
      </c>
      <c r="J8" s="85">
        <f t="shared" si="7"/>
        <v>750.98999999999978</v>
      </c>
      <c r="K8" s="85">
        <f t="shared" si="7"/>
        <v>780.20000000000073</v>
      </c>
      <c r="L8" s="85">
        <f t="shared" si="7"/>
        <v>676.90999999999985</v>
      </c>
      <c r="M8" s="85">
        <f t="shared" si="7"/>
        <v>749.88999999999942</v>
      </c>
      <c r="N8" s="85">
        <f t="shared" si="7"/>
        <v>979.26000000000022</v>
      </c>
      <c r="O8" s="85">
        <f t="shared" si="7"/>
        <v>571.82999999999993</v>
      </c>
      <c r="P8" s="85">
        <f t="shared" si="7"/>
        <v>631.6200000000008</v>
      </c>
      <c r="Q8" s="85">
        <f t="shared" si="7"/>
        <v>584.89000000000124</v>
      </c>
      <c r="R8" s="11"/>
      <c r="S8" s="40" t="s">
        <v>16</v>
      </c>
      <c r="T8" s="45"/>
      <c r="U8" s="45"/>
      <c r="V8" s="45"/>
      <c r="W8" s="46" t="s">
        <v>5</v>
      </c>
      <c r="X8" s="18"/>
      <c r="Y8" s="18"/>
      <c r="Z8" s="18"/>
      <c r="AA8" s="18"/>
      <c r="AB8" s="18"/>
      <c r="AC8" s="18"/>
      <c r="AD8" s="18"/>
      <c r="AJ8" s="392">
        <v>3</v>
      </c>
      <c r="AK8" s="108" t="s">
        <v>635</v>
      </c>
      <c r="AL8" s="417">
        <v>0.1017</v>
      </c>
      <c r="AM8" s="417">
        <v>0.1069</v>
      </c>
      <c r="AN8" s="81"/>
      <c r="AO8" s="81"/>
      <c r="AP8" s="417">
        <v>0.2064</v>
      </c>
      <c r="AQ8" s="417">
        <v>0.1017</v>
      </c>
      <c r="AR8" s="417">
        <v>0.2064</v>
      </c>
    </row>
    <row r="9" spans="1:44" ht="33.75" x14ac:dyDescent="0.25">
      <c r="A9" s="6" t="s">
        <v>24</v>
      </c>
      <c r="B9" s="7"/>
      <c r="C9" s="7"/>
      <c r="D9" s="88">
        <v>17917</v>
      </c>
      <c r="E9" s="85">
        <v>22774</v>
      </c>
      <c r="F9" s="85">
        <v>18705</v>
      </c>
      <c r="G9" s="85">
        <v>14992</v>
      </c>
      <c r="H9" s="85">
        <v>14814.64</v>
      </c>
      <c r="I9" s="85">
        <v>16756.41</v>
      </c>
      <c r="J9" s="85">
        <v>4417.78</v>
      </c>
      <c r="K9" s="85">
        <v>4117.6000000000004</v>
      </c>
      <c r="L9" s="85">
        <v>3978.45</v>
      </c>
      <c r="M9" s="85">
        <v>4242.58</v>
      </c>
      <c r="N9" s="11">
        <v>4264.6400000000003</v>
      </c>
      <c r="O9" s="11">
        <v>4370.3999999999996</v>
      </c>
      <c r="P9" s="11">
        <v>5071.88</v>
      </c>
      <c r="Q9" s="11">
        <v>6151.25</v>
      </c>
      <c r="R9" s="11"/>
      <c r="S9" s="49" t="s">
        <v>93</v>
      </c>
      <c r="T9" s="45"/>
      <c r="U9" s="50">
        <f t="shared" ref="U9:Z9" si="8">D14/(D11-D9)</f>
        <v>0.47217801355732392</v>
      </c>
      <c r="V9" s="50">
        <f t="shared" si="8"/>
        <v>0.54330313588850176</v>
      </c>
      <c r="W9" s="50">
        <f t="shared" si="8"/>
        <v>0.48472042637736917</v>
      </c>
      <c r="X9" s="50">
        <f t="shared" si="8"/>
        <v>0.6169164276770206</v>
      </c>
      <c r="Y9" s="50">
        <f t="shared" si="8"/>
        <v>0.59494307993261963</v>
      </c>
      <c r="Z9" s="50">
        <f t="shared" si="8"/>
        <v>0.68243138746495902</v>
      </c>
      <c r="AA9" s="18"/>
      <c r="AB9" s="18"/>
      <c r="AC9" s="18"/>
      <c r="AD9" s="18"/>
      <c r="AJ9" s="392">
        <v>4</v>
      </c>
      <c r="AK9" s="108" t="s">
        <v>636</v>
      </c>
      <c r="AL9" s="417">
        <v>3.4000000000000002E-2</v>
      </c>
      <c r="AM9" s="417">
        <v>3.5499999999999997E-2</v>
      </c>
      <c r="AN9" s="81"/>
      <c r="AO9" s="81"/>
      <c r="AP9" s="417">
        <v>2.1100000000000001E-2</v>
      </c>
      <c r="AQ9" s="417">
        <v>3.4000000000000002E-2</v>
      </c>
      <c r="AR9" s="417">
        <v>2.1100000000000001E-2</v>
      </c>
    </row>
    <row r="10" spans="1:44" ht="22.5" x14ac:dyDescent="0.25">
      <c r="A10" s="6" t="s">
        <v>53</v>
      </c>
      <c r="B10" s="10">
        <f t="shared" ref="B10:G10" si="9">B6-B9</f>
        <v>0</v>
      </c>
      <c r="C10" s="10">
        <f t="shared" si="9"/>
        <v>0</v>
      </c>
      <c r="D10" s="89">
        <f t="shared" si="9"/>
        <v>31616</v>
      </c>
      <c r="E10" s="89">
        <f t="shared" si="9"/>
        <v>33911</v>
      </c>
      <c r="F10" s="89">
        <f t="shared" si="9"/>
        <v>28660</v>
      </c>
      <c r="G10" s="89">
        <f t="shared" si="9"/>
        <v>21018</v>
      </c>
      <c r="H10" s="89">
        <f t="shared" ref="H10:N10" si="10">H6-H9</f>
        <v>24987.510000000002</v>
      </c>
      <c r="I10" s="89">
        <f t="shared" si="10"/>
        <v>20125.12</v>
      </c>
      <c r="J10" s="89">
        <f t="shared" si="10"/>
        <v>5513.79</v>
      </c>
      <c r="K10" s="89">
        <f t="shared" si="10"/>
        <v>4915.3999999999996</v>
      </c>
      <c r="L10" s="89">
        <f t="shared" si="10"/>
        <v>4939.72</v>
      </c>
      <c r="M10" s="89">
        <f t="shared" si="10"/>
        <v>4805.0200000000004</v>
      </c>
      <c r="N10" s="89">
        <f t="shared" si="10"/>
        <v>6261.7</v>
      </c>
      <c r="O10" s="89">
        <f t="shared" ref="O10:P10" si="11">O6-O9</f>
        <v>5058.18</v>
      </c>
      <c r="P10" s="89">
        <f t="shared" si="11"/>
        <v>5161.78</v>
      </c>
      <c r="Q10" s="89">
        <f t="shared" ref="Q10" si="12">Q6-Q9</f>
        <v>5831.9699999999993</v>
      </c>
      <c r="R10" s="11"/>
      <c r="S10" s="42" t="s">
        <v>92</v>
      </c>
      <c r="T10" s="43"/>
      <c r="U10" s="44">
        <f t="shared" ref="U10:Z10" si="13">D14/D11</f>
        <v>0.30900534264277585</v>
      </c>
      <c r="V10" s="44">
        <f t="shared" si="13"/>
        <v>0.33233303210625925</v>
      </c>
      <c r="W10" s="44">
        <f t="shared" si="13"/>
        <v>0.30487562978537708</v>
      </c>
      <c r="X10" s="44">
        <f t="shared" si="13"/>
        <v>0.38423608141085308</v>
      </c>
      <c r="Y10" s="44">
        <f t="shared" si="13"/>
        <v>0.39580211588759368</v>
      </c>
      <c r="Z10" s="44">
        <f t="shared" si="13"/>
        <v>0.39540592600104124</v>
      </c>
      <c r="AA10" s="18"/>
      <c r="AB10" s="18"/>
      <c r="AC10" s="18"/>
      <c r="AD10" s="18"/>
      <c r="AJ10" s="392">
        <v>5</v>
      </c>
      <c r="AK10" s="108" t="s">
        <v>637</v>
      </c>
      <c r="AL10" s="417">
        <v>2.3999999999999998E-3</v>
      </c>
      <c r="AM10" s="417">
        <v>1.0999999999999999E-2</v>
      </c>
      <c r="AN10" s="81"/>
      <c r="AO10" s="81"/>
      <c r="AP10" s="417">
        <v>-1.52E-2</v>
      </c>
      <c r="AQ10" s="417">
        <v>3.8E-3</v>
      </c>
      <c r="AR10" s="417">
        <v>4.8999999999999998E-3</v>
      </c>
    </row>
    <row r="11" spans="1:44" ht="30" x14ac:dyDescent="0.25">
      <c r="A11" s="6" t="s">
        <v>1</v>
      </c>
      <c r="B11" s="10">
        <f>B5-B9</f>
        <v>0</v>
      </c>
      <c r="C11" s="10">
        <f t="shared" ref="C11:J11" si="14">SUM(C6:C8)</f>
        <v>0</v>
      </c>
      <c r="D11" s="89">
        <f t="shared" si="14"/>
        <v>51847</v>
      </c>
      <c r="E11" s="89">
        <f t="shared" si="14"/>
        <v>58649</v>
      </c>
      <c r="F11" s="89">
        <f>SUM(F6:F8)</f>
        <v>50414</v>
      </c>
      <c r="G11" s="89">
        <f>SUM(G6:G8)</f>
        <v>39749</v>
      </c>
      <c r="H11" s="89">
        <f>SUM(H6:H8)</f>
        <v>44259.44</v>
      </c>
      <c r="I11" s="89">
        <f>SUM(I6:I8)</f>
        <v>39840.019999999997</v>
      </c>
      <c r="J11" s="89">
        <f t="shared" si="14"/>
        <v>10682.56</v>
      </c>
      <c r="K11" s="89">
        <f t="shared" ref="K11:P11" si="15">SUM(K6:K8)</f>
        <v>9813.2000000000007</v>
      </c>
      <c r="L11" s="89">
        <f t="shared" si="15"/>
        <v>9595.08</v>
      </c>
      <c r="M11" s="89">
        <f t="shared" si="15"/>
        <v>9797.49</v>
      </c>
      <c r="N11" s="89">
        <f t="shared" si="15"/>
        <v>11505.6</v>
      </c>
      <c r="O11" s="89">
        <f t="shared" si="15"/>
        <v>10000.41</v>
      </c>
      <c r="P11" s="89">
        <f t="shared" si="15"/>
        <v>10865.28</v>
      </c>
      <c r="Q11" s="89">
        <f t="shared" ref="Q11" si="16">SUM(Q6:Q8)</f>
        <v>12568.11</v>
      </c>
      <c r="R11" s="11"/>
      <c r="S11" s="42" t="s">
        <v>17</v>
      </c>
      <c r="T11" s="43"/>
      <c r="U11" s="44">
        <f t="shared" ref="U11:Z11" si="17">D14/AVERAGE(C22:D22)</f>
        <v>6.0686065803528817E-2</v>
      </c>
      <c r="V11" s="44">
        <f t="shared" si="17"/>
        <v>7.0197110865407822E-2</v>
      </c>
      <c r="W11" s="44">
        <f t="shared" si="17"/>
        <v>5.6168278261378005E-2</v>
      </c>
      <c r="X11" s="44">
        <f t="shared" si="17"/>
        <v>6.5909596010814475E-2</v>
      </c>
      <c r="Y11" s="44">
        <f t="shared" si="17"/>
        <v>7.7681436614227786E-2</v>
      </c>
      <c r="Z11" s="44">
        <f t="shared" si="17"/>
        <v>6.6336040202057994E-2</v>
      </c>
      <c r="AA11" s="18"/>
      <c r="AB11" s="18"/>
      <c r="AC11" s="18"/>
      <c r="AD11" s="18"/>
      <c r="AJ11" s="392">
        <v>6</v>
      </c>
      <c r="AK11" s="413" t="s">
        <v>638</v>
      </c>
      <c r="AL11" s="410"/>
      <c r="AM11" s="81"/>
      <c r="AN11" s="81"/>
      <c r="AO11" s="81"/>
      <c r="AP11" s="81"/>
      <c r="AQ11" s="408"/>
      <c r="AR11" s="408"/>
    </row>
    <row r="12" spans="1:44" ht="30" x14ac:dyDescent="0.25">
      <c r="A12" s="6" t="s">
        <v>91</v>
      </c>
      <c r="B12" s="10"/>
      <c r="C12" s="10"/>
      <c r="D12" s="89">
        <v>13</v>
      </c>
      <c r="E12" s="89">
        <v>32</v>
      </c>
      <c r="F12" s="89">
        <v>90</v>
      </c>
      <c r="G12" s="89">
        <v>47</v>
      </c>
      <c r="H12" s="89">
        <v>41.85</v>
      </c>
      <c r="I12" s="89">
        <v>300.76</v>
      </c>
      <c r="J12" s="89">
        <v>7.6</v>
      </c>
      <c r="K12" s="89">
        <v>194</v>
      </c>
      <c r="L12" s="89">
        <v>79.23</v>
      </c>
      <c r="M12" s="89">
        <v>19.87</v>
      </c>
      <c r="N12" s="11">
        <v>5.85</v>
      </c>
      <c r="O12" s="11">
        <v>17.82</v>
      </c>
      <c r="P12" s="11">
        <v>114.1</v>
      </c>
      <c r="Q12" s="11">
        <v>46.27</v>
      </c>
      <c r="R12" s="11"/>
      <c r="S12" s="40" t="s">
        <v>18</v>
      </c>
      <c r="T12" s="45"/>
      <c r="U12" s="45"/>
      <c r="V12" s="45"/>
      <c r="W12" s="46" t="s">
        <v>5</v>
      </c>
      <c r="X12" s="18"/>
      <c r="Y12" s="18"/>
      <c r="Z12" s="18"/>
      <c r="AA12" s="18"/>
      <c r="AB12" s="18"/>
      <c r="AC12" s="53"/>
      <c r="AD12" s="54"/>
      <c r="AJ12" s="392">
        <v>7</v>
      </c>
      <c r="AK12" s="413" t="s">
        <v>639</v>
      </c>
      <c r="AL12" s="410"/>
      <c r="AM12" s="81"/>
      <c r="AN12" s="81"/>
      <c r="AO12" s="81"/>
      <c r="AP12" s="81"/>
      <c r="AQ12" s="408"/>
      <c r="AR12" s="408"/>
    </row>
    <row r="13" spans="1:44" x14ac:dyDescent="0.25">
      <c r="A13" s="6" t="s">
        <v>25</v>
      </c>
      <c r="B13" s="7"/>
      <c r="C13" s="7"/>
      <c r="D13" s="88">
        <f t="shared" ref="D13:Q13" si="18">D11+D12</f>
        <v>51860</v>
      </c>
      <c r="E13" s="88">
        <f t="shared" si="18"/>
        <v>58681</v>
      </c>
      <c r="F13" s="88">
        <f t="shared" si="18"/>
        <v>50504</v>
      </c>
      <c r="G13" s="88">
        <f t="shared" si="18"/>
        <v>39796</v>
      </c>
      <c r="H13" s="88">
        <f t="shared" si="18"/>
        <v>44301.29</v>
      </c>
      <c r="I13" s="88">
        <f t="shared" si="18"/>
        <v>40140.78</v>
      </c>
      <c r="J13" s="88">
        <f t="shared" si="18"/>
        <v>10690.16</v>
      </c>
      <c r="K13" s="88">
        <f t="shared" si="18"/>
        <v>10007.200000000001</v>
      </c>
      <c r="L13" s="88">
        <f t="shared" si="18"/>
        <v>9674.31</v>
      </c>
      <c r="M13" s="88">
        <f t="shared" si="18"/>
        <v>9817.36</v>
      </c>
      <c r="N13" s="88">
        <f t="shared" si="18"/>
        <v>11511.45</v>
      </c>
      <c r="O13" s="88">
        <f t="shared" si="18"/>
        <v>10018.23</v>
      </c>
      <c r="P13" s="88">
        <f t="shared" si="18"/>
        <v>10979.380000000001</v>
      </c>
      <c r="Q13" s="88">
        <f t="shared" si="18"/>
        <v>12614.380000000001</v>
      </c>
      <c r="R13" s="11"/>
      <c r="S13" s="42" t="s">
        <v>19</v>
      </c>
      <c r="T13" s="43"/>
      <c r="U13" s="44">
        <f t="shared" ref="U13:Z13" si="19">D24/D23</f>
        <v>4.4540201819737391E-2</v>
      </c>
      <c r="V13" s="44">
        <f t="shared" si="19"/>
        <v>6.8525843417567497E-2</v>
      </c>
      <c r="W13" s="44">
        <f t="shared" si="19"/>
        <v>0.12273739939257736</v>
      </c>
      <c r="X13" s="44">
        <f t="shared" si="19"/>
        <v>0.26073494703062361</v>
      </c>
      <c r="Y13" s="44">
        <f t="shared" si="19"/>
        <v>0.20639259645406627</v>
      </c>
      <c r="Z13" s="44">
        <f t="shared" si="19"/>
        <v>0</v>
      </c>
      <c r="AA13" s="48">
        <v>0.22819999999999999</v>
      </c>
      <c r="AB13" s="48">
        <v>0.1167</v>
      </c>
      <c r="AC13" s="48">
        <v>0.1069</v>
      </c>
      <c r="AD13" s="48">
        <v>0.1017</v>
      </c>
      <c r="AF13" s="80">
        <v>9.8400000000000001E-2</v>
      </c>
      <c r="AG13" s="80">
        <v>4.8099999999999997E-2</v>
      </c>
      <c r="AH13" s="80">
        <v>4.7300000000000002E-2</v>
      </c>
      <c r="AJ13" s="392">
        <v>8</v>
      </c>
      <c r="AK13" s="108" t="s">
        <v>640</v>
      </c>
      <c r="AL13" s="95" t="e">
        <f>AL11/AL12</f>
        <v>#DIV/0!</v>
      </c>
      <c r="AM13" s="81"/>
      <c r="AN13" s="81"/>
      <c r="AO13" s="81"/>
      <c r="AP13" s="81"/>
      <c r="AQ13" s="81"/>
      <c r="AR13" s="81"/>
    </row>
    <row r="14" spans="1:44" x14ac:dyDescent="0.25">
      <c r="A14" s="6" t="s">
        <v>26</v>
      </c>
      <c r="B14" s="7"/>
      <c r="C14" s="7"/>
      <c r="D14" s="85">
        <f>7782+104+8135</f>
        <v>16021</v>
      </c>
      <c r="E14" s="85">
        <f>8844+163+10484</f>
        <v>19491</v>
      </c>
      <c r="F14" s="85">
        <f>6928+130+8312</f>
        <v>15370</v>
      </c>
      <c r="G14" s="85">
        <f>6966+96+8211</f>
        <v>15273</v>
      </c>
      <c r="H14" s="85">
        <f>7444.08+64.92+10008.98</f>
        <v>17517.98</v>
      </c>
      <c r="I14" s="85">
        <f>7669.46+7997.1+86.42</f>
        <v>15752.980000000001</v>
      </c>
      <c r="J14" s="85">
        <f>1974.8+14.89+1970.77</f>
        <v>3960.46</v>
      </c>
      <c r="K14" s="85">
        <f>1822.12+16.79+2167.28</f>
        <v>4006.19</v>
      </c>
      <c r="L14" s="85">
        <f>2072.98+21.33+1726.59</f>
        <v>3820.8999999999996</v>
      </c>
      <c r="M14" s="85">
        <f>2127.2+33.41+1834.82</f>
        <v>3995.4299999999994</v>
      </c>
      <c r="N14" s="11">
        <f>1976.08+20.92+2332.98</f>
        <v>4329.9799999999996</v>
      </c>
      <c r="O14" s="11">
        <f>2179.69+81.72+12.65+1436.46</f>
        <v>3710.52</v>
      </c>
      <c r="P14" s="11">
        <f>2366.68+94.22+1648.67</f>
        <v>4109.57</v>
      </c>
      <c r="Q14" s="11">
        <f>2419.41+108.19+2046.62</f>
        <v>4574.2199999999993</v>
      </c>
      <c r="R14" s="11"/>
      <c r="S14" s="42" t="s">
        <v>20</v>
      </c>
      <c r="T14" s="43"/>
      <c r="U14" s="44">
        <f t="shared" ref="U14:Z14" si="20">D25/D23</f>
        <v>2.6210000351602331E-2</v>
      </c>
      <c r="V14" s="44">
        <f t="shared" si="20"/>
        <v>3.842376866708138E-2</v>
      </c>
      <c r="W14" s="44">
        <f t="shared" si="20"/>
        <v>5.6423031360753474E-2</v>
      </c>
      <c r="X14" s="44">
        <f t="shared" si="20"/>
        <v>4.5383396222711814E-2</v>
      </c>
      <c r="Y14" s="44">
        <f t="shared" si="20"/>
        <v>2.1097027227064392E-2</v>
      </c>
      <c r="Z14" s="44">
        <f t="shared" si="20"/>
        <v>0</v>
      </c>
      <c r="AA14" s="48">
        <v>4.7300000000000002E-2</v>
      </c>
      <c r="AB14" s="48">
        <v>3.8800000000000001E-2</v>
      </c>
      <c r="AC14" s="48">
        <v>3.5499999999999997E-2</v>
      </c>
      <c r="AD14" s="48">
        <v>3.4000000000000002E-2</v>
      </c>
      <c r="AF14" s="80">
        <v>3.4099999999999998E-2</v>
      </c>
      <c r="AG14" s="80">
        <v>1.6199999999999999E-2</v>
      </c>
      <c r="AH14" s="80">
        <v>2.2200000000000001E-2</v>
      </c>
      <c r="AJ14" s="392">
        <v>9</v>
      </c>
      <c r="AK14" s="108" t="s">
        <v>641</v>
      </c>
      <c r="AL14" s="417"/>
      <c r="AM14" s="81"/>
      <c r="AN14" s="81"/>
      <c r="AO14" s="81"/>
      <c r="AP14" s="81"/>
      <c r="AQ14" s="408"/>
      <c r="AR14" s="408"/>
    </row>
    <row r="15" spans="1:44" x14ac:dyDescent="0.25">
      <c r="A15" s="6" t="s">
        <v>54</v>
      </c>
      <c r="B15" s="10"/>
      <c r="C15" s="10"/>
      <c r="D15" s="89">
        <f t="shared" ref="D15:K15" si="21">D11-D14</f>
        <v>35826</v>
      </c>
      <c r="E15" s="89">
        <f t="shared" si="21"/>
        <v>39158</v>
      </c>
      <c r="F15" s="89">
        <f t="shared" si="21"/>
        <v>35044</v>
      </c>
      <c r="G15" s="89">
        <f t="shared" si="21"/>
        <v>24476</v>
      </c>
      <c r="H15" s="89">
        <f>H11-H14</f>
        <v>26741.460000000003</v>
      </c>
      <c r="I15" s="89">
        <f>I11-I14</f>
        <v>24087.039999999994</v>
      </c>
      <c r="J15" s="89">
        <f t="shared" si="21"/>
        <v>6722.0999999999995</v>
      </c>
      <c r="K15" s="89">
        <f t="shared" si="21"/>
        <v>5807.01</v>
      </c>
      <c r="L15" s="89">
        <f t="shared" ref="L15:Q15" si="22">L11-L14</f>
        <v>5774.18</v>
      </c>
      <c r="M15" s="89">
        <f t="shared" si="22"/>
        <v>5802.06</v>
      </c>
      <c r="N15" s="89">
        <f t="shared" si="22"/>
        <v>7175.6200000000008</v>
      </c>
      <c r="O15" s="89">
        <f t="shared" si="22"/>
        <v>6289.8899999999994</v>
      </c>
      <c r="P15" s="89">
        <f t="shared" si="22"/>
        <v>6755.7100000000009</v>
      </c>
      <c r="Q15" s="89">
        <f t="shared" si="22"/>
        <v>7993.8900000000012</v>
      </c>
      <c r="R15" s="11"/>
      <c r="S15" s="42" t="s">
        <v>21</v>
      </c>
      <c r="T15" s="43"/>
      <c r="U15" s="44">
        <f t="shared" ref="U15:AA15" si="23">(U13-U14)/U13</f>
        <v>0.41154284711867373</v>
      </c>
      <c r="V15" s="44">
        <f t="shared" si="23"/>
        <v>0.4392806166143306</v>
      </c>
      <c r="W15" s="44">
        <f t="shared" si="23"/>
        <v>0.54029471342892332</v>
      </c>
      <c r="X15" s="44">
        <f t="shared" si="23"/>
        <v>0.82594049344148146</v>
      </c>
      <c r="Y15" s="44">
        <f t="shared" si="23"/>
        <v>0.89778205425232083</v>
      </c>
      <c r="Z15" s="44" t="e">
        <f t="shared" si="23"/>
        <v>#DIV/0!</v>
      </c>
      <c r="AA15" s="44">
        <f t="shared" si="23"/>
        <v>0.7927256792287467</v>
      </c>
      <c r="AB15" s="18"/>
      <c r="AC15" s="18"/>
      <c r="AD15" s="18"/>
      <c r="AJ15" s="392">
        <v>10</v>
      </c>
      <c r="AK15" s="108" t="s">
        <v>642</v>
      </c>
      <c r="AL15" s="417">
        <v>0.31240000000000001</v>
      </c>
      <c r="AM15" s="81"/>
      <c r="AN15" s="81"/>
      <c r="AO15" s="81"/>
      <c r="AP15" s="81"/>
      <c r="AQ15" s="408"/>
      <c r="AR15" s="408"/>
    </row>
    <row r="16" spans="1:44" x14ac:dyDescent="0.25">
      <c r="A16" s="6" t="s">
        <v>94</v>
      </c>
      <c r="B16" s="10"/>
      <c r="C16" s="10"/>
      <c r="D16" s="89">
        <f t="shared" ref="D16:K16" si="24">D13-D14-D9</f>
        <v>17922</v>
      </c>
      <c r="E16" s="89">
        <f t="shared" si="24"/>
        <v>16416</v>
      </c>
      <c r="F16" s="89">
        <f t="shared" si="24"/>
        <v>16429</v>
      </c>
      <c r="G16" s="89">
        <f t="shared" si="24"/>
        <v>9531</v>
      </c>
      <c r="H16" s="89">
        <f>H13-H14-H9</f>
        <v>11968.670000000002</v>
      </c>
      <c r="I16" s="89">
        <f>I13-I14-I9</f>
        <v>7631.3899999999958</v>
      </c>
      <c r="J16" s="89">
        <f t="shared" si="24"/>
        <v>2311.92</v>
      </c>
      <c r="K16" s="89">
        <f t="shared" si="24"/>
        <v>1883.4099999999999</v>
      </c>
      <c r="L16" s="89">
        <f t="shared" ref="L16:Q16" si="25">L13-L14-L9</f>
        <v>1874.96</v>
      </c>
      <c r="M16" s="89">
        <f t="shared" si="25"/>
        <v>1579.3500000000013</v>
      </c>
      <c r="N16" s="89">
        <f t="shared" si="25"/>
        <v>2916.8300000000008</v>
      </c>
      <c r="O16" s="89">
        <f t="shared" si="25"/>
        <v>1937.3099999999995</v>
      </c>
      <c r="P16" s="89">
        <f t="shared" si="25"/>
        <v>1797.9300000000012</v>
      </c>
      <c r="Q16" s="89">
        <f t="shared" si="25"/>
        <v>1888.9100000000017</v>
      </c>
      <c r="R16" s="11"/>
      <c r="S16" s="42" t="s">
        <v>22</v>
      </c>
      <c r="T16" s="43"/>
      <c r="U16" s="44">
        <f t="shared" ref="U16:Z16" si="26">D17/AVERAGE(C23:D23)</f>
        <v>1.8099706607389118E-2</v>
      </c>
      <c r="V16" s="44">
        <f t="shared" si="26"/>
        <v>2.7636599630938605E-2</v>
      </c>
      <c r="W16" s="44">
        <f t="shared" si="26"/>
        <v>4.1148101040531682E-2</v>
      </c>
      <c r="X16" s="44">
        <f t="shared" si="26"/>
        <v>0.15863994952632016</v>
      </c>
      <c r="Y16" s="44">
        <f t="shared" si="26"/>
        <v>4.888187058152596E-3</v>
      </c>
      <c r="Z16" s="44">
        <f t="shared" si="26"/>
        <v>3.813959830255057E-3</v>
      </c>
      <c r="AA16" s="44">
        <f t="shared" ref="AA16:AH16" si="27">(J17*4)/J23</f>
        <v>-2.3056224899598394E-3</v>
      </c>
      <c r="AB16" s="44">
        <f t="shared" si="27"/>
        <v>6.7341719544696073E-3</v>
      </c>
      <c r="AC16" s="44">
        <f t="shared" si="27"/>
        <v>1.1031687242798354E-2</v>
      </c>
      <c r="AD16" s="44">
        <f t="shared" si="27"/>
        <v>2.386360034388425E-3</v>
      </c>
      <c r="AE16" s="44">
        <f t="shared" si="27"/>
        <v>-1.5159838604582615E-2</v>
      </c>
      <c r="AF16" s="44">
        <f t="shared" si="27"/>
        <v>8.9231757687012383E-3</v>
      </c>
      <c r="AG16" s="44">
        <f t="shared" si="27"/>
        <v>-6.3354522742972274E-3</v>
      </c>
      <c r="AH16" s="44">
        <f t="shared" si="27"/>
        <v>2.235514132606399E-3</v>
      </c>
      <c r="AK16" s="414"/>
    </row>
    <row r="17" spans="1:37" x14ac:dyDescent="0.25">
      <c r="A17" s="6" t="s">
        <v>27</v>
      </c>
      <c r="B17" s="7"/>
      <c r="C17" s="7"/>
      <c r="D17" s="88">
        <v>4633</v>
      </c>
      <c r="E17" s="85">
        <v>7069</v>
      </c>
      <c r="F17" s="85">
        <v>9479</v>
      </c>
      <c r="G17" s="85">
        <v>32436</v>
      </c>
      <c r="H17" s="85">
        <v>1008.72</v>
      </c>
      <c r="I17" s="85">
        <v>752.16</v>
      </c>
      <c r="J17" s="85">
        <v>-114.82</v>
      </c>
      <c r="K17" s="85">
        <v>268.98</v>
      </c>
      <c r="L17" s="85">
        <v>536.14</v>
      </c>
      <c r="M17" s="85">
        <v>110.67</v>
      </c>
      <c r="N17" s="11">
        <v>-791.8</v>
      </c>
      <c r="O17" s="11">
        <v>486.09</v>
      </c>
      <c r="P17" s="11">
        <v>-363.9</v>
      </c>
      <c r="Q17" s="11">
        <v>159.93</v>
      </c>
      <c r="R17" s="11"/>
      <c r="S17" s="18"/>
      <c r="T17" s="18"/>
      <c r="U17" s="18"/>
      <c r="V17" s="18"/>
      <c r="W17" s="18"/>
      <c r="X17" s="18"/>
      <c r="Y17" s="18"/>
      <c r="Z17" s="18"/>
      <c r="AA17" s="18"/>
      <c r="AB17" s="18"/>
      <c r="AC17" s="18"/>
      <c r="AD17" s="18"/>
      <c r="AK17" s="415" t="s">
        <v>643</v>
      </c>
    </row>
    <row r="18" spans="1:37" x14ac:dyDescent="0.25">
      <c r="A18" s="6" t="s">
        <v>55</v>
      </c>
      <c r="B18" s="7"/>
      <c r="C18" s="7"/>
      <c r="D18" s="88">
        <v>8618</v>
      </c>
      <c r="E18" s="85">
        <v>6048</v>
      </c>
      <c r="F18" s="89">
        <v>5146</v>
      </c>
      <c r="G18" s="89">
        <v>-17193</v>
      </c>
      <c r="H18" s="89">
        <v>7867.95</v>
      </c>
      <c r="I18" s="89">
        <v>12265.79</v>
      </c>
      <c r="J18" s="89">
        <v>1774.93</v>
      </c>
      <c r="K18" s="89">
        <v>8321.44</v>
      </c>
      <c r="L18" s="89">
        <v>1001.02</v>
      </c>
      <c r="M18" s="89">
        <v>1168.4000000000001</v>
      </c>
      <c r="N18" s="11">
        <v>2595.71</v>
      </c>
      <c r="O18" s="11">
        <v>1080.01</v>
      </c>
      <c r="P18" s="11">
        <v>1597.19</v>
      </c>
      <c r="Q18" s="11">
        <v>1255.56</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f>1645+43075</f>
        <v>44720</v>
      </c>
      <c r="E19" s="85">
        <f>1645+49093</f>
        <v>50738</v>
      </c>
      <c r="F19" s="85">
        <f>54312+1645</f>
        <v>55957</v>
      </c>
      <c r="G19" s="85">
        <f>37130+1645</f>
        <v>38775</v>
      </c>
      <c r="H19" s="85">
        <v>39685.020000000004</v>
      </c>
      <c r="I19" s="85">
        <f>61174.89-5538.23</f>
        <v>55636.66</v>
      </c>
      <c r="J19" s="85"/>
      <c r="K19" s="85"/>
      <c r="L19" s="85"/>
      <c r="M19" s="85">
        <v>55636.66</v>
      </c>
      <c r="N19" s="11">
        <v>39685.020000000004</v>
      </c>
      <c r="O19" s="11"/>
      <c r="P19" s="11">
        <f>63942.4-3622.89</f>
        <v>60319.51</v>
      </c>
      <c r="Q19" s="11"/>
      <c r="R19" s="11"/>
      <c r="S19" s="46" t="s">
        <v>95</v>
      </c>
      <c r="T19" s="51"/>
      <c r="U19" s="51"/>
      <c r="V19" s="52">
        <f>E16/AVERAGE(D22:E22)</f>
        <v>5.9122455080115682E-2</v>
      </c>
      <c r="W19" s="52">
        <f>F16/AVERAGE(E22:F22)</f>
        <v>6.0038298214455381E-2</v>
      </c>
      <c r="X19" s="52">
        <f>G16/AVERAGE(F22:G22)</f>
        <v>4.1130384310814685E-2</v>
      </c>
      <c r="Y19" s="52">
        <f>H16/AVERAGE(G22:H22)</f>
        <v>5.3073669450565068E-2</v>
      </c>
      <c r="Z19" s="52">
        <f>I16/AVERAGE(H22:I22)</f>
        <v>3.2135900244752616E-2</v>
      </c>
      <c r="AA19" s="18"/>
      <c r="AB19" s="18"/>
      <c r="AC19" s="18"/>
      <c r="AD19" s="18"/>
    </row>
    <row r="20" spans="1:37" x14ac:dyDescent="0.25">
      <c r="A20" s="6" t="s">
        <v>56</v>
      </c>
      <c r="B20" s="7"/>
      <c r="C20" s="7"/>
      <c r="D20" s="88">
        <f t="shared" ref="D20:P20" si="28">D19-D71</f>
        <v>44720</v>
      </c>
      <c r="E20" s="89">
        <f t="shared" si="28"/>
        <v>50738</v>
      </c>
      <c r="F20" s="89">
        <f t="shared" si="28"/>
        <v>55957</v>
      </c>
      <c r="G20" s="89">
        <f t="shared" si="28"/>
        <v>38775</v>
      </c>
      <c r="H20" s="89">
        <v>39685.020000000004</v>
      </c>
      <c r="I20" s="89">
        <f t="shared" si="28"/>
        <v>55636.66</v>
      </c>
      <c r="J20" s="89">
        <f t="shared" si="28"/>
        <v>0</v>
      </c>
      <c r="K20" s="89">
        <f t="shared" si="28"/>
        <v>0</v>
      </c>
      <c r="L20" s="89">
        <f t="shared" si="28"/>
        <v>0</v>
      </c>
      <c r="M20" s="89">
        <f t="shared" si="28"/>
        <v>55636.66</v>
      </c>
      <c r="N20" s="89">
        <f t="shared" si="28"/>
        <v>39685.020000000004</v>
      </c>
      <c r="O20" s="89">
        <f t="shared" si="28"/>
        <v>0</v>
      </c>
      <c r="P20" s="89">
        <f t="shared" si="28"/>
        <v>60319.51</v>
      </c>
      <c r="Q20" s="440"/>
      <c r="R20" s="11"/>
      <c r="S20" s="42" t="s">
        <v>31</v>
      </c>
      <c r="T20" s="43"/>
      <c r="U20" s="43">
        <v>4.4699999999999997E-2</v>
      </c>
      <c r="V20" s="44">
        <f>E18/AVERAGE(D22:E22)</f>
        <v>2.1781957134779463E-2</v>
      </c>
      <c r="W20" s="44">
        <f>F18/AVERAGE(E22:F22)</f>
        <v>1.8805592708721616E-2</v>
      </c>
      <c r="X20" s="44">
        <f>G18/AVERAGE(F22:G22)</f>
        <v>-7.4195225837355674E-2</v>
      </c>
      <c r="Y20" s="44">
        <f>H18/AVERAGE(G22:H22)</f>
        <v>3.4889505480021871E-2</v>
      </c>
      <c r="Z20" s="44">
        <f>I18/AVERAGE(H22:I22)</f>
        <v>5.165142966918012E-2</v>
      </c>
      <c r="AA20" s="48"/>
      <c r="AB20" s="18"/>
      <c r="AC20" s="18"/>
      <c r="AD20" s="18"/>
    </row>
    <row r="21" spans="1:37" x14ac:dyDescent="0.25">
      <c r="A21" s="6" t="s">
        <v>57</v>
      </c>
      <c r="B21" s="9"/>
      <c r="C21" s="9"/>
      <c r="D21" s="85">
        <f>199441+6770+6379</f>
        <v>212590</v>
      </c>
      <c r="E21" s="85">
        <f>224143+4728+6602</f>
        <v>235473</v>
      </c>
      <c r="F21" s="85">
        <f>28525+153977+5331+6620</f>
        <v>194453</v>
      </c>
      <c r="G21" s="85">
        <f>15426+137649+5950+3442</f>
        <v>162467</v>
      </c>
      <c r="H21" s="85">
        <v>189127.8</v>
      </c>
      <c r="I21" s="85">
        <f>42869.07+118753.22+3270.4+1115.88</f>
        <v>166008.57</v>
      </c>
      <c r="J21" s="85"/>
      <c r="K21" s="85"/>
      <c r="L21" s="85"/>
      <c r="M21" s="85">
        <v>166008.57</v>
      </c>
      <c r="N21" s="11">
        <v>189127.8</v>
      </c>
      <c r="O21" s="11"/>
      <c r="P21" s="11">
        <f>62851.49+147996.16+4175.78+476.41</f>
        <v>215499.84</v>
      </c>
      <c r="Q21" s="11"/>
      <c r="R21" s="11"/>
      <c r="S21" s="42" t="s">
        <v>32</v>
      </c>
      <c r="T21" s="43"/>
      <c r="U21" s="44">
        <f t="shared" ref="U21:Z21" si="29">D18/AVERAGE(C19:D19)</f>
        <v>0.19271019677996423</v>
      </c>
      <c r="V21" s="44">
        <f t="shared" si="29"/>
        <v>0.12671541410882273</v>
      </c>
      <c r="W21" s="44">
        <f t="shared" si="29"/>
        <v>9.6461877313838512E-2</v>
      </c>
      <c r="X21" s="44">
        <f t="shared" si="29"/>
        <v>-0.36298188574082674</v>
      </c>
      <c r="Y21" s="44">
        <f t="shared" si="29"/>
        <v>0.20055946965091265</v>
      </c>
      <c r="Z21" s="44">
        <f t="shared" si="29"/>
        <v>0.25735572432210596</v>
      </c>
      <c r="AA21" s="18"/>
      <c r="AB21" s="18"/>
      <c r="AC21" s="18"/>
      <c r="AD21" s="18"/>
    </row>
    <row r="22" spans="1:37" x14ac:dyDescent="0.25">
      <c r="A22" s="6" t="s">
        <v>29</v>
      </c>
      <c r="B22" s="7"/>
      <c r="C22" s="7"/>
      <c r="D22" s="88">
        <v>263998</v>
      </c>
      <c r="E22" s="85">
        <v>291324</v>
      </c>
      <c r="F22" s="85">
        <v>255960</v>
      </c>
      <c r="G22" s="85">
        <v>207493</v>
      </c>
      <c r="H22" s="85">
        <v>243528.01</v>
      </c>
      <c r="I22" s="85">
        <v>231416.83</v>
      </c>
      <c r="J22" s="85"/>
      <c r="K22" s="85"/>
      <c r="L22" s="85"/>
      <c r="M22" s="85">
        <v>231416.83</v>
      </c>
      <c r="N22" s="11">
        <v>243528.01</v>
      </c>
      <c r="O22" s="11"/>
      <c r="P22" s="11">
        <v>284751.73</v>
      </c>
      <c r="Q22" s="11"/>
      <c r="R22" s="11"/>
      <c r="S22" s="40" t="s">
        <v>33</v>
      </c>
      <c r="T22" s="45"/>
      <c r="U22" s="45"/>
      <c r="V22" s="45"/>
      <c r="W22" s="46" t="s">
        <v>5</v>
      </c>
      <c r="X22" s="18"/>
      <c r="Y22" s="18"/>
      <c r="Z22" s="18"/>
      <c r="AA22" s="18"/>
      <c r="AB22" s="18"/>
      <c r="AC22" s="18"/>
      <c r="AD22" s="18"/>
    </row>
    <row r="23" spans="1:37" x14ac:dyDescent="0.25">
      <c r="A23" s="6" t="s">
        <v>58</v>
      </c>
      <c r="B23" s="7"/>
      <c r="C23" s="7"/>
      <c r="D23" s="88">
        <v>255971</v>
      </c>
      <c r="E23" s="85">
        <v>255597</v>
      </c>
      <c r="F23" s="85">
        <v>205129</v>
      </c>
      <c r="G23" s="85">
        <v>203797</v>
      </c>
      <c r="H23" s="85">
        <v>208920.43</v>
      </c>
      <c r="I23" s="85">
        <v>185504.28</v>
      </c>
      <c r="J23" s="85">
        <v>199200</v>
      </c>
      <c r="K23" s="85">
        <v>159770.20000000001</v>
      </c>
      <c r="L23" s="85">
        <v>194400</v>
      </c>
      <c r="M23" s="85">
        <v>185504.28</v>
      </c>
      <c r="N23" s="11">
        <v>208920.43</v>
      </c>
      <c r="O23" s="11">
        <v>217900</v>
      </c>
      <c r="P23" s="11">
        <v>229754.71</v>
      </c>
      <c r="Q23" s="11">
        <v>286162.36</v>
      </c>
      <c r="R23" s="11"/>
      <c r="S23" s="42" t="s">
        <v>34</v>
      </c>
      <c r="T23" s="43"/>
      <c r="U23" s="44">
        <f t="shared" ref="U23:Z23" si="30">D6/AVERAGE(C23:D23)</f>
        <v>0.19351020232760743</v>
      </c>
      <c r="V23" s="44">
        <f t="shared" si="30"/>
        <v>0.22161276702217497</v>
      </c>
      <c r="W23" s="44">
        <f t="shared" si="30"/>
        <v>0.20561027595577414</v>
      </c>
      <c r="X23" s="44">
        <f t="shared" si="30"/>
        <v>0.17611988477132781</v>
      </c>
      <c r="Y23" s="44">
        <f t="shared" si="30"/>
        <v>0.1928784543943298</v>
      </c>
      <c r="Z23" s="44">
        <f t="shared" si="30"/>
        <v>0.18701429735474739</v>
      </c>
      <c r="AA23" s="18"/>
      <c r="AB23" s="18"/>
      <c r="AC23" s="18"/>
      <c r="AD23" s="18"/>
    </row>
    <row r="24" spans="1:37" x14ac:dyDescent="0.25">
      <c r="A24" s="6" t="s">
        <v>59</v>
      </c>
      <c r="B24" s="10"/>
      <c r="C24" s="10"/>
      <c r="D24" s="89">
        <v>11401</v>
      </c>
      <c r="E24" s="89">
        <v>17515</v>
      </c>
      <c r="F24" s="89">
        <v>25177</v>
      </c>
      <c r="G24" s="89">
        <v>53137</v>
      </c>
      <c r="H24" s="89">
        <v>43119.63</v>
      </c>
      <c r="I24" s="89"/>
      <c r="J24" s="89"/>
      <c r="K24" s="89"/>
      <c r="L24" s="89"/>
      <c r="M24" s="89"/>
      <c r="N24" s="11">
        <v>43119.63</v>
      </c>
      <c r="O24" s="11"/>
      <c r="P24" s="11"/>
      <c r="Q24" s="11"/>
      <c r="R24" s="11"/>
      <c r="S24" s="42" t="s">
        <v>35</v>
      </c>
      <c r="T24" s="43"/>
      <c r="U24" s="44">
        <f t="shared" ref="U24:Z24" si="31">D9/AVERAGE(C21:D21)</f>
        <v>8.4279599228562027E-2</v>
      </c>
      <c r="V24" s="44">
        <f t="shared" si="31"/>
        <v>0.10165534757389028</v>
      </c>
      <c r="W24" s="44">
        <f t="shared" si="31"/>
        <v>8.7014974670059503E-2</v>
      </c>
      <c r="X24" s="44">
        <f t="shared" si="31"/>
        <v>8.4007620755351342E-2</v>
      </c>
      <c r="Y24" s="44">
        <f t="shared" si="31"/>
        <v>8.4271098434902908E-2</v>
      </c>
      <c r="Z24" s="44">
        <f t="shared" si="31"/>
        <v>9.4366060001120133E-2</v>
      </c>
      <c r="AA24" s="18"/>
      <c r="AB24" s="18"/>
      <c r="AC24" s="18"/>
      <c r="AD24" s="18"/>
    </row>
    <row r="25" spans="1:37" x14ac:dyDescent="0.25">
      <c r="A25" s="6" t="s">
        <v>60</v>
      </c>
      <c r="B25" s="10"/>
      <c r="C25" s="10"/>
      <c r="D25" s="89">
        <v>6709</v>
      </c>
      <c r="E25" s="89">
        <v>9821</v>
      </c>
      <c r="F25" s="89">
        <v>11574</v>
      </c>
      <c r="G25" s="89">
        <v>9249</v>
      </c>
      <c r="H25" s="89">
        <v>4407.6000000000004</v>
      </c>
      <c r="I25" s="89"/>
      <c r="J25" s="89"/>
      <c r="K25" s="89"/>
      <c r="L25" s="89"/>
      <c r="M25" s="89"/>
      <c r="N25" s="11">
        <v>4407.6000000000004</v>
      </c>
      <c r="O25" s="11"/>
      <c r="P25" s="11"/>
      <c r="Q25" s="11"/>
      <c r="R25" s="11"/>
      <c r="S25" s="42" t="s">
        <v>36</v>
      </c>
      <c r="T25" s="43"/>
      <c r="U25" s="48">
        <f t="shared" ref="U25:Z25" si="32">U23-U24</f>
        <v>0.10923060309904541</v>
      </c>
      <c r="V25" s="48">
        <f t="shared" si="32"/>
        <v>0.1199574194482847</v>
      </c>
      <c r="W25" s="48">
        <f t="shared" si="32"/>
        <v>0.11859530128571463</v>
      </c>
      <c r="X25" s="48">
        <f t="shared" si="32"/>
        <v>9.2112264015976469E-2</v>
      </c>
      <c r="Y25" s="48">
        <f t="shared" si="32"/>
        <v>0.10860735595942689</v>
      </c>
      <c r="Z25" s="48">
        <f t="shared" si="32"/>
        <v>9.2648237353627261E-2</v>
      </c>
      <c r="AA25" s="18"/>
      <c r="AB25" s="18"/>
      <c r="AC25" s="18"/>
      <c r="AD25" s="18"/>
    </row>
    <row r="27" spans="1:37" x14ac:dyDescent="0.25">
      <c r="B27" s="739" t="s">
        <v>239</v>
      </c>
      <c r="C27" s="739"/>
      <c r="D27" s="739"/>
      <c r="E27" s="739"/>
      <c r="F27" s="739"/>
      <c r="G27" s="739"/>
      <c r="H27" s="739"/>
      <c r="I27" s="739"/>
      <c r="J27" s="739"/>
      <c r="K27" s="739"/>
      <c r="L27" s="739"/>
      <c r="M27" s="739"/>
      <c r="N27" s="739"/>
      <c r="O27" s="442"/>
      <c r="P27" s="442"/>
      <c r="Q27" s="442"/>
    </row>
    <row r="28" spans="1:37" x14ac:dyDescent="0.25">
      <c r="B28" s="739"/>
      <c r="C28" s="739"/>
      <c r="D28" s="739"/>
      <c r="E28" s="739"/>
      <c r="F28" s="739"/>
      <c r="G28" s="739"/>
      <c r="H28" s="739"/>
      <c r="I28" s="739"/>
      <c r="J28" s="739"/>
      <c r="K28" s="739"/>
      <c r="L28" s="739"/>
      <c r="M28" s="739"/>
      <c r="N28" s="739"/>
      <c r="O28" s="442"/>
      <c r="P28" s="442"/>
      <c r="Q28" s="442"/>
    </row>
    <row r="29" spans="1:37" x14ac:dyDescent="0.25">
      <c r="B29" s="739"/>
      <c r="C29" s="739"/>
      <c r="D29" s="739"/>
      <c r="E29" s="739"/>
      <c r="F29" s="739"/>
      <c r="G29" s="739"/>
      <c r="H29" s="739"/>
      <c r="I29" s="739"/>
      <c r="J29" s="739"/>
      <c r="K29" s="739"/>
      <c r="L29" s="739"/>
      <c r="M29" s="739"/>
      <c r="N29" s="739"/>
      <c r="O29" s="442"/>
      <c r="P29" s="442"/>
      <c r="Q29" s="442"/>
    </row>
    <row r="30" spans="1:37" x14ac:dyDescent="0.25">
      <c r="B30" s="739"/>
      <c r="C30" s="739"/>
      <c r="D30" s="739"/>
      <c r="E30" s="739"/>
      <c r="F30" s="739"/>
      <c r="G30" s="739"/>
      <c r="H30" s="739"/>
      <c r="I30" s="739"/>
      <c r="J30" s="739"/>
      <c r="K30" s="739"/>
      <c r="L30" s="739"/>
      <c r="M30" s="739"/>
      <c r="N30" s="739"/>
      <c r="O30" s="442"/>
      <c r="P30" s="442"/>
      <c r="Q30" s="442"/>
    </row>
    <row r="31" spans="1:37" x14ac:dyDescent="0.25">
      <c r="B31" s="739"/>
      <c r="C31" s="739"/>
      <c r="D31" s="739"/>
      <c r="E31" s="739"/>
      <c r="F31" s="739"/>
      <c r="G31" s="739"/>
      <c r="H31" s="739"/>
      <c r="I31" s="739"/>
      <c r="J31" s="739"/>
      <c r="K31" s="739"/>
      <c r="L31" s="739"/>
      <c r="M31" s="739"/>
      <c r="N31" s="739"/>
      <c r="O31" s="442"/>
      <c r="P31" s="442"/>
      <c r="Q31" s="442"/>
    </row>
    <row r="32" spans="1:37" x14ac:dyDescent="0.25">
      <c r="B32" s="739"/>
      <c r="C32" s="739"/>
      <c r="D32" s="739"/>
      <c r="E32" s="739"/>
      <c r="F32" s="739"/>
      <c r="G32" s="739"/>
      <c r="H32" s="739"/>
      <c r="I32" s="739"/>
      <c r="J32" s="739"/>
      <c r="K32" s="739"/>
      <c r="L32" s="739"/>
      <c r="M32" s="739"/>
      <c r="N32" s="739"/>
      <c r="O32" s="442"/>
      <c r="P32" s="442"/>
      <c r="Q32" s="442"/>
    </row>
  </sheetData>
  <mergeCells count="5">
    <mergeCell ref="A2:A4"/>
    <mergeCell ref="K1:M1"/>
    <mergeCell ref="B27:N32"/>
    <mergeCell ref="AJ3:AK4"/>
    <mergeCell ref="AL5:AR5"/>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25"/>
  <sheetViews>
    <sheetView topLeftCell="D1" workbookViewId="0">
      <selection activeCell="AG6" sqref="AG6"/>
    </sheetView>
  </sheetViews>
  <sheetFormatPr defaultRowHeight="15" x14ac:dyDescent="0.25"/>
  <cols>
    <col min="1" max="1" width="31.140625" customWidth="1"/>
    <col min="4" max="4" width="13.5703125" customWidth="1"/>
    <col min="5" max="5" width="12.42578125" customWidth="1"/>
    <col min="6" max="6" width="10.140625" bestFit="1" customWidth="1"/>
    <col min="7" max="7" width="11.28515625" bestFit="1" customWidth="1"/>
    <col min="8" max="8" width="11.28515625" customWidth="1"/>
    <col min="9" max="9" width="10.140625" bestFit="1" customWidth="1"/>
    <col min="10" max="10" width="11.28515625" bestFit="1" customWidth="1"/>
    <col min="11" max="11" width="10.140625" bestFit="1" customWidth="1"/>
    <col min="12" max="12" width="11.28515625" bestFit="1" customWidth="1"/>
    <col min="15" max="15" width="29.85546875" customWidth="1"/>
    <col min="17" max="17" width="13.7109375" customWidth="1"/>
    <col min="18" max="18" width="12.7109375" customWidth="1"/>
    <col min="19" max="19" width="12.85546875" customWidth="1"/>
    <col min="20" max="21" width="14" customWidth="1"/>
  </cols>
  <sheetData>
    <row r="1" spans="1:25" x14ac:dyDescent="0.25">
      <c r="J1" s="772" t="s">
        <v>113</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f>D10/AVERAGE(C23:D23)</f>
        <v>3.6629859105592195E-2</v>
      </c>
      <c r="R3" s="44">
        <f>E10/AVERAGE(D23:E23)</f>
        <v>3.4628747888198461E-2</v>
      </c>
      <c r="S3" s="44">
        <f>F10/AVERAGE(E23:F23)</f>
        <v>3.7057680486731616E-2</v>
      </c>
      <c r="T3" s="44">
        <f>G10/AVERAGE(F23:G23)</f>
        <v>3.8694373748036318E-2</v>
      </c>
      <c r="U3" s="44">
        <f>H10/AVERAGE(G23:H23)</f>
        <v>4.0323379115288105E-2</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100614.65</v>
      </c>
      <c r="E5">
        <v>107862.21</v>
      </c>
      <c r="F5" s="85">
        <v>103911.35</v>
      </c>
      <c r="G5" s="90">
        <v>95659.17</v>
      </c>
      <c r="H5" s="90">
        <v>113944.74</v>
      </c>
      <c r="I5" s="85">
        <v>33073</v>
      </c>
      <c r="J5" s="85">
        <v>34392</v>
      </c>
      <c r="K5" s="85">
        <v>34758</v>
      </c>
      <c r="L5" s="85">
        <v>38875</v>
      </c>
      <c r="M5" s="11"/>
      <c r="N5" s="11"/>
      <c r="O5" s="42" t="s">
        <v>13</v>
      </c>
      <c r="P5" s="46"/>
      <c r="Q5" s="47">
        <f>D21/D20</f>
        <v>6.4096777493834907</v>
      </c>
      <c r="R5" s="47">
        <f>E21/E20</f>
        <v>6.0391436015530573</v>
      </c>
      <c r="S5" s="47">
        <f>F21/F20</f>
        <v>5.2638255242817111</v>
      </c>
      <c r="T5" s="47">
        <f>G21/G20</f>
        <v>5.1513979988716452</v>
      </c>
      <c r="U5" s="47">
        <f>H21/H20</f>
        <v>5.4585191892377924</v>
      </c>
      <c r="V5" s="18"/>
      <c r="W5" s="18">
        <v>6.03</v>
      </c>
      <c r="X5" s="18"/>
      <c r="Y5" s="18"/>
    </row>
    <row r="6" spans="1:25" x14ac:dyDescent="0.25">
      <c r="A6" s="6" t="s">
        <v>50</v>
      </c>
      <c r="B6" s="7"/>
      <c r="C6" s="8"/>
      <c r="D6">
        <v>95352.960000000006</v>
      </c>
      <c r="E6">
        <v>101222.74</v>
      </c>
      <c r="F6" s="85">
        <v>96920.26</v>
      </c>
      <c r="G6" s="85">
        <v>89052.81</v>
      </c>
      <c r="H6" s="85">
        <v>103534.37</v>
      </c>
      <c r="I6" s="85">
        <v>31583</v>
      </c>
      <c r="J6" s="85">
        <v>32766</v>
      </c>
      <c r="K6" s="85">
        <v>33602</v>
      </c>
      <c r="L6" s="85">
        <v>33920</v>
      </c>
      <c r="M6" s="11"/>
      <c r="N6" s="11"/>
      <c r="O6" s="42" t="s">
        <v>14</v>
      </c>
      <c r="P6" s="43"/>
      <c r="Q6" s="43">
        <v>0.2354</v>
      </c>
      <c r="R6" s="43">
        <v>0.23</v>
      </c>
      <c r="S6" s="43"/>
      <c r="T6" s="48">
        <v>0.25700000000000001</v>
      </c>
      <c r="U6" s="48">
        <v>0.23499999999999999</v>
      </c>
      <c r="V6" s="48"/>
      <c r="W6" s="48">
        <v>0.21</v>
      </c>
      <c r="X6" s="48">
        <v>0.20300000000000001</v>
      </c>
      <c r="Y6" s="48">
        <v>0.20300000000000001</v>
      </c>
    </row>
    <row r="7" spans="1:25" x14ac:dyDescent="0.25">
      <c r="A7" s="6" t="s">
        <v>51</v>
      </c>
      <c r="B7" s="7"/>
      <c r="C7" s="8"/>
      <c r="D7" s="87"/>
      <c r="E7" s="85"/>
      <c r="F7" s="85">
        <v>0</v>
      </c>
      <c r="G7" s="85">
        <v>0</v>
      </c>
      <c r="H7" s="85"/>
      <c r="I7" s="85"/>
      <c r="J7" s="85"/>
      <c r="K7" s="85"/>
      <c r="L7" s="85"/>
      <c r="M7" s="11"/>
      <c r="N7" s="11"/>
      <c r="O7" s="42" t="s">
        <v>15</v>
      </c>
      <c r="P7" s="43"/>
      <c r="Q7" s="44">
        <f>D20/D23</f>
        <v>0.13844750333764791</v>
      </c>
      <c r="R7" s="44">
        <f>E20/E23</f>
        <v>0.14978437029119965</v>
      </c>
      <c r="S7" s="44">
        <f>F20/F23</f>
        <v>0.17186998864284883</v>
      </c>
      <c r="T7" s="44">
        <f>G20/G23</f>
        <v>0.17531555344745442</v>
      </c>
      <c r="U7" s="44">
        <f>H20/H23</f>
        <v>0.16184489911580496</v>
      </c>
      <c r="V7" s="18"/>
      <c r="W7" s="18"/>
      <c r="X7" s="18"/>
      <c r="Y7" s="18"/>
    </row>
    <row r="8" spans="1:25" x14ac:dyDescent="0.25">
      <c r="A8" s="6" t="s">
        <v>52</v>
      </c>
      <c r="B8" s="7"/>
      <c r="C8" s="8"/>
      <c r="D8" s="85">
        <f t="shared" ref="D8:L8" si="0">D5-D6-D7</f>
        <v>5261.6899999999878</v>
      </c>
      <c r="E8" s="85">
        <f t="shared" si="0"/>
        <v>6639.4700000000012</v>
      </c>
      <c r="F8" s="85">
        <f t="shared" si="0"/>
        <v>6991.0900000000111</v>
      </c>
      <c r="G8" s="85">
        <f t="shared" si="0"/>
        <v>6606.3600000000006</v>
      </c>
      <c r="H8" s="85">
        <f t="shared" si="0"/>
        <v>10410.37000000001</v>
      </c>
      <c r="I8" s="85">
        <f t="shared" si="0"/>
        <v>1490</v>
      </c>
      <c r="J8" s="85">
        <f t="shared" si="0"/>
        <v>1626</v>
      </c>
      <c r="K8" s="85">
        <f t="shared" si="0"/>
        <v>1156</v>
      </c>
      <c r="L8" s="85">
        <f t="shared" si="0"/>
        <v>4955</v>
      </c>
      <c r="M8" s="11"/>
      <c r="N8" s="11"/>
      <c r="O8" s="40" t="s">
        <v>16</v>
      </c>
      <c r="P8" s="45"/>
      <c r="Q8" s="45"/>
      <c r="R8" s="45"/>
      <c r="S8" s="46" t="s">
        <v>5</v>
      </c>
      <c r="T8" s="18"/>
      <c r="U8" s="18"/>
      <c r="V8" s="18"/>
      <c r="W8" s="18"/>
      <c r="X8" s="18"/>
      <c r="Y8" s="18"/>
    </row>
    <row r="9" spans="1:25" ht="33.75" x14ac:dyDescent="0.25">
      <c r="A9" s="6" t="s">
        <v>24</v>
      </c>
      <c r="B9" s="7"/>
      <c r="C9" s="7"/>
      <c r="D9" s="88">
        <v>62225.67</v>
      </c>
      <c r="E9" s="85">
        <v>69137.100000000006</v>
      </c>
      <c r="F9" s="85">
        <v>62537.2</v>
      </c>
      <c r="G9" s="85">
        <v>53242.96</v>
      </c>
      <c r="H9" s="85">
        <v>62015.79</v>
      </c>
      <c r="I9" s="85">
        <v>19162</v>
      </c>
      <c r="J9" s="85">
        <v>20490</v>
      </c>
      <c r="K9" s="85">
        <v>21298</v>
      </c>
      <c r="L9" s="85">
        <v>22080</v>
      </c>
      <c r="M9" s="11"/>
      <c r="N9" s="11"/>
      <c r="O9" s="49" t="s">
        <v>93</v>
      </c>
      <c r="P9" s="45"/>
      <c r="Q9" s="50">
        <f>D14/(D11-D9)</f>
        <v>0.29319742280206462</v>
      </c>
      <c r="R9" s="50">
        <f>E14/(E11-E9)</f>
        <v>0.30871054982154988</v>
      </c>
      <c r="S9" s="50">
        <f>F14/(F11-F9)</f>
        <v>0.26636607640277798</v>
      </c>
      <c r="T9" s="50">
        <f>G14/(G11-G9)</f>
        <v>0.30861055242795149</v>
      </c>
      <c r="U9" s="50">
        <f>H14/(H11-H9)</f>
        <v>0.33610096102463077</v>
      </c>
      <c r="V9" s="18"/>
      <c r="W9" s="18"/>
      <c r="X9" s="18"/>
      <c r="Y9" s="18"/>
    </row>
    <row r="10" spans="1:25" ht="22.5" x14ac:dyDescent="0.25">
      <c r="A10" s="6" t="s">
        <v>53</v>
      </c>
      <c r="B10" s="10">
        <f t="shared" ref="B10:I10" si="1">B6-B9</f>
        <v>0</v>
      </c>
      <c r="C10" s="10">
        <f t="shared" si="1"/>
        <v>0</v>
      </c>
      <c r="D10" s="89">
        <f t="shared" si="1"/>
        <v>33127.290000000008</v>
      </c>
      <c r="E10" s="89">
        <f t="shared" si="1"/>
        <v>32085.64</v>
      </c>
      <c r="F10" s="89">
        <f t="shared" si="1"/>
        <v>34383.06</v>
      </c>
      <c r="G10" s="89">
        <f t="shared" si="1"/>
        <v>35809.85</v>
      </c>
      <c r="H10" s="89">
        <f>H6-H9</f>
        <v>41518.579999999994</v>
      </c>
      <c r="I10" s="89">
        <f t="shared" si="1"/>
        <v>12421</v>
      </c>
      <c r="J10" s="89">
        <f>J6-J9</f>
        <v>12276</v>
      </c>
      <c r="K10" s="89">
        <f>K6-K9</f>
        <v>12304</v>
      </c>
      <c r="L10" s="89">
        <f>L6-L9</f>
        <v>11840</v>
      </c>
      <c r="M10" s="11"/>
      <c r="N10" s="11"/>
      <c r="O10" s="42" t="s">
        <v>92</v>
      </c>
      <c r="P10" s="43"/>
      <c r="Q10" s="44">
        <f>D14/D11</f>
        <v>0.11186790392850347</v>
      </c>
      <c r="R10" s="44">
        <f>E14/E11</f>
        <v>0.11083446185647411</v>
      </c>
      <c r="S10" s="44">
        <f>F14/F11</f>
        <v>0.10605838534481556</v>
      </c>
      <c r="T10" s="44">
        <f>G14/G11</f>
        <v>0.13684093223890612</v>
      </c>
      <c r="U10" s="44">
        <f>H14/H11</f>
        <v>0.15317398591633105</v>
      </c>
      <c r="V10" s="18"/>
      <c r="W10" s="18"/>
      <c r="X10" s="18"/>
      <c r="Y10" s="18"/>
    </row>
    <row r="11" spans="1:25" ht="22.5" x14ac:dyDescent="0.25">
      <c r="A11" s="6" t="s">
        <v>1</v>
      </c>
      <c r="B11" s="10">
        <f>B5-B9</f>
        <v>0</v>
      </c>
      <c r="C11" s="10">
        <f t="shared" ref="C11:I11" si="2">SUM(C6:C8)</f>
        <v>0</v>
      </c>
      <c r="D11" s="89">
        <f t="shared" si="2"/>
        <v>100614.65</v>
      </c>
      <c r="E11" s="89">
        <f t="shared" si="2"/>
        <v>107862.21</v>
      </c>
      <c r="F11" s="89">
        <f>SUM(F6:F8)</f>
        <v>103911.35</v>
      </c>
      <c r="G11" s="89">
        <f>SUM(G6:G8)</f>
        <v>95659.17</v>
      </c>
      <c r="H11" s="89">
        <f>SUM(H6:H8)</f>
        <v>113944.74</v>
      </c>
      <c r="I11" s="89">
        <f t="shared" si="2"/>
        <v>33073</v>
      </c>
      <c r="J11" s="89">
        <f>SUM(J6:J8)</f>
        <v>34392</v>
      </c>
      <c r="K11" s="89">
        <f>SUM(K6:K8)</f>
        <v>34758</v>
      </c>
      <c r="L11" s="89">
        <f>SUM(L6:L8)</f>
        <v>38875</v>
      </c>
      <c r="M11" s="11"/>
      <c r="N11" s="11"/>
      <c r="O11" s="42" t="s">
        <v>17</v>
      </c>
      <c r="P11" s="43"/>
      <c r="Q11" s="44">
        <f>D14/AVERAGE(C22:D22)</f>
        <v>1.2056118462312146E-2</v>
      </c>
      <c r="R11" s="44">
        <f>E14/AVERAGE(D22:E22)</f>
        <v>1.2327596452020636E-2</v>
      </c>
      <c r="S11" s="44">
        <f>F14/AVERAGE(E22:F22)</f>
        <v>1.1082195356426131E-2</v>
      </c>
      <c r="T11" s="44">
        <f>G14/AVERAGE(F22:G22)</f>
        <v>1.3038719401366526E-2</v>
      </c>
      <c r="U11" s="44">
        <f>H14/AVERAGE(G22:H22)</f>
        <v>1.5877824725722148E-2</v>
      </c>
      <c r="V11" s="18"/>
      <c r="W11" s="18"/>
      <c r="X11" s="18"/>
      <c r="Y11" s="18"/>
    </row>
    <row r="12" spans="1:25" x14ac:dyDescent="0.25">
      <c r="A12" s="6" t="s">
        <v>91</v>
      </c>
      <c r="B12" s="10"/>
      <c r="C12" s="10"/>
      <c r="D12" s="89">
        <v>12.76</v>
      </c>
      <c r="E12" s="89">
        <v>24.9</v>
      </c>
      <c r="F12" s="89">
        <v>4.57</v>
      </c>
      <c r="G12" s="89">
        <v>39.54</v>
      </c>
      <c r="H12" s="89">
        <v>74.53</v>
      </c>
      <c r="I12" s="89">
        <v>7</v>
      </c>
      <c r="J12" s="89">
        <v>1</v>
      </c>
      <c r="K12" s="89">
        <v>20</v>
      </c>
      <c r="L12" s="89">
        <v>49</v>
      </c>
      <c r="M12" s="11"/>
      <c r="N12" s="11"/>
      <c r="O12" s="40" t="s">
        <v>18</v>
      </c>
      <c r="P12" s="45"/>
      <c r="Q12" s="45"/>
      <c r="R12" s="45"/>
      <c r="S12" s="46" t="s">
        <v>5</v>
      </c>
      <c r="T12" s="18"/>
      <c r="U12" s="18"/>
      <c r="V12" s="18"/>
      <c r="W12" s="18"/>
      <c r="X12" s="53"/>
      <c r="Y12" s="54"/>
    </row>
    <row r="13" spans="1:25" x14ac:dyDescent="0.25">
      <c r="A13" s="6" t="s">
        <v>25</v>
      </c>
      <c r="B13" s="7"/>
      <c r="C13" s="7"/>
      <c r="D13" s="88">
        <f t="shared" ref="D13:L13" si="3">D11+D12</f>
        <v>100627.40999999999</v>
      </c>
      <c r="E13" s="88">
        <f t="shared" si="3"/>
        <v>107887.11</v>
      </c>
      <c r="F13" s="88">
        <f t="shared" si="3"/>
        <v>103915.92000000001</v>
      </c>
      <c r="G13" s="88">
        <f t="shared" si="3"/>
        <v>95698.709999999992</v>
      </c>
      <c r="H13" s="88">
        <f t="shared" si="3"/>
        <v>114019.27</v>
      </c>
      <c r="I13" s="88">
        <f t="shared" si="3"/>
        <v>33080</v>
      </c>
      <c r="J13" s="88">
        <f t="shared" si="3"/>
        <v>34393</v>
      </c>
      <c r="K13" s="88">
        <f t="shared" si="3"/>
        <v>34778</v>
      </c>
      <c r="L13" s="88">
        <f t="shared" si="3"/>
        <v>38924</v>
      </c>
      <c r="M13" s="11"/>
      <c r="N13" s="11"/>
      <c r="O13" s="42" t="s">
        <v>19</v>
      </c>
      <c r="P13" s="43"/>
      <c r="Q13" s="44">
        <f>D24/D23</f>
        <v>2.8950239246935523E-2</v>
      </c>
      <c r="R13" s="44">
        <f>E24/E23</f>
        <v>3.7088052731038053E-2</v>
      </c>
      <c r="S13" s="44">
        <f>F24/F23</f>
        <v>4.483361650588074E-2</v>
      </c>
      <c r="T13" s="44">
        <f>G24/G23</f>
        <v>3.0003223733731117E-2</v>
      </c>
      <c r="U13" s="44">
        <f>H24/H23</f>
        <v>2.2540482869524425E-2</v>
      </c>
      <c r="V13" s="48"/>
      <c r="W13" s="48">
        <v>1.7000000000000001E-2</v>
      </c>
      <c r="X13" s="48">
        <v>1.2999999999999999E-2</v>
      </c>
      <c r="Y13" s="48">
        <v>1.2E-2</v>
      </c>
    </row>
    <row r="14" spans="1:25" x14ac:dyDescent="0.25">
      <c r="A14" s="6" t="s">
        <v>26</v>
      </c>
      <c r="B14" s="7"/>
      <c r="C14" s="7"/>
      <c r="D14" s="85">
        <f>5670.81+581.18+5003.56</f>
        <v>11255.550000000001</v>
      </c>
      <c r="E14" s="85">
        <f>6486.03+1377.76+4091.06</f>
        <v>11954.85</v>
      </c>
      <c r="F14" s="85">
        <f>6628.21+1293.55+3098.91</f>
        <v>11020.67</v>
      </c>
      <c r="G14" s="85">
        <f>7270.91+1155.79+4663.39</f>
        <v>13090.09</v>
      </c>
      <c r="H14" s="85">
        <f>10186.62+1327.45+5939.3</f>
        <v>17453.370000000003</v>
      </c>
      <c r="I14" s="85">
        <f>3048+379+1608</f>
        <v>5035</v>
      </c>
      <c r="J14" s="85">
        <f>3342+419+2031</f>
        <v>5792</v>
      </c>
      <c r="K14" s="85">
        <f>3641+440+1752</f>
        <v>5833</v>
      </c>
      <c r="L14" s="85">
        <f>4302+476+3482</f>
        <v>8260</v>
      </c>
      <c r="M14" s="11"/>
      <c r="N14" s="11"/>
      <c r="O14" s="42" t="s">
        <v>20</v>
      </c>
      <c r="P14" s="43"/>
      <c r="Q14" s="44">
        <f>D25/D23</f>
        <v>1.5261294098472388E-2</v>
      </c>
      <c r="R14" s="44">
        <f>E25/E23</f>
        <v>2.0681066377801396E-2</v>
      </c>
      <c r="S14" s="44">
        <f>F25/F23</f>
        <v>1.0565561076226002E-2</v>
      </c>
      <c r="T14" s="44">
        <f>G25/G23</f>
        <v>1.5435404901465104E-2</v>
      </c>
      <c r="U14" s="44">
        <f>H25/H23</f>
        <v>1.1142471085547558E-2</v>
      </c>
      <c r="V14" s="48"/>
      <c r="W14" s="48">
        <v>8.0000000000000002E-3</v>
      </c>
      <c r="X14" s="48">
        <v>6.0000000000000001E-3</v>
      </c>
      <c r="Y14" s="48">
        <v>5.0000000000000001E-3</v>
      </c>
    </row>
    <row r="15" spans="1:25" x14ac:dyDescent="0.25">
      <c r="A15" s="6" t="s">
        <v>54</v>
      </c>
      <c r="B15" s="10"/>
      <c r="C15" s="10"/>
      <c r="D15" s="89">
        <f t="shared" ref="D15:J15" si="4">D11-D14</f>
        <v>89359.099999999991</v>
      </c>
      <c r="E15" s="89">
        <f t="shared" si="4"/>
        <v>95907.36</v>
      </c>
      <c r="F15" s="89">
        <f t="shared" si="4"/>
        <v>92890.680000000008</v>
      </c>
      <c r="G15" s="89">
        <f t="shared" si="4"/>
        <v>82569.08</v>
      </c>
      <c r="H15" s="89">
        <f>H11-H14</f>
        <v>96491.37</v>
      </c>
      <c r="I15" s="89">
        <f t="shared" si="4"/>
        <v>28038</v>
      </c>
      <c r="J15" s="89">
        <f t="shared" si="4"/>
        <v>28600</v>
      </c>
      <c r="K15" s="89">
        <f>K11-K14</f>
        <v>28925</v>
      </c>
      <c r="L15" s="89">
        <f>L11-L14</f>
        <v>30615</v>
      </c>
      <c r="M15" s="11"/>
      <c r="N15" s="11"/>
      <c r="O15" s="42" t="s">
        <v>21</v>
      </c>
      <c r="P15" s="43"/>
      <c r="Q15" s="44">
        <f>(Q13-Q14)/Q13</f>
        <v>0.47284393858375989</v>
      </c>
      <c r="R15" s="44">
        <f>(R13-R14)/R13</f>
        <v>0.44237928780515523</v>
      </c>
      <c r="S15" s="44">
        <f>(S13-S14)/S13</f>
        <v>0.76433841613379239</v>
      </c>
      <c r="T15" s="44">
        <f>(T13-T14)/T13</f>
        <v>0.48554178582777247</v>
      </c>
      <c r="U15" s="44">
        <f>(U13-U14)/U13</f>
        <v>0.50566848323322322</v>
      </c>
      <c r="V15" s="44"/>
      <c r="W15" s="18"/>
      <c r="X15" s="18"/>
      <c r="Y15" s="18"/>
    </row>
    <row r="16" spans="1:25" x14ac:dyDescent="0.25">
      <c r="A16" s="6" t="s">
        <v>94</v>
      </c>
      <c r="B16" s="10"/>
      <c r="C16" s="10"/>
      <c r="D16" s="89">
        <f t="shared" ref="D16:J16" si="5">D13-D14-D9</f>
        <v>27146.189999999988</v>
      </c>
      <c r="E16" s="89">
        <f t="shared" si="5"/>
        <v>26795.159999999989</v>
      </c>
      <c r="F16" s="89">
        <f t="shared" si="5"/>
        <v>30358.050000000017</v>
      </c>
      <c r="G16" s="89">
        <f t="shared" si="5"/>
        <v>29365.659999999996</v>
      </c>
      <c r="H16" s="89">
        <f>H13-H14-H9</f>
        <v>34550.109999999993</v>
      </c>
      <c r="I16" s="89">
        <f t="shared" si="5"/>
        <v>8883</v>
      </c>
      <c r="J16" s="89">
        <f t="shared" si="5"/>
        <v>8111</v>
      </c>
      <c r="K16" s="89">
        <f>K13-K14-K9</f>
        <v>7647</v>
      </c>
      <c r="L16" s="89">
        <f>L13-L14-L9</f>
        <v>8584</v>
      </c>
      <c r="M16" s="11"/>
      <c r="N16" s="11"/>
      <c r="O16" s="42" t="s">
        <v>22</v>
      </c>
      <c r="P16" s="43"/>
      <c r="Q16" s="44">
        <f>D17/AVERAGE(C23:D23)</f>
        <v>5.2290333017315513E-3</v>
      </c>
      <c r="R16" s="44">
        <f>E17/AVERAGE(D23:E23)</f>
        <v>5.3825178594056403E-3</v>
      </c>
      <c r="S16" s="44">
        <f>F17/AVERAGE(E23:F23)</f>
        <v>5.6346480462826261E-3</v>
      </c>
      <c r="T16" s="44">
        <f>G17/AVERAGE(F23:G23)</f>
        <v>8.7458943717079549E-3</v>
      </c>
      <c r="U16" s="44">
        <f>H17/AVERAGE(G23:H23)</f>
        <v>6.1964643490895676E-3</v>
      </c>
      <c r="V16" s="18"/>
      <c r="W16" s="18"/>
      <c r="X16" s="18"/>
      <c r="Y16" s="18"/>
    </row>
    <row r="17" spans="1:25" x14ac:dyDescent="0.25">
      <c r="A17" s="6" t="s">
        <v>27</v>
      </c>
      <c r="B17" s="7"/>
      <c r="C17" s="7"/>
      <c r="D17" s="88">
        <v>4729.03</v>
      </c>
      <c r="E17" s="85">
        <v>4987.2299999999996</v>
      </c>
      <c r="F17" s="85">
        <v>5227.97</v>
      </c>
      <c r="G17" s="85">
        <v>8093.92</v>
      </c>
      <c r="H17" s="85">
        <v>6380.13</v>
      </c>
      <c r="I17" s="85">
        <v>1407</v>
      </c>
      <c r="J17" s="85">
        <v>243</v>
      </c>
      <c r="K17" s="85">
        <v>-448</v>
      </c>
      <c r="L17" s="85">
        <v>1202</v>
      </c>
      <c r="M17" s="11"/>
      <c r="N17" s="11"/>
      <c r="O17" s="18"/>
      <c r="P17" s="18"/>
      <c r="Q17" s="18"/>
      <c r="R17" s="18"/>
      <c r="S17" s="18"/>
      <c r="T17" s="18"/>
      <c r="U17" s="18"/>
      <c r="V17" s="18"/>
      <c r="W17" s="18"/>
      <c r="X17" s="18"/>
      <c r="Y17" s="18"/>
    </row>
    <row r="18" spans="1:25" x14ac:dyDescent="0.25">
      <c r="A18" s="6" t="s">
        <v>55</v>
      </c>
      <c r="B18" s="7"/>
      <c r="C18" s="7"/>
      <c r="D18" s="88">
        <v>14547.84</v>
      </c>
      <c r="E18" s="85">
        <v>15790.33</v>
      </c>
      <c r="F18" s="89">
        <v>19164.34</v>
      </c>
      <c r="G18" s="89">
        <v>16769.650000000001</v>
      </c>
      <c r="H18" s="89">
        <v>21540.79</v>
      </c>
      <c r="I18" s="89">
        <v>5742</v>
      </c>
      <c r="J18" s="89">
        <v>5933</v>
      </c>
      <c r="K18" s="89">
        <v>6228</v>
      </c>
      <c r="L18" s="89">
        <v>5680</v>
      </c>
      <c r="M18" s="11"/>
      <c r="N18" s="11"/>
      <c r="O18" s="40" t="s">
        <v>30</v>
      </c>
      <c r="P18" s="45"/>
      <c r="Q18" s="45"/>
      <c r="R18" s="45"/>
      <c r="S18" s="46" t="s">
        <v>5</v>
      </c>
      <c r="T18" s="18"/>
      <c r="U18" s="18"/>
      <c r="V18" s="18"/>
      <c r="W18" s="18"/>
      <c r="X18" s="18"/>
      <c r="Y18" s="18"/>
    </row>
    <row r="19" spans="1:25" ht="22.5" x14ac:dyDescent="0.25">
      <c r="A19" s="6" t="s">
        <v>28</v>
      </c>
      <c r="B19" s="7"/>
      <c r="C19" s="7"/>
      <c r="D19" s="88">
        <f>10125.44+115083.63</f>
        <v>125209.07</v>
      </c>
      <c r="E19" s="85">
        <f>10125.44+131981.31</f>
        <v>142106.75</v>
      </c>
      <c r="F19" s="85">
        <f>10125.44+145744.96</f>
        <v>155870.39999999999</v>
      </c>
      <c r="G19" s="85">
        <f>10125.44+155372.19</f>
        <v>165497.63</v>
      </c>
      <c r="H19" s="85">
        <f>170377.3+10125.44</f>
        <v>180502.74</v>
      </c>
      <c r="I19" s="85"/>
      <c r="J19" s="85">
        <f>171940+10125</f>
        <v>182065</v>
      </c>
      <c r="K19" s="85"/>
      <c r="L19" s="85">
        <f>10125+177901-4877</f>
        <v>183149</v>
      </c>
      <c r="M19" s="11"/>
      <c r="N19" s="11"/>
      <c r="O19" s="46" t="s">
        <v>95</v>
      </c>
      <c r="P19" s="51"/>
      <c r="Q19" s="51"/>
      <c r="R19" s="52">
        <f>E16/AVERAGE(D22:E22)</f>
        <v>2.7630620153939623E-2</v>
      </c>
      <c r="S19" s="52">
        <f>F16/AVERAGE(E22:F22)</f>
        <v>3.0527530607499589E-2</v>
      </c>
      <c r="T19" s="52">
        <f>G16/AVERAGE(F22:G22)</f>
        <v>2.9250417741660512E-2</v>
      </c>
      <c r="U19" s="52">
        <f>H16/AVERAGE(G22:H22)</f>
        <v>3.1431213045642184E-2</v>
      </c>
      <c r="V19" s="18"/>
      <c r="W19" s="18"/>
      <c r="X19" s="18"/>
      <c r="Y19" s="18"/>
    </row>
    <row r="20" spans="1:25" x14ac:dyDescent="0.25">
      <c r="A20" s="6" t="s">
        <v>56</v>
      </c>
      <c r="B20" s="7"/>
      <c r="C20" s="7"/>
      <c r="D20" s="88">
        <f t="shared" ref="D20:L20" si="6">D19-D71</f>
        <v>125209.07</v>
      </c>
      <c r="E20" s="89">
        <f t="shared" si="6"/>
        <v>142106.75</v>
      </c>
      <c r="F20" s="89">
        <f t="shared" si="6"/>
        <v>155870.39999999999</v>
      </c>
      <c r="G20" s="89">
        <f t="shared" si="6"/>
        <v>165497.63</v>
      </c>
      <c r="H20" s="89">
        <f t="shared" si="6"/>
        <v>180502.74</v>
      </c>
      <c r="I20" s="89">
        <f t="shared" si="6"/>
        <v>0</v>
      </c>
      <c r="J20" s="89">
        <f t="shared" si="6"/>
        <v>182065</v>
      </c>
      <c r="K20" s="89">
        <f t="shared" si="6"/>
        <v>0</v>
      </c>
      <c r="L20" s="89">
        <f t="shared" si="6"/>
        <v>183149</v>
      </c>
      <c r="M20" s="11"/>
      <c r="N20" s="11"/>
      <c r="O20" s="42" t="s">
        <v>31</v>
      </c>
      <c r="P20" s="43"/>
      <c r="Q20" s="43">
        <v>4.4699999999999997E-2</v>
      </c>
      <c r="R20" s="44">
        <f>E18/AVERAGE(D22:E22)</f>
        <v>1.6282664866914681E-2</v>
      </c>
      <c r="S20" s="44">
        <f>F18/AVERAGE(E22:F22)</f>
        <v>1.9271329216551406E-2</v>
      </c>
      <c r="T20" s="44">
        <f>G18/AVERAGE(F22:G22)</f>
        <v>1.6703839378424911E-2</v>
      </c>
      <c r="U20" s="44">
        <f>H18/AVERAGE(G22:H22)</f>
        <v>1.9596266398614615E-2</v>
      </c>
      <c r="V20" s="48"/>
      <c r="W20" s="18"/>
      <c r="X20" s="18"/>
      <c r="Y20" s="18"/>
    </row>
    <row r="21" spans="1:25" x14ac:dyDescent="0.25">
      <c r="A21" s="6" t="s">
        <v>57</v>
      </c>
      <c r="B21" s="9"/>
      <c r="C21" s="9"/>
      <c r="D21" s="85">
        <f>289426.27+372217.77+121823.25+19082.5</f>
        <v>802549.79</v>
      </c>
      <c r="E21" s="85">
        <f>260880.6+420270.22+163800.15+13252.1</f>
        <v>858203.07</v>
      </c>
      <c r="F21" s="85">
        <f>257188.02+365432.58+184588.41+13265.58</f>
        <v>820474.59</v>
      </c>
      <c r="G21" s="85">
        <f>321230.62+317984.63+200042.21+13286.7</f>
        <v>852544.15999999992</v>
      </c>
      <c r="H21" s="85">
        <f>354156.11+423905.51+200641.05+6575</f>
        <v>985277.66999999993</v>
      </c>
      <c r="I21" s="85"/>
      <c r="J21" s="85">
        <f>415427+457981+214694+6880</f>
        <v>1094982</v>
      </c>
      <c r="K21" s="85"/>
      <c r="L21" s="85">
        <f>411420+495631+223553+6585</f>
        <v>1137189</v>
      </c>
      <c r="M21" s="11"/>
      <c r="N21" s="11"/>
      <c r="O21" s="42" t="s">
        <v>32</v>
      </c>
      <c r="P21" s="43"/>
      <c r="Q21" s="44">
        <f>D18/AVERAGE(C19:D19)</f>
        <v>0.11618838794985059</v>
      </c>
      <c r="R21" s="44">
        <f>E18/AVERAGE(D19:E19)</f>
        <v>0.11813988412657357</v>
      </c>
      <c r="S21" s="44">
        <f>F18/AVERAGE(E19:F19)</f>
        <v>0.12862959458468542</v>
      </c>
      <c r="T21" s="44">
        <f>G18/AVERAGE(F19:G19)</f>
        <v>0.10436414599174659</v>
      </c>
      <c r="U21" s="44">
        <f>H18/AVERAGE(G19:H19)</f>
        <v>0.12451310384436873</v>
      </c>
      <c r="V21" s="18"/>
      <c r="W21" s="18"/>
      <c r="X21" s="18"/>
      <c r="Y21" s="18"/>
    </row>
    <row r="22" spans="1:25" x14ac:dyDescent="0.25">
      <c r="A22" s="6" t="s">
        <v>29</v>
      </c>
      <c r="B22" s="7"/>
      <c r="C22" s="7"/>
      <c r="D22" s="88">
        <v>933596.5</v>
      </c>
      <c r="E22" s="85">
        <v>1005930</v>
      </c>
      <c r="F22" s="85">
        <v>982966.54</v>
      </c>
      <c r="G22" s="85">
        <v>1024913.16</v>
      </c>
      <c r="H22" s="85">
        <v>1173545.42</v>
      </c>
      <c r="I22" s="85"/>
      <c r="J22" s="85">
        <v>1287000</v>
      </c>
      <c r="K22" s="85"/>
      <c r="L22" s="85">
        <v>1340601</v>
      </c>
      <c r="M22" s="11"/>
      <c r="N22" s="11"/>
      <c r="O22" s="40" t="s">
        <v>33</v>
      </c>
      <c r="P22" s="45"/>
      <c r="Q22" s="45"/>
      <c r="R22" s="45"/>
      <c r="S22" s="46" t="s">
        <v>5</v>
      </c>
      <c r="T22" s="18"/>
      <c r="U22" s="18"/>
      <c r="V22" s="18"/>
      <c r="W22" s="18"/>
      <c r="X22" s="18"/>
      <c r="Y22" s="18"/>
    </row>
    <row r="23" spans="1:25" x14ac:dyDescent="0.25">
      <c r="A23" s="6" t="s">
        <v>58</v>
      </c>
      <c r="B23" s="7"/>
      <c r="C23" s="7"/>
      <c r="D23" s="88">
        <v>904379.4</v>
      </c>
      <c r="E23" s="85">
        <v>948742.18</v>
      </c>
      <c r="F23" s="85">
        <v>906908.77</v>
      </c>
      <c r="G23" s="85">
        <v>943998.56</v>
      </c>
      <c r="H23" s="85">
        <v>1115282.23</v>
      </c>
      <c r="I23" s="85"/>
      <c r="J23" s="85">
        <v>1209065</v>
      </c>
      <c r="K23" s="85"/>
      <c r="L23" s="85">
        <v>1281185</v>
      </c>
      <c r="M23" s="11"/>
      <c r="N23" s="11"/>
      <c r="O23" s="42" t="s">
        <v>34</v>
      </c>
      <c r="P23" s="43"/>
      <c r="Q23" s="44">
        <f>D6/AVERAGE(C23:D23)</f>
        <v>0.10543468814084</v>
      </c>
      <c r="R23" s="44">
        <f>E6/AVERAGE(D23:E23)</f>
        <v>0.1092456545673598</v>
      </c>
      <c r="S23" s="44">
        <f>F6/AVERAGE(E23:F23)</f>
        <v>0.1044595806123991</v>
      </c>
      <c r="T23" s="44">
        <f>G6/AVERAGE(F23:G23)</f>
        <v>9.6226114140463198E-2</v>
      </c>
      <c r="U23" s="44">
        <f>H6/AVERAGE(G23:H23)</f>
        <v>0.10055391232003869</v>
      </c>
      <c r="V23" s="18"/>
      <c r="W23" s="18"/>
      <c r="X23" s="18"/>
      <c r="Y23" s="18"/>
    </row>
    <row r="24" spans="1:25" x14ac:dyDescent="0.25">
      <c r="A24" s="6" t="s">
        <v>59</v>
      </c>
      <c r="B24" s="10"/>
      <c r="C24" s="10"/>
      <c r="D24" s="89">
        <v>26182</v>
      </c>
      <c r="E24" s="89">
        <v>35187</v>
      </c>
      <c r="F24" s="89">
        <v>40660</v>
      </c>
      <c r="G24" s="89">
        <v>28323</v>
      </c>
      <c r="H24" s="89">
        <v>25139</v>
      </c>
      <c r="I24" s="89"/>
      <c r="J24" s="89"/>
      <c r="K24" s="89"/>
      <c r="L24" s="89"/>
      <c r="M24" s="11"/>
      <c r="N24" s="11"/>
      <c r="O24" s="42" t="s">
        <v>35</v>
      </c>
      <c r="P24" s="43"/>
      <c r="Q24" s="44">
        <f>D9/AVERAGE(C21:D21)</f>
        <v>7.7534965151507915E-2</v>
      </c>
      <c r="R24" s="44">
        <f>E9/AVERAGE(D21:E21)</f>
        <v>8.3259949948242165E-2</v>
      </c>
      <c r="S24" s="44">
        <f>F9/AVERAGE(E21:F21)</f>
        <v>7.4507693156528929E-2</v>
      </c>
      <c r="T24" s="44">
        <f>G9/AVERAGE(F21:G21)</f>
        <v>6.3648969863607324E-2</v>
      </c>
      <c r="U24" s="44">
        <f>H9/AVERAGE(G21:H21)</f>
        <v>6.7488359304122544E-2</v>
      </c>
      <c r="V24" s="18"/>
      <c r="W24" s="18"/>
      <c r="X24" s="18"/>
      <c r="Y24" s="18"/>
    </row>
    <row r="25" spans="1:25" x14ac:dyDescent="0.25">
      <c r="A25" s="6" t="s">
        <v>60</v>
      </c>
      <c r="B25" s="10"/>
      <c r="C25" s="10"/>
      <c r="D25" s="89">
        <v>13802</v>
      </c>
      <c r="E25" s="89">
        <v>19621</v>
      </c>
      <c r="F25" s="89">
        <v>9582</v>
      </c>
      <c r="G25" s="89">
        <v>14571</v>
      </c>
      <c r="H25" s="89">
        <v>12427</v>
      </c>
      <c r="I25" s="89"/>
      <c r="J25" s="89"/>
      <c r="K25" s="89"/>
      <c r="L25" s="89"/>
      <c r="M25" s="11"/>
      <c r="N25" s="11"/>
      <c r="O25" s="42" t="s">
        <v>36</v>
      </c>
      <c r="P25" s="43"/>
      <c r="Q25" s="48">
        <f>Q23-Q24</f>
        <v>2.789972298933209E-2</v>
      </c>
      <c r="R25" s="48">
        <f>R23-R24</f>
        <v>2.5985704619117631E-2</v>
      </c>
      <c r="S25" s="48">
        <f>S23-S24</f>
        <v>2.9951887455870171E-2</v>
      </c>
      <c r="T25" s="48">
        <f>T23-T24</f>
        <v>3.2577144276855874E-2</v>
      </c>
      <c r="U25" s="48">
        <f>U23-U24</f>
        <v>3.3065553015916141E-2</v>
      </c>
      <c r="V25" s="18"/>
      <c r="W25" s="18"/>
      <c r="X25" s="18"/>
      <c r="Y25" s="18"/>
    </row>
  </sheetData>
  <mergeCells count="2">
    <mergeCell ref="A2:A4"/>
    <mergeCell ref="J1:L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I38"/>
  <sheetViews>
    <sheetView topLeftCell="V7" workbookViewId="0">
      <selection activeCell="AH18" sqref="AH18"/>
    </sheetView>
  </sheetViews>
  <sheetFormatPr defaultRowHeight="15" x14ac:dyDescent="0.25"/>
  <cols>
    <col min="1" max="1" width="31.42578125" customWidth="1"/>
    <col min="4" max="4" width="12.7109375" customWidth="1"/>
    <col min="5" max="5" width="11.28515625" customWidth="1"/>
    <col min="6" max="6" width="11.7109375" customWidth="1"/>
    <col min="7" max="7" width="10.140625" bestFit="1" customWidth="1"/>
    <col min="8" max="8" width="10.140625" customWidth="1"/>
    <col min="9" max="9" width="11.28515625" bestFit="1" customWidth="1"/>
    <col min="10" max="10" width="10.140625" bestFit="1" customWidth="1"/>
    <col min="11" max="11" width="11.28515625" bestFit="1" customWidth="1"/>
    <col min="12" max="14" width="10.140625" bestFit="1" customWidth="1"/>
    <col min="15" max="17" width="10.140625" customWidth="1"/>
    <col min="19" max="19" width="30.28515625" customWidth="1"/>
    <col min="21" max="21" width="13.42578125" customWidth="1"/>
    <col min="22" max="22" width="12.7109375" customWidth="1"/>
    <col min="24" max="26" width="12.2851562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 min="62" max="62" width="36.5703125" bestFit="1" customWidth="1"/>
    <col min="63" max="63" width="27.5703125" bestFit="1" customWidth="1"/>
    <col min="64" max="64" width="34.140625" bestFit="1" customWidth="1"/>
    <col min="65" max="66" width="12.140625" bestFit="1" customWidth="1"/>
    <col min="67" max="68" width="23.140625" bestFit="1" customWidth="1"/>
    <col min="69" max="69" width="22.85546875" bestFit="1" customWidth="1"/>
    <col min="70" max="70" width="23" bestFit="1" customWidth="1"/>
    <col min="71" max="71" width="22.85546875" bestFit="1" customWidth="1"/>
    <col min="72" max="72" width="25.140625" bestFit="1" customWidth="1"/>
    <col min="73" max="73" width="18.28515625" bestFit="1" customWidth="1"/>
  </cols>
  <sheetData>
    <row r="1" spans="1:44" x14ac:dyDescent="0.25">
      <c r="K1" s="772" t="s">
        <v>113</v>
      </c>
      <c r="L1" s="772"/>
      <c r="M1" s="772"/>
    </row>
    <row r="2" spans="1:44" ht="45" x14ac:dyDescent="0.25">
      <c r="A2" s="771" t="s">
        <v>4</v>
      </c>
      <c r="B2" s="1" t="s">
        <v>43</v>
      </c>
      <c r="C2" s="1" t="s">
        <v>41</v>
      </c>
      <c r="D2" s="2" t="s">
        <v>44</v>
      </c>
      <c r="E2" s="2" t="s">
        <v>0</v>
      </c>
      <c r="F2" s="3" t="s">
        <v>45</v>
      </c>
      <c r="G2" s="3" t="s">
        <v>42</v>
      </c>
      <c r="H2" s="3" t="s">
        <v>366</v>
      </c>
      <c r="I2" s="3" t="s">
        <v>556</v>
      </c>
      <c r="J2" s="3" t="s">
        <v>37</v>
      </c>
      <c r="K2" s="3" t="s">
        <v>38</v>
      </c>
      <c r="L2" s="3" t="s">
        <v>39</v>
      </c>
      <c r="M2" s="3" t="s">
        <v>40</v>
      </c>
      <c r="N2" s="11" t="s">
        <v>682</v>
      </c>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F2" s="441" t="s">
        <v>683</v>
      </c>
      <c r="AG2" s="443"/>
      <c r="AH2" s="443"/>
      <c r="AL2" s="403"/>
      <c r="AM2" s="403"/>
      <c r="AN2" s="403"/>
      <c r="AO2" s="403"/>
      <c r="AP2" s="403"/>
    </row>
    <row r="3" spans="1:44"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5.8154616923107388E-2</v>
      </c>
      <c r="V3" s="44">
        <f t="shared" si="0"/>
        <v>7.7663984394050228E-2</v>
      </c>
      <c r="W3" s="44">
        <f t="shared" si="0"/>
        <v>7.7619012825104486E-2</v>
      </c>
      <c r="X3" s="44">
        <f t="shared" si="0"/>
        <v>8.6122697697432707E-2</v>
      </c>
      <c r="Y3" s="44">
        <f t="shared" si="0"/>
        <v>8.1144400332379282E-2</v>
      </c>
      <c r="Z3" s="44">
        <f t="shared" si="0"/>
        <v>9.0612149717799365E-2</v>
      </c>
      <c r="AA3" s="44">
        <f t="shared" ref="AA3:AH3" si="1">(J10*4)/J23</f>
        <v>8.5614457831325305E-2</v>
      </c>
      <c r="AB3" s="44">
        <f t="shared" si="1"/>
        <v>9.7323612395603984E-2</v>
      </c>
      <c r="AC3" s="44">
        <f t="shared" si="1"/>
        <v>9.7916384180790961E-2</v>
      </c>
      <c r="AD3" s="44">
        <f t="shared" si="1"/>
        <v>8.8233308749078088E-2</v>
      </c>
      <c r="AE3" s="44">
        <f t="shared" si="1"/>
        <v>8.5730138611038995E-2</v>
      </c>
      <c r="AF3" s="44">
        <f t="shared" si="1"/>
        <v>9.5422419107421899E-2</v>
      </c>
      <c r="AG3" s="44">
        <f t="shared" si="1"/>
        <v>9.4973098664524844E-2</v>
      </c>
      <c r="AH3" s="44">
        <f t="shared" si="1"/>
        <v>0.1020285270035861</v>
      </c>
      <c r="AJ3" s="741" t="s">
        <v>624</v>
      </c>
      <c r="AK3" s="742"/>
      <c r="AL3" s="404" t="s">
        <v>625</v>
      </c>
      <c r="AM3" s="404" t="s">
        <v>626</v>
      </c>
      <c r="AN3" s="404" t="s">
        <v>627</v>
      </c>
      <c r="AO3" s="404" t="s">
        <v>628</v>
      </c>
      <c r="AP3" s="404" t="s">
        <v>629</v>
      </c>
      <c r="AQ3" s="404" t="s">
        <v>630</v>
      </c>
      <c r="AR3" s="404" t="s">
        <v>631</v>
      </c>
    </row>
    <row r="4" spans="1:44"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D5">
        <v>25191</v>
      </c>
      <c r="E5">
        <v>44942</v>
      </c>
      <c r="F5" s="85">
        <v>69182</v>
      </c>
      <c r="G5" s="90">
        <v>86932</v>
      </c>
      <c r="H5" s="90">
        <v>117879</v>
      </c>
      <c r="I5" s="90">
        <v>157721</v>
      </c>
      <c r="J5" s="85">
        <v>36139</v>
      </c>
      <c r="K5" s="85">
        <v>39479</v>
      </c>
      <c r="L5" s="85">
        <v>41345</v>
      </c>
      <c r="M5" s="85">
        <v>33792</v>
      </c>
      <c r="N5" s="11">
        <v>40758</v>
      </c>
      <c r="O5" s="11">
        <v>47731</v>
      </c>
      <c r="P5" s="11">
        <v>51298</v>
      </c>
      <c r="Q5" s="11">
        <v>53305</v>
      </c>
      <c r="R5" s="11"/>
      <c r="S5" s="42" t="s">
        <v>13</v>
      </c>
      <c r="T5" s="46"/>
      <c r="U5" s="47" t="e">
        <f t="shared" ref="U5:Z5" si="2">D21/D20</f>
        <v>#REF!</v>
      </c>
      <c r="V5" s="47" t="e">
        <f t="shared" si="2"/>
        <v>#REF!</v>
      </c>
      <c r="W5" s="47" t="e">
        <f t="shared" si="2"/>
        <v>#REF!</v>
      </c>
      <c r="X5" s="47" t="e">
        <f t="shared" si="2"/>
        <v>#REF!</v>
      </c>
      <c r="Y5" s="47" t="e">
        <f t="shared" si="2"/>
        <v>#REF!</v>
      </c>
      <c r="Z5" s="47">
        <f t="shared" si="2"/>
        <v>3.633444354506973</v>
      </c>
      <c r="AA5" s="47"/>
      <c r="AB5" s="47">
        <f>K21/K20</f>
        <v>5.4503120948447545</v>
      </c>
      <c r="AC5" s="47"/>
      <c r="AD5" s="47">
        <f>M21/M20</f>
        <v>5.2597738597163666</v>
      </c>
      <c r="AE5" s="47">
        <f>N21/N20</f>
        <v>3.633444354506973</v>
      </c>
      <c r="AF5" s="47"/>
      <c r="AG5" s="47">
        <f>P21/P20</f>
        <v>4.1012364631480587</v>
      </c>
      <c r="AH5" s="461"/>
      <c r="AJ5" s="406" t="s">
        <v>632</v>
      </c>
      <c r="AK5" s="406" t="s">
        <v>557</v>
      </c>
      <c r="AL5" s="745" t="s">
        <v>633</v>
      </c>
      <c r="AM5" s="745"/>
      <c r="AN5" s="745"/>
      <c r="AO5" s="745"/>
      <c r="AP5" s="745"/>
      <c r="AQ5" s="745"/>
      <c r="AR5" s="745"/>
    </row>
    <row r="6" spans="1:44" x14ac:dyDescent="0.25">
      <c r="A6" s="6" t="s">
        <v>50</v>
      </c>
      <c r="B6" s="7"/>
      <c r="C6" s="8"/>
      <c r="D6">
        <f>23309-168</f>
        <v>23141</v>
      </c>
      <c r="E6">
        <f>42548-143</f>
        <v>42405</v>
      </c>
      <c r="F6" s="85">
        <v>63719</v>
      </c>
      <c r="G6" s="85">
        <v>79497</v>
      </c>
      <c r="H6" s="85">
        <v>103463</v>
      </c>
      <c r="I6" s="85">
        <v>149168</v>
      </c>
      <c r="J6" s="85">
        <v>34123</v>
      </c>
      <c r="K6" s="85">
        <v>37422</v>
      </c>
      <c r="L6" s="85">
        <v>39239</v>
      </c>
      <c r="M6" s="85">
        <v>31748</v>
      </c>
      <c r="N6" s="11">
        <v>38384</v>
      </c>
      <c r="O6" s="11">
        <v>45201</v>
      </c>
      <c r="P6" s="11">
        <v>47911</v>
      </c>
      <c r="Q6" s="11">
        <v>50506</v>
      </c>
      <c r="R6" s="11"/>
      <c r="S6" s="42" t="s">
        <v>14</v>
      </c>
      <c r="T6" s="43"/>
      <c r="U6" s="43">
        <v>0.21609999999999999</v>
      </c>
      <c r="V6" s="43">
        <v>0.1789</v>
      </c>
      <c r="W6" s="43">
        <v>0.23519999999999999</v>
      </c>
      <c r="X6" s="48">
        <v>0.23039999999999999</v>
      </c>
      <c r="Y6" s="48">
        <v>0.1794</v>
      </c>
      <c r="Z6" s="48">
        <v>1.1794</v>
      </c>
      <c r="AA6" s="48">
        <v>0.1971</v>
      </c>
      <c r="AB6" s="48">
        <v>0.19700000000000001</v>
      </c>
      <c r="AC6" s="48">
        <v>0.25790000000000002</v>
      </c>
      <c r="AD6" s="48">
        <v>0.1794</v>
      </c>
      <c r="AE6" s="80">
        <v>0.2346</v>
      </c>
      <c r="AF6" s="80">
        <v>0.22839999999999999</v>
      </c>
      <c r="AG6" s="80">
        <v>0.214</v>
      </c>
      <c r="AH6" s="80">
        <v>0.21640000000000001</v>
      </c>
      <c r="AJ6" s="392">
        <v>1</v>
      </c>
      <c r="AK6" s="108" t="s">
        <v>646</v>
      </c>
      <c r="AL6" s="418">
        <v>8.5699999999999998E-2</v>
      </c>
      <c r="AM6" s="418">
        <v>9.7900000000000001E-2</v>
      </c>
      <c r="AN6" s="81"/>
      <c r="AO6" s="81"/>
      <c r="AP6" s="417">
        <v>8.8200000000000001E-2</v>
      </c>
      <c r="AQ6" s="417">
        <v>9.06E-2</v>
      </c>
      <c r="AR6" s="417">
        <v>8.1100000000000005E-2</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3">D20/D23</f>
        <v>#REF!</v>
      </c>
      <c r="V7" s="44" t="e">
        <f t="shared" si="3"/>
        <v>#REF!</v>
      </c>
      <c r="W7" s="44" t="e">
        <f t="shared" si="3"/>
        <v>#REF!</v>
      </c>
      <c r="X7" s="44" t="e">
        <f t="shared" si="3"/>
        <v>#REF!</v>
      </c>
      <c r="Y7" s="44" t="e">
        <f t="shared" si="3"/>
        <v>#REF!</v>
      </c>
      <c r="Z7" s="44">
        <f t="shared" si="3"/>
        <v>0.23016966235511507</v>
      </c>
      <c r="AA7" s="18"/>
      <c r="AB7" s="18"/>
      <c r="AC7" s="18"/>
      <c r="AD7" s="18"/>
      <c r="AJ7" s="392">
        <v>2</v>
      </c>
      <c r="AK7" s="108" t="s">
        <v>634</v>
      </c>
      <c r="AL7" s="410">
        <v>67.66</v>
      </c>
      <c r="AM7" s="410">
        <v>65.400000000000006</v>
      </c>
      <c r="AN7" s="410">
        <v>57.76</v>
      </c>
      <c r="AO7" s="410">
        <v>53.88</v>
      </c>
      <c r="AP7" s="81"/>
      <c r="AQ7" s="411">
        <v>244.7</v>
      </c>
      <c r="AR7" s="412">
        <v>180.13</v>
      </c>
    </row>
    <row r="8" spans="1:44" x14ac:dyDescent="0.25">
      <c r="A8" s="6" t="s">
        <v>52</v>
      </c>
      <c r="B8" s="7"/>
      <c r="C8" s="8"/>
      <c r="D8" s="85">
        <f t="shared" ref="D8:Q8" si="4">D5-D6-D7</f>
        <v>2050</v>
      </c>
      <c r="E8" s="85">
        <f t="shared" si="4"/>
        <v>2537</v>
      </c>
      <c r="F8" s="85">
        <f t="shared" si="4"/>
        <v>5463</v>
      </c>
      <c r="G8" s="85">
        <f t="shared" si="4"/>
        <v>7435</v>
      </c>
      <c r="H8" s="85">
        <f t="shared" si="4"/>
        <v>14416</v>
      </c>
      <c r="I8" s="85">
        <f t="shared" si="4"/>
        <v>8553</v>
      </c>
      <c r="J8" s="85">
        <f t="shared" si="4"/>
        <v>2016</v>
      </c>
      <c r="K8" s="85">
        <f t="shared" si="4"/>
        <v>2057</v>
      </c>
      <c r="L8" s="85">
        <f t="shared" si="4"/>
        <v>2106</v>
      </c>
      <c r="M8" s="85">
        <f t="shared" si="4"/>
        <v>2044</v>
      </c>
      <c r="N8" s="85">
        <f t="shared" si="4"/>
        <v>2374</v>
      </c>
      <c r="O8" s="85">
        <f t="shared" si="4"/>
        <v>2530</v>
      </c>
      <c r="P8" s="85">
        <f t="shared" si="4"/>
        <v>3387</v>
      </c>
      <c r="Q8" s="85">
        <f t="shared" si="4"/>
        <v>2799</v>
      </c>
      <c r="R8" s="11"/>
      <c r="S8" s="40" t="s">
        <v>16</v>
      </c>
      <c r="T8" s="45"/>
      <c r="U8" s="45"/>
      <c r="V8" s="45"/>
      <c r="W8" s="46" t="s">
        <v>5</v>
      </c>
      <c r="X8" s="18"/>
      <c r="Y8" s="18"/>
      <c r="Z8" s="18"/>
      <c r="AA8" s="18"/>
      <c r="AB8" s="18"/>
      <c r="AC8" s="18"/>
      <c r="AD8" s="18"/>
      <c r="AJ8" s="392">
        <v>3</v>
      </c>
      <c r="AK8" s="108" t="s">
        <v>635</v>
      </c>
      <c r="AL8" s="417">
        <v>1.66E-2</v>
      </c>
      <c r="AM8" s="417">
        <v>2.1899999999999999E-2</v>
      </c>
      <c r="AN8" s="81"/>
      <c r="AO8" s="81"/>
      <c r="AP8" s="417">
        <v>2.0299999999999999E-2</v>
      </c>
      <c r="AQ8" s="417">
        <v>1.66E-2</v>
      </c>
      <c r="AR8" s="417">
        <v>2.0299999999999999E-2</v>
      </c>
    </row>
    <row r="9" spans="1:44" ht="33.75" x14ac:dyDescent="0.25">
      <c r="A9" s="6" t="s">
        <v>24</v>
      </c>
      <c r="B9" s="7"/>
      <c r="C9" s="7"/>
      <c r="D9" s="88">
        <v>11394</v>
      </c>
      <c r="E9" s="85">
        <v>20110</v>
      </c>
      <c r="F9" s="85">
        <v>31319</v>
      </c>
      <c r="G9" s="85">
        <v>34765</v>
      </c>
      <c r="H9" s="85">
        <v>47215</v>
      </c>
      <c r="I9" s="85">
        <v>67956</v>
      </c>
      <c r="J9" s="85">
        <v>16358</v>
      </c>
      <c r="K9" s="85">
        <v>16691</v>
      </c>
      <c r="L9" s="85">
        <v>17575</v>
      </c>
      <c r="M9" s="85">
        <v>14102</v>
      </c>
      <c r="N9" s="11">
        <v>17332</v>
      </c>
      <c r="O9" s="11">
        <v>20241</v>
      </c>
      <c r="P9" s="11">
        <v>21424</v>
      </c>
      <c r="Q9" s="11">
        <v>22126</v>
      </c>
      <c r="R9" s="11"/>
      <c r="S9" s="49" t="s">
        <v>93</v>
      </c>
      <c r="T9" s="45"/>
      <c r="U9" s="93">
        <f t="shared" ref="U9:Z9" si="5">D14/(D11-D9)</f>
        <v>0.63499311444516926</v>
      </c>
      <c r="V9" s="93">
        <f t="shared" si="5"/>
        <v>0.75342300257731953</v>
      </c>
      <c r="W9" s="93">
        <f t="shared" si="5"/>
        <v>0.62393365554763225</v>
      </c>
      <c r="X9" s="93">
        <f t="shared" si="5"/>
        <v>0.59980447409281734</v>
      </c>
      <c r="Y9" s="93">
        <f t="shared" si="5"/>
        <v>0.61591475150005659</v>
      </c>
      <c r="Z9" s="93">
        <f t="shared" si="5"/>
        <v>0.61216509775524985</v>
      </c>
      <c r="AA9" s="18"/>
      <c r="AB9" s="18"/>
      <c r="AC9" s="18"/>
      <c r="AD9" s="18"/>
      <c r="AJ9" s="392">
        <v>4</v>
      </c>
      <c r="AK9" s="108" t="s">
        <v>636</v>
      </c>
      <c r="AL9" s="417">
        <v>1.3299999999999999E-2</v>
      </c>
      <c r="AM9" s="417">
        <v>1.66E-2</v>
      </c>
      <c r="AN9" s="81"/>
      <c r="AO9" s="81"/>
      <c r="AP9" s="417">
        <v>1.5900000000000001E-2</v>
      </c>
      <c r="AQ9" s="417">
        <v>1.3299999999999999E-2</v>
      </c>
      <c r="AR9" s="417">
        <v>1.5900000000000001E-2</v>
      </c>
    </row>
    <row r="10" spans="1:44" ht="22.5" x14ac:dyDescent="0.25">
      <c r="A10" s="6" t="s">
        <v>53</v>
      </c>
      <c r="B10" s="10">
        <f t="shared" ref="B10:J10" si="6">B6-B9</f>
        <v>0</v>
      </c>
      <c r="C10" s="10">
        <f t="shared" si="6"/>
        <v>0</v>
      </c>
      <c r="D10" s="89">
        <f t="shared" si="6"/>
        <v>11747</v>
      </c>
      <c r="E10" s="89">
        <f t="shared" si="6"/>
        <v>22295</v>
      </c>
      <c r="F10" s="89">
        <f t="shared" si="6"/>
        <v>32400</v>
      </c>
      <c r="G10" s="89">
        <f t="shared" si="6"/>
        <v>44732</v>
      </c>
      <c r="H10" s="89">
        <f>H6-H9</f>
        <v>56248</v>
      </c>
      <c r="I10" s="89">
        <f>I6-I9</f>
        <v>81212</v>
      </c>
      <c r="J10" s="89">
        <f t="shared" si="6"/>
        <v>17765</v>
      </c>
      <c r="K10" s="89">
        <f t="shared" ref="K10:P10" si="7">K6-K9</f>
        <v>20731</v>
      </c>
      <c r="L10" s="89">
        <f t="shared" si="7"/>
        <v>21664</v>
      </c>
      <c r="M10" s="89">
        <f t="shared" si="7"/>
        <v>17646</v>
      </c>
      <c r="N10" s="89">
        <f t="shared" si="7"/>
        <v>21052</v>
      </c>
      <c r="O10" s="89">
        <f t="shared" si="7"/>
        <v>24960</v>
      </c>
      <c r="P10" s="89">
        <f t="shared" si="7"/>
        <v>26487</v>
      </c>
      <c r="Q10" s="89">
        <f t="shared" ref="Q10" si="8">Q6-Q9</f>
        <v>28380</v>
      </c>
      <c r="R10" s="11"/>
      <c r="S10" s="42" t="s">
        <v>92</v>
      </c>
      <c r="T10" s="43"/>
      <c r="U10" s="44">
        <f t="shared" ref="U10:Z10" si="9">D14/D11</f>
        <v>0.34778293835099838</v>
      </c>
      <c r="V10" s="44">
        <f t="shared" si="9"/>
        <v>0.41629210983044812</v>
      </c>
      <c r="W10" s="44">
        <f t="shared" si="9"/>
        <v>0.34147610650169119</v>
      </c>
      <c r="X10" s="44">
        <f t="shared" si="9"/>
        <v>0.3599365020935904</v>
      </c>
      <c r="Y10" s="44">
        <f t="shared" si="9"/>
        <v>0.3692175875261921</v>
      </c>
      <c r="Z10" s="44">
        <f t="shared" si="9"/>
        <v>0.34840636313490275</v>
      </c>
      <c r="AA10" s="18"/>
      <c r="AB10" s="18"/>
      <c r="AC10" s="18"/>
      <c r="AD10" s="18"/>
      <c r="AJ10" s="392">
        <v>5</v>
      </c>
      <c r="AK10" s="108" t="s">
        <v>637</v>
      </c>
      <c r="AL10" s="417">
        <v>7.1999999999999998E-3</v>
      </c>
      <c r="AM10" s="417">
        <v>1.0200000000000001E-2</v>
      </c>
      <c r="AN10" s="81"/>
      <c r="AO10" s="81"/>
      <c r="AP10" s="417">
        <v>5.8999999999999999E-3</v>
      </c>
      <c r="AQ10" s="417">
        <v>7.3000000000000001E-3</v>
      </c>
      <c r="AR10" s="417">
        <v>7.1000000000000004E-3</v>
      </c>
    </row>
    <row r="11" spans="1:44" ht="30" x14ac:dyDescent="0.25">
      <c r="A11" s="6" t="s">
        <v>1</v>
      </c>
      <c r="B11" s="10">
        <f>B5-B9</f>
        <v>0</v>
      </c>
      <c r="C11" s="10">
        <f t="shared" ref="C11:J11" si="10">SUM(C6:C8)</f>
        <v>0</v>
      </c>
      <c r="D11" s="89">
        <f t="shared" si="10"/>
        <v>25191</v>
      </c>
      <c r="E11" s="89">
        <f t="shared" si="10"/>
        <v>44942</v>
      </c>
      <c r="F11" s="89">
        <f>SUM(F6:F8)</f>
        <v>69182</v>
      </c>
      <c r="G11" s="89">
        <f>SUM(G6:G8)</f>
        <v>86932</v>
      </c>
      <c r="H11" s="89">
        <f>SUM(H6:H8)</f>
        <v>117879</v>
      </c>
      <c r="I11" s="89">
        <f>SUM(I6:I8)</f>
        <v>157721</v>
      </c>
      <c r="J11" s="89">
        <f t="shared" si="10"/>
        <v>36139</v>
      </c>
      <c r="K11" s="89">
        <f t="shared" ref="K11:P11" si="11">SUM(K6:K8)</f>
        <v>39479</v>
      </c>
      <c r="L11" s="89">
        <f t="shared" si="11"/>
        <v>41345</v>
      </c>
      <c r="M11" s="89">
        <f t="shared" si="11"/>
        <v>33792</v>
      </c>
      <c r="N11" s="89">
        <f t="shared" si="11"/>
        <v>40758</v>
      </c>
      <c r="O11" s="89">
        <f t="shared" si="11"/>
        <v>47731</v>
      </c>
      <c r="P11" s="89">
        <f t="shared" si="11"/>
        <v>51298</v>
      </c>
      <c r="Q11" s="89">
        <f t="shared" ref="Q11" si="12">SUM(Q6:Q8)</f>
        <v>53305</v>
      </c>
      <c r="R11" s="11"/>
      <c r="S11" s="42" t="s">
        <v>17</v>
      </c>
      <c r="T11" s="43"/>
      <c r="U11" s="44">
        <f t="shared" ref="U11:Z11" si="13">D14/AVERAGE(C22:D22)</f>
        <v>4.0737279190555239E-2</v>
      </c>
      <c r="V11" s="44">
        <f t="shared" si="13"/>
        <v>5.9995510518214466E-2</v>
      </c>
      <c r="W11" s="44">
        <f t="shared" si="13"/>
        <v>4.9461449318449952E-2</v>
      </c>
      <c r="X11" s="44">
        <f t="shared" si="13"/>
        <v>5.2054523328461715E-2</v>
      </c>
      <c r="Y11" s="44">
        <f t="shared" si="13"/>
        <v>5.5703379472313415E-2</v>
      </c>
      <c r="Z11" s="44">
        <f t="shared" si="13"/>
        <v>5.4383158253100257E-2</v>
      </c>
      <c r="AA11" s="18"/>
      <c r="AB11" s="18"/>
      <c r="AC11" s="18"/>
      <c r="AD11" s="18"/>
      <c r="AJ11" s="392">
        <v>6</v>
      </c>
      <c r="AK11" s="413" t="s">
        <v>638</v>
      </c>
      <c r="AL11" s="410"/>
      <c r="AM11" s="81"/>
      <c r="AN11" s="81"/>
      <c r="AO11" s="81"/>
      <c r="AP11" s="81"/>
      <c r="AQ11" s="408"/>
      <c r="AR11" s="408"/>
    </row>
    <row r="12" spans="1:44" ht="30" x14ac:dyDescent="0.25">
      <c r="A12" s="6" t="s">
        <v>91</v>
      </c>
      <c r="B12" s="10"/>
      <c r="C12" s="10"/>
      <c r="D12" s="89">
        <v>389</v>
      </c>
      <c r="E12" s="89">
        <v>1665</v>
      </c>
      <c r="F12" s="89">
        <v>575</v>
      </c>
      <c r="G12" s="89">
        <v>1432</v>
      </c>
      <c r="H12" s="89">
        <v>3588</v>
      </c>
      <c r="I12" s="89">
        <v>4579</v>
      </c>
      <c r="J12" s="89">
        <v>648</v>
      </c>
      <c r="K12" s="89">
        <v>316</v>
      </c>
      <c r="L12" s="89">
        <v>1600</v>
      </c>
      <c r="M12" s="89">
        <v>873</v>
      </c>
      <c r="N12" s="11">
        <v>2015</v>
      </c>
      <c r="O12" s="11">
        <v>1368</v>
      </c>
      <c r="P12" s="11">
        <v>611</v>
      </c>
      <c r="Q12" s="11">
        <v>999</v>
      </c>
      <c r="R12" s="11"/>
      <c r="S12" s="40" t="s">
        <v>18</v>
      </c>
      <c r="T12" s="45"/>
      <c r="U12" s="45"/>
      <c r="V12" s="45"/>
      <c r="W12" s="46" t="s">
        <v>5</v>
      </c>
      <c r="X12" s="18"/>
      <c r="Y12" s="18"/>
      <c r="Z12" s="18"/>
      <c r="AA12" s="18"/>
      <c r="AB12" s="18"/>
      <c r="AC12" s="53"/>
      <c r="AD12" s="54"/>
      <c r="AJ12" s="392">
        <v>7</v>
      </c>
      <c r="AK12" s="413" t="s">
        <v>639</v>
      </c>
      <c r="AL12" s="410"/>
      <c r="AM12" s="81"/>
      <c r="AN12" s="81"/>
      <c r="AO12" s="81"/>
      <c r="AP12" s="81"/>
      <c r="AQ12" s="408"/>
      <c r="AR12" s="408"/>
    </row>
    <row r="13" spans="1:44" x14ac:dyDescent="0.25">
      <c r="A13" s="6" t="s">
        <v>25</v>
      </c>
      <c r="B13" s="7"/>
      <c r="C13" s="7"/>
      <c r="D13" s="88">
        <f t="shared" ref="D13:Q13" si="14">D11+D12</f>
        <v>25580</v>
      </c>
      <c r="E13" s="88">
        <f t="shared" si="14"/>
        <v>46607</v>
      </c>
      <c r="F13" s="88">
        <f t="shared" si="14"/>
        <v>69757</v>
      </c>
      <c r="G13" s="88">
        <f t="shared" si="14"/>
        <v>88364</v>
      </c>
      <c r="H13" s="88">
        <f t="shared" si="14"/>
        <v>121467</v>
      </c>
      <c r="I13" s="88">
        <f t="shared" si="14"/>
        <v>162300</v>
      </c>
      <c r="J13" s="88">
        <f t="shared" si="14"/>
        <v>36787</v>
      </c>
      <c r="K13" s="88">
        <f t="shared" si="14"/>
        <v>39795</v>
      </c>
      <c r="L13" s="88">
        <f t="shared" si="14"/>
        <v>42945</v>
      </c>
      <c r="M13" s="88">
        <f t="shared" si="14"/>
        <v>34665</v>
      </c>
      <c r="N13" s="88">
        <f t="shared" si="14"/>
        <v>42773</v>
      </c>
      <c r="O13" s="88">
        <f t="shared" si="14"/>
        <v>49099</v>
      </c>
      <c r="P13" s="88">
        <f t="shared" si="14"/>
        <v>51909</v>
      </c>
      <c r="Q13" s="88">
        <f t="shared" si="14"/>
        <v>54304</v>
      </c>
      <c r="R13" s="11"/>
      <c r="S13" s="42" t="s">
        <v>19</v>
      </c>
      <c r="T13" s="43"/>
      <c r="U13" s="44">
        <f t="shared" ref="U13:Z13" si="15">D24/D23</f>
        <v>2.2812332917483514E-2</v>
      </c>
      <c r="V13" s="44">
        <f t="shared" si="15"/>
        <v>1.470667268584204E-2</v>
      </c>
      <c r="W13" s="44">
        <f t="shared" si="15"/>
        <v>1.0116640696083664E-2</v>
      </c>
      <c r="X13" s="44">
        <f t="shared" si="15"/>
        <v>2.2319274285099305E-2</v>
      </c>
      <c r="Y13" s="44">
        <f t="shared" si="15"/>
        <v>2.0301774461478461E-2</v>
      </c>
      <c r="Z13" s="44">
        <f t="shared" si="15"/>
        <v>0</v>
      </c>
      <c r="AA13" s="48">
        <v>2.2599999999999999E-2</v>
      </c>
      <c r="AB13" s="48">
        <v>2.3400000000000001E-2</v>
      </c>
      <c r="AC13" s="48">
        <v>2.1899999999999999E-2</v>
      </c>
      <c r="AD13" s="48">
        <v>2.0299999999999999E-2</v>
      </c>
      <c r="AE13" s="402">
        <v>1.66E-2</v>
      </c>
      <c r="AF13" s="437">
        <v>1.9699999999999999E-2</v>
      </c>
      <c r="AG13" s="437">
        <v>1.8700000000000001E-2</v>
      </c>
      <c r="AH13" s="437">
        <v>1.8800000000000001E-2</v>
      </c>
      <c r="AJ13" s="392">
        <v>8</v>
      </c>
      <c r="AK13" s="108" t="s">
        <v>640</v>
      </c>
      <c r="AL13" s="95" t="e">
        <f>AL11/AL12</f>
        <v>#DIV/0!</v>
      </c>
      <c r="AM13" s="81"/>
      <c r="AN13" s="81"/>
      <c r="AO13" s="81"/>
      <c r="AP13" s="81"/>
      <c r="AQ13" s="81"/>
      <c r="AR13" s="81"/>
    </row>
    <row r="14" spans="1:44" x14ac:dyDescent="0.25">
      <c r="A14" s="6" t="s">
        <v>26</v>
      </c>
      <c r="B14" s="7"/>
      <c r="C14" s="7"/>
      <c r="D14" s="85">
        <f>934+4774+775+2278</f>
        <v>8761</v>
      </c>
      <c r="E14" s="85">
        <f>1239+10082+1921+5467</f>
        <v>18709</v>
      </c>
      <c r="F14" s="85">
        <f>1204+13159+2727+6534</f>
        <v>23624</v>
      </c>
      <c r="G14" s="85">
        <f>1470+17541+3670+8609</f>
        <v>31290</v>
      </c>
      <c r="H14" s="85">
        <f>2328+24760+4187+12248</f>
        <v>43523</v>
      </c>
      <c r="I14" s="85">
        <f>2287+31782+3735+17147</f>
        <v>54951</v>
      </c>
      <c r="J14" s="85">
        <f>460+6923+866+3909</f>
        <v>12158</v>
      </c>
      <c r="K14" s="85">
        <f>575+7932+947+4432</f>
        <v>13886</v>
      </c>
      <c r="L14" s="85">
        <f>546+8349+974+4455</f>
        <v>14324</v>
      </c>
      <c r="M14" s="85">
        <f>598+6891+1110+3754</f>
        <v>12353</v>
      </c>
      <c r="N14" s="11">
        <f>706+8578+948+4351</f>
        <v>14583</v>
      </c>
      <c r="O14" s="11">
        <f>452+9182+1100+5243</f>
        <v>15977</v>
      </c>
      <c r="P14" s="11">
        <f>610+9981+1177+6089</f>
        <v>17857</v>
      </c>
      <c r="Q14" s="11">
        <f>557+9263+1283+6614</f>
        <v>17717</v>
      </c>
      <c r="R14" s="11"/>
      <c r="S14" s="42" t="s">
        <v>20</v>
      </c>
      <c r="T14" s="43"/>
      <c r="U14" s="44">
        <f t="shared" ref="U14:Z14" si="16">D25/D23</f>
        <v>1.9203350561397256E-2</v>
      </c>
      <c r="V14" s="44">
        <f t="shared" si="16"/>
        <v>1.0716281869383894E-2</v>
      </c>
      <c r="W14" s="44">
        <f t="shared" si="16"/>
        <v>7.0931029191511619E-3</v>
      </c>
      <c r="X14" s="44">
        <f t="shared" si="16"/>
        <v>1.7392994893194513E-2</v>
      </c>
      <c r="Y14" s="44">
        <f t="shared" si="16"/>
        <v>1.5794657115987924E-2</v>
      </c>
      <c r="Z14" s="44">
        <f t="shared" si="16"/>
        <v>0</v>
      </c>
      <c r="AA14" s="48">
        <v>1.7600000000000001E-2</v>
      </c>
      <c r="AB14" s="48">
        <v>1.83E-2</v>
      </c>
      <c r="AC14" s="48">
        <v>1.66E-2</v>
      </c>
      <c r="AD14" s="48">
        <v>1.5900000000000001E-2</v>
      </c>
      <c r="AE14" s="80">
        <v>1.3299999999999999E-2</v>
      </c>
      <c r="AF14" s="80">
        <v>1.4999999999999999E-2</v>
      </c>
      <c r="AG14" s="80">
        <v>1.47E-2</v>
      </c>
      <c r="AH14" s="80">
        <v>1.04E-2</v>
      </c>
      <c r="AJ14" s="392">
        <v>9</v>
      </c>
      <c r="AK14" s="108" t="s">
        <v>641</v>
      </c>
      <c r="AL14" s="417">
        <v>1.1499999999999999</v>
      </c>
      <c r="AM14" s="81"/>
      <c r="AN14" s="81"/>
      <c r="AO14" s="81"/>
      <c r="AP14" s="81"/>
      <c r="AQ14" s="408"/>
      <c r="AR14" s="408"/>
    </row>
    <row r="15" spans="1:44" x14ac:dyDescent="0.25">
      <c r="A15" s="6" t="s">
        <v>54</v>
      </c>
      <c r="B15" s="10"/>
      <c r="C15" s="10"/>
      <c r="D15" s="89">
        <f t="shared" ref="D15:K15" si="17">D11-D14</f>
        <v>16430</v>
      </c>
      <c r="E15" s="89">
        <f t="shared" si="17"/>
        <v>26233</v>
      </c>
      <c r="F15" s="89">
        <f t="shared" si="17"/>
        <v>45558</v>
      </c>
      <c r="G15" s="89">
        <f t="shared" si="17"/>
        <v>55642</v>
      </c>
      <c r="H15" s="89">
        <f>H11-H14</f>
        <v>74356</v>
      </c>
      <c r="I15" s="89">
        <f>I11-I14</f>
        <v>102770</v>
      </c>
      <c r="J15" s="89">
        <f t="shared" si="17"/>
        <v>23981</v>
      </c>
      <c r="K15" s="89">
        <f t="shared" si="17"/>
        <v>25593</v>
      </c>
      <c r="L15" s="89">
        <f t="shared" ref="L15:Q15" si="18">L11-L14</f>
        <v>27021</v>
      </c>
      <c r="M15" s="89">
        <f t="shared" si="18"/>
        <v>21439</v>
      </c>
      <c r="N15" s="89">
        <f t="shared" si="18"/>
        <v>26175</v>
      </c>
      <c r="O15" s="89">
        <f t="shared" si="18"/>
        <v>31754</v>
      </c>
      <c r="P15" s="89">
        <f t="shared" si="18"/>
        <v>33441</v>
      </c>
      <c r="Q15" s="89">
        <f t="shared" si="18"/>
        <v>35588</v>
      </c>
      <c r="R15" s="11"/>
      <c r="S15" s="42" t="s">
        <v>21</v>
      </c>
      <c r="T15" s="43"/>
      <c r="U15" s="44">
        <f t="shared" ref="U15:AD15" si="19">(U13-U14)/U13</f>
        <v>0.15820312499999994</v>
      </c>
      <c r="V15" s="44">
        <f t="shared" si="19"/>
        <v>0.27133199342225472</v>
      </c>
      <c r="W15" s="44">
        <f t="shared" si="19"/>
        <v>0.29886776329844045</v>
      </c>
      <c r="X15" s="44">
        <f t="shared" si="19"/>
        <v>0.22071861875874937</v>
      </c>
      <c r="Y15" s="44">
        <f>(Y13-Y14)/Y13</f>
        <v>0.22200607902735561</v>
      </c>
      <c r="Z15" s="44" t="e">
        <f>(Z13-Z14)/Z13</f>
        <v>#DIV/0!</v>
      </c>
      <c r="AA15" s="44"/>
      <c r="AB15" s="44">
        <f t="shared" si="19"/>
        <v>0.21794871794871795</v>
      </c>
      <c r="AC15" s="44">
        <f t="shared" si="19"/>
        <v>0.24200913242009128</v>
      </c>
      <c r="AD15" s="44">
        <f t="shared" si="19"/>
        <v>0.21674876847290631</v>
      </c>
      <c r="AJ15" s="392">
        <v>10</v>
      </c>
      <c r="AK15" s="108" t="s">
        <v>642</v>
      </c>
      <c r="AL15" s="417">
        <v>0.2346</v>
      </c>
      <c r="AM15" s="81"/>
      <c r="AN15" s="81"/>
      <c r="AO15" s="81"/>
      <c r="AP15" s="81"/>
      <c r="AQ15" s="408"/>
      <c r="AR15" s="408"/>
    </row>
    <row r="16" spans="1:44" x14ac:dyDescent="0.25">
      <c r="A16" s="6" t="s">
        <v>94</v>
      </c>
      <c r="B16" s="10"/>
      <c r="C16" s="10"/>
      <c r="D16" s="89">
        <f t="shared" ref="D16:K16" si="20">D13-D14-D9</f>
        <v>5425</v>
      </c>
      <c r="E16" s="89">
        <f t="shared" si="20"/>
        <v>7788</v>
      </c>
      <c r="F16" s="89">
        <f t="shared" si="20"/>
        <v>14814</v>
      </c>
      <c r="G16" s="89">
        <f t="shared" si="20"/>
        <v>22309</v>
      </c>
      <c r="H16" s="89">
        <f>H13-H14-H9</f>
        <v>30729</v>
      </c>
      <c r="I16" s="89">
        <f>I13-I14-I9</f>
        <v>39393</v>
      </c>
      <c r="J16" s="89">
        <f t="shared" si="20"/>
        <v>8271</v>
      </c>
      <c r="K16" s="89">
        <f t="shared" si="20"/>
        <v>9218</v>
      </c>
      <c r="L16" s="89">
        <f t="shared" ref="L16:Q16" si="21">L13-L14-L9</f>
        <v>11046</v>
      </c>
      <c r="M16" s="89">
        <f t="shared" si="21"/>
        <v>8210</v>
      </c>
      <c r="N16" s="89">
        <f t="shared" si="21"/>
        <v>10858</v>
      </c>
      <c r="O16" s="89">
        <f t="shared" si="21"/>
        <v>12881</v>
      </c>
      <c r="P16" s="89">
        <f t="shared" si="21"/>
        <v>12628</v>
      </c>
      <c r="Q16" s="89">
        <f t="shared" si="21"/>
        <v>14461</v>
      </c>
      <c r="R16" s="11"/>
      <c r="S16" s="42" t="s">
        <v>22</v>
      </c>
      <c r="T16" s="43"/>
      <c r="U16" s="44">
        <f t="shared" ref="U16:Z16" si="22">D17/AVERAGE(C23:D23)</f>
        <v>1.7030040198815818E-3</v>
      </c>
      <c r="V16" s="44">
        <f t="shared" si="22"/>
        <v>7.621834395791967E-3</v>
      </c>
      <c r="W16" s="44">
        <f t="shared" si="22"/>
        <v>1.7059413281715091E-2</v>
      </c>
      <c r="X16" s="44">
        <f t="shared" si="22"/>
        <v>1.6149449796254708E-2</v>
      </c>
      <c r="Y16" s="44">
        <f t="shared" si="22"/>
        <v>7.0544040254824115E-3</v>
      </c>
      <c r="Z16" s="44">
        <f t="shared" si="22"/>
        <v>7.3472024564314245E-3</v>
      </c>
      <c r="AA16" s="44">
        <f t="shared" ref="AA16:AH16" si="23">(J17*4)/J23</f>
        <v>5.132530120481928E-3</v>
      </c>
      <c r="AB16" s="44">
        <f t="shared" si="23"/>
        <v>6.9526925839510636E-3</v>
      </c>
      <c r="AC16" s="44">
        <f t="shared" si="23"/>
        <v>1.0241807909604521E-2</v>
      </c>
      <c r="AD16" s="44">
        <f t="shared" si="23"/>
        <v>5.9252221958323434E-3</v>
      </c>
      <c r="AE16" s="44">
        <f t="shared" si="23"/>
        <v>7.2201945543118057E-3</v>
      </c>
      <c r="AF16" s="44">
        <f t="shared" si="23"/>
        <v>1.3449361795669482E-2</v>
      </c>
      <c r="AG16" s="44">
        <f t="shared" si="23"/>
        <v>1.429239896087877E-2</v>
      </c>
      <c r="AH16" s="44">
        <f t="shared" si="23"/>
        <v>4.2986437539882981E-2</v>
      </c>
      <c r="AK16" s="414"/>
    </row>
    <row r="17" spans="1:61" x14ac:dyDescent="0.25">
      <c r="A17" s="6" t="s">
        <v>27</v>
      </c>
      <c r="B17" s="7"/>
      <c r="C17" s="7"/>
      <c r="D17" s="88">
        <v>344</v>
      </c>
      <c r="E17" s="85">
        <v>2188</v>
      </c>
      <c r="F17" s="85">
        <v>7121</v>
      </c>
      <c r="G17" s="85">
        <v>8388</v>
      </c>
      <c r="H17" s="85">
        <v>4890</v>
      </c>
      <c r="I17" s="85">
        <v>6585</v>
      </c>
      <c r="J17" s="85">
        <v>1065</v>
      </c>
      <c r="K17" s="85">
        <v>1481</v>
      </c>
      <c r="L17" s="85">
        <v>2266</v>
      </c>
      <c r="M17" s="85">
        <v>1185</v>
      </c>
      <c r="N17" s="11">
        <v>1773</v>
      </c>
      <c r="O17" s="11">
        <v>3518</v>
      </c>
      <c r="P17" s="11">
        <v>3986</v>
      </c>
      <c r="Q17" s="11">
        <v>11957</v>
      </c>
      <c r="R17" s="11"/>
      <c r="S17" s="18"/>
      <c r="T17" s="18"/>
      <c r="U17" s="18"/>
      <c r="V17" s="18"/>
      <c r="W17" s="18"/>
      <c r="X17" s="18"/>
      <c r="Y17" s="18"/>
      <c r="Z17" s="18"/>
      <c r="AA17" s="18"/>
      <c r="AB17" s="18"/>
      <c r="AC17" s="18"/>
      <c r="AD17" s="18"/>
      <c r="AK17" s="415" t="s">
        <v>643</v>
      </c>
    </row>
    <row r="18" spans="1:61" x14ac:dyDescent="0.25">
      <c r="A18" s="6" t="s">
        <v>55</v>
      </c>
      <c r="B18" s="7"/>
      <c r="C18" s="7"/>
      <c r="D18" s="88">
        <v>3613</v>
      </c>
      <c r="E18" s="85">
        <v>3914</v>
      </c>
      <c r="F18" s="89">
        <v>6168</v>
      </c>
      <c r="G18" s="89">
        <v>10346</v>
      </c>
      <c r="H18" s="89">
        <v>18013</v>
      </c>
      <c r="I18" s="89">
        <v>24470</v>
      </c>
      <c r="J18" s="89">
        <v>5388</v>
      </c>
      <c r="K18" s="89">
        <v>5776</v>
      </c>
      <c r="L18" s="89">
        <v>6540</v>
      </c>
      <c r="M18" s="89">
        <v>5488</v>
      </c>
      <c r="N18" s="11">
        <v>6766</v>
      </c>
      <c r="O18" s="11">
        <v>7023</v>
      </c>
      <c r="P18" s="11">
        <v>6455</v>
      </c>
      <c r="Q18" s="11">
        <v>1876</v>
      </c>
      <c r="R18" s="11"/>
      <c r="S18" s="40" t="s">
        <v>30</v>
      </c>
      <c r="T18" s="45"/>
      <c r="U18" s="45"/>
      <c r="V18" s="45"/>
      <c r="W18" s="46" t="s">
        <v>5</v>
      </c>
      <c r="X18" s="18"/>
      <c r="Y18" s="18"/>
      <c r="Z18" s="18"/>
      <c r="AA18" s="18"/>
      <c r="AB18" s="18"/>
      <c r="AC18" s="18"/>
      <c r="AD18" s="18"/>
      <c r="AK18" s="416" t="s">
        <v>644</v>
      </c>
    </row>
    <row r="19" spans="1:61" ht="22.5" x14ac:dyDescent="0.25">
      <c r="A19" s="6" t="s">
        <v>28</v>
      </c>
      <c r="B19" s="7"/>
      <c r="C19" s="7"/>
      <c r="D19" s="88">
        <v>45863</v>
      </c>
      <c r="E19" s="85">
        <v>69116</v>
      </c>
      <c r="F19" s="85">
        <v>83473</v>
      </c>
      <c r="G19" s="85">
        <v>115352</v>
      </c>
      <c r="H19" s="85">
        <v>135568</v>
      </c>
      <c r="I19" s="85">
        <v>226083</v>
      </c>
      <c r="J19" s="85"/>
      <c r="K19" s="85">
        <v>149634</v>
      </c>
      <c r="L19" s="85"/>
      <c r="M19" s="85">
        <v>135668</v>
      </c>
      <c r="N19" s="11">
        <v>226083</v>
      </c>
      <c r="O19" s="11"/>
      <c r="P19" s="11">
        <f>240241-525</f>
        <v>239716</v>
      </c>
      <c r="Q19" s="11"/>
      <c r="R19" s="11"/>
      <c r="S19" s="46" t="s">
        <v>95</v>
      </c>
      <c r="T19" s="51"/>
      <c r="U19" s="51"/>
      <c r="V19" s="52">
        <f>E16/AVERAGE(D22:E22)</f>
        <v>2.4974345818368392E-2</v>
      </c>
      <c r="W19" s="52">
        <f>F16/AVERAGE(E22:F22)</f>
        <v>3.1015996876207146E-2</v>
      </c>
      <c r="X19" s="52">
        <f>G16/AVERAGE(F22:G22)</f>
        <v>3.7113594149397647E-2</v>
      </c>
      <c r="Y19" s="52">
        <f>H16/AVERAGE(G22:H22)</f>
        <v>3.9328841022096793E-2</v>
      </c>
      <c r="Z19" s="52">
        <f>I16/AVERAGE(H22:I22)</f>
        <v>3.898592842831574E-2</v>
      </c>
      <c r="AA19" s="18"/>
      <c r="AB19" s="18"/>
      <c r="AC19" s="18"/>
      <c r="AD19" s="18"/>
    </row>
    <row r="20" spans="1:61" x14ac:dyDescent="0.25">
      <c r="A20" s="6" t="s">
        <v>56</v>
      </c>
      <c r="B20" s="7"/>
      <c r="C20" s="7"/>
      <c r="D20" s="88" t="e">
        <f>D19-#REF!</f>
        <v>#REF!</v>
      </c>
      <c r="E20" s="89" t="e">
        <f>E19-#REF!</f>
        <v>#REF!</v>
      </c>
      <c r="F20" s="89" t="e">
        <f>F19-#REF!</f>
        <v>#REF!</v>
      </c>
      <c r="G20" s="89" t="e">
        <f>G19-#REF!</f>
        <v>#REF!</v>
      </c>
      <c r="H20" s="89" t="e">
        <f>H19-#REF!</f>
        <v>#REF!</v>
      </c>
      <c r="I20" s="89">
        <v>226083</v>
      </c>
      <c r="J20" s="89" t="e">
        <f>J19-#REF!</f>
        <v>#REF!</v>
      </c>
      <c r="K20" s="85">
        <v>149634</v>
      </c>
      <c r="L20" s="89" t="e">
        <f>L19-#REF!</f>
        <v>#REF!</v>
      </c>
      <c r="M20" s="85">
        <v>135668</v>
      </c>
      <c r="N20" s="11">
        <v>226083</v>
      </c>
      <c r="O20" s="440"/>
      <c r="P20" s="11">
        <f>240241-525</f>
        <v>239716</v>
      </c>
      <c r="Q20" s="11"/>
      <c r="R20" s="11"/>
      <c r="S20" s="42" t="s">
        <v>31</v>
      </c>
      <c r="T20" s="43"/>
      <c r="U20" s="43">
        <v>4.4699999999999997E-2</v>
      </c>
      <c r="V20" s="44">
        <f>E18/AVERAGE(D22:E22)</f>
        <v>1.2551308363263212E-2</v>
      </c>
      <c r="W20" s="44">
        <f>F18/AVERAGE(E22:F22)</f>
        <v>1.2913910404512331E-2</v>
      </c>
      <c r="X20" s="44">
        <f>G18/AVERAGE(F22:G22)</f>
        <v>1.7211764089366088E-2</v>
      </c>
      <c r="Y20" s="44">
        <f>H18/AVERAGE(G22:H22)</f>
        <v>2.30541317104699E-2</v>
      </c>
      <c r="Z20" s="44">
        <f>I18/AVERAGE(H22:I22)</f>
        <v>2.4217136766453082E-2</v>
      </c>
      <c r="AA20" s="48"/>
      <c r="AB20" s="18"/>
      <c r="AC20" s="18"/>
      <c r="AD20" s="18"/>
    </row>
    <row r="21" spans="1:61" x14ac:dyDescent="0.25">
      <c r="A21" s="6" t="s">
        <v>57</v>
      </c>
      <c r="B21" s="9"/>
      <c r="C21" s="9"/>
      <c r="D21" s="85">
        <f>19668+140347</f>
        <v>160015</v>
      </c>
      <c r="E21" s="85">
        <f>12178+309581</f>
        <v>321759</v>
      </c>
      <c r="F21" s="85">
        <f>59370+347593+25846</f>
        <v>432809</v>
      </c>
      <c r="G21" s="85">
        <f>53342+422435+25907</f>
        <v>501684</v>
      </c>
      <c r="H21" s="85">
        <f>61123+626493+25967</f>
        <v>713583</v>
      </c>
      <c r="I21" s="85">
        <v>821460</v>
      </c>
      <c r="J21" s="85"/>
      <c r="K21" s="85">
        <f>40217+729649+45686</f>
        <v>815552</v>
      </c>
      <c r="L21" s="85"/>
      <c r="M21" s="85">
        <f>61123+626493+25967</f>
        <v>713583</v>
      </c>
      <c r="N21" s="11">
        <f>30192+743709+47559</f>
        <v>821460</v>
      </c>
      <c r="O21" s="11"/>
      <c r="P21" s="11">
        <f>91053+846631+45448</f>
        <v>983132</v>
      </c>
      <c r="Q21" s="11"/>
      <c r="R21" s="11"/>
      <c r="S21" s="42" t="s">
        <v>32</v>
      </c>
      <c r="T21" s="43"/>
      <c r="U21" s="44">
        <f t="shared" ref="U21:Z21" si="24">D18/AVERAGE(C19:D19)</f>
        <v>7.8778099993458778E-2</v>
      </c>
      <c r="V21" s="44">
        <f t="shared" si="24"/>
        <v>6.8081997582167181E-2</v>
      </c>
      <c r="W21" s="44">
        <f t="shared" si="24"/>
        <v>8.0844621827261473E-2</v>
      </c>
      <c r="X21" s="44">
        <f t="shared" si="24"/>
        <v>0.10407141959009179</v>
      </c>
      <c r="Y21" s="44">
        <f t="shared" si="24"/>
        <v>0.14357564163876932</v>
      </c>
      <c r="Z21" s="44">
        <f t="shared" si="24"/>
        <v>0.13532383430434314</v>
      </c>
      <c r="AA21" s="18"/>
      <c r="AB21" s="18"/>
      <c r="AC21" s="18"/>
      <c r="AD21" s="18"/>
    </row>
    <row r="22" spans="1:61" x14ac:dyDescent="0.25">
      <c r="A22" s="6" t="s">
        <v>29</v>
      </c>
      <c r="B22" s="7"/>
      <c r="C22" s="7"/>
      <c r="D22" s="88">
        <v>215061</v>
      </c>
      <c r="E22" s="85">
        <v>408619</v>
      </c>
      <c r="F22" s="85">
        <v>546630</v>
      </c>
      <c r="G22" s="85">
        <v>655571</v>
      </c>
      <c r="H22" s="85">
        <v>907099</v>
      </c>
      <c r="I22" s="85">
        <v>1113784</v>
      </c>
      <c r="J22" s="85"/>
      <c r="K22" s="85">
        <v>1010515</v>
      </c>
      <c r="L22" s="85"/>
      <c r="M22" s="85">
        <v>907099</v>
      </c>
      <c r="N22" s="11">
        <v>1113784</v>
      </c>
      <c r="O22" s="11"/>
      <c r="P22" s="11">
        <v>1263429</v>
      </c>
      <c r="Q22" s="11"/>
      <c r="R22" s="11"/>
      <c r="S22" s="40" t="s">
        <v>33</v>
      </c>
      <c r="T22" s="45"/>
      <c r="U22" s="45"/>
      <c r="V22" s="45"/>
      <c r="W22" s="46" t="s">
        <v>5</v>
      </c>
      <c r="X22" s="18"/>
      <c r="Y22" s="18"/>
      <c r="Z22" s="18"/>
      <c r="AA22" s="18"/>
      <c r="AB22" s="18"/>
      <c r="AC22" s="18"/>
      <c r="AD22" s="18"/>
    </row>
    <row r="23" spans="1:61" x14ac:dyDescent="0.25">
      <c r="A23" s="6" t="s">
        <v>58</v>
      </c>
      <c r="B23" s="7"/>
      <c r="C23" s="7"/>
      <c r="D23" s="88">
        <v>201996</v>
      </c>
      <c r="E23" s="85">
        <v>372144</v>
      </c>
      <c r="F23" s="85">
        <v>462703</v>
      </c>
      <c r="G23" s="85">
        <v>576094</v>
      </c>
      <c r="H23" s="85">
        <v>810274</v>
      </c>
      <c r="I23" s="85">
        <v>982245</v>
      </c>
      <c r="J23" s="85">
        <v>830000</v>
      </c>
      <c r="K23" s="85">
        <v>852044</v>
      </c>
      <c r="L23" s="85">
        <v>885000</v>
      </c>
      <c r="M23" s="85">
        <v>799970</v>
      </c>
      <c r="N23" s="11">
        <v>982245</v>
      </c>
      <c r="O23" s="11">
        <v>1046295</v>
      </c>
      <c r="P23" s="11">
        <v>1115558</v>
      </c>
      <c r="Q23" s="11">
        <v>1112630</v>
      </c>
      <c r="R23" s="11"/>
      <c r="S23" s="42" t="s">
        <v>34</v>
      </c>
      <c r="T23" s="43"/>
      <c r="U23" s="44">
        <f t="shared" ref="U23:Z23" si="25">D6/AVERAGE(C23:D23)</f>
        <v>0.11456167448860373</v>
      </c>
      <c r="V23" s="44">
        <f t="shared" si="25"/>
        <v>0.1477165848050998</v>
      </c>
      <c r="W23" s="44">
        <f t="shared" si="25"/>
        <v>0.1526483295741615</v>
      </c>
      <c r="X23" s="44">
        <f t="shared" si="25"/>
        <v>0.15305589061192898</v>
      </c>
      <c r="Y23" s="44">
        <f t="shared" si="25"/>
        <v>0.14925762856615271</v>
      </c>
      <c r="Z23" s="44">
        <f t="shared" si="25"/>
        <v>0.16643394017022972</v>
      </c>
      <c r="AA23" s="18"/>
      <c r="AB23" s="18"/>
      <c r="AC23" s="18"/>
      <c r="AD23" s="18"/>
    </row>
    <row r="24" spans="1:61" x14ac:dyDescent="0.25">
      <c r="A24" s="6" t="s">
        <v>59</v>
      </c>
      <c r="B24" s="10"/>
      <c r="C24" s="10"/>
      <c r="D24" s="89">
        <v>4608</v>
      </c>
      <c r="E24" s="89">
        <v>5473</v>
      </c>
      <c r="F24" s="89">
        <v>4681</v>
      </c>
      <c r="G24" s="89">
        <v>12858</v>
      </c>
      <c r="H24" s="89">
        <v>16450</v>
      </c>
      <c r="I24" s="89"/>
      <c r="J24" s="89"/>
      <c r="K24" s="89"/>
      <c r="L24" s="89"/>
      <c r="M24" s="89"/>
      <c r="N24" s="11"/>
      <c r="O24" s="11"/>
      <c r="P24" s="11"/>
      <c r="Q24" s="11"/>
      <c r="R24" s="11"/>
      <c r="S24" s="42" t="s">
        <v>35</v>
      </c>
      <c r="T24" s="43"/>
      <c r="U24" s="44">
        <f t="shared" ref="U24:Z24" si="26">D9/AVERAGE(C21:D21)</f>
        <v>7.1205824453957442E-2</v>
      </c>
      <c r="V24" s="44">
        <f t="shared" si="26"/>
        <v>8.3483126943338579E-2</v>
      </c>
      <c r="W24" s="44">
        <f t="shared" si="26"/>
        <v>8.301173651678842E-2</v>
      </c>
      <c r="X24" s="44">
        <f t="shared" si="26"/>
        <v>7.4403981624260429E-2</v>
      </c>
      <c r="Y24" s="44">
        <f t="shared" si="26"/>
        <v>7.7703089115396043E-2</v>
      </c>
      <c r="Z24" s="44">
        <f t="shared" si="26"/>
        <v>8.8539539283264371E-2</v>
      </c>
      <c r="AA24" s="18"/>
      <c r="AB24" s="18"/>
      <c r="AC24" s="18"/>
      <c r="AD24" s="18"/>
    </row>
    <row r="25" spans="1:61" x14ac:dyDescent="0.25">
      <c r="A25" s="6" t="s">
        <v>60</v>
      </c>
      <c r="B25" s="10"/>
      <c r="C25" s="10"/>
      <c r="D25" s="89">
        <v>3879</v>
      </c>
      <c r="E25" s="89">
        <v>3988</v>
      </c>
      <c r="F25" s="89">
        <v>3282</v>
      </c>
      <c r="G25" s="89">
        <v>10020</v>
      </c>
      <c r="H25" s="89">
        <v>12798</v>
      </c>
      <c r="I25" s="89"/>
      <c r="J25" s="89"/>
      <c r="K25" s="89"/>
      <c r="L25" s="89"/>
      <c r="M25" s="89"/>
      <c r="N25" s="11"/>
      <c r="O25" s="11"/>
      <c r="P25" s="11"/>
      <c r="Q25" s="11"/>
      <c r="R25" s="11"/>
      <c r="S25" s="42" t="s">
        <v>36</v>
      </c>
      <c r="T25" s="43"/>
      <c r="U25" s="48">
        <f t="shared" ref="U25:Z25" si="27">U23-U24</f>
        <v>4.3355850034646287E-2</v>
      </c>
      <c r="V25" s="48">
        <f t="shared" si="27"/>
        <v>6.4233457861761226E-2</v>
      </c>
      <c r="W25" s="48">
        <f t="shared" si="27"/>
        <v>6.9636593057373075E-2</v>
      </c>
      <c r="X25" s="48">
        <f t="shared" si="27"/>
        <v>7.8651908987668551E-2</v>
      </c>
      <c r="Y25" s="48">
        <f t="shared" si="27"/>
        <v>7.1554539450756668E-2</v>
      </c>
      <c r="Z25" s="48">
        <f t="shared" si="27"/>
        <v>7.7894400886965351E-2</v>
      </c>
      <c r="AA25" s="18"/>
      <c r="AB25" s="18"/>
      <c r="AC25" s="18"/>
      <c r="AD25" s="18"/>
    </row>
    <row r="26" spans="1:61" x14ac:dyDescent="0.25">
      <c r="S26" s="407" t="s">
        <v>645</v>
      </c>
      <c r="AF26" s="436">
        <v>1.6</v>
      </c>
      <c r="AG26" s="436">
        <v>1.64</v>
      </c>
      <c r="AH26" s="436">
        <v>1.66</v>
      </c>
    </row>
    <row r="27" spans="1:61" ht="15" customHeight="1" x14ac:dyDescent="0.25">
      <c r="A27" s="739" t="s">
        <v>241</v>
      </c>
      <c r="B27" s="739"/>
      <c r="C27" s="739"/>
      <c r="D27" s="739"/>
      <c r="E27" s="739"/>
      <c r="F27" s="739"/>
      <c r="G27" s="739"/>
      <c r="H27" s="739"/>
      <c r="I27" s="739"/>
      <c r="J27" s="739"/>
      <c r="K27" s="739"/>
      <c r="L27" s="739"/>
      <c r="M27" s="739"/>
      <c r="N27" s="739"/>
      <c r="O27" s="739"/>
      <c r="P27" s="739"/>
      <c r="Q27" s="739"/>
      <c r="R27" s="739"/>
      <c r="S27" s="739"/>
      <c r="T27" t="s">
        <v>690</v>
      </c>
      <c r="AG27" s="80">
        <v>0.86329999999999996</v>
      </c>
      <c r="AH27" s="80"/>
      <c r="BI27" s="393"/>
    </row>
    <row r="28" spans="1:61" x14ac:dyDescent="0.25">
      <c r="A28" s="739"/>
      <c r="B28" s="739"/>
      <c r="C28" s="739"/>
      <c r="D28" s="739"/>
      <c r="E28" s="739"/>
      <c r="F28" s="739"/>
      <c r="G28" s="739"/>
      <c r="H28" s="739"/>
      <c r="I28" s="739"/>
      <c r="J28" s="739"/>
      <c r="K28" s="739"/>
      <c r="L28" s="739"/>
      <c r="M28" s="739"/>
      <c r="N28" s="739"/>
      <c r="O28" s="739"/>
      <c r="P28" s="739"/>
      <c r="Q28" s="739"/>
      <c r="R28" s="739"/>
      <c r="S28" s="739"/>
      <c r="BI28" s="393"/>
    </row>
    <row r="29" spans="1:61" x14ac:dyDescent="0.25">
      <c r="A29" s="739"/>
      <c r="B29" s="739"/>
      <c r="C29" s="739"/>
      <c r="D29" s="739"/>
      <c r="E29" s="739"/>
      <c r="F29" s="739"/>
      <c r="G29" s="739"/>
      <c r="H29" s="739"/>
      <c r="I29" s="739"/>
      <c r="J29" s="739"/>
      <c r="K29" s="739"/>
      <c r="L29" s="739"/>
      <c r="M29" s="739"/>
      <c r="N29" s="739"/>
      <c r="O29" s="739"/>
      <c r="P29" s="739"/>
      <c r="Q29" s="739"/>
      <c r="R29" s="739"/>
      <c r="S29" s="739"/>
      <c r="BI29" s="393"/>
    </row>
    <row r="30" spans="1:61" x14ac:dyDescent="0.25">
      <c r="A30" s="739"/>
      <c r="B30" s="739"/>
      <c r="C30" s="739"/>
      <c r="D30" s="739"/>
      <c r="E30" s="739"/>
      <c r="F30" s="739"/>
      <c r="G30" s="739"/>
      <c r="H30" s="739"/>
      <c r="I30" s="739"/>
      <c r="J30" s="739"/>
      <c r="K30" s="739"/>
      <c r="L30" s="739"/>
      <c r="M30" s="739"/>
      <c r="N30" s="739"/>
      <c r="O30" s="739"/>
      <c r="P30" s="739"/>
      <c r="Q30" s="739"/>
      <c r="R30" s="739"/>
      <c r="S30" s="739"/>
      <c r="BI30" s="393"/>
    </row>
    <row r="31" spans="1:61" x14ac:dyDescent="0.25">
      <c r="A31" s="739"/>
      <c r="B31" s="739"/>
      <c r="C31" s="739"/>
      <c r="D31" s="739"/>
      <c r="E31" s="739"/>
      <c r="F31" s="739"/>
      <c r="G31" s="739"/>
      <c r="H31" s="739"/>
      <c r="I31" s="739"/>
      <c r="J31" s="739"/>
      <c r="K31" s="739"/>
      <c r="L31" s="739"/>
      <c r="M31" s="739"/>
      <c r="N31" s="739"/>
      <c r="O31" s="739"/>
      <c r="P31" s="739"/>
      <c r="Q31" s="739"/>
      <c r="R31" s="739"/>
      <c r="S31" s="739"/>
      <c r="BI31" s="393"/>
    </row>
    <row r="32" spans="1:61" x14ac:dyDescent="0.25">
      <c r="A32" s="739"/>
      <c r="B32" s="739"/>
      <c r="C32" s="739"/>
      <c r="D32" s="739"/>
      <c r="E32" s="739"/>
      <c r="F32" s="739"/>
      <c r="G32" s="739"/>
      <c r="H32" s="739"/>
      <c r="I32" s="739"/>
      <c r="J32" s="739"/>
      <c r="K32" s="739"/>
      <c r="L32" s="739"/>
      <c r="M32" s="739"/>
      <c r="N32" s="739"/>
      <c r="O32" s="739"/>
      <c r="P32" s="739"/>
      <c r="Q32" s="739"/>
      <c r="R32" s="739"/>
      <c r="S32" s="739"/>
      <c r="BI32" s="393"/>
    </row>
    <row r="33" spans="1:61" x14ac:dyDescent="0.25">
      <c r="A33" s="739"/>
      <c r="B33" s="739"/>
      <c r="C33" s="739"/>
      <c r="D33" s="739"/>
      <c r="E33" s="739"/>
      <c r="F33" s="739"/>
      <c r="G33" s="739"/>
      <c r="H33" s="739"/>
      <c r="I33" s="739"/>
      <c r="J33" s="739"/>
      <c r="K33" s="739"/>
      <c r="L33" s="739"/>
      <c r="M33" s="739"/>
      <c r="N33" s="739"/>
      <c r="O33" s="739"/>
      <c r="P33" s="739"/>
      <c r="Q33" s="739"/>
      <c r="R33" s="739"/>
      <c r="S33" s="739"/>
      <c r="BI33" s="393"/>
    </row>
    <row r="34" spans="1:61" x14ac:dyDescent="0.25">
      <c r="A34" s="739"/>
      <c r="B34" s="739"/>
      <c r="C34" s="739"/>
      <c r="D34" s="739"/>
      <c r="E34" s="739"/>
      <c r="F34" s="739"/>
      <c r="G34" s="739"/>
      <c r="H34" s="739"/>
      <c r="I34" s="739"/>
      <c r="J34" s="739"/>
      <c r="K34" s="739"/>
      <c r="L34" s="739"/>
      <c r="M34" s="739"/>
      <c r="N34" s="739"/>
      <c r="O34" s="739"/>
      <c r="P34" s="739"/>
      <c r="Q34" s="739"/>
      <c r="R34" s="739"/>
      <c r="S34" s="739"/>
      <c r="BI34" s="393"/>
    </row>
    <row r="35" spans="1:61" x14ac:dyDescent="0.25">
      <c r="A35" s="739"/>
      <c r="B35" s="739"/>
      <c r="C35" s="739"/>
      <c r="D35" s="739"/>
      <c r="E35" s="739"/>
      <c r="F35" s="739"/>
      <c r="G35" s="739"/>
      <c r="H35" s="739"/>
      <c r="I35" s="739"/>
      <c r="J35" s="739"/>
      <c r="K35" s="739"/>
      <c r="L35" s="739"/>
      <c r="M35" s="739"/>
      <c r="N35" s="739"/>
      <c r="O35" s="739"/>
      <c r="P35" s="739"/>
      <c r="Q35" s="739"/>
      <c r="R35" s="739"/>
      <c r="S35" s="739"/>
    </row>
    <row r="36" spans="1:61" x14ac:dyDescent="0.25">
      <c r="A36" s="739"/>
      <c r="B36" s="739"/>
      <c r="C36" s="739"/>
      <c r="D36" s="739"/>
      <c r="E36" s="739"/>
      <c r="F36" s="739"/>
      <c r="G36" s="739"/>
      <c r="H36" s="739"/>
      <c r="I36" s="739"/>
      <c r="J36" s="739"/>
      <c r="K36" s="739"/>
      <c r="L36" s="739"/>
      <c r="M36" s="739"/>
      <c r="N36" s="739"/>
      <c r="O36" s="739"/>
      <c r="P36" s="739"/>
      <c r="Q36" s="739"/>
      <c r="R36" s="739"/>
      <c r="S36" s="739"/>
    </row>
    <row r="37" spans="1:61" x14ac:dyDescent="0.25">
      <c r="A37" s="739"/>
      <c r="B37" s="739"/>
      <c r="C37" s="739"/>
      <c r="D37" s="739"/>
      <c r="E37" s="739"/>
      <c r="F37" s="739"/>
      <c r="G37" s="739"/>
      <c r="H37" s="739"/>
      <c r="I37" s="739"/>
      <c r="J37" s="739"/>
      <c r="K37" s="739"/>
      <c r="L37" s="739"/>
      <c r="M37" s="739"/>
      <c r="N37" s="739"/>
      <c r="O37" s="739"/>
      <c r="P37" s="739"/>
      <c r="Q37" s="739"/>
      <c r="R37" s="739"/>
      <c r="S37" s="739"/>
    </row>
    <row r="38" spans="1:61" x14ac:dyDescent="0.25">
      <c r="A38" s="739"/>
      <c r="B38" s="739"/>
      <c r="C38" s="739"/>
      <c r="D38" s="739"/>
      <c r="E38" s="739"/>
      <c r="F38" s="739"/>
      <c r="G38" s="739"/>
      <c r="H38" s="739"/>
      <c r="I38" s="739"/>
      <c r="J38" s="739"/>
      <c r="K38" s="739"/>
      <c r="L38" s="739"/>
      <c r="M38" s="739"/>
      <c r="N38" s="739"/>
      <c r="O38" s="739"/>
      <c r="P38" s="739"/>
      <c r="Q38" s="739"/>
      <c r="R38" s="739"/>
      <c r="S38" s="739"/>
    </row>
  </sheetData>
  <mergeCells count="5">
    <mergeCell ref="A2:A4"/>
    <mergeCell ref="K1:M1"/>
    <mergeCell ref="A27:S38"/>
    <mergeCell ref="AJ3:AK4"/>
    <mergeCell ref="AL5:AR5"/>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Y32"/>
  <sheetViews>
    <sheetView topLeftCell="D2" workbookViewId="0">
      <selection activeCell="AG6" sqref="AG6"/>
    </sheetView>
  </sheetViews>
  <sheetFormatPr defaultRowHeight="15" x14ac:dyDescent="0.25"/>
  <cols>
    <col min="1" max="1" width="32.28515625" customWidth="1"/>
    <col min="4" max="4" width="12.85546875" customWidth="1"/>
    <col min="5" max="5" width="12.7109375" customWidth="1"/>
    <col min="6" max="6" width="13.5703125" customWidth="1"/>
    <col min="7" max="8" width="11.7109375" customWidth="1"/>
    <col min="9" max="10" width="10.140625" bestFit="1" customWidth="1"/>
    <col min="12" max="12" width="10.140625" bestFit="1" customWidth="1"/>
    <col min="15" max="15" width="31" customWidth="1"/>
    <col min="17" max="17" width="16.42578125" customWidth="1"/>
    <col min="18" max="18" width="14.28515625" customWidth="1"/>
    <col min="19" max="19" width="14" customWidth="1"/>
    <col min="20" max="20" width="11.85546875" customWidth="1"/>
    <col min="21" max="21" width="12.7109375" customWidth="1"/>
  </cols>
  <sheetData>
    <row r="1" spans="1:25" x14ac:dyDescent="0.25">
      <c r="J1" s="772" t="s">
        <v>118</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t="e">
        <f>E10/AVERAGE(D23:E23)</f>
        <v>#DIV/0!</v>
      </c>
      <c r="S3" s="44">
        <f>F10/AVERAGE(E23:F23)</f>
        <v>0.10232835262519312</v>
      </c>
      <c r="T3" s="44">
        <f>G10/AVERAGE(F23:G23)</f>
        <v>0.13448325488712531</v>
      </c>
      <c r="U3" s="44">
        <f>H10/AVERAGE(G23:H23)</f>
        <v>0.16899143710385534</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F5" s="85">
        <v>12296.13</v>
      </c>
      <c r="G5" s="90">
        <v>18329.07</v>
      </c>
      <c r="H5" s="90">
        <v>33246.81</v>
      </c>
      <c r="I5" s="85">
        <v>11071.34</v>
      </c>
      <c r="J5" s="85">
        <v>12109.94</v>
      </c>
      <c r="K5" s="85">
        <v>8687.08</v>
      </c>
      <c r="L5" s="85">
        <v>10063.02</v>
      </c>
      <c r="M5" s="11"/>
      <c r="N5" s="11"/>
      <c r="O5" s="42" t="s">
        <v>13</v>
      </c>
      <c r="P5" s="46"/>
      <c r="Q5" s="47" t="e">
        <f t="shared" ref="Q5:Y5" si="0">D21/D20</f>
        <v>#DIV/0!</v>
      </c>
      <c r="R5" s="47" t="e">
        <f t="shared" si="0"/>
        <v>#DIV/0!</v>
      </c>
      <c r="S5" s="47">
        <f t="shared" si="0"/>
        <v>1.1917784132658036</v>
      </c>
      <c r="T5" s="47">
        <f t="shared" si="0"/>
        <v>0.70457700420723524</v>
      </c>
      <c r="U5" s="47">
        <f t="shared" si="0"/>
        <v>1.0127313191163569</v>
      </c>
      <c r="V5" s="47">
        <f t="shared" si="0"/>
        <v>0</v>
      </c>
      <c r="W5" s="47">
        <f t="shared" si="0"/>
        <v>1.2700964012081508</v>
      </c>
      <c r="X5" s="44">
        <v>1.49E-2</v>
      </c>
      <c r="Y5" s="47">
        <f t="shared" si="0"/>
        <v>1.0127313191163569</v>
      </c>
    </row>
    <row r="6" spans="1:25" x14ac:dyDescent="0.25">
      <c r="A6" s="6" t="s">
        <v>50</v>
      </c>
      <c r="B6" s="7"/>
      <c r="C6" s="8"/>
      <c r="F6" s="85">
        <v>10752.21</v>
      </c>
      <c r="G6" s="90">
        <v>16199.49</v>
      </c>
      <c r="H6" s="90">
        <v>29181.72</v>
      </c>
      <c r="I6" s="85">
        <v>10553.62</v>
      </c>
      <c r="J6" s="85">
        <v>11310.84</v>
      </c>
      <c r="K6" s="85">
        <v>8416.33</v>
      </c>
      <c r="L6" s="85">
        <v>9618.27</v>
      </c>
      <c r="M6" s="11"/>
      <c r="N6" s="11"/>
      <c r="O6" s="42" t="s">
        <v>14</v>
      </c>
      <c r="P6" s="43"/>
      <c r="Q6" s="43"/>
      <c r="R6" s="43"/>
      <c r="S6" s="43"/>
      <c r="T6" s="48">
        <v>0.78449999999999998</v>
      </c>
      <c r="U6" s="48">
        <v>0.59060000000000001</v>
      </c>
      <c r="V6" s="48">
        <v>0.51859999999999995</v>
      </c>
      <c r="W6" s="48">
        <v>0.51859999999999995</v>
      </c>
      <c r="X6" s="48">
        <v>0.4345</v>
      </c>
      <c r="Y6" s="48">
        <v>0.59060000000000001</v>
      </c>
    </row>
    <row r="7" spans="1:25" x14ac:dyDescent="0.25">
      <c r="A7" s="6" t="s">
        <v>51</v>
      </c>
      <c r="B7" s="7"/>
      <c r="C7" s="8"/>
      <c r="D7" s="87"/>
      <c r="E7" s="85"/>
      <c r="F7" s="85">
        <v>0</v>
      </c>
      <c r="G7" s="85">
        <v>0</v>
      </c>
      <c r="H7" s="85"/>
      <c r="I7" s="85"/>
      <c r="J7" s="85"/>
      <c r="K7" s="85"/>
      <c r="L7" s="85"/>
      <c r="M7" s="11"/>
      <c r="N7" s="11"/>
      <c r="O7" s="42" t="s">
        <v>15</v>
      </c>
      <c r="P7" s="43"/>
      <c r="Q7" s="44" t="e">
        <f>D20/D23</f>
        <v>#DIV/0!</v>
      </c>
      <c r="R7" s="44" t="e">
        <f>E20/E23</f>
        <v>#DIV/0!</v>
      </c>
      <c r="S7" s="44">
        <f>F20/F23</f>
        <v>0.75419779502584572</v>
      </c>
      <c r="T7" s="44">
        <f>G20/G23</f>
        <v>0.96854488496764868</v>
      </c>
      <c r="U7" s="44">
        <f>H20/H23</f>
        <v>0.61963469854324105</v>
      </c>
      <c r="V7" s="18"/>
      <c r="W7" s="18"/>
      <c r="X7" s="18"/>
      <c r="Y7" s="18"/>
    </row>
    <row r="8" spans="1:25" x14ac:dyDescent="0.25">
      <c r="A8" s="6" t="s">
        <v>52</v>
      </c>
      <c r="B8" s="7"/>
      <c r="C8" s="8"/>
      <c r="D8" s="85">
        <f t="shared" ref="D8:L8" si="1">D5-D6-D7</f>
        <v>0</v>
      </c>
      <c r="E8" s="85">
        <f t="shared" si="1"/>
        <v>0</v>
      </c>
      <c r="F8" s="85">
        <f t="shared" si="1"/>
        <v>1543.92</v>
      </c>
      <c r="G8" s="85">
        <f t="shared" si="1"/>
        <v>2129.58</v>
      </c>
      <c r="H8" s="85">
        <f t="shared" si="1"/>
        <v>4065.0899999999965</v>
      </c>
      <c r="I8" s="85">
        <f t="shared" si="1"/>
        <v>517.71999999999935</v>
      </c>
      <c r="J8" s="85">
        <f t="shared" si="1"/>
        <v>799.10000000000036</v>
      </c>
      <c r="K8" s="85">
        <f t="shared" si="1"/>
        <v>270.75</v>
      </c>
      <c r="L8" s="85">
        <f t="shared" si="1"/>
        <v>444.75</v>
      </c>
      <c r="M8" s="11"/>
      <c r="N8" s="11"/>
      <c r="O8" s="40" t="s">
        <v>16</v>
      </c>
      <c r="P8" s="45"/>
      <c r="Q8" s="45"/>
      <c r="R8" s="45"/>
      <c r="S8" s="46" t="s">
        <v>5</v>
      </c>
      <c r="T8" s="18"/>
      <c r="U8" s="18"/>
      <c r="V8" s="18"/>
      <c r="W8" s="18"/>
      <c r="X8" s="18"/>
      <c r="Y8" s="18"/>
    </row>
    <row r="9" spans="1:25" ht="33.75" x14ac:dyDescent="0.25">
      <c r="A9" s="6" t="s">
        <v>24</v>
      </c>
      <c r="B9" s="7"/>
      <c r="C9" s="7"/>
      <c r="D9" s="88"/>
      <c r="E9" s="85"/>
      <c r="F9" s="85">
        <v>4756.58</v>
      </c>
      <c r="G9" s="85">
        <v>5883.18</v>
      </c>
      <c r="H9" s="85">
        <v>7404.69</v>
      </c>
      <c r="I9" s="85">
        <v>2598.7199999999998</v>
      </c>
      <c r="J9" s="85">
        <v>2862.81</v>
      </c>
      <c r="K9" s="85">
        <v>1876.46</v>
      </c>
      <c r="L9" s="85">
        <v>2235.5</v>
      </c>
      <c r="M9" s="11"/>
      <c r="N9" s="11"/>
      <c r="O9" s="49" t="s">
        <v>93</v>
      </c>
      <c r="P9" s="45"/>
      <c r="Q9" s="50" t="e">
        <f>D14/(D11-D9)</f>
        <v>#DIV/0!</v>
      </c>
      <c r="R9" s="50" t="e">
        <f>E14/(E11-E9)</f>
        <v>#DIV/0!</v>
      </c>
      <c r="S9" s="50">
        <f>F14/(F11-F9)</f>
        <v>0.60419521058949144</v>
      </c>
      <c r="T9" s="50">
        <f>G14/(G11-G9)</f>
        <v>0.56385682341720844</v>
      </c>
      <c r="U9" s="50">
        <f>H14/(H11-H9)</f>
        <v>0.43209419351043959</v>
      </c>
      <c r="V9" s="18"/>
      <c r="W9" s="18"/>
      <c r="X9" s="18"/>
      <c r="Y9" s="18"/>
    </row>
    <row r="10" spans="1:25" ht="22.5" x14ac:dyDescent="0.25">
      <c r="A10" s="6" t="s">
        <v>53</v>
      </c>
      <c r="B10" s="10">
        <f t="shared" ref="B10:I10" si="2">B6-B9</f>
        <v>0</v>
      </c>
      <c r="C10" s="10">
        <f t="shared" si="2"/>
        <v>0</v>
      </c>
      <c r="D10" s="89">
        <f t="shared" si="2"/>
        <v>0</v>
      </c>
      <c r="E10" s="89">
        <f t="shared" si="2"/>
        <v>0</v>
      </c>
      <c r="F10" s="89">
        <f t="shared" si="2"/>
        <v>5995.6299999999992</v>
      </c>
      <c r="G10" s="89">
        <f t="shared" si="2"/>
        <v>10316.31</v>
      </c>
      <c r="H10" s="89">
        <f>H6-H9</f>
        <v>21777.030000000002</v>
      </c>
      <c r="I10" s="89">
        <f t="shared" si="2"/>
        <v>7954.9000000000015</v>
      </c>
      <c r="J10" s="89">
        <f>J6-J9</f>
        <v>8448.0300000000007</v>
      </c>
      <c r="K10" s="89">
        <f>K6-K9</f>
        <v>6539.87</v>
      </c>
      <c r="L10" s="89">
        <f>L6-L9</f>
        <v>7382.77</v>
      </c>
      <c r="M10" s="11"/>
      <c r="N10" s="11"/>
      <c r="O10" s="42" t="s">
        <v>92</v>
      </c>
      <c r="P10" s="43"/>
      <c r="Q10" s="44" t="e">
        <f>D14/D11</f>
        <v>#DIV/0!</v>
      </c>
      <c r="R10" s="44" t="e">
        <f>E14/E11</f>
        <v>#DIV/0!</v>
      </c>
      <c r="S10" s="44">
        <f>F14/F11</f>
        <v>0.37047103438236256</v>
      </c>
      <c r="T10" s="44">
        <f>G14/G11</f>
        <v>0.38287267166310129</v>
      </c>
      <c r="U10" s="44">
        <f>H14/H11</f>
        <v>0.3358586883974734</v>
      </c>
      <c r="V10" s="18"/>
      <c r="W10" s="18"/>
      <c r="X10" s="18"/>
      <c r="Y10" s="18"/>
    </row>
    <row r="11" spans="1:25" ht="22.5" x14ac:dyDescent="0.25">
      <c r="A11" s="6" t="s">
        <v>1</v>
      </c>
      <c r="B11" s="10">
        <f>B5-B9</f>
        <v>0</v>
      </c>
      <c r="C11" s="10">
        <f t="shared" ref="C11:I11" si="3">SUM(C6:C8)</f>
        <v>0</v>
      </c>
      <c r="D11" s="89">
        <f t="shared" si="3"/>
        <v>0</v>
      </c>
      <c r="E11" s="89">
        <f t="shared" si="3"/>
        <v>0</v>
      </c>
      <c r="F11" s="89">
        <f>SUM(F6:F8)</f>
        <v>12296.13</v>
      </c>
      <c r="G11" s="89">
        <f>SUM(G6:G8)</f>
        <v>18329.07</v>
      </c>
      <c r="H11" s="89">
        <f>SUM(H6:H8)</f>
        <v>33246.81</v>
      </c>
      <c r="I11" s="89">
        <f t="shared" si="3"/>
        <v>11071.34</v>
      </c>
      <c r="J11" s="89">
        <f>SUM(J6:J8)</f>
        <v>12109.94</v>
      </c>
      <c r="K11" s="89">
        <f>SUM(K6:K8)</f>
        <v>8687.08</v>
      </c>
      <c r="L11" s="89">
        <f>SUM(L6:L8)</f>
        <v>10063.02</v>
      </c>
      <c r="M11" s="11"/>
      <c r="N11" s="11"/>
      <c r="O11" s="42" t="s">
        <v>17</v>
      </c>
      <c r="P11" s="43"/>
      <c r="Q11" s="44" t="e">
        <f>D14/AVERAGE(C22:D22)</f>
        <v>#DIV/0!</v>
      </c>
      <c r="R11" s="44" t="e">
        <f>E14/AVERAGE(D22:E22)</f>
        <v>#DIV/0!</v>
      </c>
      <c r="S11" s="44">
        <f>F14/AVERAGE(E22:F22)</f>
        <v>4.6279211761203913E-2</v>
      </c>
      <c r="T11" s="44">
        <f>G14/AVERAGE(F22:G22)</f>
        <v>5.4479610145937531E-2</v>
      </c>
      <c r="U11" s="44">
        <f>H14/AVERAGE(G22:H22)</f>
        <v>6.0933005006187722E-2</v>
      </c>
      <c r="V11" s="18"/>
      <c r="W11" s="18"/>
      <c r="X11" s="18"/>
      <c r="Y11" s="18"/>
    </row>
    <row r="12" spans="1:25" x14ac:dyDescent="0.25">
      <c r="A12" s="6" t="s">
        <v>91</v>
      </c>
      <c r="B12" s="10"/>
      <c r="C12" s="10"/>
      <c r="D12" s="89"/>
      <c r="E12" s="89"/>
      <c r="F12" s="89">
        <v>5.44</v>
      </c>
      <c r="G12" s="89">
        <v>1.45</v>
      </c>
      <c r="H12" s="89">
        <v>11.43</v>
      </c>
      <c r="I12" s="89">
        <v>0.02</v>
      </c>
      <c r="J12" s="89">
        <v>0.01</v>
      </c>
      <c r="K12" s="89">
        <v>0.02</v>
      </c>
      <c r="L12" s="89">
        <v>11.37</v>
      </c>
      <c r="M12" s="11"/>
      <c r="N12" s="11"/>
      <c r="O12" s="40" t="s">
        <v>18</v>
      </c>
      <c r="P12" s="45"/>
      <c r="Q12" s="45"/>
      <c r="R12" s="45"/>
      <c r="S12" s="46" t="s">
        <v>5</v>
      </c>
      <c r="T12" s="18"/>
      <c r="U12" s="18"/>
      <c r="V12" s="18"/>
      <c r="W12" s="18"/>
      <c r="X12" s="53"/>
      <c r="Y12" s="54"/>
    </row>
    <row r="13" spans="1:25" x14ac:dyDescent="0.25">
      <c r="A13" s="6" t="s">
        <v>25</v>
      </c>
      <c r="B13" s="7"/>
      <c r="C13" s="7"/>
      <c r="D13" s="88">
        <f t="shared" ref="D13:L13" si="4">D11+D12</f>
        <v>0</v>
      </c>
      <c r="E13" s="88">
        <f t="shared" si="4"/>
        <v>0</v>
      </c>
      <c r="F13" s="88">
        <f t="shared" si="4"/>
        <v>12301.57</v>
      </c>
      <c r="G13" s="88">
        <f t="shared" si="4"/>
        <v>18330.52</v>
      </c>
      <c r="H13" s="88">
        <f t="shared" si="4"/>
        <v>33258.239999999998</v>
      </c>
      <c r="I13" s="88">
        <f t="shared" si="4"/>
        <v>11071.36</v>
      </c>
      <c r="J13" s="88">
        <f t="shared" si="4"/>
        <v>12109.95</v>
      </c>
      <c r="K13" s="88">
        <f t="shared" si="4"/>
        <v>8687.1</v>
      </c>
      <c r="L13" s="88">
        <f t="shared" si="4"/>
        <v>10074.390000000001</v>
      </c>
      <c r="M13" s="11"/>
      <c r="N13" s="11"/>
      <c r="O13" s="42" t="s">
        <v>19</v>
      </c>
      <c r="P13" s="43"/>
      <c r="Q13" s="44" t="e">
        <f>D24/D23</f>
        <v>#DIV/0!</v>
      </c>
      <c r="R13" s="44" t="e">
        <f>E24/E23</f>
        <v>#DIV/0!</v>
      </c>
      <c r="S13" s="44">
        <f>F24/F23</f>
        <v>6.7713941494130523E-3</v>
      </c>
      <c r="T13" s="44">
        <f>G24/G23</f>
        <v>1.8104720887749906E-2</v>
      </c>
      <c r="U13" s="44">
        <f>H24/H23</f>
        <v>9.7058329902802928E-3</v>
      </c>
      <c r="V13" s="48">
        <v>1.1599999999999999E-2</v>
      </c>
      <c r="W13" s="48">
        <v>1.5100000000000001E-2</v>
      </c>
      <c r="X13" s="48">
        <v>2.75E-2</v>
      </c>
      <c r="Y13" s="48">
        <v>9.7000000000000003E-3</v>
      </c>
    </row>
    <row r="14" spans="1:25" x14ac:dyDescent="0.25">
      <c r="A14" s="6" t="s">
        <v>26</v>
      </c>
      <c r="B14" s="7"/>
      <c r="C14" s="7"/>
      <c r="D14" s="85"/>
      <c r="E14" s="85"/>
      <c r="F14" s="85">
        <f>3803.52+172.94+578.9</f>
        <v>4555.3599999999997</v>
      </c>
      <c r="G14" s="85">
        <f>5824.99+222.86+969.85</f>
        <v>7017.7</v>
      </c>
      <c r="H14" s="85">
        <f>9088.61+354.92+1722.7</f>
        <v>11166.230000000001</v>
      </c>
      <c r="I14" s="85">
        <f>3562.89+103.81+526.68</f>
        <v>4193.38</v>
      </c>
      <c r="J14" s="85">
        <f>3728.29+118.35+651.94</f>
        <v>4498.58</v>
      </c>
      <c r="K14" s="85">
        <f>2475.79+92.82+450.68</f>
        <v>3019.29</v>
      </c>
      <c r="L14" s="85">
        <f>2245.64+97.8+420.07</f>
        <v>2763.51</v>
      </c>
      <c r="M14" s="11"/>
      <c r="N14" s="11"/>
      <c r="O14" s="42" t="s">
        <v>20</v>
      </c>
      <c r="P14" s="43"/>
      <c r="Q14" s="44" t="e">
        <f>D25/D23</f>
        <v>#DIV/0!</v>
      </c>
      <c r="R14" s="44" t="e">
        <f>E25/E23</f>
        <v>#DIV/0!</v>
      </c>
      <c r="S14" s="44">
        <f>F25/F23</f>
        <v>4.0404785152666567E-3</v>
      </c>
      <c r="T14" s="44">
        <f>G25/G23</f>
        <v>1.064775157833419E-2</v>
      </c>
      <c r="U14" s="44">
        <f>H25/H23</f>
        <v>3.16930671200819E-3</v>
      </c>
      <c r="V14" s="48">
        <v>5.0000000000000001E-4</v>
      </c>
      <c r="W14" s="48">
        <v>1.2999999999999999E-3</v>
      </c>
      <c r="X14" s="48">
        <v>6.1999999999999998E-3</v>
      </c>
      <c r="Y14" s="48">
        <v>3.2000000000000002E-3</v>
      </c>
    </row>
    <row r="15" spans="1:25" x14ac:dyDescent="0.25">
      <c r="A15" s="6" t="s">
        <v>54</v>
      </c>
      <c r="B15" s="10"/>
      <c r="C15" s="10"/>
      <c r="D15" s="89">
        <f t="shared" ref="D15:J15" si="5">D11-D14</f>
        <v>0</v>
      </c>
      <c r="E15" s="89">
        <f t="shared" si="5"/>
        <v>0</v>
      </c>
      <c r="F15" s="89">
        <f t="shared" si="5"/>
        <v>7740.7699999999995</v>
      </c>
      <c r="G15" s="89">
        <f t="shared" si="5"/>
        <v>11311.369999999999</v>
      </c>
      <c r="H15" s="89">
        <f>H11-H14</f>
        <v>22080.579999999994</v>
      </c>
      <c r="I15" s="89">
        <f t="shared" si="5"/>
        <v>6877.96</v>
      </c>
      <c r="J15" s="89">
        <f t="shared" si="5"/>
        <v>7611.3600000000006</v>
      </c>
      <c r="K15" s="89">
        <f>K11-K14</f>
        <v>5667.79</v>
      </c>
      <c r="L15" s="89">
        <f>L11-L14</f>
        <v>7299.51</v>
      </c>
      <c r="M15" s="11"/>
      <c r="N15" s="11"/>
      <c r="O15" s="42" t="s">
        <v>21</v>
      </c>
      <c r="P15" s="43"/>
      <c r="Q15" s="44" t="e">
        <f t="shared" ref="Q15:V15" si="6">(Q13-Q14)/Q13</f>
        <v>#DIV/0!</v>
      </c>
      <c r="R15" s="44" t="e">
        <f t="shared" si="6"/>
        <v>#DIV/0!</v>
      </c>
      <c r="S15" s="44">
        <f t="shared" si="6"/>
        <v>0.40330182734719594</v>
      </c>
      <c r="T15" s="44">
        <f t="shared" si="6"/>
        <v>0.41187982712626531</v>
      </c>
      <c r="U15" s="44">
        <f t="shared" si="6"/>
        <v>0.67346370835125358</v>
      </c>
      <c r="V15" s="44">
        <f t="shared" si="6"/>
        <v>0.9568965517241379</v>
      </c>
      <c r="W15" s="18"/>
      <c r="X15" s="18"/>
      <c r="Y15" s="18"/>
    </row>
    <row r="16" spans="1:25" x14ac:dyDescent="0.25">
      <c r="A16" s="6" t="s">
        <v>94</v>
      </c>
      <c r="B16" s="10"/>
      <c r="C16" s="10"/>
      <c r="D16" s="89">
        <f t="shared" ref="D16:J16" si="7">D13-D14-D9</f>
        <v>0</v>
      </c>
      <c r="E16" s="89">
        <f t="shared" si="7"/>
        <v>0</v>
      </c>
      <c r="F16" s="89">
        <f t="shared" si="7"/>
        <v>2989.63</v>
      </c>
      <c r="G16" s="89">
        <f t="shared" si="7"/>
        <v>5429.6399999999994</v>
      </c>
      <c r="H16" s="89">
        <f>H13-H14-H9</f>
        <v>14687.319999999996</v>
      </c>
      <c r="I16" s="89">
        <f t="shared" si="7"/>
        <v>4279.26</v>
      </c>
      <c r="J16" s="89">
        <f t="shared" si="7"/>
        <v>4748.5600000000013</v>
      </c>
      <c r="K16" s="89">
        <f>K13-K14-K9</f>
        <v>3791.3500000000004</v>
      </c>
      <c r="L16" s="89">
        <f>L13-L14-L9</f>
        <v>5075.380000000001</v>
      </c>
      <c r="M16" s="11"/>
      <c r="N16" s="11"/>
      <c r="O16" s="42" t="s">
        <v>22</v>
      </c>
      <c r="P16" s="43"/>
      <c r="Q16" s="44" t="e">
        <f>D17/AVERAGE(C23:D23)</f>
        <v>#DIV/0!</v>
      </c>
      <c r="R16" s="44" t="e">
        <f>E17/AVERAGE(D23:E23)</f>
        <v>#DIV/0!</v>
      </c>
      <c r="S16" s="44">
        <f>F17/AVERAGE(E23:F23)</f>
        <v>1.33528308523662E-2</v>
      </c>
      <c r="T16" s="44">
        <f>G17/AVERAGE(F23:G23)</f>
        <v>2.0429733828665971E-2</v>
      </c>
      <c r="U16" s="44">
        <f>H17/AVERAGE(G23:H23)</f>
        <v>2.2265601916801183E-2</v>
      </c>
      <c r="V16" s="18"/>
      <c r="W16" s="18"/>
      <c r="X16" s="18"/>
      <c r="Y16" s="18"/>
    </row>
    <row r="17" spans="1:25" x14ac:dyDescent="0.25">
      <c r="A17" s="6" t="s">
        <v>27</v>
      </c>
      <c r="B17" s="7"/>
      <c r="C17" s="7"/>
      <c r="D17" s="88"/>
      <c r="E17" s="85"/>
      <c r="F17" s="85">
        <v>782.37</v>
      </c>
      <c r="G17" s="85">
        <v>1567.18</v>
      </c>
      <c r="H17" s="85">
        <v>2869.25</v>
      </c>
      <c r="I17" s="85">
        <v>1225.92</v>
      </c>
      <c r="J17" s="85">
        <v>1006.01</v>
      </c>
      <c r="K17" s="85">
        <v>831.1</v>
      </c>
      <c r="L17" s="85">
        <v>607.15</v>
      </c>
      <c r="M17" s="11"/>
      <c r="N17" s="11"/>
      <c r="O17" s="18"/>
      <c r="P17" s="18"/>
      <c r="Q17" s="18"/>
      <c r="R17" s="18"/>
      <c r="S17" s="18"/>
      <c r="T17" s="18"/>
      <c r="U17" s="18"/>
      <c r="V17" s="18"/>
      <c r="W17" s="18"/>
      <c r="X17" s="18"/>
      <c r="Y17" s="18"/>
    </row>
    <row r="18" spans="1:25" x14ac:dyDescent="0.25">
      <c r="A18" s="6" t="s">
        <v>55</v>
      </c>
      <c r="B18" s="7"/>
      <c r="C18" s="7"/>
      <c r="D18" s="88"/>
      <c r="E18" s="85"/>
      <c r="F18" s="89">
        <v>1650.15</v>
      </c>
      <c r="G18" s="89">
        <v>2900.59</v>
      </c>
      <c r="H18" s="89">
        <v>8837.4699999999993</v>
      </c>
      <c r="I18" s="89">
        <v>2289.73</v>
      </c>
      <c r="J18" s="89">
        <v>2791.22</v>
      </c>
      <c r="K18" s="89">
        <v>2187.06</v>
      </c>
      <c r="L18" s="89">
        <v>3326</v>
      </c>
      <c r="M18" s="11"/>
      <c r="N18" s="11"/>
      <c r="O18" s="40" t="s">
        <v>30</v>
      </c>
      <c r="P18" s="45"/>
      <c r="Q18" s="45"/>
      <c r="R18" s="45"/>
      <c r="S18" s="46" t="s">
        <v>5</v>
      </c>
      <c r="T18" s="18"/>
      <c r="U18" s="18"/>
      <c r="V18" s="18"/>
      <c r="W18" s="18"/>
      <c r="X18" s="18"/>
      <c r="Y18" s="18"/>
    </row>
    <row r="19" spans="1:25" ht="22.5" x14ac:dyDescent="0.25">
      <c r="A19" s="6" t="s">
        <v>28</v>
      </c>
      <c r="B19" s="7"/>
      <c r="C19" s="7"/>
      <c r="D19" s="88"/>
      <c r="E19" s="85"/>
      <c r="F19" s="85">
        <v>44190.01</v>
      </c>
      <c r="G19" s="85">
        <v>91846.54</v>
      </c>
      <c r="H19" s="85">
        <v>100938.48</v>
      </c>
      <c r="I19" s="85">
        <v>103240.7</v>
      </c>
      <c r="J19" s="85">
        <v>106115.89</v>
      </c>
      <c r="K19" s="85">
        <v>97557.73</v>
      </c>
      <c r="L19" s="85">
        <v>100938.48</v>
      </c>
      <c r="M19" s="11"/>
      <c r="N19" s="11"/>
      <c r="O19" s="46" t="s">
        <v>95</v>
      </c>
      <c r="P19" s="51"/>
      <c r="Q19" s="51"/>
      <c r="R19" s="52" t="e">
        <f>E16/AVERAGE(D22:E22)</f>
        <v>#DIV/0!</v>
      </c>
      <c r="S19" s="52">
        <f>F16/AVERAGE(E22:F22)</f>
        <v>3.0372510593597007E-2</v>
      </c>
      <c r="T19" s="52">
        <f>G16/AVERAGE(F22:G22)</f>
        <v>4.2151227671856625E-2</v>
      </c>
      <c r="U19" s="52">
        <f>H16/AVERAGE(G22:H22)</f>
        <v>8.0147242452240433E-2</v>
      </c>
      <c r="V19" s="18"/>
      <c r="W19" s="18"/>
      <c r="X19" s="18"/>
      <c r="Y19" s="18"/>
    </row>
    <row r="20" spans="1:25" x14ac:dyDescent="0.25">
      <c r="A20" s="6" t="s">
        <v>56</v>
      </c>
      <c r="B20" s="7"/>
      <c r="C20" s="7"/>
      <c r="D20" s="88">
        <f t="shared" ref="D20:J20" si="8">D19-D71</f>
        <v>0</v>
      </c>
      <c r="E20" s="89">
        <f t="shared" si="8"/>
        <v>0</v>
      </c>
      <c r="F20" s="89">
        <f t="shared" si="8"/>
        <v>44190.01</v>
      </c>
      <c r="G20" s="89">
        <f t="shared" si="8"/>
        <v>91846.54</v>
      </c>
      <c r="H20" s="89">
        <f t="shared" si="8"/>
        <v>100938.48</v>
      </c>
      <c r="I20" s="89">
        <f t="shared" si="8"/>
        <v>103240.7</v>
      </c>
      <c r="J20" s="89">
        <f t="shared" si="8"/>
        <v>106115.89</v>
      </c>
      <c r="K20" s="89"/>
      <c r="L20" s="85">
        <v>100938.48</v>
      </c>
      <c r="M20" s="11"/>
      <c r="N20" s="11"/>
      <c r="O20" s="42" t="s">
        <v>31</v>
      </c>
      <c r="P20" s="43"/>
      <c r="Q20" s="43">
        <v>4.4699999999999997E-2</v>
      </c>
      <c r="R20" s="44" t="e">
        <f>E18/AVERAGE(D22:E22)</f>
        <v>#DIV/0!</v>
      </c>
      <c r="S20" s="44">
        <f>F18/AVERAGE(E22:F22)</f>
        <v>1.6764348215673547E-2</v>
      </c>
      <c r="T20" s="44">
        <f>G18/AVERAGE(F22:G22)</f>
        <v>2.2517778245465747E-2</v>
      </c>
      <c r="U20" s="44">
        <f>H18/AVERAGE(G22:H22)</f>
        <v>4.8225193619693817E-2</v>
      </c>
      <c r="V20" s="48"/>
      <c r="W20" s="18"/>
      <c r="X20" s="18"/>
      <c r="Y20" s="18"/>
    </row>
    <row r="21" spans="1:25" x14ac:dyDescent="0.25">
      <c r="A21" s="6" t="s">
        <v>57</v>
      </c>
      <c r="B21" s="9"/>
      <c r="C21" s="9"/>
      <c r="D21" s="85"/>
      <c r="E21" s="85"/>
      <c r="F21" s="85">
        <f>8451.29+43908.02+305.39</f>
        <v>52664.7</v>
      </c>
      <c r="G21" s="85">
        <f>6465.33+57962.43+285.2</f>
        <v>64712.959999999999</v>
      </c>
      <c r="H21" s="85">
        <f>4933.05+97290.51</f>
        <v>102223.56</v>
      </c>
      <c r="I21" s="85"/>
      <c r="J21" s="85">
        <f>1090.06+133687.35</f>
        <v>134777.41</v>
      </c>
      <c r="K21" s="85"/>
      <c r="L21" s="85">
        <f>4933.05+97290.51</f>
        <v>102223.56</v>
      </c>
      <c r="M21" s="11"/>
      <c r="N21" s="11"/>
      <c r="O21" s="42" t="s">
        <v>32</v>
      </c>
      <c r="P21" s="43"/>
      <c r="Q21" s="44" t="e">
        <f>D18/AVERAGE(C19:D19)</f>
        <v>#DIV/0!</v>
      </c>
      <c r="R21" s="44" t="e">
        <f>E18/AVERAGE(D19:E19)</f>
        <v>#DIV/0!</v>
      </c>
      <c r="S21" s="44">
        <f>F18/AVERAGE(E19:F19)</f>
        <v>3.73421504091083E-2</v>
      </c>
      <c r="T21" s="44">
        <f>G18/AVERAGE(F19:G19)</f>
        <v>4.2644274645306728E-2</v>
      </c>
      <c r="U21" s="44">
        <f>H18/AVERAGE(G19:H19)</f>
        <v>9.1682123434694243E-2</v>
      </c>
      <c r="V21" s="18"/>
      <c r="W21" s="18"/>
      <c r="X21" s="18"/>
      <c r="Y21" s="18"/>
    </row>
    <row r="22" spans="1:25" x14ac:dyDescent="0.25">
      <c r="A22" s="6" t="s">
        <v>29</v>
      </c>
      <c r="B22" s="7"/>
      <c r="C22" s="7"/>
      <c r="D22" s="88"/>
      <c r="E22" s="85"/>
      <c r="F22" s="85">
        <v>98432.1</v>
      </c>
      <c r="G22" s="85">
        <v>159194.56</v>
      </c>
      <c r="H22" s="85">
        <v>207313.87</v>
      </c>
      <c r="I22" s="85"/>
      <c r="J22" s="85">
        <v>246153.34</v>
      </c>
      <c r="K22" s="85"/>
      <c r="L22" s="85">
        <v>207313.87</v>
      </c>
      <c r="M22" s="11"/>
      <c r="N22" s="11"/>
      <c r="O22" s="40" t="s">
        <v>33</v>
      </c>
      <c r="P22" s="45"/>
      <c r="Q22" s="45"/>
      <c r="R22" s="45"/>
      <c r="S22" s="46" t="s">
        <v>5</v>
      </c>
      <c r="T22" s="18"/>
      <c r="U22" s="18"/>
      <c r="V22" s="18"/>
      <c r="W22" s="18"/>
      <c r="X22" s="18"/>
      <c r="Y22" s="18"/>
    </row>
    <row r="23" spans="1:25" x14ac:dyDescent="0.25">
      <c r="A23" s="6" t="s">
        <v>58</v>
      </c>
      <c r="B23" s="7"/>
      <c r="C23" s="7"/>
      <c r="D23" s="88"/>
      <c r="E23" s="85"/>
      <c r="F23" s="85">
        <v>58592.07</v>
      </c>
      <c r="G23" s="85">
        <v>94829.41</v>
      </c>
      <c r="H23" s="85">
        <v>162899.98000000001</v>
      </c>
      <c r="I23" s="85"/>
      <c r="J23" s="85">
        <v>195471.99</v>
      </c>
      <c r="K23" s="85"/>
      <c r="L23" s="85">
        <v>161111.35</v>
      </c>
      <c r="M23" s="11"/>
      <c r="N23" s="11"/>
      <c r="O23" s="42" t="s">
        <v>34</v>
      </c>
      <c r="P23" s="43"/>
      <c r="Q23" s="44" t="e">
        <f>D6/AVERAGE(C23:D23)</f>
        <v>#DIV/0!</v>
      </c>
      <c r="R23" s="44" t="e">
        <f>E6/AVERAGE(D23:E23)</f>
        <v>#DIV/0!</v>
      </c>
      <c r="S23" s="44">
        <f>F6/AVERAGE(E23:F23)</f>
        <v>0.18350964558855831</v>
      </c>
      <c r="T23" s="44">
        <f>G6/AVERAGE(F23:G23)</f>
        <v>0.21117629682623318</v>
      </c>
      <c r="U23" s="44">
        <f>H6/AVERAGE(G23:H23)</f>
        <v>0.22645240420582224</v>
      </c>
      <c r="V23" s="18"/>
      <c r="W23" s="18"/>
      <c r="X23" s="18"/>
      <c r="Y23" s="18"/>
    </row>
    <row r="24" spans="1:25" x14ac:dyDescent="0.25">
      <c r="A24" s="6" t="s">
        <v>59</v>
      </c>
      <c r="B24" s="10"/>
      <c r="C24" s="10"/>
      <c r="D24" s="89"/>
      <c r="E24" s="89"/>
      <c r="F24" s="89">
        <v>396.75</v>
      </c>
      <c r="G24" s="89">
        <v>1716.86</v>
      </c>
      <c r="H24" s="89">
        <v>1581.08</v>
      </c>
      <c r="I24" s="89"/>
      <c r="J24" s="89"/>
      <c r="K24" s="89"/>
      <c r="L24" s="89"/>
      <c r="M24" s="11"/>
      <c r="N24" s="11"/>
      <c r="O24" s="42" t="s">
        <v>35</v>
      </c>
      <c r="P24" s="43"/>
      <c r="Q24" s="44" t="e">
        <f>D9/AVERAGE(C21:D21)</f>
        <v>#DIV/0!</v>
      </c>
      <c r="R24" s="44" t="e">
        <f>E9/AVERAGE(D21:E21)</f>
        <v>#DIV/0!</v>
      </c>
      <c r="S24" s="44">
        <f>F9/AVERAGE(E21:F21)</f>
        <v>9.0318182767584368E-2</v>
      </c>
      <c r="T24" s="44">
        <f>G9/AVERAGE(F21:G21)</f>
        <v>0.10024360683285048</v>
      </c>
      <c r="U24" s="44">
        <f>H9/AVERAGE(G21:H21)</f>
        <v>8.8712643584519441E-2</v>
      </c>
      <c r="V24" s="18"/>
      <c r="W24" s="18"/>
      <c r="X24" s="18"/>
      <c r="Y24" s="18"/>
    </row>
    <row r="25" spans="1:25" x14ac:dyDescent="0.25">
      <c r="A25" s="6" t="s">
        <v>60</v>
      </c>
      <c r="B25" s="10"/>
      <c r="C25" s="10"/>
      <c r="D25" s="89"/>
      <c r="E25" s="89"/>
      <c r="F25" s="89">
        <v>236.74</v>
      </c>
      <c r="G25" s="89">
        <v>1009.72</v>
      </c>
      <c r="H25" s="89">
        <v>516.28</v>
      </c>
      <c r="I25" s="89"/>
      <c r="J25" s="89"/>
      <c r="K25" s="89"/>
      <c r="L25" s="89"/>
      <c r="M25" s="11"/>
      <c r="N25" s="11"/>
      <c r="O25" s="42" t="s">
        <v>36</v>
      </c>
      <c r="P25" s="43"/>
      <c r="Q25" s="48" t="e">
        <f>Q23-Q24</f>
        <v>#DIV/0!</v>
      </c>
      <c r="R25" s="48" t="e">
        <f>R23-R24</f>
        <v>#DIV/0!</v>
      </c>
      <c r="S25" s="48">
        <f>S23-S24</f>
        <v>9.3191462820973944E-2</v>
      </c>
      <c r="T25" s="48">
        <f>T23-T24</f>
        <v>0.1109326899933827</v>
      </c>
      <c r="U25" s="48">
        <f>U23-U24</f>
        <v>0.1377397606213028</v>
      </c>
      <c r="V25" s="18"/>
      <c r="W25" s="18"/>
      <c r="X25" s="18"/>
      <c r="Y25" s="18"/>
    </row>
    <row r="27" spans="1:25" x14ac:dyDescent="0.25">
      <c r="B27" s="739" t="s">
        <v>242</v>
      </c>
      <c r="C27" s="739"/>
      <c r="D27" s="739"/>
      <c r="E27" s="739"/>
      <c r="F27" s="739"/>
      <c r="G27" s="739"/>
      <c r="H27" s="739"/>
      <c r="I27" s="739"/>
      <c r="J27" s="739"/>
      <c r="K27" s="739"/>
      <c r="L27" s="739"/>
    </row>
    <row r="28" spans="1:25" x14ac:dyDescent="0.25">
      <c r="B28" s="739"/>
      <c r="C28" s="739"/>
      <c r="D28" s="739"/>
      <c r="E28" s="739"/>
      <c r="F28" s="739"/>
      <c r="G28" s="739"/>
      <c r="H28" s="739"/>
      <c r="I28" s="739"/>
      <c r="J28" s="739"/>
      <c r="K28" s="739"/>
      <c r="L28" s="739"/>
    </row>
    <row r="29" spans="1:25" x14ac:dyDescent="0.25">
      <c r="B29" s="739"/>
      <c r="C29" s="739"/>
      <c r="D29" s="739"/>
      <c r="E29" s="739"/>
      <c r="F29" s="739"/>
      <c r="G29" s="739"/>
      <c r="H29" s="739"/>
      <c r="I29" s="739"/>
      <c r="J29" s="739"/>
      <c r="K29" s="739"/>
      <c r="L29" s="739"/>
    </row>
    <row r="30" spans="1:25" x14ac:dyDescent="0.25">
      <c r="B30" s="739"/>
      <c r="C30" s="739"/>
      <c r="D30" s="739"/>
      <c r="E30" s="739"/>
      <c r="F30" s="739"/>
      <c r="G30" s="739"/>
      <c r="H30" s="739"/>
      <c r="I30" s="739"/>
      <c r="J30" s="739"/>
      <c r="K30" s="739"/>
      <c r="L30" s="739"/>
    </row>
    <row r="31" spans="1:25" x14ac:dyDescent="0.25">
      <c r="B31" s="739"/>
      <c r="C31" s="739"/>
      <c r="D31" s="739"/>
      <c r="E31" s="739"/>
      <c r="F31" s="739"/>
      <c r="G31" s="739"/>
      <c r="H31" s="739"/>
      <c r="I31" s="739"/>
      <c r="J31" s="739"/>
      <c r="K31" s="739"/>
      <c r="L31" s="739"/>
    </row>
    <row r="32" spans="1:25" x14ac:dyDescent="0.25">
      <c r="B32" s="739"/>
      <c r="C32" s="739"/>
      <c r="D32" s="739"/>
      <c r="E32" s="739"/>
      <c r="F32" s="739"/>
      <c r="G32" s="739"/>
      <c r="H32" s="739"/>
      <c r="I32" s="739"/>
      <c r="J32" s="739"/>
      <c r="K32" s="739"/>
      <c r="L32" s="739"/>
    </row>
  </sheetData>
  <mergeCells count="3">
    <mergeCell ref="A2:A4"/>
    <mergeCell ref="J1:L1"/>
    <mergeCell ref="B27:L32"/>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R35"/>
  <sheetViews>
    <sheetView topLeftCell="M1" workbookViewId="0">
      <selection activeCell="AJ16" sqref="AJ16"/>
    </sheetView>
  </sheetViews>
  <sheetFormatPr defaultRowHeight="15" x14ac:dyDescent="0.25"/>
  <cols>
    <col min="1" max="1" width="29.85546875" customWidth="1"/>
    <col min="4" max="7" width="10.140625" bestFit="1" customWidth="1"/>
    <col min="8" max="8" width="10.140625" customWidth="1"/>
    <col min="9" max="9" width="11.28515625" bestFit="1" customWidth="1"/>
    <col min="10" max="12" width="10.140625" bestFit="1" customWidth="1"/>
    <col min="13" max="14" width="11.28515625" bestFit="1" customWidth="1"/>
    <col min="16" max="16" width="11.28515625" bestFit="1" customWidth="1"/>
    <col min="17" max="17" width="11.28515625" customWidth="1"/>
    <col min="19" max="19" width="31.140625" customWidth="1"/>
    <col min="22" max="22" width="11.42578125" customWidth="1"/>
    <col min="23" max="23" width="11" customWidth="1"/>
    <col min="24" max="26" width="13" customWidth="1"/>
    <col min="31" max="34" width="12.2851562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118</v>
      </c>
      <c r="L1" s="772"/>
      <c r="M1" s="772"/>
    </row>
    <row r="2" spans="1:44" ht="45" x14ac:dyDescent="0.25">
      <c r="A2" s="771" t="s">
        <v>4</v>
      </c>
      <c r="B2" s="1" t="s">
        <v>43</v>
      </c>
      <c r="C2" s="1" t="s">
        <v>41</v>
      </c>
      <c r="D2" s="2" t="s">
        <v>44</v>
      </c>
      <c r="E2" s="2" t="s">
        <v>0</v>
      </c>
      <c r="F2" s="3" t="s">
        <v>45</v>
      </c>
      <c r="G2" s="3" t="s">
        <v>42</v>
      </c>
      <c r="H2" s="3" t="s">
        <v>366</v>
      </c>
      <c r="I2" s="3" t="s">
        <v>556</v>
      </c>
      <c r="J2" s="3" t="s">
        <v>37</v>
      </c>
      <c r="K2" s="3" t="s">
        <v>38</v>
      </c>
      <c r="L2" s="3" t="s">
        <v>39</v>
      </c>
      <c r="M2" s="3" t="s">
        <v>40</v>
      </c>
      <c r="N2" s="11" t="s">
        <v>648</v>
      </c>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E2" s="423" t="s">
        <v>648</v>
      </c>
      <c r="AF2" s="443" t="s">
        <v>683</v>
      </c>
      <c r="AG2" s="443" t="s">
        <v>686</v>
      </c>
      <c r="AH2" s="443"/>
      <c r="AL2" s="403"/>
      <c r="AM2" s="403"/>
      <c r="AN2" s="403"/>
      <c r="AO2" s="403"/>
      <c r="AP2" s="403"/>
    </row>
    <row r="3" spans="1:44"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0.1421295663252109</v>
      </c>
      <c r="V3" s="44">
        <f t="shared" si="0"/>
        <v>0.16686759804505394</v>
      </c>
      <c r="W3" s="44">
        <f t="shared" si="0"/>
        <v>0.16079186918974642</v>
      </c>
      <c r="X3" s="44">
        <f t="shared" si="0"/>
        <v>0.1802808992454768</v>
      </c>
      <c r="Y3" s="44">
        <f t="shared" si="0"/>
        <v>0.19718646813775381</v>
      </c>
      <c r="Z3" s="44">
        <f t="shared" si="0"/>
        <v>0.19834594661664798</v>
      </c>
      <c r="AA3" s="44">
        <f t="shared" ref="AA3:AH3" si="1">(J10*4)/J23</f>
        <v>0.1934042620363062</v>
      </c>
      <c r="AB3" s="44">
        <f t="shared" si="1"/>
        <v>0.19586484106576482</v>
      </c>
      <c r="AC3" s="44">
        <f t="shared" si="1"/>
        <v>0.18846843578546635</v>
      </c>
      <c r="AD3" s="44">
        <f t="shared" si="1"/>
        <v>0.19081533979224211</v>
      </c>
      <c r="AE3" s="44">
        <f t="shared" si="1"/>
        <v>0.19964378921904569</v>
      </c>
      <c r="AF3" s="44">
        <f t="shared" si="1"/>
        <v>0.18224149448061139</v>
      </c>
      <c r="AG3" s="44">
        <f t="shared" si="1"/>
        <v>0.18766253499949714</v>
      </c>
      <c r="AH3" s="44">
        <f t="shared" si="1"/>
        <v>0.19225007546986053</v>
      </c>
      <c r="AJ3" s="741" t="s">
        <v>624</v>
      </c>
      <c r="AK3" s="742"/>
      <c r="AL3" s="404" t="s">
        <v>625</v>
      </c>
      <c r="AM3" s="404" t="s">
        <v>626</v>
      </c>
      <c r="AN3" s="404" t="s">
        <v>627</v>
      </c>
      <c r="AO3" s="404" t="s">
        <v>628</v>
      </c>
      <c r="AP3" s="404" t="s">
        <v>629</v>
      </c>
      <c r="AQ3" s="404" t="s">
        <v>630</v>
      </c>
      <c r="AR3" s="404" t="s">
        <v>631</v>
      </c>
    </row>
    <row r="4" spans="1:44"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D5">
        <v>40890.800000000003</v>
      </c>
      <c r="E5">
        <v>78671.48</v>
      </c>
      <c r="F5" s="85">
        <v>104974.22</v>
      </c>
      <c r="G5" s="90">
        <v>125406.36</v>
      </c>
      <c r="H5" s="90">
        <v>152084.85</v>
      </c>
      <c r="I5" s="90">
        <v>218284.73</v>
      </c>
      <c r="J5" s="85">
        <v>48037.05</v>
      </c>
      <c r="K5" s="85">
        <v>51881.67</v>
      </c>
      <c r="L5" s="85">
        <v>56737.06</v>
      </c>
      <c r="M5" s="85">
        <v>61628.95</v>
      </c>
      <c r="N5" s="11">
        <v>43578.57</v>
      </c>
      <c r="O5" s="11">
        <v>66614.36</v>
      </c>
      <c r="P5" s="11">
        <v>70204.95</v>
      </c>
      <c r="Q5" s="11">
        <v>72737.509999999995</v>
      </c>
      <c r="R5" s="11"/>
      <c r="S5" s="42" t="s">
        <v>13</v>
      </c>
      <c r="T5" s="46"/>
      <c r="U5" s="47">
        <f t="shared" ref="U5:Z5" si="2">D21/D20</f>
        <v>0.70325231749313488</v>
      </c>
      <c r="V5" s="47">
        <f t="shared" si="2"/>
        <v>1.21552854201716</v>
      </c>
      <c r="W5" s="47">
        <f t="shared" si="2"/>
        <v>1.4775419617231196</v>
      </c>
      <c r="X5" s="47">
        <f t="shared" si="2"/>
        <v>0.68964669380336263</v>
      </c>
      <c r="Y5" s="47">
        <f t="shared" si="2"/>
        <v>0.97874067005386545</v>
      </c>
      <c r="Z5" s="47">
        <f t="shared" si="2"/>
        <v>1.2177576910100074</v>
      </c>
      <c r="AA5" s="47"/>
      <c r="AB5" s="47">
        <f>K21/K20</f>
        <v>1.0175209521062742</v>
      </c>
      <c r="AC5" s="47"/>
      <c r="AD5" s="47">
        <f>M21/M20</f>
        <v>1.2177576910100074</v>
      </c>
      <c r="AE5" s="47">
        <f>N21/N20</f>
        <v>0.97874067005386545</v>
      </c>
      <c r="AF5" s="47" t="e">
        <f>O21/O20</f>
        <v>#DIV/0!</v>
      </c>
      <c r="AG5" s="47">
        <f>P21/P20</f>
        <v>1.2208950565747072</v>
      </c>
      <c r="AH5" s="461"/>
      <c r="AJ5" s="406" t="s">
        <v>632</v>
      </c>
      <c r="AK5" s="406" t="s">
        <v>557</v>
      </c>
      <c r="AL5" s="745" t="s">
        <v>633</v>
      </c>
      <c r="AM5" s="745"/>
      <c r="AN5" s="745"/>
      <c r="AO5" s="745"/>
      <c r="AP5" s="745"/>
      <c r="AQ5" s="745"/>
      <c r="AR5" s="745"/>
    </row>
    <row r="6" spans="1:44" x14ac:dyDescent="0.25">
      <c r="A6" s="6" t="s">
        <v>50</v>
      </c>
      <c r="B6" s="7"/>
      <c r="C6" s="8"/>
      <c r="D6">
        <v>37621.43</v>
      </c>
      <c r="E6">
        <v>71795.8</v>
      </c>
      <c r="F6" s="85">
        <v>99550.11</v>
      </c>
      <c r="G6" s="85">
        <v>117051.64</v>
      </c>
      <c r="H6" s="85">
        <v>146303</v>
      </c>
      <c r="I6" s="85">
        <v>211658.46</v>
      </c>
      <c r="J6" s="85">
        <v>46373.49</v>
      </c>
      <c r="K6" s="85">
        <v>50409.39</v>
      </c>
      <c r="L6" s="85">
        <v>54951.23</v>
      </c>
      <c r="M6" s="85">
        <v>59924.35</v>
      </c>
      <c r="N6" s="11">
        <v>42345.120000000003</v>
      </c>
      <c r="O6" s="11">
        <v>64108.4</v>
      </c>
      <c r="P6" s="11">
        <v>67925.5</v>
      </c>
      <c r="Q6" s="11">
        <v>71123.61</v>
      </c>
      <c r="R6" s="11"/>
      <c r="S6" s="42" t="s">
        <v>14</v>
      </c>
      <c r="T6" s="43"/>
      <c r="U6" s="43">
        <v>0.64090000000000003</v>
      </c>
      <c r="V6" s="43">
        <v>0.52939999999999998</v>
      </c>
      <c r="W6" s="43">
        <v>0.58860000000000001</v>
      </c>
      <c r="X6" s="48">
        <v>0.752</v>
      </c>
      <c r="Y6" s="48">
        <v>0.67169999999999996</v>
      </c>
      <c r="Z6" s="48">
        <v>0.505</v>
      </c>
      <c r="AA6" s="48"/>
      <c r="AB6" s="48">
        <v>0.59399999999999997</v>
      </c>
      <c r="AC6" s="48">
        <v>0.53259999999999996</v>
      </c>
      <c r="AD6" s="48">
        <v>0.505</v>
      </c>
      <c r="AF6" s="80">
        <v>0.48430000000000001</v>
      </c>
      <c r="AG6" s="80">
        <v>0.48730000000000001</v>
      </c>
      <c r="AH6" s="80">
        <v>0.5121</v>
      </c>
      <c r="AJ6" s="392">
        <v>1</v>
      </c>
      <c r="AK6" s="108" t="s">
        <v>646</v>
      </c>
      <c r="AL6" s="418">
        <v>0.1908</v>
      </c>
      <c r="AM6" s="418">
        <v>0.1885</v>
      </c>
      <c r="AN6" s="81"/>
      <c r="AO6" s="81"/>
      <c r="AP6" s="417">
        <v>0.1996</v>
      </c>
      <c r="AQ6" s="417">
        <v>0.1983</v>
      </c>
      <c r="AR6" s="417">
        <v>0.19719999999999999</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f t="shared" ref="U7:Z7" si="3">D20/D23</f>
        <v>0.64612067918944027</v>
      </c>
      <c r="V7" s="44">
        <f t="shared" si="3"/>
        <v>0.49960594553993942</v>
      </c>
      <c r="W7" s="44">
        <f t="shared" si="3"/>
        <v>0.5214788680987944</v>
      </c>
      <c r="X7" s="44">
        <f t="shared" si="3"/>
        <v>0.71280300747517444</v>
      </c>
      <c r="Y7" s="44">
        <f t="shared" si="3"/>
        <v>0.62590154450554214</v>
      </c>
      <c r="Z7" s="44">
        <f t="shared" si="3"/>
        <v>0.53551015751301811</v>
      </c>
      <c r="AA7" s="18"/>
      <c r="AB7" s="18"/>
      <c r="AC7" s="18"/>
      <c r="AD7" s="18"/>
      <c r="AJ7" s="392">
        <v>2</v>
      </c>
      <c r="AK7" s="108" t="s">
        <v>634</v>
      </c>
      <c r="AL7" s="410">
        <v>236.06</v>
      </c>
      <c r="AM7" s="410">
        <v>216.76</v>
      </c>
      <c r="AN7" s="410">
        <v>199.39</v>
      </c>
      <c r="AO7" s="410">
        <v>183.71</v>
      </c>
      <c r="AP7" s="81"/>
      <c r="AQ7" s="411">
        <v>835.92</v>
      </c>
      <c r="AR7" s="412">
        <v>603.5</v>
      </c>
    </row>
    <row r="8" spans="1:44" x14ac:dyDescent="0.25">
      <c r="A8" s="6" t="s">
        <v>52</v>
      </c>
      <c r="B8" s="7"/>
      <c r="C8" s="8"/>
      <c r="D8" s="85">
        <f t="shared" ref="D8:Q8" si="4">D5-D6-D7</f>
        <v>3269.3700000000026</v>
      </c>
      <c r="E8" s="85">
        <f t="shared" si="4"/>
        <v>6875.679999999993</v>
      </c>
      <c r="F8" s="85">
        <f t="shared" si="4"/>
        <v>5424.1100000000006</v>
      </c>
      <c r="G8" s="85">
        <f t="shared" si="4"/>
        <v>8354.7200000000012</v>
      </c>
      <c r="H8" s="85">
        <f t="shared" si="4"/>
        <v>5781.8500000000058</v>
      </c>
      <c r="I8" s="85">
        <f t="shared" si="4"/>
        <v>6626.2700000000186</v>
      </c>
      <c r="J8" s="85">
        <f t="shared" si="4"/>
        <v>1663.5600000000049</v>
      </c>
      <c r="K8" s="85">
        <f t="shared" si="4"/>
        <v>1472.2799999999988</v>
      </c>
      <c r="L8" s="85">
        <f t="shared" si="4"/>
        <v>1785.8299999999945</v>
      </c>
      <c r="M8" s="85">
        <f t="shared" si="4"/>
        <v>1704.5999999999985</v>
      </c>
      <c r="N8" s="85">
        <f t="shared" si="4"/>
        <v>1233.4499999999971</v>
      </c>
      <c r="O8" s="85">
        <f t="shared" si="4"/>
        <v>2505.9599999999991</v>
      </c>
      <c r="P8" s="85">
        <f t="shared" si="4"/>
        <v>2279.4499999999971</v>
      </c>
      <c r="Q8" s="85">
        <f t="shared" si="4"/>
        <v>1613.8999999999942</v>
      </c>
      <c r="R8" s="11"/>
      <c r="S8" s="40" t="s">
        <v>16</v>
      </c>
      <c r="T8" s="45"/>
      <c r="U8" s="45"/>
      <c r="V8" s="45"/>
      <c r="W8" s="46" t="s">
        <v>5</v>
      </c>
      <c r="X8" s="18"/>
      <c r="Y8" s="18"/>
      <c r="Z8" s="18"/>
      <c r="AA8" s="18"/>
      <c r="AB8" s="18"/>
      <c r="AC8" s="18"/>
      <c r="AD8" s="18"/>
      <c r="AJ8" s="392">
        <v>3</v>
      </c>
      <c r="AK8" s="108" t="s">
        <v>635</v>
      </c>
      <c r="AL8" s="417">
        <v>1.38E-2</v>
      </c>
      <c r="AM8" s="417">
        <v>1.4E-2</v>
      </c>
      <c r="AN8" s="81"/>
      <c r="AO8" s="81"/>
      <c r="AP8" s="417">
        <v>1.35E-2</v>
      </c>
      <c r="AQ8" s="417">
        <v>1.35E-2</v>
      </c>
      <c r="AR8" s="417">
        <v>1.38E-2</v>
      </c>
    </row>
    <row r="9" spans="1:44" ht="33.75" x14ac:dyDescent="0.25">
      <c r="A9" s="6" t="s">
        <v>24</v>
      </c>
      <c r="B9" s="7"/>
      <c r="C9" s="7"/>
      <c r="D9" s="88">
        <v>7592.2</v>
      </c>
      <c r="E9" s="85">
        <v>21693.51</v>
      </c>
      <c r="F9" s="85">
        <v>32519.119999999999</v>
      </c>
      <c r="G9" s="85">
        <v>30060</v>
      </c>
      <c r="H9" s="85">
        <v>26625.1</v>
      </c>
      <c r="I9" s="85">
        <v>46849.57</v>
      </c>
      <c r="J9" s="85">
        <v>9617.01</v>
      </c>
      <c r="K9" s="85">
        <v>10588.78</v>
      </c>
      <c r="L9" s="85">
        <v>12870.94</v>
      </c>
      <c r="M9" s="85">
        <v>13722.84</v>
      </c>
      <c r="N9" s="11">
        <v>7740.59</v>
      </c>
      <c r="O9" s="11">
        <v>15818.96</v>
      </c>
      <c r="P9" s="11">
        <v>16313.54</v>
      </c>
      <c r="Q9" s="11">
        <v>17135.169999999998</v>
      </c>
      <c r="R9" s="11"/>
      <c r="S9" s="49" t="s">
        <v>93</v>
      </c>
      <c r="T9" s="45"/>
      <c r="U9" s="50">
        <f t="shared" ref="U9:Z9" si="5">D14/(D11-D9)</f>
        <v>0.32136306030884176</v>
      </c>
      <c r="V9" s="50">
        <f t="shared" si="5"/>
        <v>0.30146704068256563</v>
      </c>
      <c r="W9" s="50">
        <f t="shared" si="5"/>
        <v>0.29597226420224387</v>
      </c>
      <c r="X9" s="50">
        <f t="shared" si="5"/>
        <v>0.32076945569815146</v>
      </c>
      <c r="Y9" s="50">
        <f t="shared" si="5"/>
        <v>0.34895223368450839</v>
      </c>
      <c r="Z9" s="50">
        <f t="shared" si="5"/>
        <v>0.32391838407010559</v>
      </c>
      <c r="AA9" s="18"/>
      <c r="AB9" s="18"/>
      <c r="AC9" s="18"/>
      <c r="AD9" s="18"/>
      <c r="AJ9" s="392">
        <v>4</v>
      </c>
      <c r="AK9" s="108" t="s">
        <v>636</v>
      </c>
      <c r="AL9" s="417">
        <v>6.3E-3</v>
      </c>
      <c r="AM9" s="417">
        <v>6.4999999999999997E-3</v>
      </c>
      <c r="AN9" s="81"/>
      <c r="AO9" s="81"/>
      <c r="AP9" s="417">
        <v>6.8999999999999999E-3</v>
      </c>
      <c r="AQ9" s="417">
        <v>6.8999999999999999E-3</v>
      </c>
      <c r="AR9" s="417">
        <v>6.3E-3</v>
      </c>
    </row>
    <row r="10" spans="1:44" ht="22.5" x14ac:dyDescent="0.25">
      <c r="A10" s="6" t="s">
        <v>53</v>
      </c>
      <c r="B10" s="10">
        <f t="shared" ref="B10:J10" si="6">B6-B9</f>
        <v>0</v>
      </c>
      <c r="C10" s="10">
        <f t="shared" si="6"/>
        <v>0</v>
      </c>
      <c r="D10" s="89">
        <f t="shared" si="6"/>
        <v>30029.23</v>
      </c>
      <c r="E10" s="89">
        <f t="shared" si="6"/>
        <v>50102.290000000008</v>
      </c>
      <c r="F10" s="89">
        <f t="shared" si="6"/>
        <v>67030.990000000005</v>
      </c>
      <c r="G10" s="89">
        <f t="shared" si="6"/>
        <v>86991.64</v>
      </c>
      <c r="H10" s="89">
        <f>H6-H9</f>
        <v>119677.9</v>
      </c>
      <c r="I10" s="89">
        <f>I6-I9</f>
        <v>164808.88999999998</v>
      </c>
      <c r="J10" s="89">
        <f t="shared" si="6"/>
        <v>36756.479999999996</v>
      </c>
      <c r="K10" s="89">
        <f t="shared" ref="K10:P10" si="7">K6-K9</f>
        <v>39820.61</v>
      </c>
      <c r="L10" s="89">
        <f t="shared" si="7"/>
        <v>42080.29</v>
      </c>
      <c r="M10" s="89">
        <f t="shared" si="7"/>
        <v>46201.509999999995</v>
      </c>
      <c r="N10" s="89">
        <f t="shared" si="7"/>
        <v>34604.53</v>
      </c>
      <c r="O10" s="89">
        <f t="shared" si="7"/>
        <v>48289.440000000002</v>
      </c>
      <c r="P10" s="89">
        <f t="shared" si="7"/>
        <v>51611.96</v>
      </c>
      <c r="Q10" s="89">
        <f t="shared" ref="Q10" si="8">Q6-Q9</f>
        <v>53988.44</v>
      </c>
      <c r="R10" s="11"/>
      <c r="S10" s="42" t="s">
        <v>92</v>
      </c>
      <c r="T10" s="43"/>
      <c r="U10" s="44">
        <f t="shared" ref="U10:Z10" si="9">D14/D11</f>
        <v>0.26169554031713732</v>
      </c>
      <c r="V10" s="44">
        <f t="shared" si="9"/>
        <v>0.21833808134790403</v>
      </c>
      <c r="W10" s="44">
        <f t="shared" si="9"/>
        <v>0.20428539502365439</v>
      </c>
      <c r="X10" s="44">
        <f t="shared" si="9"/>
        <v>0.24388077287308235</v>
      </c>
      <c r="Y10" s="44">
        <f t="shared" si="9"/>
        <v>0.28786207173166817</v>
      </c>
      <c r="Z10" s="44">
        <f t="shared" si="9"/>
        <v>0.25439708952614321</v>
      </c>
      <c r="AA10" s="18"/>
      <c r="AB10" s="18"/>
      <c r="AC10" s="18"/>
      <c r="AD10" s="18"/>
      <c r="AJ10" s="392">
        <v>5</v>
      </c>
      <c r="AK10" s="108" t="s">
        <v>637</v>
      </c>
      <c r="AL10" s="417">
        <v>8.0000000000000002E-3</v>
      </c>
      <c r="AM10" s="417">
        <v>4.5999999999999999E-3</v>
      </c>
      <c r="AN10" s="81"/>
      <c r="AO10" s="81"/>
      <c r="AP10" s="417">
        <v>4.3E-3</v>
      </c>
      <c r="AQ10" s="417">
        <v>6.7000000000000002E-3</v>
      </c>
      <c r="AR10" s="417">
        <v>3.3E-3</v>
      </c>
    </row>
    <row r="11" spans="1:44" ht="30" x14ac:dyDescent="0.25">
      <c r="A11" s="6" t="s">
        <v>1</v>
      </c>
      <c r="B11" s="10">
        <f>B5-B9</f>
        <v>0</v>
      </c>
      <c r="C11" s="10">
        <f t="shared" ref="C11:J11" si="10">SUM(C6:C8)</f>
        <v>0</v>
      </c>
      <c r="D11" s="89">
        <f t="shared" si="10"/>
        <v>40890.800000000003</v>
      </c>
      <c r="E11" s="89">
        <f t="shared" si="10"/>
        <v>78671.48</v>
      </c>
      <c r="F11" s="89">
        <f>SUM(F6:F8)</f>
        <v>104974.22</v>
      </c>
      <c r="G11" s="89">
        <f>SUM(G6:G8)</f>
        <v>125406.36</v>
      </c>
      <c r="H11" s="89">
        <f>SUM(H6:H8)</f>
        <v>152084.85</v>
      </c>
      <c r="I11" s="89">
        <f>SUM(I6:I8)</f>
        <v>218284.73</v>
      </c>
      <c r="J11" s="89">
        <f t="shared" si="10"/>
        <v>48037.05</v>
      </c>
      <c r="K11" s="89">
        <f t="shared" ref="K11:P11" si="11">SUM(K6:K8)</f>
        <v>51881.67</v>
      </c>
      <c r="L11" s="89">
        <f t="shared" si="11"/>
        <v>56737.06</v>
      </c>
      <c r="M11" s="89">
        <f t="shared" si="11"/>
        <v>61628.95</v>
      </c>
      <c r="N11" s="89">
        <f t="shared" si="11"/>
        <v>43578.57</v>
      </c>
      <c r="O11" s="89">
        <f t="shared" si="11"/>
        <v>66614.36</v>
      </c>
      <c r="P11" s="89">
        <f t="shared" si="11"/>
        <v>70204.95</v>
      </c>
      <c r="Q11" s="89">
        <f t="shared" ref="Q11" si="12">SUM(Q6:Q8)</f>
        <v>72737.509999999995</v>
      </c>
      <c r="R11" s="11"/>
      <c r="S11" s="42" t="s">
        <v>17</v>
      </c>
      <c r="T11" s="43"/>
      <c r="U11" s="44">
        <f t="shared" ref="U11:Z11" si="13">D14/AVERAGE(C22:D22)</f>
        <v>4.5539218909286826E-2</v>
      </c>
      <c r="V11" s="44">
        <f t="shared" si="13"/>
        <v>5.1251745603308523E-2</v>
      </c>
      <c r="W11" s="44">
        <f t="shared" si="13"/>
        <v>4.2269037207355135E-2</v>
      </c>
      <c r="X11" s="44">
        <f t="shared" si="13"/>
        <v>5.0399627509243254E-2</v>
      </c>
      <c r="Y11" s="44">
        <f t="shared" si="13"/>
        <v>8.1782164819658373E-2</v>
      </c>
      <c r="Z11" s="44">
        <f t="shared" si="13"/>
        <v>6.918857405602033E-2</v>
      </c>
      <c r="AA11" s="18"/>
      <c r="AB11" s="18"/>
      <c r="AC11" s="18"/>
      <c r="AD11" s="18"/>
      <c r="AJ11" s="392">
        <v>6</v>
      </c>
      <c r="AK11" s="413" t="s">
        <v>638</v>
      </c>
      <c r="AL11" s="410">
        <v>1551</v>
      </c>
      <c r="AM11" s="81"/>
      <c r="AN11" s="81"/>
      <c r="AO11" s="81"/>
      <c r="AP11" s="81"/>
      <c r="AQ11" s="408"/>
      <c r="AR11" s="408"/>
    </row>
    <row r="12" spans="1:44" ht="30" x14ac:dyDescent="0.25">
      <c r="A12" s="6" t="s">
        <v>91</v>
      </c>
      <c r="B12" s="10"/>
      <c r="C12" s="10"/>
      <c r="D12" s="89">
        <v>1.86</v>
      </c>
      <c r="E12" s="89">
        <v>63.25</v>
      </c>
      <c r="F12" s="89">
        <v>151.25</v>
      </c>
      <c r="G12" s="89">
        <v>210.56</v>
      </c>
      <c r="H12" s="89">
        <v>807.9</v>
      </c>
      <c r="I12" s="89">
        <v>1225.3499999999999</v>
      </c>
      <c r="J12" s="89">
        <v>320.14</v>
      </c>
      <c r="K12" s="89">
        <v>354.83</v>
      </c>
      <c r="L12" s="89">
        <v>265.29000000000002</v>
      </c>
      <c r="M12" s="89">
        <v>285.08999999999997</v>
      </c>
      <c r="N12" s="11">
        <v>350.06</v>
      </c>
      <c r="O12" s="11">
        <v>323.75</v>
      </c>
      <c r="P12" s="11">
        <v>379.17</v>
      </c>
      <c r="Q12" s="11">
        <v>367.67</v>
      </c>
      <c r="R12" s="11"/>
      <c r="S12" s="40" t="s">
        <v>18</v>
      </c>
      <c r="T12" s="45"/>
      <c r="U12" s="45"/>
      <c r="V12" s="45"/>
      <c r="W12" s="46" t="s">
        <v>5</v>
      </c>
      <c r="X12" s="18"/>
      <c r="Y12" s="18"/>
      <c r="Z12" s="18"/>
      <c r="AA12" s="18"/>
      <c r="AB12" s="18"/>
      <c r="AC12" s="53"/>
      <c r="AD12" s="54"/>
      <c r="AJ12" s="392">
        <v>7</v>
      </c>
      <c r="AK12" s="413" t="s">
        <v>639</v>
      </c>
      <c r="AL12" s="410">
        <v>3867</v>
      </c>
      <c r="AM12" s="81"/>
      <c r="AN12" s="81"/>
      <c r="AO12" s="81"/>
      <c r="AP12" s="81"/>
      <c r="AQ12" s="408"/>
      <c r="AR12" s="408"/>
    </row>
    <row r="13" spans="1:44" x14ac:dyDescent="0.25">
      <c r="A13" s="6" t="s">
        <v>25</v>
      </c>
      <c r="B13" s="7"/>
      <c r="C13" s="7"/>
      <c r="D13" s="88">
        <f t="shared" ref="D13:Q13" si="14">D11+D12</f>
        <v>40892.660000000003</v>
      </c>
      <c r="E13" s="88">
        <f t="shared" si="14"/>
        <v>78734.73</v>
      </c>
      <c r="F13" s="88">
        <f t="shared" si="14"/>
        <v>105125.47</v>
      </c>
      <c r="G13" s="88">
        <f t="shared" si="14"/>
        <v>125616.92</v>
      </c>
      <c r="H13" s="88">
        <f t="shared" si="14"/>
        <v>152892.75</v>
      </c>
      <c r="I13" s="88">
        <f t="shared" si="14"/>
        <v>219510.08000000002</v>
      </c>
      <c r="J13" s="88">
        <f t="shared" si="14"/>
        <v>48357.19</v>
      </c>
      <c r="K13" s="88">
        <f t="shared" si="14"/>
        <v>52236.5</v>
      </c>
      <c r="L13" s="88">
        <f t="shared" si="14"/>
        <v>57002.35</v>
      </c>
      <c r="M13" s="88">
        <f t="shared" si="14"/>
        <v>61914.039999999994</v>
      </c>
      <c r="N13" s="88">
        <f t="shared" si="14"/>
        <v>43928.63</v>
      </c>
      <c r="O13" s="88">
        <f t="shared" si="14"/>
        <v>66938.11</v>
      </c>
      <c r="P13" s="88">
        <f t="shared" si="14"/>
        <v>70584.12</v>
      </c>
      <c r="Q13" s="88">
        <f t="shared" si="14"/>
        <v>73105.179999999993</v>
      </c>
      <c r="R13" s="11"/>
      <c r="S13" s="42" t="s">
        <v>19</v>
      </c>
      <c r="T13" s="43"/>
      <c r="U13" s="44">
        <f t="shared" ref="U13:Z13" si="15">D24/D23</f>
        <v>8.8374861741966262E-3</v>
      </c>
      <c r="V13" s="44">
        <f t="shared" si="15"/>
        <v>1.3675019336608836E-2</v>
      </c>
      <c r="W13" s="44">
        <f t="shared" si="15"/>
        <v>1.016644040559044E-2</v>
      </c>
      <c r="X13" s="44">
        <f t="shared" si="15"/>
        <v>1.0191523191810494E-2</v>
      </c>
      <c r="Y13" s="44">
        <f t="shared" si="15"/>
        <v>1.354897616984924E-2</v>
      </c>
      <c r="Z13" s="44">
        <f t="shared" si="15"/>
        <v>0</v>
      </c>
      <c r="AA13" s="48">
        <v>1.41E-2</v>
      </c>
      <c r="AB13" s="48">
        <v>1.35E-2</v>
      </c>
      <c r="AC13" s="48">
        <v>1.4E-2</v>
      </c>
      <c r="AD13" s="48">
        <v>1.38E-2</v>
      </c>
      <c r="AF13" s="80">
        <v>1.41E-2</v>
      </c>
      <c r="AG13" s="80">
        <v>1.47E-2</v>
      </c>
      <c r="AH13" s="80">
        <v>1.6199999999999999E-2</v>
      </c>
      <c r="AJ13" s="392">
        <v>8</v>
      </c>
      <c r="AK13" s="108" t="s">
        <v>640</v>
      </c>
      <c r="AL13" s="419">
        <f>AL11/AL12</f>
        <v>0.40108611326609778</v>
      </c>
      <c r="AM13" s="81"/>
      <c r="AN13" s="81"/>
      <c r="AO13" s="81"/>
      <c r="AP13" s="81"/>
      <c r="AQ13" s="81"/>
      <c r="AR13" s="81"/>
    </row>
    <row r="14" spans="1:44" x14ac:dyDescent="0.25">
      <c r="A14" s="6" t="s">
        <v>26</v>
      </c>
      <c r="B14" s="7"/>
      <c r="C14" s="7"/>
      <c r="D14" s="85">
        <f>94.77+7653.44+419.46+2533.27</f>
        <v>10700.94</v>
      </c>
      <c r="E14" s="85">
        <f>42.52+12710.78+1006.85+3416.83</f>
        <v>17176.980000000003</v>
      </c>
      <c r="F14" s="85">
        <f>266.83+16371.78+1138.39+3667.7</f>
        <v>21444.7</v>
      </c>
      <c r="G14" s="85">
        <f>23611.52+1224.47+5748.21</f>
        <v>30584.2</v>
      </c>
      <c r="H14" s="85">
        <f>34642.66+1731.24+7405.56</f>
        <v>43779.46</v>
      </c>
      <c r="I14" s="85">
        <v>55531</v>
      </c>
      <c r="J14" s="85">
        <f>9870.47+484.96+2278.12</f>
        <v>12633.55</v>
      </c>
      <c r="K14" s="85">
        <f>10579.14+568.87+2745.46</f>
        <v>13893.470000000001</v>
      </c>
      <c r="L14" s="85">
        <f>10981.03+663.77+2477.9</f>
        <v>14122.7</v>
      </c>
      <c r="M14" s="85">
        <f>11428.3+739.52+2712.97</f>
        <v>14880.789999999999</v>
      </c>
      <c r="N14" s="11">
        <f>9589.71+481.27+2954.39</f>
        <v>13025.369999999999</v>
      </c>
      <c r="O14" s="11">
        <f>12281.3+637.48+2728.56</f>
        <v>15647.339999999998</v>
      </c>
      <c r="P14" s="11">
        <f>12484.01+666.8+3121.46</f>
        <v>16272.27</v>
      </c>
      <c r="Q14" s="11">
        <f>12920.19+824.31+3374.33</f>
        <v>17118.830000000002</v>
      </c>
      <c r="R14" s="11"/>
      <c r="S14" s="42" t="s">
        <v>20</v>
      </c>
      <c r="T14" s="43"/>
      <c r="U14" s="44">
        <f t="shared" ref="U14:Z14" si="16">D25/D23</f>
        <v>6.7925759606877432E-3</v>
      </c>
      <c r="V14" s="44">
        <f t="shared" si="16"/>
        <v>1.1254503685998909E-2</v>
      </c>
      <c r="W14" s="44">
        <f t="shared" si="16"/>
        <v>8.3401852021274484E-3</v>
      </c>
      <c r="X14" s="44">
        <f t="shared" si="16"/>
        <v>6.6356258476342311E-3</v>
      </c>
      <c r="Y14" s="44">
        <f t="shared" si="16"/>
        <v>6.8649722868243191E-3</v>
      </c>
      <c r="Z14" s="44">
        <f t="shared" si="16"/>
        <v>0</v>
      </c>
      <c r="AA14" s="48">
        <v>7.9000000000000008E-3</v>
      </c>
      <c r="AB14" s="48">
        <v>6.7999999999999996E-3</v>
      </c>
      <c r="AC14" s="48">
        <v>6.4999999999999997E-3</v>
      </c>
      <c r="AD14" s="48">
        <v>6.3E-3</v>
      </c>
      <c r="AF14" s="80">
        <v>6.7999999999999996E-3</v>
      </c>
      <c r="AG14" s="80">
        <v>7.1000000000000004E-3</v>
      </c>
      <c r="AH14" s="80">
        <v>8.0999999999999996E-3</v>
      </c>
      <c r="AJ14" s="392">
        <v>9</v>
      </c>
      <c r="AK14" s="108" t="s">
        <v>641</v>
      </c>
      <c r="AL14" s="417">
        <v>3.16</v>
      </c>
      <c r="AM14" s="81"/>
      <c r="AN14" s="81"/>
      <c r="AO14" s="81"/>
      <c r="AP14" s="81"/>
      <c r="AQ14" s="408"/>
      <c r="AR14" s="408"/>
    </row>
    <row r="15" spans="1:44" x14ac:dyDescent="0.25">
      <c r="A15" s="6" t="s">
        <v>54</v>
      </c>
      <c r="B15" s="10"/>
      <c r="C15" s="10"/>
      <c r="D15" s="89">
        <f t="shared" ref="D15:K15" si="17">D11-D14</f>
        <v>30189.86</v>
      </c>
      <c r="E15" s="89">
        <f t="shared" si="17"/>
        <v>61494.499999999993</v>
      </c>
      <c r="F15" s="89">
        <f t="shared" si="17"/>
        <v>83529.52</v>
      </c>
      <c r="G15" s="89">
        <f t="shared" si="17"/>
        <v>94822.16</v>
      </c>
      <c r="H15" s="89">
        <f>H11-H14</f>
        <v>108305.39000000001</v>
      </c>
      <c r="I15" s="89">
        <f>I11-I14</f>
        <v>162753.73000000001</v>
      </c>
      <c r="J15" s="89">
        <f t="shared" si="17"/>
        <v>35403.5</v>
      </c>
      <c r="K15" s="89">
        <f t="shared" si="17"/>
        <v>37988.199999999997</v>
      </c>
      <c r="L15" s="89">
        <f t="shared" ref="L15:Q15" si="18">L11-L14</f>
        <v>42614.36</v>
      </c>
      <c r="M15" s="89">
        <f t="shared" si="18"/>
        <v>46748.159999999996</v>
      </c>
      <c r="N15" s="89">
        <f t="shared" si="18"/>
        <v>30553.200000000001</v>
      </c>
      <c r="O15" s="89">
        <f t="shared" si="18"/>
        <v>50967.020000000004</v>
      </c>
      <c r="P15" s="89">
        <f t="shared" si="18"/>
        <v>53932.679999999993</v>
      </c>
      <c r="Q15" s="89">
        <f t="shared" si="18"/>
        <v>55618.679999999993</v>
      </c>
      <c r="R15" s="11"/>
      <c r="S15" s="42" t="s">
        <v>21</v>
      </c>
      <c r="T15" s="43"/>
      <c r="U15" s="44">
        <f t="shared" ref="U15:AA15" si="19">(U13-U14)/U13</f>
        <v>0.23139048516755117</v>
      </c>
      <c r="V15" s="44">
        <f t="shared" si="19"/>
        <v>0.17700272233839284</v>
      </c>
      <c r="W15" s="44">
        <f t="shared" si="19"/>
        <v>0.17963565718230634</v>
      </c>
      <c r="X15" s="44">
        <f t="shared" si="19"/>
        <v>0.34890734949547497</v>
      </c>
      <c r="Y15" s="44">
        <f t="shared" si="19"/>
        <v>0.49332169451289942</v>
      </c>
      <c r="Z15" s="44" t="e">
        <f>(Z13-Z14)/Z13</f>
        <v>#DIV/0!</v>
      </c>
      <c r="AA15" s="44">
        <f t="shared" si="19"/>
        <v>0.4397163120567375</v>
      </c>
      <c r="AB15" s="18"/>
      <c r="AC15" s="18"/>
      <c r="AD15" s="18"/>
      <c r="AJ15" s="392">
        <v>10</v>
      </c>
      <c r="AK15" s="108" t="s">
        <v>642</v>
      </c>
      <c r="AL15" s="417">
        <v>0.505</v>
      </c>
      <c r="AM15" s="81"/>
      <c r="AN15" s="81"/>
      <c r="AO15" s="81"/>
      <c r="AP15" s="81"/>
      <c r="AQ15" s="408"/>
      <c r="AR15" s="408"/>
    </row>
    <row r="16" spans="1:44" x14ac:dyDescent="0.25">
      <c r="A16" s="6" t="s">
        <v>94</v>
      </c>
      <c r="B16" s="10"/>
      <c r="C16" s="10"/>
      <c r="D16" s="89">
        <f t="shared" ref="D16:K16" si="20">D13-D14-D9</f>
        <v>22599.52</v>
      </c>
      <c r="E16" s="89">
        <f t="shared" si="20"/>
        <v>39864.239999999991</v>
      </c>
      <c r="F16" s="89">
        <f t="shared" si="20"/>
        <v>51161.650000000009</v>
      </c>
      <c r="G16" s="89">
        <f t="shared" si="20"/>
        <v>64972.72</v>
      </c>
      <c r="H16" s="89">
        <f>H13-H14-H9</f>
        <v>82488.19</v>
      </c>
      <c r="I16" s="89">
        <f>I13-I14-I9</f>
        <v>117129.51000000001</v>
      </c>
      <c r="J16" s="89">
        <f t="shared" si="20"/>
        <v>26106.629999999997</v>
      </c>
      <c r="K16" s="89">
        <f t="shared" si="20"/>
        <v>27754.25</v>
      </c>
      <c r="L16" s="89">
        <f t="shared" ref="L16:Q16" si="21">L13-L14-L9</f>
        <v>30008.709999999992</v>
      </c>
      <c r="M16" s="89">
        <f t="shared" si="21"/>
        <v>33310.409999999989</v>
      </c>
      <c r="N16" s="89">
        <f t="shared" si="21"/>
        <v>23162.67</v>
      </c>
      <c r="O16" s="89">
        <f t="shared" si="21"/>
        <v>35471.810000000005</v>
      </c>
      <c r="P16" s="89">
        <f t="shared" si="21"/>
        <v>37998.30999999999</v>
      </c>
      <c r="Q16" s="89">
        <f t="shared" si="21"/>
        <v>38851.179999999993</v>
      </c>
      <c r="R16" s="11"/>
      <c r="S16" s="42" t="s">
        <v>22</v>
      </c>
      <c r="T16" s="43"/>
      <c r="U16" s="44">
        <f t="shared" ref="U16:Z16" si="22">D17/AVERAGE(C23:D23)</f>
        <v>3.5742976392492505E-3</v>
      </c>
      <c r="V16" s="44">
        <f t="shared" si="22"/>
        <v>1.643350899924783E-2</v>
      </c>
      <c r="W16" s="44">
        <f t="shared" si="22"/>
        <v>8.4378383089042299E-3</v>
      </c>
      <c r="X16" s="44">
        <f t="shared" si="22"/>
        <v>9.4331409316407173E-3</v>
      </c>
      <c r="Y16" s="44">
        <f t="shared" si="22"/>
        <v>3.3195065869064599E-3</v>
      </c>
      <c r="Z16" s="44">
        <f t="shared" si="22"/>
        <v>6.6630293169703545E-3</v>
      </c>
      <c r="AA16" s="44">
        <f t="shared" ref="AA16:AH16" si="23">(J17*4)/J23</f>
        <v>7.9962641410155234E-3</v>
      </c>
      <c r="AB16" s="44">
        <f t="shared" si="23"/>
        <v>5.1980611055003996E-3</v>
      </c>
      <c r="AC16" s="44">
        <f t="shared" si="23"/>
        <v>4.5603403874146234E-3</v>
      </c>
      <c r="AD16" s="44">
        <f t="shared" si="23"/>
        <v>8.0194340310823699E-3</v>
      </c>
      <c r="AE16" s="44">
        <f t="shared" si="23"/>
        <v>4.2620099983348373E-3</v>
      </c>
      <c r="AF16" s="44">
        <f t="shared" si="23"/>
        <v>6.9936409095197665E-3</v>
      </c>
      <c r="AG16" s="44">
        <f t="shared" si="23"/>
        <v>7.9171965874567634E-3</v>
      </c>
      <c r="AH16" s="44">
        <f t="shared" si="23"/>
        <v>8.2920611938383827E-3</v>
      </c>
      <c r="AK16" s="414"/>
    </row>
    <row r="17" spans="1:37" x14ac:dyDescent="0.25">
      <c r="A17" s="6" t="s">
        <v>27</v>
      </c>
      <c r="B17" s="7"/>
      <c r="C17" s="7"/>
      <c r="D17" s="88">
        <v>755.18</v>
      </c>
      <c r="E17" s="85">
        <v>4934.1899999999996</v>
      </c>
      <c r="F17" s="85">
        <v>3517.57</v>
      </c>
      <c r="G17" s="85">
        <v>4551.8100000000004</v>
      </c>
      <c r="H17" s="85">
        <v>2014.7</v>
      </c>
      <c r="I17" s="85">
        <v>5536.42</v>
      </c>
      <c r="J17" s="85">
        <v>1519.69</v>
      </c>
      <c r="K17" s="85">
        <v>1056.8</v>
      </c>
      <c r="L17" s="85">
        <v>1018.21</v>
      </c>
      <c r="M17" s="85">
        <v>1941.72</v>
      </c>
      <c r="N17" s="11">
        <v>738.74</v>
      </c>
      <c r="O17" s="11">
        <v>1853.14</v>
      </c>
      <c r="P17" s="11">
        <v>2177.4299999999998</v>
      </c>
      <c r="Q17" s="11">
        <v>2328.61</v>
      </c>
      <c r="R17" s="11"/>
      <c r="S17" s="18"/>
      <c r="T17" s="18"/>
      <c r="U17" s="18"/>
      <c r="V17" s="18"/>
      <c r="W17" s="18"/>
      <c r="X17" s="18"/>
      <c r="Y17" s="18"/>
      <c r="Z17" s="18"/>
      <c r="AA17" s="18"/>
      <c r="AB17" s="18"/>
      <c r="AC17" s="18"/>
      <c r="AD17" s="18"/>
      <c r="AK17" s="415" t="s">
        <v>643</v>
      </c>
    </row>
    <row r="18" spans="1:37" x14ac:dyDescent="0.25">
      <c r="A18" s="6" t="s">
        <v>55</v>
      </c>
      <c r="B18" s="7"/>
      <c r="C18" s="7"/>
      <c r="D18" s="88">
        <v>15665.73</v>
      </c>
      <c r="E18" s="85">
        <v>26195.040000000001</v>
      </c>
      <c r="F18" s="89">
        <v>35899.440000000002</v>
      </c>
      <c r="G18" s="89">
        <v>45354.45</v>
      </c>
      <c r="H18" s="89">
        <v>60349.61</v>
      </c>
      <c r="I18" s="89">
        <v>83591.63</v>
      </c>
      <c r="J18" s="89">
        <v>18370.88</v>
      </c>
      <c r="K18" s="89">
        <v>19938.93</v>
      </c>
      <c r="L18" s="89">
        <v>21675.71</v>
      </c>
      <c r="M18" s="89">
        <v>23606.11</v>
      </c>
      <c r="N18" s="11">
        <v>16888.349999999999</v>
      </c>
      <c r="O18" s="11">
        <v>25157</v>
      </c>
      <c r="P18" s="11">
        <v>26793.7</v>
      </c>
      <c r="Q18" s="11">
        <v>27385.9</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v>136512.81</v>
      </c>
      <c r="E19" s="85">
        <v>194458.05</v>
      </c>
      <c r="F19" s="85">
        <v>231817.22</v>
      </c>
      <c r="G19" s="85">
        <v>371035.1</v>
      </c>
      <c r="H19" s="85">
        <v>433953.47</v>
      </c>
      <c r="I19" s="85">
        <v>518645.47</v>
      </c>
      <c r="J19" s="85"/>
      <c r="K19" s="85">
        <v>473627.8</v>
      </c>
      <c r="L19" s="85"/>
      <c r="M19" s="85">
        <f>519615.47-970</f>
        <v>518645.47</v>
      </c>
      <c r="N19" s="11">
        <v>433953.47</v>
      </c>
      <c r="O19" s="11"/>
      <c r="P19" s="11">
        <f>572328.27-8845.9</f>
        <v>563482.37</v>
      </c>
      <c r="Q19" s="11"/>
      <c r="R19" s="11"/>
      <c r="S19" s="46" t="s">
        <v>95</v>
      </c>
      <c r="T19" s="51"/>
      <c r="U19" s="51"/>
      <c r="V19" s="52">
        <f>E16/AVERAGE(D22:E22)</f>
        <v>0.11894476719127781</v>
      </c>
      <c r="W19" s="52">
        <f>F16/AVERAGE(E22:F22)</f>
        <v>0.10084327071209583</v>
      </c>
      <c r="X19" s="52">
        <f>G16/AVERAGE(F22:G22)</f>
        <v>0.10706838453392142</v>
      </c>
      <c r="Y19" s="52">
        <f>H16/AVERAGE(G22:H22)</f>
        <v>0.1540919588833507</v>
      </c>
      <c r="Z19" s="52">
        <f>I16/AVERAGE(H22:I22)</f>
        <v>0.14593693210603761</v>
      </c>
      <c r="AA19" s="18"/>
      <c r="AB19" s="18"/>
      <c r="AC19" s="18"/>
      <c r="AD19" s="18"/>
    </row>
    <row r="20" spans="1:37" x14ac:dyDescent="0.25">
      <c r="A20" s="6" t="s">
        <v>56</v>
      </c>
      <c r="B20" s="7"/>
      <c r="C20" s="7"/>
      <c r="D20" s="88">
        <f t="shared" ref="D20:P20" si="24">D19-D71</f>
        <v>136512.81</v>
      </c>
      <c r="E20" s="89">
        <f t="shared" si="24"/>
        <v>194458.05</v>
      </c>
      <c r="F20" s="89">
        <f t="shared" si="24"/>
        <v>231817.22</v>
      </c>
      <c r="G20" s="89">
        <f t="shared" si="24"/>
        <v>371035.1</v>
      </c>
      <c r="H20" s="89">
        <f t="shared" si="24"/>
        <v>433953.47</v>
      </c>
      <c r="I20" s="89">
        <v>518645.47</v>
      </c>
      <c r="J20" s="89">
        <f t="shared" si="24"/>
        <v>0</v>
      </c>
      <c r="K20" s="89">
        <f t="shared" si="24"/>
        <v>473627.8</v>
      </c>
      <c r="L20" s="89">
        <f t="shared" si="24"/>
        <v>0</v>
      </c>
      <c r="M20" s="89">
        <f t="shared" si="24"/>
        <v>518645.47</v>
      </c>
      <c r="N20" s="89">
        <f t="shared" si="24"/>
        <v>433953.47</v>
      </c>
      <c r="O20" s="89">
        <f t="shared" si="24"/>
        <v>0</v>
      </c>
      <c r="P20" s="89">
        <f t="shared" si="24"/>
        <v>563482.37</v>
      </c>
      <c r="Q20" s="440"/>
      <c r="R20" s="11"/>
      <c r="S20" s="42" t="s">
        <v>31</v>
      </c>
      <c r="T20" s="43"/>
      <c r="U20" s="43">
        <v>4.4699999999999997E-2</v>
      </c>
      <c r="V20" s="44">
        <f>E18/AVERAGE(D22:E22)</f>
        <v>7.8159346180090489E-2</v>
      </c>
      <c r="W20" s="44">
        <f>F18/AVERAGE(E22:F22)</f>
        <v>7.0760363403694779E-2</v>
      </c>
      <c r="X20" s="44">
        <f>G18/AVERAGE(F22:G22)</f>
        <v>7.4739485940014699E-2</v>
      </c>
      <c r="Y20" s="44">
        <f>H18/AVERAGE(G22:H22)</f>
        <v>0.11273601254611418</v>
      </c>
      <c r="Z20" s="44">
        <f>I18/AVERAGE(H22:I22)</f>
        <v>0.10415057684389713</v>
      </c>
      <c r="AA20" s="48"/>
      <c r="AB20" s="18"/>
      <c r="AC20" s="18"/>
      <c r="AD20" s="18"/>
    </row>
    <row r="21" spans="1:37" x14ac:dyDescent="0.25">
      <c r="A21" s="6" t="s">
        <v>57</v>
      </c>
      <c r="B21" s="9"/>
      <c r="C21" s="9"/>
      <c r="D21" s="85">
        <f>43350.77+52652.18</f>
        <v>96002.95</v>
      </c>
      <c r="E21" s="85">
        <f>107886.42+128482.89</f>
        <v>236369.31</v>
      </c>
      <c r="F21" s="85">
        <f>130378.55+212141.12</f>
        <v>342519.67</v>
      </c>
      <c r="G21" s="85">
        <f>100853.38+155029.75</f>
        <v>255883.13</v>
      </c>
      <c r="H21" s="85">
        <f>52483+372244.91</f>
        <v>424727.91</v>
      </c>
      <c r="I21" s="85">
        <v>631584.51</v>
      </c>
      <c r="J21" s="85"/>
      <c r="K21" s="85">
        <f>19363.58+462562.63</f>
        <v>481926.21</v>
      </c>
      <c r="L21" s="85"/>
      <c r="M21" s="85">
        <f>29535.38+602049.13</f>
        <v>631584.51</v>
      </c>
      <c r="N21" s="11">
        <v>424727.91</v>
      </c>
      <c r="O21" s="11"/>
      <c r="P21" s="11">
        <f>79664.78+608288.06</f>
        <v>687952.84000000008</v>
      </c>
      <c r="Q21" s="11"/>
      <c r="R21" s="11"/>
      <c r="S21" s="42" t="s">
        <v>32</v>
      </c>
      <c r="T21" s="43"/>
      <c r="U21" s="44">
        <f t="shared" ref="U21:Z21" si="25">D18/AVERAGE(C19:D19)</f>
        <v>0.11475648329266681</v>
      </c>
      <c r="V21" s="44">
        <f t="shared" si="25"/>
        <v>0.15829212275666807</v>
      </c>
      <c r="W21" s="44">
        <f t="shared" si="25"/>
        <v>0.16843313476758809</v>
      </c>
      <c r="X21" s="44">
        <f t="shared" si="25"/>
        <v>0.15046620372962985</v>
      </c>
      <c r="Y21" s="44">
        <f t="shared" si="25"/>
        <v>0.1499390482028832</v>
      </c>
      <c r="Z21" s="44">
        <f t="shared" si="25"/>
        <v>0.17550225281585977</v>
      </c>
      <c r="AA21" s="18"/>
      <c r="AB21" s="18"/>
      <c r="AC21" s="18"/>
      <c r="AD21" s="18"/>
    </row>
    <row r="22" spans="1:37" x14ac:dyDescent="0.25">
      <c r="A22" s="6" t="s">
        <v>29</v>
      </c>
      <c r="B22" s="7"/>
      <c r="C22" s="7"/>
      <c r="D22" s="88">
        <v>234982.95</v>
      </c>
      <c r="E22" s="85">
        <v>435315.39</v>
      </c>
      <c r="F22" s="85">
        <v>579361.14</v>
      </c>
      <c r="G22" s="85">
        <v>634306.56000000006</v>
      </c>
      <c r="H22" s="85">
        <v>436329.32</v>
      </c>
      <c r="I22" s="85">
        <v>1168877.92</v>
      </c>
      <c r="J22" s="85"/>
      <c r="K22" s="85">
        <v>967971.08</v>
      </c>
      <c r="L22" s="85"/>
      <c r="M22" s="85">
        <v>1168877.92</v>
      </c>
      <c r="N22" s="11">
        <v>436329.32</v>
      </c>
      <c r="O22" s="11"/>
      <c r="P22" s="11">
        <v>1281994.45</v>
      </c>
      <c r="Q22" s="11"/>
      <c r="R22" s="11"/>
      <c r="S22" s="40" t="s">
        <v>33</v>
      </c>
      <c r="T22" s="45"/>
      <c r="U22" s="45"/>
      <c r="V22" s="45"/>
      <c r="W22" s="46" t="s">
        <v>5</v>
      </c>
      <c r="X22" s="18"/>
      <c r="Y22" s="18"/>
      <c r="Z22" s="18"/>
      <c r="AA22" s="18"/>
      <c r="AB22" s="18"/>
      <c r="AC22" s="18"/>
      <c r="AD22" s="18"/>
    </row>
    <row r="23" spans="1:37" x14ac:dyDescent="0.25">
      <c r="A23" s="6" t="s">
        <v>58</v>
      </c>
      <c r="B23" s="7"/>
      <c r="C23" s="7"/>
      <c r="D23" s="88">
        <v>211280.67</v>
      </c>
      <c r="E23" s="85">
        <v>389222.85</v>
      </c>
      <c r="F23" s="85">
        <v>444538.09</v>
      </c>
      <c r="G23" s="85">
        <v>520529.65</v>
      </c>
      <c r="H23" s="85">
        <v>693325.45</v>
      </c>
      <c r="I23" s="85">
        <v>968507.25</v>
      </c>
      <c r="J23" s="85">
        <v>760200</v>
      </c>
      <c r="K23" s="85">
        <v>813226.3</v>
      </c>
      <c r="L23" s="85">
        <v>893100</v>
      </c>
      <c r="M23" s="85">
        <v>968507.25</v>
      </c>
      <c r="N23" s="11">
        <v>693325.45</v>
      </c>
      <c r="O23" s="11">
        <v>1059900</v>
      </c>
      <c r="P23" s="11">
        <v>1100101.52</v>
      </c>
      <c r="Q23" s="11">
        <v>1123296.1000000001</v>
      </c>
      <c r="R23" s="11"/>
      <c r="S23" s="42" t="s">
        <v>34</v>
      </c>
      <c r="T23" s="43"/>
      <c r="U23" s="44">
        <f t="shared" ref="U23:Z23" si="26">D6/AVERAGE(C23:D23)</f>
        <v>0.17806375756002665</v>
      </c>
      <c r="V23" s="44">
        <f t="shared" si="26"/>
        <v>0.23911866494970754</v>
      </c>
      <c r="W23" s="44">
        <f t="shared" si="26"/>
        <v>0.23879773019829884</v>
      </c>
      <c r="X23" s="44">
        <f t="shared" si="26"/>
        <v>0.24257704438446984</v>
      </c>
      <c r="Y23" s="44">
        <f t="shared" si="26"/>
        <v>0.24105513088011904</v>
      </c>
      <c r="Z23" s="44">
        <f t="shared" si="26"/>
        <v>0.25472896278909424</v>
      </c>
      <c r="AA23" s="44"/>
      <c r="AB23" s="44"/>
      <c r="AC23" s="44"/>
      <c r="AD23" s="44">
        <f>(M6/AVERAGE(L23:M23))*4</f>
        <v>0.25751661635395973</v>
      </c>
    </row>
    <row r="24" spans="1:37" x14ac:dyDescent="0.25">
      <c r="A24" s="6" t="s">
        <v>59</v>
      </c>
      <c r="B24" s="10"/>
      <c r="C24" s="10"/>
      <c r="D24" s="89">
        <v>1867.19</v>
      </c>
      <c r="E24" s="89">
        <v>5322.63</v>
      </c>
      <c r="F24" s="89">
        <v>4519.37</v>
      </c>
      <c r="G24" s="89">
        <v>5304.99</v>
      </c>
      <c r="H24" s="89">
        <v>9393.85</v>
      </c>
      <c r="I24" s="89"/>
      <c r="J24" s="89"/>
      <c r="K24" s="89"/>
      <c r="L24" s="89"/>
      <c r="M24" s="89"/>
      <c r="N24" s="11">
        <v>9393.85</v>
      </c>
      <c r="O24" s="11"/>
      <c r="P24" s="11"/>
      <c r="Q24" s="11"/>
      <c r="R24" s="11"/>
      <c r="S24" s="42" t="s">
        <v>35</v>
      </c>
      <c r="T24" s="43"/>
      <c r="U24" s="44">
        <f t="shared" ref="U24:Z24" si="27">D9/AVERAGE(C21:D21)</f>
        <v>7.9082986512393635E-2</v>
      </c>
      <c r="V24" s="44">
        <f t="shared" si="27"/>
        <v>0.13053742812351427</v>
      </c>
      <c r="W24" s="44">
        <f t="shared" si="27"/>
        <v>0.11235010899671989</v>
      </c>
      <c r="X24" s="44">
        <f t="shared" si="27"/>
        <v>0.10046744433682461</v>
      </c>
      <c r="Y24" s="44">
        <f t="shared" si="27"/>
        <v>7.8238813170000879E-2</v>
      </c>
      <c r="Z24" s="44">
        <f t="shared" si="27"/>
        <v>8.8704002931253995E-2</v>
      </c>
      <c r="AA24" s="18"/>
      <c r="AB24" s="18"/>
      <c r="AC24" s="18"/>
      <c r="AD24" s="18"/>
    </row>
    <row r="25" spans="1:37" x14ac:dyDescent="0.25">
      <c r="A25" s="6" t="s">
        <v>60</v>
      </c>
      <c r="B25" s="10"/>
      <c r="C25" s="10"/>
      <c r="D25" s="89">
        <v>1435.14</v>
      </c>
      <c r="E25" s="89">
        <v>4380.51</v>
      </c>
      <c r="F25" s="89">
        <v>3707.53</v>
      </c>
      <c r="G25" s="89">
        <v>3454.04</v>
      </c>
      <c r="H25" s="89">
        <v>4759.66</v>
      </c>
      <c r="I25" s="89"/>
      <c r="J25" s="89"/>
      <c r="K25" s="89"/>
      <c r="L25" s="89"/>
      <c r="M25" s="89"/>
      <c r="N25" s="11">
        <v>4759.66</v>
      </c>
      <c r="O25" s="11"/>
      <c r="P25" s="11"/>
      <c r="Q25" s="11"/>
      <c r="R25" s="11"/>
      <c r="S25" s="42" t="s">
        <v>36</v>
      </c>
      <c r="T25" s="43"/>
      <c r="U25" s="48">
        <f t="shared" ref="U25:Z25" si="28">U23-U24</f>
        <v>9.8980771047633018E-2</v>
      </c>
      <c r="V25" s="48">
        <f t="shared" si="28"/>
        <v>0.10858123682619328</v>
      </c>
      <c r="W25" s="48">
        <f t="shared" si="28"/>
        <v>0.12644762120157893</v>
      </c>
      <c r="X25" s="48">
        <f t="shared" si="28"/>
        <v>0.14210960004764522</v>
      </c>
      <c r="Y25" s="48">
        <f t="shared" si="28"/>
        <v>0.16281631771011817</v>
      </c>
      <c r="Z25" s="48">
        <f t="shared" si="28"/>
        <v>0.16602495985784024</v>
      </c>
      <c r="AA25" s="18"/>
      <c r="AB25" s="18"/>
      <c r="AC25" s="18"/>
      <c r="AD25" s="18"/>
    </row>
    <row r="26" spans="1:37" x14ac:dyDescent="0.25">
      <c r="S26" s="407" t="s">
        <v>645</v>
      </c>
      <c r="AF26" s="436">
        <v>3.11</v>
      </c>
      <c r="AG26" s="436">
        <v>2.5499999999999998</v>
      </c>
      <c r="AH26" s="436">
        <v>3.66</v>
      </c>
    </row>
    <row r="27" spans="1:37" ht="15" customHeight="1" x14ac:dyDescent="0.25">
      <c r="A27" s="739" t="s">
        <v>243</v>
      </c>
      <c r="B27" s="739"/>
      <c r="C27" s="739"/>
      <c r="D27" s="739"/>
      <c r="E27" s="739"/>
      <c r="F27" s="739"/>
      <c r="G27" s="739"/>
      <c r="H27" s="739"/>
      <c r="I27" s="739"/>
      <c r="J27" s="739"/>
      <c r="K27" s="739"/>
      <c r="L27" s="739"/>
      <c r="M27" s="739"/>
      <c r="N27" s="739"/>
      <c r="O27" s="739"/>
      <c r="P27" s="739"/>
      <c r="Q27" s="739"/>
      <c r="R27" s="739"/>
      <c r="S27" s="739"/>
    </row>
    <row r="28" spans="1:37" x14ac:dyDescent="0.25">
      <c r="A28" s="739"/>
      <c r="B28" s="739"/>
      <c r="C28" s="739"/>
      <c r="D28" s="739"/>
      <c r="E28" s="739"/>
      <c r="F28" s="739"/>
      <c r="G28" s="739"/>
      <c r="H28" s="739"/>
      <c r="I28" s="739"/>
      <c r="J28" s="739"/>
      <c r="K28" s="739"/>
      <c r="L28" s="739"/>
      <c r="M28" s="739"/>
      <c r="N28" s="739"/>
      <c r="O28" s="739"/>
      <c r="P28" s="739"/>
      <c r="Q28" s="739"/>
      <c r="R28" s="739"/>
      <c r="S28" s="739"/>
    </row>
    <row r="29" spans="1:37" x14ac:dyDescent="0.25">
      <c r="A29" s="739"/>
      <c r="B29" s="739"/>
      <c r="C29" s="739"/>
      <c r="D29" s="739"/>
      <c r="E29" s="739"/>
      <c r="F29" s="739"/>
      <c r="G29" s="739"/>
      <c r="H29" s="739"/>
      <c r="I29" s="739"/>
      <c r="J29" s="739"/>
      <c r="K29" s="739"/>
      <c r="L29" s="739"/>
      <c r="M29" s="739"/>
      <c r="N29" s="739"/>
      <c r="O29" s="739"/>
      <c r="P29" s="739"/>
      <c r="Q29" s="739"/>
      <c r="R29" s="739"/>
      <c r="S29" s="739"/>
    </row>
    <row r="30" spans="1:37" x14ac:dyDescent="0.25">
      <c r="A30" s="739"/>
      <c r="B30" s="739"/>
      <c r="C30" s="739"/>
      <c r="D30" s="739"/>
      <c r="E30" s="739"/>
      <c r="F30" s="739"/>
      <c r="G30" s="739"/>
      <c r="H30" s="739"/>
      <c r="I30" s="739"/>
      <c r="J30" s="739"/>
      <c r="K30" s="739"/>
      <c r="L30" s="739"/>
      <c r="M30" s="739"/>
      <c r="N30" s="739"/>
      <c r="O30" s="739"/>
      <c r="P30" s="739"/>
      <c r="Q30" s="739"/>
      <c r="R30" s="739"/>
      <c r="S30" s="739"/>
    </row>
    <row r="31" spans="1:37" x14ac:dyDescent="0.25">
      <c r="A31" s="739"/>
      <c r="B31" s="739"/>
      <c r="C31" s="739"/>
      <c r="D31" s="739"/>
      <c r="E31" s="739"/>
      <c r="F31" s="739"/>
      <c r="G31" s="739"/>
      <c r="H31" s="739"/>
      <c r="I31" s="739"/>
      <c r="J31" s="739"/>
      <c r="K31" s="739"/>
      <c r="L31" s="739"/>
      <c r="M31" s="739"/>
      <c r="N31" s="739"/>
      <c r="O31" s="739"/>
      <c r="P31" s="739"/>
      <c r="Q31" s="739"/>
      <c r="R31" s="739"/>
      <c r="S31" s="739"/>
    </row>
    <row r="32" spans="1:37" x14ac:dyDescent="0.25">
      <c r="A32" s="739"/>
      <c r="B32" s="739"/>
      <c r="C32" s="739"/>
      <c r="D32" s="739"/>
      <c r="E32" s="739"/>
      <c r="F32" s="739"/>
      <c r="G32" s="739"/>
      <c r="H32" s="739"/>
      <c r="I32" s="739"/>
      <c r="J32" s="739"/>
      <c r="K32" s="739"/>
      <c r="L32" s="739"/>
      <c r="M32" s="739"/>
      <c r="N32" s="739"/>
      <c r="O32" s="739"/>
      <c r="P32" s="739"/>
      <c r="Q32" s="739"/>
      <c r="R32" s="739"/>
      <c r="S32" s="739"/>
    </row>
    <row r="33" spans="1:19" x14ac:dyDescent="0.25">
      <c r="A33" s="739"/>
      <c r="B33" s="739"/>
      <c r="C33" s="739"/>
      <c r="D33" s="739"/>
      <c r="E33" s="739"/>
      <c r="F33" s="739"/>
      <c r="G33" s="739"/>
      <c r="H33" s="739"/>
      <c r="I33" s="739"/>
      <c r="J33" s="739"/>
      <c r="K33" s="739"/>
      <c r="L33" s="739"/>
      <c r="M33" s="739"/>
      <c r="N33" s="739"/>
      <c r="O33" s="739"/>
      <c r="P33" s="739"/>
      <c r="Q33" s="739"/>
      <c r="R33" s="739"/>
      <c r="S33" s="739"/>
    </row>
    <row r="34" spans="1:19" x14ac:dyDescent="0.25">
      <c r="A34" s="739"/>
      <c r="B34" s="739"/>
      <c r="C34" s="739"/>
      <c r="D34" s="739"/>
      <c r="E34" s="739"/>
      <c r="F34" s="739"/>
      <c r="G34" s="739"/>
      <c r="H34" s="739"/>
      <c r="I34" s="739"/>
      <c r="J34" s="739"/>
      <c r="K34" s="739"/>
      <c r="L34" s="739"/>
      <c r="M34" s="739"/>
      <c r="N34" s="739"/>
      <c r="O34" s="739"/>
      <c r="P34" s="739"/>
      <c r="Q34" s="739"/>
      <c r="R34" s="739"/>
      <c r="S34" s="739"/>
    </row>
    <row r="35" spans="1:19" x14ac:dyDescent="0.25">
      <c r="A35" s="739"/>
      <c r="B35" s="739"/>
      <c r="C35" s="739"/>
      <c r="D35" s="739"/>
      <c r="E35" s="739"/>
      <c r="F35" s="739"/>
      <c r="G35" s="739"/>
      <c r="H35" s="739"/>
      <c r="I35" s="739"/>
      <c r="J35" s="739"/>
      <c r="K35" s="739"/>
      <c r="L35" s="739"/>
      <c r="M35" s="739"/>
      <c r="N35" s="739"/>
      <c r="O35" s="739"/>
      <c r="P35" s="739"/>
      <c r="Q35" s="739"/>
      <c r="R35" s="739"/>
      <c r="S35" s="739"/>
    </row>
  </sheetData>
  <mergeCells count="5">
    <mergeCell ref="A2:A4"/>
    <mergeCell ref="K1:M1"/>
    <mergeCell ref="A27:S35"/>
    <mergeCell ref="AJ3:AK4"/>
    <mergeCell ref="AL5:AR5"/>
  </mergeCell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43"/>
  <sheetViews>
    <sheetView topLeftCell="B1" workbookViewId="0">
      <selection activeCell="AG6" sqref="AG6"/>
    </sheetView>
  </sheetViews>
  <sheetFormatPr defaultRowHeight="15" x14ac:dyDescent="0.25"/>
  <cols>
    <col min="1" max="1" width="34.5703125" customWidth="1"/>
    <col min="4" max="4" width="13" customWidth="1"/>
    <col min="5" max="5" width="13.28515625" customWidth="1"/>
    <col min="6" max="6" width="11" customWidth="1"/>
    <col min="7" max="8" width="12.5703125" customWidth="1"/>
    <col min="10" max="12" width="10.140625" bestFit="1" customWidth="1"/>
    <col min="14" max="14" width="6.140625" customWidth="1"/>
    <col min="15" max="15" width="36.7109375" customWidth="1"/>
    <col min="17" max="17" width="13.7109375" customWidth="1"/>
    <col min="18" max="18" width="14.42578125" customWidth="1"/>
    <col min="19" max="21" width="12.85546875" customWidth="1"/>
  </cols>
  <sheetData>
    <row r="1" spans="1:25" x14ac:dyDescent="0.25">
      <c r="J1" s="772" t="s">
        <v>113</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f>D10/AVERAGE(C23:D23)</f>
        <v>8.0417495279615447E-2</v>
      </c>
      <c r="R3" s="44">
        <f>E10/AVERAGE(D23:E23)</f>
        <v>9.1570771459366027E-2</v>
      </c>
      <c r="S3" s="44">
        <f>F10/AVERAGE(E23:F23)</f>
        <v>8.3177663237661154E-2</v>
      </c>
      <c r="T3" s="44">
        <f>G10/AVERAGE(F23:G23)</f>
        <v>7.6822642681133077E-2</v>
      </c>
      <c r="U3" s="44">
        <f>H10/AVERAGE(G23:H23)</f>
        <v>9.250544191212598E-2</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21050.68</v>
      </c>
      <c r="E5">
        <v>27953.59</v>
      </c>
      <c r="F5" s="85">
        <v>33655.15</v>
      </c>
      <c r="G5" s="90">
        <v>34686.92</v>
      </c>
      <c r="H5" s="90">
        <v>44893.93</v>
      </c>
      <c r="I5" s="85">
        <v>9483.09</v>
      </c>
      <c r="J5" s="85">
        <v>11401.09</v>
      </c>
      <c r="K5" s="85">
        <v>11500.04</v>
      </c>
      <c r="L5" s="85">
        <v>12509.71</v>
      </c>
      <c r="M5" s="11"/>
      <c r="N5" s="11"/>
      <c r="O5" s="42" t="s">
        <v>13</v>
      </c>
      <c r="P5" s="46"/>
      <c r="Q5" s="47">
        <f>D21/D20</f>
        <v>2.143425882985992</v>
      </c>
      <c r="R5" s="47">
        <f>E21/E20</f>
        <v>2.7732974957001773</v>
      </c>
      <c r="S5" s="47">
        <f>F21/F20</f>
        <v>3.0514474318012756</v>
      </c>
      <c r="T5" s="47">
        <f>G21/G20</f>
        <v>3.2747991007044437</v>
      </c>
      <c r="U5" s="47">
        <f>H21/H20</f>
        <v>3.6960242315194146E-2</v>
      </c>
      <c r="V5" s="18"/>
      <c r="W5" s="18"/>
      <c r="X5" s="18"/>
      <c r="Y5" s="18"/>
    </row>
    <row r="6" spans="1:25" x14ac:dyDescent="0.25">
      <c r="A6" s="6" t="s">
        <v>50</v>
      </c>
      <c r="B6" s="7"/>
      <c r="C6" s="8"/>
      <c r="D6">
        <v>19785.560000000001</v>
      </c>
      <c r="E6">
        <v>25414.86</v>
      </c>
      <c r="F6" s="85">
        <v>29040.36</v>
      </c>
      <c r="G6" s="85">
        <v>32108.9</v>
      </c>
      <c r="H6">
        <v>40664.050000000003</v>
      </c>
      <c r="I6" s="85">
        <v>9024.2099999999991</v>
      </c>
      <c r="J6" s="85">
        <v>10055.77</v>
      </c>
      <c r="K6" s="85">
        <v>10631.35</v>
      </c>
      <c r="L6" s="85">
        <v>11531.72</v>
      </c>
      <c r="M6" s="11"/>
      <c r="N6" s="11"/>
      <c r="O6" s="42" t="s">
        <v>14</v>
      </c>
      <c r="P6" s="43"/>
      <c r="Q6" s="43"/>
      <c r="R6" s="43">
        <v>0.45610000000000001</v>
      </c>
      <c r="S6" s="43">
        <v>0.41239999999999999</v>
      </c>
      <c r="T6" s="48">
        <v>0.36849999999999999</v>
      </c>
      <c r="U6" s="48">
        <v>0.61309999999999998</v>
      </c>
      <c r="V6" s="48"/>
      <c r="W6" s="18"/>
      <c r="X6" s="48">
        <v>0.65869999999999995</v>
      </c>
      <c r="Y6" s="48">
        <v>0.61309999999999998</v>
      </c>
    </row>
    <row r="7" spans="1:25" x14ac:dyDescent="0.25">
      <c r="A7" s="6" t="s">
        <v>51</v>
      </c>
      <c r="B7" s="7"/>
      <c r="C7" s="8"/>
      <c r="D7" s="87"/>
      <c r="E7" s="85"/>
      <c r="F7" s="85">
        <v>0</v>
      </c>
      <c r="G7" s="85">
        <v>0</v>
      </c>
      <c r="H7" s="85"/>
      <c r="I7" s="85"/>
      <c r="J7" s="85"/>
      <c r="K7" s="85"/>
      <c r="L7" s="85"/>
      <c r="M7" s="11"/>
      <c r="N7" s="11"/>
      <c r="O7" s="42" t="s">
        <v>15</v>
      </c>
      <c r="P7" s="43"/>
      <c r="Q7" s="44">
        <f>D20/D23</f>
        <v>0.33274234945891873</v>
      </c>
      <c r="R7" s="44">
        <f>E20/E23</f>
        <v>0.27925031558416263</v>
      </c>
      <c r="S7" s="44">
        <f>F20/F23</f>
        <v>0.26779312554068196</v>
      </c>
      <c r="T7" s="44">
        <f>G20/G23</f>
        <v>0.24023260400425683</v>
      </c>
      <c r="U7" s="44">
        <f>H20/H23</f>
        <v>0.41178423318799484</v>
      </c>
      <c r="V7" s="18"/>
      <c r="W7" s="18"/>
      <c r="X7" s="18"/>
      <c r="Y7" s="18"/>
    </row>
    <row r="8" spans="1:25" x14ac:dyDescent="0.25">
      <c r="A8" s="6" t="s">
        <v>52</v>
      </c>
      <c r="B8" s="7"/>
      <c r="C8" s="8"/>
      <c r="D8" s="85">
        <f t="shared" ref="D8:L8" si="0">D5-D6-D7</f>
        <v>1265.119999999999</v>
      </c>
      <c r="E8" s="85">
        <f t="shared" si="0"/>
        <v>2538.7299999999996</v>
      </c>
      <c r="F8" s="85">
        <f t="shared" si="0"/>
        <v>4614.7900000000009</v>
      </c>
      <c r="G8" s="85">
        <f t="shared" si="0"/>
        <v>2578.0199999999968</v>
      </c>
      <c r="H8" s="85">
        <f t="shared" si="0"/>
        <v>4229.8799999999974</v>
      </c>
      <c r="I8" s="85">
        <f t="shared" si="0"/>
        <v>458.88000000000102</v>
      </c>
      <c r="J8" s="85">
        <f t="shared" si="0"/>
        <v>1345.3199999999997</v>
      </c>
      <c r="K8" s="85">
        <f t="shared" si="0"/>
        <v>868.69000000000051</v>
      </c>
      <c r="L8" s="85">
        <f t="shared" si="0"/>
        <v>977.98999999999978</v>
      </c>
      <c r="M8" s="11"/>
      <c r="N8" s="11"/>
      <c r="O8" s="40" t="s">
        <v>16</v>
      </c>
      <c r="P8" s="45"/>
      <c r="Q8" s="45"/>
      <c r="R8" s="45"/>
      <c r="S8" s="46" t="s">
        <v>5</v>
      </c>
      <c r="T8" s="18"/>
      <c r="U8" s="18"/>
      <c r="V8" s="18"/>
      <c r="W8" s="18"/>
      <c r="X8" s="18"/>
      <c r="Y8" s="18"/>
    </row>
    <row r="9" spans="1:25" ht="22.5" x14ac:dyDescent="0.25">
      <c r="A9" s="6" t="s">
        <v>24</v>
      </c>
      <c r="B9" s="7"/>
      <c r="C9" s="7"/>
      <c r="D9" s="88">
        <v>9545.09</v>
      </c>
      <c r="E9" s="85">
        <v>12019.22</v>
      </c>
      <c r="F9" s="85">
        <v>14017.95</v>
      </c>
      <c r="G9" s="85">
        <v>15789.36</v>
      </c>
      <c r="H9" s="85">
        <v>16176.57</v>
      </c>
      <c r="I9" s="85">
        <v>4116.8</v>
      </c>
      <c r="J9" s="85">
        <v>4092.94</v>
      </c>
      <c r="K9" s="85">
        <v>3915.44</v>
      </c>
      <c r="L9" s="85">
        <v>4051.39</v>
      </c>
      <c r="M9" s="11"/>
      <c r="N9" s="11"/>
      <c r="O9" s="49" t="s">
        <v>93</v>
      </c>
      <c r="P9" s="45"/>
      <c r="Q9" s="50">
        <f>D14/(D11-D9)</f>
        <v>0.73541991327693756</v>
      </c>
      <c r="R9" s="50">
        <f>E14/(E11-E9)</f>
        <v>0.68757095511149791</v>
      </c>
      <c r="S9" s="50">
        <f>F14/(F11-F9)</f>
        <v>0.57518128857474593</v>
      </c>
      <c r="T9" s="50">
        <f>G14/(G11-G9)</f>
        <v>0.71361699605663376</v>
      </c>
      <c r="U9" s="50">
        <f>H14/(H11-H9)</f>
        <v>0.6029053506311165</v>
      </c>
      <c r="V9" s="18"/>
      <c r="W9" s="18"/>
      <c r="X9" s="18"/>
      <c r="Y9" s="18"/>
    </row>
    <row r="10" spans="1:25" ht="22.5" x14ac:dyDescent="0.25">
      <c r="A10" s="6" t="s">
        <v>53</v>
      </c>
      <c r="B10" s="10">
        <f t="shared" ref="B10:J10" si="1">B6-B9</f>
        <v>0</v>
      </c>
      <c r="C10" s="10">
        <f t="shared" si="1"/>
        <v>0</v>
      </c>
      <c r="D10" s="89">
        <f t="shared" si="1"/>
        <v>10240.470000000001</v>
      </c>
      <c r="E10" s="89">
        <f t="shared" si="1"/>
        <v>13395.640000000001</v>
      </c>
      <c r="F10" s="89">
        <f t="shared" si="1"/>
        <v>15022.41</v>
      </c>
      <c r="G10" s="89">
        <f t="shared" si="1"/>
        <v>16319.54</v>
      </c>
      <c r="H10" s="89">
        <f>H6-H9</f>
        <v>24487.480000000003</v>
      </c>
      <c r="I10" s="89">
        <f t="shared" si="1"/>
        <v>4907.4099999999989</v>
      </c>
      <c r="J10" s="89">
        <f t="shared" si="1"/>
        <v>5962.83</v>
      </c>
      <c r="K10" s="89">
        <f>K6-K9</f>
        <v>6715.91</v>
      </c>
      <c r="L10" s="89">
        <f>L6-L9</f>
        <v>7480.33</v>
      </c>
      <c r="M10" s="11"/>
      <c r="N10" s="11"/>
      <c r="O10" s="42" t="s">
        <v>92</v>
      </c>
      <c r="P10" s="43"/>
      <c r="Q10" s="44">
        <f>D14/D11</f>
        <v>0.40195566128980159</v>
      </c>
      <c r="R10" s="44">
        <f>E14/E11</f>
        <v>0.39193570485937584</v>
      </c>
      <c r="S10" s="44">
        <f>F14/F11</f>
        <v>0.33560836900147528</v>
      </c>
      <c r="T10" s="44">
        <f>G14/G11</f>
        <v>0.38878113133134912</v>
      </c>
      <c r="U10" s="44">
        <f>H14/H11</f>
        <v>0.38566126868376188</v>
      </c>
      <c r="V10" s="18"/>
      <c r="W10" s="18"/>
      <c r="X10" s="18"/>
      <c r="Y10" s="18"/>
    </row>
    <row r="11" spans="1:25" x14ac:dyDescent="0.25">
      <c r="A11" s="6" t="s">
        <v>1</v>
      </c>
      <c r="B11" s="10">
        <f>B5-B9</f>
        <v>0</v>
      </c>
      <c r="C11" s="10">
        <f t="shared" ref="C11:J11" si="2">SUM(C6:C8)</f>
        <v>0</v>
      </c>
      <c r="D11" s="89">
        <f t="shared" si="2"/>
        <v>21050.68</v>
      </c>
      <c r="E11" s="89">
        <f t="shared" si="2"/>
        <v>27953.59</v>
      </c>
      <c r="F11" s="89">
        <f>SUM(F6:F8)</f>
        <v>33655.15</v>
      </c>
      <c r="G11" s="89">
        <f>SUM(G6:G8)</f>
        <v>34686.92</v>
      </c>
      <c r="H11" s="89">
        <f>SUM(H6:H8)</f>
        <v>44893.93</v>
      </c>
      <c r="I11" s="89">
        <f t="shared" si="2"/>
        <v>9483.09</v>
      </c>
      <c r="J11" s="89">
        <f t="shared" si="2"/>
        <v>11401.09</v>
      </c>
      <c r="K11" s="89">
        <f>SUM(K6:K8)</f>
        <v>11500.04</v>
      </c>
      <c r="L11" s="89">
        <f>SUM(L6:L8)</f>
        <v>12509.71</v>
      </c>
      <c r="M11" s="11"/>
      <c r="N11" s="11"/>
      <c r="O11" s="42" t="s">
        <v>17</v>
      </c>
      <c r="P11" s="43"/>
      <c r="Q11" s="44">
        <f>D14/AVERAGE(C22:D22)</f>
        <v>5.7342264282926568E-2</v>
      </c>
      <c r="R11" s="44">
        <f>E14/AVERAGE(D22:E22)</f>
        <v>6.4576544236189151E-2</v>
      </c>
      <c r="S11" s="44">
        <f>F14/AVERAGE(E22:F22)</f>
        <v>5.264127545411515E-2</v>
      </c>
      <c r="T11" s="44">
        <f>G14/AVERAGE(F22:G22)</f>
        <v>5.4881145154260402E-2</v>
      </c>
      <c r="U11" s="44">
        <f>H14/AVERAGE(G22:H22)</f>
        <v>5.9523867845898533E-2</v>
      </c>
      <c r="V11" s="18"/>
      <c r="W11" s="18"/>
      <c r="X11" s="18"/>
      <c r="Y11" s="18"/>
    </row>
    <row r="12" spans="1:25" x14ac:dyDescent="0.25">
      <c r="A12" s="6" t="s">
        <v>91</v>
      </c>
      <c r="B12" s="10"/>
      <c r="C12" s="10"/>
      <c r="D12" s="89">
        <v>195.38</v>
      </c>
      <c r="E12" s="89">
        <v>488</v>
      </c>
      <c r="F12" s="89">
        <v>422.84</v>
      </c>
      <c r="G12" s="89">
        <v>285.36</v>
      </c>
      <c r="H12" s="89">
        <v>459.1</v>
      </c>
      <c r="I12" s="89">
        <v>129.12</v>
      </c>
      <c r="J12" s="89">
        <v>52.18</v>
      </c>
      <c r="K12" s="89">
        <v>33.299999999999997</v>
      </c>
      <c r="L12" s="89">
        <v>244.5</v>
      </c>
      <c r="M12" s="11"/>
      <c r="N12" s="11"/>
      <c r="O12" s="40" t="s">
        <v>18</v>
      </c>
      <c r="P12" s="45"/>
      <c r="Q12" s="45"/>
      <c r="R12" s="45"/>
      <c r="S12" s="46" t="s">
        <v>5</v>
      </c>
      <c r="T12" s="18"/>
      <c r="U12" s="18"/>
      <c r="V12" s="18"/>
      <c r="W12" s="18"/>
      <c r="X12" s="53"/>
      <c r="Y12" s="54"/>
    </row>
    <row r="13" spans="1:25" x14ac:dyDescent="0.25">
      <c r="A13" s="6" t="s">
        <v>25</v>
      </c>
      <c r="B13" s="7"/>
      <c r="C13" s="7"/>
      <c r="D13" s="88">
        <f t="shared" ref="D13:K13" si="3">D11+D12</f>
        <v>21246.06</v>
      </c>
      <c r="E13" s="88">
        <f t="shared" si="3"/>
        <v>28441.59</v>
      </c>
      <c r="F13" s="88">
        <f t="shared" si="3"/>
        <v>34077.99</v>
      </c>
      <c r="G13" s="88">
        <f t="shared" si="3"/>
        <v>34972.28</v>
      </c>
      <c r="H13" s="88">
        <f t="shared" si="3"/>
        <v>45353.03</v>
      </c>
      <c r="I13" s="88">
        <f t="shared" si="3"/>
        <v>9612.2100000000009</v>
      </c>
      <c r="J13" s="88">
        <f t="shared" si="3"/>
        <v>11453.27</v>
      </c>
      <c r="K13" s="88">
        <f t="shared" si="3"/>
        <v>11533.34</v>
      </c>
      <c r="L13" s="88">
        <v>12754.21</v>
      </c>
      <c r="M13" s="11"/>
      <c r="N13" s="11"/>
      <c r="O13" s="42" t="s">
        <v>19</v>
      </c>
      <c r="P13" s="43"/>
      <c r="Q13" s="44">
        <f>D24/D23</f>
        <v>2.283626398721169E-2</v>
      </c>
      <c r="R13" s="44">
        <f>E24/E23</f>
        <v>1.7569102007670853E-2</v>
      </c>
      <c r="S13" s="44">
        <f>F24/F23</f>
        <v>2.1670651610521802E-2</v>
      </c>
      <c r="T13" s="44">
        <f>G24/G23</f>
        <v>3.5568325569409961E-2</v>
      </c>
      <c r="U13" s="44">
        <f>H24/H23</f>
        <v>1.7990682643093801E-2</v>
      </c>
      <c r="V13" s="48"/>
      <c r="W13" s="48">
        <v>3.2599999999999997E-2</v>
      </c>
      <c r="X13" s="48">
        <v>2.6200000000000001E-2</v>
      </c>
      <c r="Y13" s="48">
        <v>1.7999999999999999E-2</v>
      </c>
    </row>
    <row r="14" spans="1:25" x14ac:dyDescent="0.25">
      <c r="A14" s="6" t="s">
        <v>26</v>
      </c>
      <c r="B14" s="7"/>
      <c r="C14" s="7"/>
      <c r="D14" s="85">
        <f>5744.56+392.7+2324.18</f>
        <v>8461.44</v>
      </c>
      <c r="E14" s="85">
        <f>8030.66+481.67+2443.68</f>
        <v>10956.01</v>
      </c>
      <c r="F14" s="85">
        <f>8585.04+533.38+2176.53</f>
        <v>11294.95</v>
      </c>
      <c r="G14" s="85">
        <f>10115.9+541.58+2828.14</f>
        <v>13485.619999999999</v>
      </c>
      <c r="H14" s="85">
        <f>12701.39+708.35+3904.11</f>
        <v>17313.849999999999</v>
      </c>
      <c r="I14" s="85">
        <f>2976.59+141.34+834.01</f>
        <v>3951.9400000000005</v>
      </c>
      <c r="J14" s="85">
        <v>4040</v>
      </c>
      <c r="K14" s="85">
        <v>4586.2</v>
      </c>
      <c r="L14" s="85">
        <f>3472.42+209.9+1053.41</f>
        <v>4735.7300000000005</v>
      </c>
      <c r="M14" s="11"/>
      <c r="N14" s="11"/>
      <c r="O14" s="42" t="s">
        <v>20</v>
      </c>
      <c r="P14" s="43"/>
      <c r="Q14" s="44">
        <f>D25/D23</f>
        <v>1.7095786348060471E-2</v>
      </c>
      <c r="R14" s="44">
        <f>E25/E23</f>
        <v>1.2206985445908407E-2</v>
      </c>
      <c r="S14" s="44">
        <f>F25/F23</f>
        <v>1.4129040336598746E-2</v>
      </c>
      <c r="T14" s="44">
        <f>G25/G23</f>
        <v>2.4374854238022131E-2</v>
      </c>
      <c r="U14" s="44">
        <f>H25/H23</f>
        <v>1.258382869542829E-2</v>
      </c>
      <c r="V14" s="48"/>
      <c r="W14" s="48">
        <v>2.2800000000000001E-2</v>
      </c>
      <c r="X14" s="48">
        <v>1.7999999999999999E-2</v>
      </c>
      <c r="Y14" s="48">
        <v>1.2699999999999999E-2</v>
      </c>
    </row>
    <row r="15" spans="1:25" x14ac:dyDescent="0.25">
      <c r="A15" s="6" t="s">
        <v>54</v>
      </c>
      <c r="B15" s="10"/>
      <c r="C15" s="10"/>
      <c r="D15" s="89">
        <f t="shared" ref="D15:J15" si="4">D11-D14</f>
        <v>12589.24</v>
      </c>
      <c r="E15" s="89">
        <f t="shared" si="4"/>
        <v>16997.580000000002</v>
      </c>
      <c r="F15" s="89">
        <f t="shared" si="4"/>
        <v>22360.2</v>
      </c>
      <c r="G15" s="89">
        <f t="shared" si="4"/>
        <v>21201.3</v>
      </c>
      <c r="H15" s="89">
        <f>H11-H14</f>
        <v>27580.080000000002</v>
      </c>
      <c r="I15" s="89">
        <f t="shared" si="4"/>
        <v>5531.15</v>
      </c>
      <c r="J15" s="89">
        <f t="shared" si="4"/>
        <v>7361.09</v>
      </c>
      <c r="K15" s="89">
        <f>K11-K14</f>
        <v>6913.8400000000011</v>
      </c>
      <c r="L15" s="89">
        <f>L11-L14</f>
        <v>7773.9799999999987</v>
      </c>
      <c r="M15" s="11"/>
      <c r="N15" s="11"/>
      <c r="O15" s="42" t="s">
        <v>21</v>
      </c>
      <c r="P15" s="43"/>
      <c r="Q15" s="44">
        <f t="shared" ref="Q15:V15" si="5">(Q13-Q14)/Q13</f>
        <v>0.25137551581843187</v>
      </c>
      <c r="R15" s="44">
        <f t="shared" si="5"/>
        <v>0.30520151567344134</v>
      </c>
      <c r="S15" s="44">
        <f t="shared" si="5"/>
        <v>0.3480103602542971</v>
      </c>
      <c r="T15" s="44">
        <f t="shared" si="5"/>
        <v>0.31470335339638866</v>
      </c>
      <c r="U15" s="44">
        <f t="shared" si="5"/>
        <v>0.3005363417791751</v>
      </c>
      <c r="V15" s="44" t="e">
        <f t="shared" si="5"/>
        <v>#DIV/0!</v>
      </c>
      <c r="W15" s="18"/>
      <c r="X15" s="18"/>
      <c r="Y15" s="18"/>
    </row>
    <row r="16" spans="1:25" x14ac:dyDescent="0.25">
      <c r="A16" s="6" t="s">
        <v>94</v>
      </c>
      <c r="B16" s="10"/>
      <c r="C16" s="10"/>
      <c r="D16" s="89">
        <f t="shared" ref="D16:J16" si="6">D13-D14-D9</f>
        <v>3239.5300000000007</v>
      </c>
      <c r="E16" s="89">
        <f t="shared" si="6"/>
        <v>5466.3600000000024</v>
      </c>
      <c r="F16" s="89">
        <f t="shared" si="6"/>
        <v>8765.0899999999965</v>
      </c>
      <c r="G16" s="89">
        <f t="shared" si="6"/>
        <v>5697.2999999999993</v>
      </c>
      <c r="H16" s="89">
        <f>H13-H14-H9</f>
        <v>11862.61</v>
      </c>
      <c r="I16" s="89">
        <f t="shared" si="6"/>
        <v>1543.4700000000003</v>
      </c>
      <c r="J16" s="89">
        <f t="shared" si="6"/>
        <v>3320.3300000000004</v>
      </c>
      <c r="K16" s="89">
        <f>K13-K14-K9</f>
        <v>3031.7000000000003</v>
      </c>
      <c r="L16" s="89">
        <f>L13-L14-L9</f>
        <v>3967.0899999999988</v>
      </c>
      <c r="M16" s="11"/>
      <c r="N16" s="11"/>
      <c r="O16" s="42" t="s">
        <v>22</v>
      </c>
      <c r="P16" s="43"/>
      <c r="Q16" s="44">
        <f>D17/AVERAGE(C23:D23)</f>
        <v>8.934334904020156E-3</v>
      </c>
      <c r="R16" s="44">
        <f>E17/AVERAGE(D23:E23)</f>
        <v>6.1643086012462189E-3</v>
      </c>
      <c r="S16" s="44">
        <f>F17/AVERAGE(E23:F23)</f>
        <v>5.2850315852769258E-3</v>
      </c>
      <c r="T16" s="44">
        <f>G17/AVERAGE(F23:G23)</f>
        <v>1.2253556889758942E-2</v>
      </c>
      <c r="U16" s="44">
        <f>H17/AVERAGE(G23:H23)</f>
        <v>1.6438877378350382E-3</v>
      </c>
      <c r="V16" s="18"/>
      <c r="W16" s="18"/>
      <c r="X16" s="18"/>
      <c r="Y16" s="18"/>
    </row>
    <row r="17" spans="1:25" x14ac:dyDescent="0.25">
      <c r="A17" s="6" t="s">
        <v>27</v>
      </c>
      <c r="B17" s="7"/>
      <c r="C17" s="7"/>
      <c r="D17" s="88">
        <v>1137.71</v>
      </c>
      <c r="E17" s="85">
        <v>901.76</v>
      </c>
      <c r="F17" s="85">
        <v>954.51</v>
      </c>
      <c r="G17" s="85">
        <v>2603.04</v>
      </c>
      <c r="H17" s="85">
        <v>435.16</v>
      </c>
      <c r="I17" s="85">
        <v>151.02000000000001</v>
      </c>
      <c r="J17" s="85">
        <v>-17.579999999999998</v>
      </c>
      <c r="K17" s="85">
        <v>145.61000000000001</v>
      </c>
      <c r="L17" s="85">
        <v>156.11000000000001</v>
      </c>
      <c r="M17" s="11"/>
      <c r="N17" s="11"/>
      <c r="O17" s="18"/>
      <c r="P17" s="18"/>
      <c r="Q17" s="18"/>
      <c r="R17" s="18"/>
      <c r="S17" s="18"/>
      <c r="T17" s="18"/>
      <c r="U17" s="18"/>
      <c r="V17" s="18"/>
      <c r="W17" s="18"/>
      <c r="X17" s="18"/>
      <c r="Y17" s="18"/>
    </row>
    <row r="18" spans="1:25" x14ac:dyDescent="0.25">
      <c r="A18" s="6" t="s">
        <v>55</v>
      </c>
      <c r="B18" s="7"/>
      <c r="C18" s="7"/>
      <c r="D18" s="88">
        <v>1560.83</v>
      </c>
      <c r="E18" s="85">
        <v>3461.44</v>
      </c>
      <c r="F18" s="89">
        <v>6076.99</v>
      </c>
      <c r="G18" s="89">
        <v>2491.11</v>
      </c>
      <c r="H18" s="89">
        <v>9176.17</v>
      </c>
      <c r="I18" s="89">
        <v>1388.02</v>
      </c>
      <c r="J18" s="89">
        <v>2615.02</v>
      </c>
      <c r="K18" s="89">
        <v>2266.14</v>
      </c>
      <c r="L18" s="89">
        <v>2906.99</v>
      </c>
      <c r="M18" s="11"/>
      <c r="N18" s="11"/>
      <c r="O18" s="40" t="s">
        <v>30</v>
      </c>
      <c r="P18" s="45"/>
      <c r="Q18" s="45"/>
      <c r="R18" s="45"/>
      <c r="S18" s="46" t="s">
        <v>5</v>
      </c>
      <c r="T18" s="18"/>
      <c r="U18" s="18"/>
      <c r="V18" s="18"/>
      <c r="W18" s="18"/>
      <c r="X18" s="18"/>
      <c r="Y18" s="18"/>
    </row>
    <row r="19" spans="1:25" ht="22.5" x14ac:dyDescent="0.25">
      <c r="A19" s="6" t="s">
        <v>28</v>
      </c>
      <c r="B19" s="7"/>
      <c r="C19" s="7"/>
      <c r="D19" s="88">
        <v>42371.85</v>
      </c>
      <c r="E19" s="85">
        <v>46141.440000000002</v>
      </c>
      <c r="F19" s="85">
        <v>52481.919999999998</v>
      </c>
      <c r="G19" s="85">
        <v>54985.26</v>
      </c>
      <c r="H19" s="85">
        <v>123759.47</v>
      </c>
      <c r="I19" s="85"/>
      <c r="J19" s="85">
        <v>118257.03</v>
      </c>
      <c r="K19" s="85">
        <v>116621.06</v>
      </c>
      <c r="L19" s="85">
        <v>123759.47</v>
      </c>
      <c r="M19" s="11"/>
      <c r="N19" s="11"/>
      <c r="O19" s="46" t="s">
        <v>95</v>
      </c>
      <c r="P19" s="51"/>
      <c r="Q19" s="51"/>
      <c r="R19" s="52">
        <f>E16/AVERAGE(D22:E22)</f>
        <v>3.2219634552262642E-2</v>
      </c>
      <c r="S19" s="52">
        <f>F16/AVERAGE(E22:F22)</f>
        <v>4.0850602886255361E-2</v>
      </c>
      <c r="T19" s="52">
        <f>G16/AVERAGE(F22:G22)</f>
        <v>2.3185759964122359E-2</v>
      </c>
      <c r="U19" s="52">
        <f>H16/AVERAGE(G22:H22)</f>
        <v>4.0782866314969489E-2</v>
      </c>
      <c r="V19" s="18"/>
      <c r="W19" s="18"/>
      <c r="X19" s="18"/>
      <c r="Y19" s="18"/>
    </row>
    <row r="20" spans="1:25" x14ac:dyDescent="0.25">
      <c r="A20" s="6" t="s">
        <v>56</v>
      </c>
      <c r="B20" s="7"/>
      <c r="C20" s="7"/>
      <c r="D20" s="88">
        <f t="shared" ref="D20:I20" si="7">D19-D71</f>
        <v>42371.85</v>
      </c>
      <c r="E20" s="89">
        <f t="shared" si="7"/>
        <v>46141.440000000002</v>
      </c>
      <c r="F20" s="89">
        <f t="shared" si="7"/>
        <v>52481.919999999998</v>
      </c>
      <c r="G20" s="89">
        <f t="shared" si="7"/>
        <v>54985.26</v>
      </c>
      <c r="H20" s="89">
        <f t="shared" si="7"/>
        <v>123759.47</v>
      </c>
      <c r="I20" s="89">
        <f t="shared" si="7"/>
        <v>0</v>
      </c>
      <c r="J20" s="89"/>
      <c r="K20" s="89"/>
      <c r="L20" s="85">
        <v>123759.47</v>
      </c>
      <c r="M20" s="11"/>
      <c r="N20" s="11"/>
      <c r="O20" s="42" t="s">
        <v>31</v>
      </c>
      <c r="P20" s="43"/>
      <c r="Q20" s="43">
        <v>4.4699999999999997E-2</v>
      </c>
      <c r="R20" s="44">
        <f>E18/AVERAGE(D22:E22)</f>
        <v>2.040230278001887E-2</v>
      </c>
      <c r="S20" s="44">
        <f>F18/AVERAGE(E22:F22)</f>
        <v>2.8322436533309417E-2</v>
      </c>
      <c r="T20" s="44">
        <f>G18/AVERAGE(F22:G22)</f>
        <v>1.0137833448164019E-2</v>
      </c>
      <c r="U20" s="44">
        <f>H18/AVERAGE(G22:H22)</f>
        <v>3.1547063790635752E-2</v>
      </c>
      <c r="V20" s="48"/>
      <c r="W20" s="18"/>
      <c r="X20" s="18"/>
      <c r="Y20" s="18"/>
    </row>
    <row r="21" spans="1:25" x14ac:dyDescent="0.25">
      <c r="A21" s="6" t="s">
        <v>57</v>
      </c>
      <c r="B21" s="9"/>
      <c r="C21" s="9"/>
      <c r="D21" s="85">
        <f>11403.92+79417</f>
        <v>90820.92</v>
      </c>
      <c r="E21" s="85">
        <f>10435.41+117528.53</f>
        <v>127963.94</v>
      </c>
      <c r="F21" s="85">
        <f>11278.35+148867.47</f>
        <v>160145.82</v>
      </c>
      <c r="G21" s="85">
        <f>12736.2+167329.48</f>
        <v>180065.68000000002</v>
      </c>
      <c r="H21" s="85">
        <v>4574.18</v>
      </c>
      <c r="I21" s="85"/>
      <c r="J21" s="85">
        <f>5816.71+166246.59</f>
        <v>172063.3</v>
      </c>
      <c r="K21" s="85"/>
      <c r="L21" s="85">
        <f>4574.18+176037.05</f>
        <v>180611.22999999998</v>
      </c>
      <c r="M21" s="11"/>
      <c r="N21" s="11"/>
      <c r="O21" s="42" t="s">
        <v>32</v>
      </c>
      <c r="P21" s="43"/>
      <c r="Q21" s="44">
        <f>D18/AVERAGE(C19:D19)</f>
        <v>3.6836484600035163E-2</v>
      </c>
      <c r="R21" s="44">
        <f>E18/AVERAGE(D19:E19)</f>
        <v>7.8212887578803125E-2</v>
      </c>
      <c r="S21" s="44">
        <f>F18/AVERAGE(E19:F19)</f>
        <v>0.12323632048228736</v>
      </c>
      <c r="T21" s="44">
        <f>G18/AVERAGE(F19:G19)</f>
        <v>4.6360386491950387E-2</v>
      </c>
      <c r="U21" s="44">
        <f>H18/AVERAGE(G19:H19)</f>
        <v>0.10267346063853183</v>
      </c>
      <c r="V21" s="18"/>
      <c r="W21" s="18"/>
      <c r="X21" s="18"/>
      <c r="Y21" s="18"/>
    </row>
    <row r="22" spans="1:25" x14ac:dyDescent="0.25">
      <c r="A22" s="6" t="s">
        <v>29</v>
      </c>
      <c r="B22" s="7"/>
      <c r="C22" s="7"/>
      <c r="D22" s="88">
        <v>147560.26999999999</v>
      </c>
      <c r="E22" s="85">
        <v>191758.29</v>
      </c>
      <c r="F22" s="85">
        <v>237370.75</v>
      </c>
      <c r="G22" s="85">
        <v>254077.45</v>
      </c>
      <c r="H22" s="85">
        <v>327667.34000000003</v>
      </c>
      <c r="I22" s="85"/>
      <c r="J22" s="85">
        <v>318586.90000000002</v>
      </c>
      <c r="K22" s="85"/>
      <c r="L22" s="85">
        <v>327667.34000000003</v>
      </c>
      <c r="M22" s="11"/>
      <c r="N22" s="11"/>
      <c r="O22" s="40" t="s">
        <v>33</v>
      </c>
      <c r="P22" s="45"/>
      <c r="Q22" s="45"/>
      <c r="R22" s="45"/>
      <c r="S22" s="46" t="s">
        <v>5</v>
      </c>
      <c r="T22" s="18"/>
      <c r="U22" s="18"/>
      <c r="V22" s="18"/>
      <c r="W22" s="18"/>
      <c r="X22" s="18"/>
      <c r="Y22" s="18"/>
    </row>
    <row r="23" spans="1:25" x14ac:dyDescent="0.25">
      <c r="A23" s="6" t="s">
        <v>58</v>
      </c>
      <c r="B23" s="7"/>
      <c r="C23" s="7"/>
      <c r="D23" s="88">
        <v>127341.32</v>
      </c>
      <c r="E23" s="85">
        <v>165233.26</v>
      </c>
      <c r="F23" s="85">
        <v>195979.34</v>
      </c>
      <c r="G23" s="85">
        <v>228883.42</v>
      </c>
      <c r="H23">
        <v>300544.46000000002</v>
      </c>
      <c r="I23" s="85"/>
      <c r="J23" s="85">
        <v>250722.75</v>
      </c>
      <c r="K23" s="85"/>
      <c r="L23" s="85">
        <v>297093.05</v>
      </c>
      <c r="M23" s="11"/>
      <c r="N23" s="11"/>
      <c r="O23" s="42" t="s">
        <v>34</v>
      </c>
      <c r="P23" s="43"/>
      <c r="Q23" s="44">
        <f>D6/AVERAGE(C23:D23)</f>
        <v>0.15537423359519126</v>
      </c>
      <c r="R23" s="44">
        <f>E6/AVERAGE(D23:E23)</f>
        <v>0.17373252317409119</v>
      </c>
      <c r="S23" s="44">
        <f>F6/AVERAGE(E23:F23)</f>
        <v>0.16079372646469145</v>
      </c>
      <c r="T23" s="44">
        <f>G6/AVERAGE(F23:G23)</f>
        <v>0.151149514728003</v>
      </c>
      <c r="U23" s="44">
        <f>H6/AVERAGE(G23:H23)</f>
        <v>0.15361506840176231</v>
      </c>
      <c r="V23" s="18"/>
      <c r="W23" s="18"/>
      <c r="X23" s="18"/>
      <c r="Y23" s="18"/>
    </row>
    <row r="24" spans="1:25" x14ac:dyDescent="0.25">
      <c r="A24" s="6" t="s">
        <v>59</v>
      </c>
      <c r="B24" s="10"/>
      <c r="C24" s="10"/>
      <c r="D24" s="89">
        <v>2908</v>
      </c>
      <c r="E24" s="89">
        <v>2903</v>
      </c>
      <c r="F24" s="89">
        <v>4247</v>
      </c>
      <c r="G24" s="89">
        <v>8141</v>
      </c>
      <c r="H24" s="89">
        <v>5407</v>
      </c>
      <c r="I24" s="89"/>
      <c r="J24" s="89"/>
      <c r="K24" s="89"/>
      <c r="L24" s="89"/>
      <c r="M24" s="11"/>
      <c r="N24" s="11"/>
      <c r="O24" s="42" t="s">
        <v>35</v>
      </c>
      <c r="P24" s="43"/>
      <c r="Q24" s="44">
        <f>D9/AVERAGE(C21:D21)</f>
        <v>0.10509792237295108</v>
      </c>
      <c r="R24" s="44">
        <f>E9/AVERAGE(D21:E21)</f>
        <v>0.10987250214662934</v>
      </c>
      <c r="S24" s="44">
        <f>F9/AVERAGE(E21:F21)</f>
        <v>9.730978915813196E-2</v>
      </c>
      <c r="T24" s="44">
        <f>G9/AVERAGE(F21:G21)</f>
        <v>9.2820848207659068E-2</v>
      </c>
      <c r="U24" s="44">
        <f>H9/AVERAGE(G21:H21)</f>
        <v>0.17522294481809073</v>
      </c>
      <c r="V24" s="18"/>
      <c r="W24" s="18"/>
      <c r="X24" s="18"/>
      <c r="Y24" s="18"/>
    </row>
    <row r="25" spans="1:25" x14ac:dyDescent="0.25">
      <c r="A25" s="6" t="s">
        <v>60</v>
      </c>
      <c r="B25" s="10"/>
      <c r="C25" s="10"/>
      <c r="D25" s="89">
        <v>2177</v>
      </c>
      <c r="E25" s="89">
        <v>2017</v>
      </c>
      <c r="F25" s="89">
        <v>2769</v>
      </c>
      <c r="G25" s="89">
        <v>5579</v>
      </c>
      <c r="H25" s="89">
        <v>3782</v>
      </c>
      <c r="I25" s="89"/>
      <c r="J25" s="89"/>
      <c r="K25" s="89"/>
      <c r="L25" s="89"/>
      <c r="M25" s="11"/>
      <c r="N25" s="11"/>
      <c r="O25" s="42" t="s">
        <v>36</v>
      </c>
      <c r="P25" s="43"/>
      <c r="Q25" s="48">
        <f>Q23-Q24</f>
        <v>5.0276311222240175E-2</v>
      </c>
      <c r="R25" s="48">
        <f>R23-R24</f>
        <v>6.3860021027461841E-2</v>
      </c>
      <c r="S25" s="48">
        <f>S23-S24</f>
        <v>6.348393730655949E-2</v>
      </c>
      <c r="T25" s="48">
        <f>T23-T24</f>
        <v>5.8328666520343936E-2</v>
      </c>
      <c r="U25" s="48">
        <f>U23-U24</f>
        <v>-2.1607876416328414E-2</v>
      </c>
      <c r="V25" s="18"/>
      <c r="W25" s="18"/>
      <c r="X25" s="18"/>
      <c r="Y25" s="18"/>
    </row>
    <row r="26" spans="1:25" ht="15" customHeight="1" x14ac:dyDescent="0.25">
      <c r="A26" s="732" t="s">
        <v>248</v>
      </c>
      <c r="B26" s="732"/>
      <c r="C26" s="732"/>
      <c r="D26" s="732"/>
      <c r="E26" s="732"/>
      <c r="F26" s="732"/>
      <c r="G26" s="732"/>
      <c r="H26" s="732"/>
      <c r="I26" s="732"/>
      <c r="J26" s="732"/>
      <c r="K26" s="732"/>
      <c r="L26" s="732"/>
      <c r="M26" s="732"/>
      <c r="N26" s="732"/>
      <c r="O26" s="732"/>
    </row>
    <row r="27" spans="1:25" x14ac:dyDescent="0.25">
      <c r="A27" s="732"/>
      <c r="B27" s="732"/>
      <c r="C27" s="732"/>
      <c r="D27" s="732"/>
      <c r="E27" s="732"/>
      <c r="F27" s="732"/>
      <c r="G27" s="732"/>
      <c r="H27" s="732"/>
      <c r="I27" s="732"/>
      <c r="J27" s="732"/>
      <c r="K27" s="732"/>
      <c r="L27" s="732"/>
      <c r="M27" s="732"/>
      <c r="N27" s="732"/>
      <c r="O27" s="732"/>
    </row>
    <row r="28" spans="1:25" x14ac:dyDescent="0.25">
      <c r="A28" s="732"/>
      <c r="B28" s="732"/>
      <c r="C28" s="732"/>
      <c r="D28" s="732"/>
      <c r="E28" s="732"/>
      <c r="F28" s="732"/>
      <c r="G28" s="732"/>
      <c r="H28" s="732"/>
      <c r="I28" s="732"/>
      <c r="J28" s="732"/>
      <c r="K28" s="732"/>
      <c r="L28" s="732"/>
      <c r="M28" s="732"/>
      <c r="N28" s="732"/>
      <c r="O28" s="732"/>
    </row>
    <row r="29" spans="1:25" x14ac:dyDescent="0.25">
      <c r="A29" s="732"/>
      <c r="B29" s="732"/>
      <c r="C29" s="732"/>
      <c r="D29" s="732"/>
      <c r="E29" s="732"/>
      <c r="F29" s="732"/>
      <c r="G29" s="732"/>
      <c r="H29" s="732"/>
      <c r="I29" s="732"/>
      <c r="J29" s="732"/>
      <c r="K29" s="732"/>
      <c r="L29" s="732"/>
      <c r="M29" s="732"/>
      <c r="N29" s="732"/>
      <c r="O29" s="732"/>
    </row>
    <row r="30" spans="1:25" x14ac:dyDescent="0.25">
      <c r="A30" s="732"/>
      <c r="B30" s="732"/>
      <c r="C30" s="732"/>
      <c r="D30" s="732"/>
      <c r="E30" s="732"/>
      <c r="F30" s="732"/>
      <c r="G30" s="732"/>
      <c r="H30" s="732"/>
      <c r="I30" s="732"/>
      <c r="J30" s="732"/>
      <c r="K30" s="732"/>
      <c r="L30" s="732"/>
      <c r="M30" s="732"/>
      <c r="N30" s="732"/>
      <c r="O30" s="732"/>
    </row>
    <row r="31" spans="1:25" x14ac:dyDescent="0.25">
      <c r="A31" s="732"/>
      <c r="B31" s="732"/>
      <c r="C31" s="732"/>
      <c r="D31" s="732"/>
      <c r="E31" s="732"/>
      <c r="F31" s="732"/>
      <c r="G31" s="732"/>
      <c r="H31" s="732"/>
      <c r="I31" s="732"/>
      <c r="J31" s="732"/>
      <c r="K31" s="732"/>
      <c r="L31" s="732"/>
      <c r="M31" s="732"/>
      <c r="N31" s="732"/>
      <c r="O31" s="732"/>
    </row>
    <row r="32" spans="1:25" x14ac:dyDescent="0.25">
      <c r="A32" s="732"/>
      <c r="B32" s="732"/>
      <c r="C32" s="732"/>
      <c r="D32" s="732"/>
      <c r="E32" s="732"/>
      <c r="F32" s="732"/>
      <c r="G32" s="732"/>
      <c r="H32" s="732"/>
      <c r="I32" s="732"/>
      <c r="J32" s="732"/>
      <c r="K32" s="732"/>
      <c r="L32" s="732"/>
      <c r="M32" s="732"/>
      <c r="N32" s="732"/>
      <c r="O32" s="732"/>
    </row>
    <row r="33" spans="1:15" x14ac:dyDescent="0.25">
      <c r="A33" s="732"/>
      <c r="B33" s="732"/>
      <c r="C33" s="732"/>
      <c r="D33" s="732"/>
      <c r="E33" s="732"/>
      <c r="F33" s="732"/>
      <c r="G33" s="732"/>
      <c r="H33" s="732"/>
      <c r="I33" s="732"/>
      <c r="J33" s="732"/>
      <c r="K33" s="732"/>
      <c r="L33" s="732"/>
      <c r="M33" s="732"/>
      <c r="N33" s="732"/>
      <c r="O33" s="732"/>
    </row>
    <row r="34" spans="1:15" x14ac:dyDescent="0.25">
      <c r="A34" s="732"/>
      <c r="B34" s="732"/>
      <c r="C34" s="732"/>
      <c r="D34" s="732"/>
      <c r="E34" s="732"/>
      <c r="F34" s="732"/>
      <c r="G34" s="732"/>
      <c r="H34" s="732"/>
      <c r="I34" s="732"/>
      <c r="J34" s="732"/>
      <c r="K34" s="732"/>
      <c r="L34" s="732"/>
      <c r="M34" s="732"/>
      <c r="N34" s="732"/>
      <c r="O34" s="732"/>
    </row>
    <row r="35" spans="1:15" x14ac:dyDescent="0.25">
      <c r="A35" s="732"/>
      <c r="B35" s="732"/>
      <c r="C35" s="732"/>
      <c r="D35" s="732"/>
      <c r="E35" s="732"/>
      <c r="F35" s="732"/>
      <c r="G35" s="732"/>
      <c r="H35" s="732"/>
      <c r="I35" s="732"/>
      <c r="J35" s="732"/>
      <c r="K35" s="732"/>
      <c r="L35" s="732"/>
      <c r="M35" s="732"/>
      <c r="N35" s="732"/>
      <c r="O35" s="732"/>
    </row>
    <row r="36" spans="1:15" x14ac:dyDescent="0.25">
      <c r="A36" s="732"/>
      <c r="B36" s="732"/>
      <c r="C36" s="732"/>
      <c r="D36" s="732"/>
      <c r="E36" s="732"/>
      <c r="F36" s="732"/>
      <c r="G36" s="732"/>
      <c r="H36" s="732"/>
      <c r="I36" s="732"/>
      <c r="J36" s="732"/>
      <c r="K36" s="732"/>
      <c r="L36" s="732"/>
      <c r="M36" s="732"/>
      <c r="N36" s="732"/>
      <c r="O36" s="732"/>
    </row>
    <row r="37" spans="1:15" x14ac:dyDescent="0.25">
      <c r="A37" s="732"/>
      <c r="B37" s="732"/>
      <c r="C37" s="732"/>
      <c r="D37" s="732"/>
      <c r="E37" s="732"/>
      <c r="F37" s="732"/>
      <c r="G37" s="732"/>
      <c r="H37" s="732"/>
      <c r="I37" s="732"/>
      <c r="J37" s="732"/>
      <c r="K37" s="732"/>
      <c r="L37" s="732"/>
      <c r="M37" s="732"/>
      <c r="N37" s="732"/>
      <c r="O37" s="732"/>
    </row>
    <row r="38" spans="1:15" x14ac:dyDescent="0.25">
      <c r="A38" s="732"/>
      <c r="B38" s="732"/>
      <c r="C38" s="732"/>
      <c r="D38" s="732"/>
      <c r="E38" s="732"/>
      <c r="F38" s="732"/>
      <c r="G38" s="732"/>
      <c r="H38" s="732"/>
      <c r="I38" s="732"/>
      <c r="J38" s="732"/>
      <c r="K38" s="732"/>
      <c r="L38" s="732"/>
      <c r="M38" s="732"/>
      <c r="N38" s="732"/>
      <c r="O38" s="732"/>
    </row>
    <row r="39" spans="1:15" x14ac:dyDescent="0.25">
      <c r="A39" s="732"/>
      <c r="B39" s="732"/>
      <c r="C39" s="732"/>
      <c r="D39" s="732"/>
      <c r="E39" s="732"/>
      <c r="F39" s="732"/>
      <c r="G39" s="732"/>
      <c r="H39" s="732"/>
      <c r="I39" s="732"/>
      <c r="J39" s="732"/>
      <c r="K39" s="732"/>
      <c r="L39" s="732"/>
      <c r="M39" s="732"/>
      <c r="N39" s="732"/>
      <c r="O39" s="732"/>
    </row>
    <row r="40" spans="1:15" x14ac:dyDescent="0.25">
      <c r="A40" s="732"/>
      <c r="B40" s="732"/>
      <c r="C40" s="732"/>
      <c r="D40" s="732"/>
      <c r="E40" s="732"/>
      <c r="F40" s="732"/>
      <c r="G40" s="732"/>
      <c r="H40" s="732"/>
      <c r="I40" s="732"/>
      <c r="J40" s="732"/>
      <c r="K40" s="732"/>
      <c r="L40" s="732"/>
      <c r="M40" s="732"/>
      <c r="N40" s="732"/>
      <c r="O40" s="732"/>
    </row>
    <row r="41" spans="1:15" x14ac:dyDescent="0.25">
      <c r="A41" s="732"/>
      <c r="B41" s="732"/>
      <c r="C41" s="732"/>
      <c r="D41" s="732"/>
      <c r="E41" s="732"/>
      <c r="F41" s="732"/>
      <c r="G41" s="732"/>
      <c r="H41" s="732"/>
      <c r="I41" s="732"/>
      <c r="J41" s="732"/>
      <c r="K41" s="732"/>
      <c r="L41" s="732"/>
      <c r="M41" s="732"/>
      <c r="N41" s="732"/>
      <c r="O41" s="732"/>
    </row>
    <row r="42" spans="1:15" x14ac:dyDescent="0.25">
      <c r="A42" s="732"/>
      <c r="B42" s="732"/>
      <c r="C42" s="732"/>
      <c r="D42" s="732"/>
      <c r="E42" s="732"/>
      <c r="F42" s="732"/>
      <c r="G42" s="732"/>
      <c r="H42" s="732"/>
      <c r="I42" s="732"/>
      <c r="J42" s="732"/>
      <c r="K42" s="732"/>
      <c r="L42" s="732"/>
      <c r="M42" s="732"/>
      <c r="N42" s="732"/>
      <c r="O42" s="732"/>
    </row>
    <row r="43" spans="1:15" x14ac:dyDescent="0.25">
      <c r="A43" s="732"/>
      <c r="B43" s="732"/>
      <c r="C43" s="732"/>
      <c r="D43" s="732"/>
      <c r="E43" s="732"/>
      <c r="F43" s="732"/>
      <c r="G43" s="732"/>
      <c r="H43" s="732"/>
      <c r="I43" s="732"/>
      <c r="J43" s="732"/>
      <c r="K43" s="732"/>
      <c r="L43" s="732"/>
      <c r="M43" s="732"/>
      <c r="N43" s="732"/>
      <c r="O43" s="732"/>
    </row>
  </sheetData>
  <mergeCells count="3">
    <mergeCell ref="A2:A4"/>
    <mergeCell ref="J1:L1"/>
    <mergeCell ref="A26:O43"/>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C37"/>
  <sheetViews>
    <sheetView topLeftCell="Q1" workbookViewId="0">
      <selection activeCell="AC5" sqref="AC5"/>
    </sheetView>
  </sheetViews>
  <sheetFormatPr defaultRowHeight="15" x14ac:dyDescent="0.25"/>
  <cols>
    <col min="1" max="1" width="30.5703125" customWidth="1"/>
    <col min="4" max="4" width="8.140625" bestFit="1" customWidth="1"/>
    <col min="5" max="5" width="11.140625" customWidth="1"/>
    <col min="6" max="6" width="13.28515625" customWidth="1"/>
    <col min="7" max="9" width="11.7109375" customWidth="1"/>
    <col min="10" max="11" width="10.140625" bestFit="1" customWidth="1"/>
    <col min="13" max="13" width="10.140625" bestFit="1" customWidth="1"/>
    <col min="15" max="15" width="11.28515625" bestFit="1" customWidth="1"/>
    <col min="17" max="17" width="30" customWidth="1"/>
    <col min="18" max="18" width="13.140625" customWidth="1"/>
    <col min="19" max="19" width="13.85546875" customWidth="1"/>
    <col min="20" max="20" width="12.28515625" customWidth="1"/>
    <col min="21" max="21" width="12.7109375" customWidth="1"/>
    <col min="22" max="23" width="12.28515625" customWidth="1"/>
  </cols>
  <sheetData>
    <row r="1" spans="1:29" x14ac:dyDescent="0.25">
      <c r="K1" s="772" t="s">
        <v>113</v>
      </c>
      <c r="L1" s="772"/>
      <c r="M1" s="772"/>
    </row>
    <row r="2" spans="1:29" ht="22.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c r="P2" s="11"/>
      <c r="Q2" s="40" t="s">
        <v>6</v>
      </c>
      <c r="R2" s="41" t="s">
        <v>7</v>
      </c>
      <c r="S2" s="41" t="s">
        <v>8</v>
      </c>
      <c r="T2" s="41" t="s">
        <v>9</v>
      </c>
      <c r="U2" s="40" t="s">
        <v>10</v>
      </c>
      <c r="V2" s="41" t="s">
        <v>90</v>
      </c>
      <c r="W2" s="41" t="s">
        <v>492</v>
      </c>
      <c r="X2" s="40" t="s">
        <v>37</v>
      </c>
      <c r="Y2" s="41" t="s">
        <v>38</v>
      </c>
      <c r="Z2" s="41" t="s">
        <v>39</v>
      </c>
      <c r="AA2" s="41" t="s">
        <v>40</v>
      </c>
    </row>
    <row r="3" spans="1:29" x14ac:dyDescent="0.25">
      <c r="A3" s="771"/>
      <c r="B3" s="1" t="s">
        <v>46</v>
      </c>
      <c r="C3" s="4" t="s">
        <v>47</v>
      </c>
      <c r="D3" s="5" t="s">
        <v>47</v>
      </c>
      <c r="E3" s="5" t="s">
        <v>47</v>
      </c>
      <c r="F3" s="1" t="s">
        <v>46</v>
      </c>
      <c r="G3" s="1" t="s">
        <v>46</v>
      </c>
      <c r="H3" s="1" t="s">
        <v>46</v>
      </c>
      <c r="I3" s="1" t="s">
        <v>46</v>
      </c>
      <c r="J3" s="1" t="s">
        <v>96</v>
      </c>
      <c r="K3" s="1"/>
      <c r="L3" s="1"/>
      <c r="M3" s="1"/>
      <c r="N3" s="11"/>
      <c r="O3" s="11"/>
      <c r="P3" s="11"/>
      <c r="Q3" s="42" t="s">
        <v>11</v>
      </c>
      <c r="R3" s="43"/>
      <c r="S3" s="44" t="e">
        <f>D10/AVERAGE(C23:D23)</f>
        <v>#DIV/0!</v>
      </c>
      <c r="T3" s="44">
        <f>E10/AVERAGE(D23:E23)</f>
        <v>4.2520210554482817E-2</v>
      </c>
      <c r="U3" s="44">
        <f>F10/AVERAGE(E23:F23)</f>
        <v>6.2841686653766757E-2</v>
      </c>
      <c r="V3" s="44">
        <f>G10/AVERAGE(F23:G23)</f>
        <v>3.7735114933790483E-2</v>
      </c>
      <c r="W3" s="44">
        <f>H10/AVERAGE(G23:H23)</f>
        <v>3.1591292135091334E-2</v>
      </c>
      <c r="X3" s="18"/>
      <c r="Y3" s="18"/>
      <c r="Z3" s="18"/>
      <c r="AA3" s="18"/>
    </row>
    <row r="4" spans="1:29" x14ac:dyDescent="0.25">
      <c r="A4" s="771"/>
      <c r="B4" s="1" t="s">
        <v>48</v>
      </c>
      <c r="C4" s="1" t="s">
        <v>48</v>
      </c>
      <c r="D4" s="5" t="s">
        <v>49</v>
      </c>
      <c r="E4" s="5" t="s">
        <v>49</v>
      </c>
      <c r="F4" s="5" t="s">
        <v>49</v>
      </c>
      <c r="G4" s="5" t="s">
        <v>49</v>
      </c>
      <c r="H4" s="5" t="s">
        <v>49</v>
      </c>
      <c r="I4" s="5" t="s">
        <v>49</v>
      </c>
      <c r="J4" s="5"/>
      <c r="K4" s="5"/>
      <c r="L4" s="5"/>
      <c r="M4" s="5"/>
      <c r="N4" s="11"/>
      <c r="O4" s="11"/>
      <c r="P4" s="11"/>
      <c r="Q4" s="40" t="s">
        <v>12</v>
      </c>
      <c r="R4" s="45"/>
      <c r="S4" s="45"/>
      <c r="T4" s="45"/>
      <c r="U4" s="46" t="s">
        <v>5</v>
      </c>
      <c r="V4" s="18"/>
      <c r="W4" s="18"/>
      <c r="X4" s="18"/>
      <c r="Y4" s="18"/>
      <c r="Z4" s="18"/>
      <c r="AA4" s="18"/>
    </row>
    <row r="5" spans="1:29" x14ac:dyDescent="0.25">
      <c r="A5" s="6" t="s">
        <v>23</v>
      </c>
      <c r="B5" s="7"/>
      <c r="C5" s="8"/>
      <c r="E5">
        <v>14774.18</v>
      </c>
      <c r="F5" s="85">
        <v>21938.19</v>
      </c>
      <c r="G5" s="90">
        <v>34487.19</v>
      </c>
      <c r="H5" s="90">
        <v>65315.13</v>
      </c>
      <c r="I5" s="90">
        <v>102396.88</v>
      </c>
      <c r="J5" s="85">
        <v>21608.29</v>
      </c>
      <c r="K5" s="85">
        <v>23875.49</v>
      </c>
      <c r="L5" s="85">
        <v>26622.53</v>
      </c>
      <c r="M5" s="85">
        <v>30290.57</v>
      </c>
      <c r="N5" s="11">
        <v>32087.41</v>
      </c>
      <c r="O5" s="11">
        <v>32325.88</v>
      </c>
      <c r="P5" s="11"/>
      <c r="Q5" s="42" t="s">
        <v>13</v>
      </c>
      <c r="R5" s="46"/>
      <c r="S5" s="47" t="e">
        <f>D21/D20</f>
        <v>#DIV/0!</v>
      </c>
      <c r="T5" s="47">
        <f>E21/E20</f>
        <v>1.1706007126575624</v>
      </c>
      <c r="U5" s="47">
        <f>F21/F20</f>
        <v>1.7163579574371783</v>
      </c>
      <c r="V5" s="47">
        <f>G21/G20</f>
        <v>2.9679754973178039</v>
      </c>
      <c r="W5" s="47">
        <f>H21/H20</f>
        <v>3.2081181252797983</v>
      </c>
      <c r="X5" s="47"/>
      <c r="Y5" s="47">
        <f>K21/K20</f>
        <v>3.1655166602381466</v>
      </c>
      <c r="Z5" s="47"/>
      <c r="AA5" s="47">
        <f>M21/M20</f>
        <v>3.7193441887673444</v>
      </c>
      <c r="AB5" s="47">
        <v>3.16</v>
      </c>
      <c r="AC5" s="47">
        <f t="shared" ref="AC5" si="0">O21/O20</f>
        <v>3.3945205145509103</v>
      </c>
    </row>
    <row r="6" spans="1:29" x14ac:dyDescent="0.25">
      <c r="A6" s="6" t="s">
        <v>50</v>
      </c>
      <c r="B6" s="7"/>
      <c r="C6" s="8"/>
      <c r="E6">
        <v>9764.92</v>
      </c>
      <c r="F6" s="85">
        <v>17192.400000000001</v>
      </c>
      <c r="G6" s="85">
        <v>28634.13</v>
      </c>
      <c r="H6" s="85">
        <v>50993.21</v>
      </c>
      <c r="I6" s="85">
        <v>84698.38</v>
      </c>
      <c r="J6" s="85">
        <v>19837.88</v>
      </c>
      <c r="K6" s="85">
        <v>22030.38</v>
      </c>
      <c r="L6" s="85">
        <v>24796.07</v>
      </c>
      <c r="M6" s="85">
        <v>26624.49</v>
      </c>
      <c r="N6" s="11">
        <v>30116.12</v>
      </c>
      <c r="O6" s="11">
        <v>30436.62</v>
      </c>
      <c r="P6" s="11"/>
      <c r="Q6" s="42" t="s">
        <v>14</v>
      </c>
      <c r="R6" s="43"/>
      <c r="S6" s="43"/>
      <c r="T6" s="43">
        <v>0.64480000000000004</v>
      </c>
      <c r="U6" s="43">
        <v>0.40310000000000001</v>
      </c>
      <c r="V6" s="48">
        <v>0.29570000000000002</v>
      </c>
      <c r="W6" s="48">
        <v>0.25740000000000002</v>
      </c>
      <c r="X6" s="48"/>
      <c r="Y6" s="48">
        <v>0.2525</v>
      </c>
      <c r="Z6" s="48">
        <v>0.2356</v>
      </c>
      <c r="AA6" s="48">
        <v>0.25740000000000002</v>
      </c>
      <c r="AB6" s="80">
        <v>0.22700000000000001</v>
      </c>
      <c r="AC6" s="80">
        <v>0.22570000000000001</v>
      </c>
    </row>
    <row r="7" spans="1:29" x14ac:dyDescent="0.25">
      <c r="A7" s="6" t="s">
        <v>51</v>
      </c>
      <c r="B7" s="7"/>
      <c r="C7" s="8"/>
      <c r="D7" s="87"/>
      <c r="E7" s="85"/>
      <c r="F7" s="85">
        <v>0</v>
      </c>
      <c r="G7" s="85">
        <v>0</v>
      </c>
      <c r="H7" s="85"/>
      <c r="I7" s="85"/>
      <c r="J7" s="85"/>
      <c r="K7" s="85"/>
      <c r="L7" s="85"/>
      <c r="M7" s="85"/>
      <c r="N7" s="11"/>
      <c r="O7" s="11"/>
      <c r="P7" s="11"/>
      <c r="Q7" s="42" t="s">
        <v>15</v>
      </c>
      <c r="R7" s="43"/>
      <c r="S7" s="44" t="e">
        <f>D20/D23</f>
        <v>#DIV/0!</v>
      </c>
      <c r="T7" s="44">
        <f>E20/E23</f>
        <v>0.79754356308971119</v>
      </c>
      <c r="U7" s="44">
        <f>F20/F23</f>
        <v>0.48697628046802499</v>
      </c>
      <c r="V7" s="44">
        <f>G20/G23</f>
        <v>0.40014051373083154</v>
      </c>
      <c r="W7" s="44">
        <f>H20/H23</f>
        <v>0.34187263236544552</v>
      </c>
      <c r="X7" s="18"/>
      <c r="Y7" s="18"/>
      <c r="Z7" s="18"/>
      <c r="AA7" s="18"/>
    </row>
    <row r="8" spans="1:29" x14ac:dyDescent="0.25">
      <c r="A8" s="6" t="s">
        <v>52</v>
      </c>
      <c r="B8" s="7"/>
      <c r="C8" s="8"/>
      <c r="D8" s="85">
        <f t="shared" ref="D8:O8" si="1">D5-D6-D7</f>
        <v>0</v>
      </c>
      <c r="E8" s="85">
        <f t="shared" si="1"/>
        <v>5009.26</v>
      </c>
      <c r="F8" s="85">
        <f t="shared" si="1"/>
        <v>4745.7899999999972</v>
      </c>
      <c r="G8" s="85">
        <f t="shared" si="1"/>
        <v>5853.0600000000013</v>
      </c>
      <c r="H8" s="85">
        <f t="shared" si="1"/>
        <v>14321.919999999998</v>
      </c>
      <c r="I8" s="85">
        <f t="shared" si="1"/>
        <v>17698.5</v>
      </c>
      <c r="J8" s="85">
        <f t="shared" si="1"/>
        <v>1770.4099999999999</v>
      </c>
      <c r="K8" s="85">
        <f t="shared" si="1"/>
        <v>1845.1100000000006</v>
      </c>
      <c r="L8" s="85">
        <f t="shared" si="1"/>
        <v>1826.4599999999991</v>
      </c>
      <c r="M8" s="85">
        <f t="shared" si="1"/>
        <v>3666.0799999999981</v>
      </c>
      <c r="N8" s="85">
        <f t="shared" si="1"/>
        <v>1971.2900000000009</v>
      </c>
      <c r="O8" s="85">
        <f t="shared" si="1"/>
        <v>1889.260000000002</v>
      </c>
      <c r="P8" s="11"/>
      <c r="Q8" s="40" t="s">
        <v>16</v>
      </c>
      <c r="R8" s="45"/>
      <c r="S8" s="45"/>
      <c r="T8" s="45"/>
      <c r="U8" s="46" t="s">
        <v>5</v>
      </c>
      <c r="V8" s="18"/>
      <c r="W8" s="18"/>
      <c r="X8" s="18"/>
      <c r="Y8" s="18"/>
      <c r="Z8" s="18"/>
      <c r="AA8" s="18"/>
    </row>
    <row r="9" spans="1:29" ht="33.75" x14ac:dyDescent="0.25">
      <c r="A9" s="6" t="s">
        <v>24</v>
      </c>
      <c r="B9" s="7"/>
      <c r="C9" s="7"/>
      <c r="D9" s="88"/>
      <c r="E9" s="85">
        <v>6227.75</v>
      </c>
      <c r="F9" s="85">
        <v>9435.2199999999993</v>
      </c>
      <c r="G9" s="85">
        <v>19905.55</v>
      </c>
      <c r="H9" s="85">
        <v>39041.75</v>
      </c>
      <c r="I9" s="85">
        <v>53896</v>
      </c>
      <c r="J9" s="85">
        <v>12257.01</v>
      </c>
      <c r="K9" s="85">
        <v>12608.2</v>
      </c>
      <c r="L9" s="85">
        <v>14118.76</v>
      </c>
      <c r="M9" s="85">
        <v>14912.03</v>
      </c>
      <c r="N9" s="11">
        <v>17072.54</v>
      </c>
      <c r="O9" s="11">
        <v>16550.080000000002</v>
      </c>
      <c r="P9" s="11"/>
      <c r="Q9" s="49" t="s">
        <v>93</v>
      </c>
      <c r="R9" s="45"/>
      <c r="S9" s="93" t="e">
        <f>D14/(D11-D9)</f>
        <v>#DIV/0!</v>
      </c>
      <c r="T9" s="93">
        <f>E14/(E11-E9)</f>
        <v>0.72926239377143443</v>
      </c>
      <c r="U9" s="93">
        <f>F14/(F11-F9)</f>
        <v>0.48154638457902399</v>
      </c>
      <c r="V9" s="93">
        <f>G14/(G11-G9)</f>
        <v>0.32471861875618924</v>
      </c>
      <c r="W9" s="93">
        <f>H14/(H11-H9)</f>
        <v>0.3759756072496192</v>
      </c>
      <c r="X9" s="18"/>
      <c r="Y9" s="18"/>
      <c r="Z9" s="18"/>
      <c r="AA9" s="18"/>
    </row>
    <row r="10" spans="1:29" ht="22.5" x14ac:dyDescent="0.25">
      <c r="A10" s="6" t="s">
        <v>53</v>
      </c>
      <c r="B10" s="10">
        <f t="shared" ref="B10:J10" si="2">B6-B9</f>
        <v>0</v>
      </c>
      <c r="C10" s="10">
        <f t="shared" si="2"/>
        <v>0</v>
      </c>
      <c r="D10" s="89">
        <f t="shared" si="2"/>
        <v>0</v>
      </c>
      <c r="E10" s="89">
        <f t="shared" si="2"/>
        <v>3537.17</v>
      </c>
      <c r="F10" s="89">
        <f t="shared" si="2"/>
        <v>7757.1800000000021</v>
      </c>
      <c r="G10" s="89">
        <f t="shared" si="2"/>
        <v>8728.5800000000017</v>
      </c>
      <c r="H10" s="89">
        <f>H6-H9</f>
        <v>11951.46</v>
      </c>
      <c r="I10" s="89">
        <f>I6-I9</f>
        <v>30802.380000000005</v>
      </c>
      <c r="J10" s="89">
        <f t="shared" si="2"/>
        <v>7580.8700000000008</v>
      </c>
      <c r="K10" s="89">
        <f>K6-K9</f>
        <v>9422.18</v>
      </c>
      <c r="L10" s="89">
        <f>L6-L9</f>
        <v>10677.31</v>
      </c>
      <c r="M10" s="89">
        <f>M6-M9</f>
        <v>11712.460000000001</v>
      </c>
      <c r="N10" s="89">
        <f>N6-N9</f>
        <v>13043.579999999998</v>
      </c>
      <c r="O10" s="89">
        <f>O6-O9</f>
        <v>13886.539999999997</v>
      </c>
      <c r="P10" s="11"/>
      <c r="Q10" s="42" t="s">
        <v>92</v>
      </c>
      <c r="R10" s="43"/>
      <c r="S10" s="44" t="e">
        <f>D14/D11</f>
        <v>#DIV/0!</v>
      </c>
      <c r="T10" s="44">
        <f>E14/E11</f>
        <v>0.42185691523996593</v>
      </c>
      <c r="U10" s="44">
        <f>F14/F11</f>
        <v>0.27444196626977885</v>
      </c>
      <c r="V10" s="44">
        <f>G14/G11</f>
        <v>0.1372953261776329</v>
      </c>
      <c r="W10" s="44">
        <f>H14/H11</f>
        <v>0.15123831185821723</v>
      </c>
      <c r="X10" s="18"/>
      <c r="Y10" s="18"/>
      <c r="Z10" s="18"/>
      <c r="AA10" s="18"/>
    </row>
    <row r="11" spans="1:29" ht="22.5" x14ac:dyDescent="0.25">
      <c r="A11" s="6" t="s">
        <v>1</v>
      </c>
      <c r="B11" s="10">
        <f>B5-B9</f>
        <v>0</v>
      </c>
      <c r="C11" s="10">
        <f t="shared" ref="C11:J11" si="3">SUM(C6:C8)</f>
        <v>0</v>
      </c>
      <c r="D11" s="89">
        <f t="shared" si="3"/>
        <v>0</v>
      </c>
      <c r="E11" s="89">
        <f t="shared" si="3"/>
        <v>14774.18</v>
      </c>
      <c r="F11" s="89">
        <f>SUM(F6:F8)</f>
        <v>21938.19</v>
      </c>
      <c r="G11" s="89">
        <f>SUM(G6:G8)</f>
        <v>34487.19</v>
      </c>
      <c r="H11" s="89">
        <f>SUM(H6:H8)</f>
        <v>65315.13</v>
      </c>
      <c r="I11" s="89">
        <f>SUM(I6:I8)</f>
        <v>102396.88</v>
      </c>
      <c r="J11" s="89">
        <f t="shared" si="3"/>
        <v>21608.29</v>
      </c>
      <c r="K11" s="89">
        <f>SUM(K6:K8)</f>
        <v>23875.49</v>
      </c>
      <c r="L11" s="89">
        <f>SUM(L6:L8)</f>
        <v>26622.53</v>
      </c>
      <c r="M11" s="89">
        <f>SUM(M6:M8)</f>
        <v>30290.57</v>
      </c>
      <c r="N11" s="89">
        <f>SUM(N6:N8)</f>
        <v>32087.41</v>
      </c>
      <c r="O11" s="89">
        <f>SUM(O6:O8)</f>
        <v>32325.88</v>
      </c>
      <c r="P11" s="11"/>
      <c r="Q11" s="42" t="s">
        <v>17</v>
      </c>
      <c r="R11" s="43"/>
      <c r="S11" s="44" t="e">
        <f>D14/AVERAGE(C22:D22)</f>
        <v>#DIV/0!</v>
      </c>
      <c r="T11" s="44">
        <f>E14/AVERAGE(D22:E22)</f>
        <v>4.2437998349895548E-2</v>
      </c>
      <c r="U11" s="44">
        <f>F14/AVERAGE(E22:F22)</f>
        <v>3.2866292398511243E-2</v>
      </c>
      <c r="V11" s="44">
        <f>G14/AVERAGE(F22:G22)</f>
        <v>1.357102438271921E-2</v>
      </c>
      <c r="W11" s="44">
        <f>H14/AVERAGE(G22:H22)</f>
        <v>1.7226209595545359E-2</v>
      </c>
      <c r="X11" s="18"/>
      <c r="Y11" s="18"/>
      <c r="Z11" s="18"/>
      <c r="AA11" s="18"/>
    </row>
    <row r="12" spans="1:29" x14ac:dyDescent="0.25">
      <c r="A12" s="6" t="s">
        <v>91</v>
      </c>
      <c r="B12" s="10"/>
      <c r="C12" s="10"/>
      <c r="D12" s="89"/>
      <c r="E12" s="89">
        <v>41.58</v>
      </c>
      <c r="F12" s="89">
        <v>574.04999999999995</v>
      </c>
      <c r="G12" s="89">
        <v>679.72</v>
      </c>
      <c r="H12" s="89">
        <v>1806.24</v>
      </c>
      <c r="I12" s="89">
        <v>2669.81</v>
      </c>
      <c r="J12" s="89">
        <v>2338.7600000000002</v>
      </c>
      <c r="K12" s="89">
        <v>240.34</v>
      </c>
      <c r="L12" s="89">
        <v>41.44</v>
      </c>
      <c r="M12" s="89">
        <v>149.27000000000001</v>
      </c>
      <c r="N12" s="11">
        <v>165.01</v>
      </c>
      <c r="O12" s="11">
        <v>591.33000000000004</v>
      </c>
      <c r="P12" s="11"/>
      <c r="Q12" s="40" t="s">
        <v>18</v>
      </c>
      <c r="R12" s="45"/>
      <c r="S12" s="45"/>
      <c r="T12" s="45"/>
      <c r="U12" s="46" t="s">
        <v>5</v>
      </c>
      <c r="V12" s="18"/>
      <c r="W12" s="18"/>
      <c r="X12" s="18"/>
      <c r="Y12" s="18"/>
      <c r="Z12" s="53"/>
      <c r="AA12" s="54"/>
    </row>
    <row r="13" spans="1:29" x14ac:dyDescent="0.25">
      <c r="A13" s="6" t="s">
        <v>25</v>
      </c>
      <c r="B13" s="7"/>
      <c r="C13" s="7"/>
      <c r="D13" s="88">
        <f t="shared" ref="D13:O13" si="4">D11+D12</f>
        <v>0</v>
      </c>
      <c r="E13" s="88">
        <f t="shared" si="4"/>
        <v>14815.76</v>
      </c>
      <c r="F13" s="88">
        <f t="shared" si="4"/>
        <v>22512.239999999998</v>
      </c>
      <c r="G13" s="88">
        <f t="shared" si="4"/>
        <v>35166.910000000003</v>
      </c>
      <c r="H13" s="88">
        <f t="shared" si="4"/>
        <v>67121.37</v>
      </c>
      <c r="I13" s="88">
        <f t="shared" si="4"/>
        <v>105066.69</v>
      </c>
      <c r="J13" s="88">
        <f t="shared" si="4"/>
        <v>23947.050000000003</v>
      </c>
      <c r="K13" s="88">
        <f t="shared" si="4"/>
        <v>24115.83</v>
      </c>
      <c r="L13" s="88">
        <f t="shared" si="4"/>
        <v>26663.969999999998</v>
      </c>
      <c r="M13" s="88">
        <f t="shared" si="4"/>
        <v>30439.84</v>
      </c>
      <c r="N13" s="88">
        <f t="shared" si="4"/>
        <v>32252.42</v>
      </c>
      <c r="O13" s="88">
        <f t="shared" si="4"/>
        <v>32917.21</v>
      </c>
      <c r="P13" s="11"/>
      <c r="Q13" s="42" t="s">
        <v>19</v>
      </c>
      <c r="R13" s="43"/>
      <c r="S13" s="44" t="e">
        <f>D24/D23</f>
        <v>#DIV/0!</v>
      </c>
      <c r="T13" s="44">
        <f>E24/E23</f>
        <v>7.4525198775736443E-3</v>
      </c>
      <c r="U13" s="44">
        <f>F24/F23</f>
        <v>3.6197226378059783E-3</v>
      </c>
      <c r="V13" s="44">
        <f>G24/G23</f>
        <v>3.6519720696009295E-3</v>
      </c>
      <c r="W13" s="44">
        <f>H24/H23</f>
        <v>3.9413947674448837E-3</v>
      </c>
      <c r="X13" s="48"/>
      <c r="Y13" s="48">
        <v>1.17E-2</v>
      </c>
      <c r="Z13" s="48">
        <v>9.4000000000000004E-3</v>
      </c>
      <c r="AA13" s="48">
        <v>1.09E-2</v>
      </c>
      <c r="AB13" s="80">
        <v>1.7000000000000001E-2</v>
      </c>
      <c r="AC13" s="80">
        <v>1.8100000000000002E-2</v>
      </c>
    </row>
    <row r="14" spans="1:29" x14ac:dyDescent="0.25">
      <c r="A14" s="6" t="s">
        <v>26</v>
      </c>
      <c r="B14" s="7"/>
      <c r="C14" s="7"/>
      <c r="D14" s="85"/>
      <c r="E14" s="85">
        <f>3665.62+665.85+1901.12</f>
        <v>6232.59</v>
      </c>
      <c r="F14" s="85">
        <f>3668.93+680.38+1671.45</f>
        <v>6020.7599999999993</v>
      </c>
      <c r="G14" s="85">
        <f>2309.07+487.07+1938.79</f>
        <v>4734.93</v>
      </c>
      <c r="H14" s="85">
        <f>5513.38+769.2+3595.57</f>
        <v>9878.15</v>
      </c>
      <c r="I14" s="85">
        <f>8915.22+1759.86+4687.61</f>
        <v>15362.689999999999</v>
      </c>
      <c r="J14" s="85">
        <f>2014.7+431.16+996.05</f>
        <v>3441.91</v>
      </c>
      <c r="K14" s="85">
        <f>1990.81+432.71+1171.69</f>
        <v>3595.21</v>
      </c>
      <c r="L14" s="85">
        <f>2430.59+478.96+1302.42</f>
        <v>4211.97</v>
      </c>
      <c r="M14" s="85">
        <f>2479.12+417.03+1217.45</f>
        <v>4113.5999999999995</v>
      </c>
      <c r="N14" s="11">
        <f>2863.97+455.56+1427.08</f>
        <v>4746.6099999999997</v>
      </c>
      <c r="O14" s="11">
        <f>2621.37+435.84+1573.17</f>
        <v>4630.38</v>
      </c>
      <c r="P14" s="11"/>
      <c r="Q14" s="42" t="s">
        <v>20</v>
      </c>
      <c r="R14" s="43"/>
      <c r="S14" s="44" t="e">
        <f>D25/D23</f>
        <v>#DIV/0!</v>
      </c>
      <c r="T14" s="44">
        <f>E25/E23</f>
        <v>1.4904799335769341E-3</v>
      </c>
      <c r="U14" s="44">
        <f>F25/F23</f>
        <v>0</v>
      </c>
      <c r="V14" s="44">
        <f>G25/G23</f>
        <v>8.3494005519121363E-4</v>
      </c>
      <c r="W14" s="44">
        <f>H25/H23</f>
        <v>9.9095828130307123E-4</v>
      </c>
      <c r="X14" s="48"/>
      <c r="Y14" s="48">
        <v>5.1000000000000004E-3</v>
      </c>
      <c r="Z14" s="48">
        <v>3.2000000000000002E-3</v>
      </c>
      <c r="AA14" s="48">
        <v>4.5999999999999999E-3</v>
      </c>
      <c r="AB14" s="80">
        <v>9.5999999999999992E-3</v>
      </c>
      <c r="AC14" s="80">
        <v>6.4999999999999997E-3</v>
      </c>
    </row>
    <row r="15" spans="1:29" x14ac:dyDescent="0.25">
      <c r="A15" s="6" t="s">
        <v>54</v>
      </c>
      <c r="B15" s="10"/>
      <c r="C15" s="10"/>
      <c r="D15" s="89">
        <f t="shared" ref="D15:K15" si="5">D11-D14</f>
        <v>0</v>
      </c>
      <c r="E15" s="89">
        <f t="shared" si="5"/>
        <v>8541.59</v>
      </c>
      <c r="F15" s="89">
        <f t="shared" si="5"/>
        <v>15917.43</v>
      </c>
      <c r="G15" s="89">
        <f t="shared" si="5"/>
        <v>29752.260000000002</v>
      </c>
      <c r="H15" s="89">
        <f>H11-H14</f>
        <v>55436.979999999996</v>
      </c>
      <c r="I15" s="89">
        <f>I11-I14</f>
        <v>87034.19</v>
      </c>
      <c r="J15" s="89">
        <f t="shared" si="5"/>
        <v>18166.38</v>
      </c>
      <c r="K15" s="89">
        <f t="shared" si="5"/>
        <v>20280.280000000002</v>
      </c>
      <c r="L15" s="89">
        <f>L11-L14</f>
        <v>22410.559999999998</v>
      </c>
      <c r="M15" s="89">
        <f>M11-M14</f>
        <v>26176.97</v>
      </c>
      <c r="N15" s="89">
        <f>N11-N14</f>
        <v>27340.799999999999</v>
      </c>
      <c r="O15" s="89">
        <f>O11-O14</f>
        <v>27695.5</v>
      </c>
      <c r="P15" s="11"/>
      <c r="Q15" s="42" t="s">
        <v>21</v>
      </c>
      <c r="R15" s="43"/>
      <c r="S15" s="44" t="e">
        <f>(S13-S14)/S13</f>
        <v>#DIV/0!</v>
      </c>
      <c r="T15" s="44">
        <f>(T13-T14)/T13</f>
        <v>0.80000322601458163</v>
      </c>
      <c r="U15" s="44">
        <f>(U13-U14)/U13</f>
        <v>1</v>
      </c>
      <c r="V15" s="44">
        <f>(V13-V14)/V13</f>
        <v>0.77137282561899434</v>
      </c>
      <c r="W15" s="44">
        <f>(W13-W14)/W13</f>
        <v>0.74857675016768577</v>
      </c>
      <c r="X15" s="44"/>
      <c r="Y15" s="18"/>
      <c r="Z15" s="18"/>
      <c r="AA15" s="18"/>
    </row>
    <row r="16" spans="1:29" x14ac:dyDescent="0.25">
      <c r="A16" s="6" t="s">
        <v>94</v>
      </c>
      <c r="B16" s="10"/>
      <c r="C16" s="10"/>
      <c r="D16" s="89">
        <f t="shared" ref="D16:K16" si="6">D13-D14-D9</f>
        <v>0</v>
      </c>
      <c r="E16" s="89">
        <f t="shared" si="6"/>
        <v>2355.42</v>
      </c>
      <c r="F16" s="89">
        <f t="shared" si="6"/>
        <v>7056.26</v>
      </c>
      <c r="G16" s="89">
        <f t="shared" si="6"/>
        <v>10526.430000000004</v>
      </c>
      <c r="H16" s="89">
        <f>H13-H14-H9</f>
        <v>18201.469999999994</v>
      </c>
      <c r="I16" s="89">
        <f>I13-I14-I9</f>
        <v>35808</v>
      </c>
      <c r="J16" s="89">
        <f t="shared" si="6"/>
        <v>8248.1300000000028</v>
      </c>
      <c r="K16" s="89">
        <f t="shared" si="6"/>
        <v>7912.4200000000019</v>
      </c>
      <c r="L16" s="89">
        <f>L13-L14-L9</f>
        <v>8333.2399999999961</v>
      </c>
      <c r="M16" s="89">
        <f>M13-M14-M9</f>
        <v>11414.210000000001</v>
      </c>
      <c r="N16" s="89">
        <f>N13-N14-N9</f>
        <v>10433.269999999997</v>
      </c>
      <c r="O16" s="89">
        <f>O13-O14-O9</f>
        <v>11736.749999999996</v>
      </c>
      <c r="P16" s="11"/>
      <c r="Q16" s="42" t="s">
        <v>22</v>
      </c>
      <c r="R16" s="43"/>
      <c r="S16" s="44" t="e">
        <f>D17/AVERAGE(C23:D23)</f>
        <v>#DIV/0!</v>
      </c>
      <c r="T16" s="44">
        <f>E17/AVERAGE(D23:E23)</f>
        <v>1.162559923027332E-2</v>
      </c>
      <c r="U16" s="44">
        <f>F17/AVERAGE(E23:F23)</f>
        <v>2.4220181078205297E-2</v>
      </c>
      <c r="V16" s="44">
        <f>G17/AVERAGE(F23:G23)</f>
        <v>6.3221139494484225E-3</v>
      </c>
      <c r="W16" s="44">
        <f>H17/AVERAGE(G23:H23)</f>
        <v>2.4239059401846095E-3</v>
      </c>
      <c r="X16" s="18"/>
      <c r="Y16" s="18"/>
      <c r="Z16" s="18"/>
      <c r="AA16" s="18"/>
    </row>
    <row r="17" spans="1:27" x14ac:dyDescent="0.25">
      <c r="A17" s="6" t="s">
        <v>27</v>
      </c>
      <c r="B17" s="7"/>
      <c r="C17" s="7"/>
      <c r="D17" s="88"/>
      <c r="E17" s="85">
        <v>967.11</v>
      </c>
      <c r="F17" s="85">
        <v>2989.74</v>
      </c>
      <c r="G17" s="85">
        <v>1462.38</v>
      </c>
      <c r="H17" s="85">
        <v>917</v>
      </c>
      <c r="I17" s="85">
        <v>10272.5</v>
      </c>
      <c r="J17" s="85">
        <v>1161.5999999999999</v>
      </c>
      <c r="K17" s="85">
        <v>3128.87</v>
      </c>
      <c r="L17" s="85">
        <v>2754.86</v>
      </c>
      <c r="M17" s="85">
        <v>3227.17</v>
      </c>
      <c r="N17" s="11">
        <v>3058.36</v>
      </c>
      <c r="O17" s="11">
        <v>4220.83</v>
      </c>
      <c r="P17" s="11"/>
      <c r="Q17" s="18"/>
      <c r="R17" s="18"/>
      <c r="S17" s="18"/>
      <c r="T17" s="18"/>
      <c r="U17" s="18"/>
      <c r="V17" s="18"/>
      <c r="W17" s="18"/>
      <c r="X17" s="18"/>
      <c r="Y17" s="18"/>
      <c r="Z17" s="18"/>
      <c r="AA17" s="18"/>
    </row>
    <row r="18" spans="1:27" x14ac:dyDescent="0.25">
      <c r="A18" s="6" t="s">
        <v>55</v>
      </c>
      <c r="B18" s="7"/>
      <c r="C18" s="7"/>
      <c r="D18" s="88"/>
      <c r="E18" s="85">
        <v>1029.0899999999999</v>
      </c>
      <c r="F18" s="89">
        <v>3000.51</v>
      </c>
      <c r="G18" s="89">
        <v>6736.98</v>
      </c>
      <c r="H18" s="89">
        <v>12929.75</v>
      </c>
      <c r="I18" s="89">
        <v>19125.95</v>
      </c>
      <c r="J18" s="89">
        <v>5186.3100000000004</v>
      </c>
      <c r="K18" s="89">
        <v>3518.37</v>
      </c>
      <c r="L18" s="89">
        <v>4112.9399999999996</v>
      </c>
      <c r="M18" s="89">
        <v>6308.33</v>
      </c>
      <c r="N18" s="11">
        <v>5516.85</v>
      </c>
      <c r="O18" s="11">
        <v>5622.32</v>
      </c>
      <c r="P18" s="11"/>
      <c r="Q18" s="40" t="s">
        <v>30</v>
      </c>
      <c r="R18" s="45"/>
      <c r="S18" s="45"/>
      <c r="T18" s="45"/>
      <c r="U18" s="46" t="s">
        <v>5</v>
      </c>
      <c r="V18" s="18"/>
      <c r="W18" s="18"/>
      <c r="X18" s="18"/>
      <c r="Y18" s="18"/>
      <c r="Z18" s="18"/>
      <c r="AA18" s="18"/>
    </row>
    <row r="19" spans="1:27" ht="22.5" x14ac:dyDescent="0.25">
      <c r="A19" s="6" t="s">
        <v>28</v>
      </c>
      <c r="B19" s="7"/>
      <c r="C19" s="7"/>
      <c r="D19" s="88"/>
      <c r="E19" s="85">
        <v>66346.03</v>
      </c>
      <c r="F19" s="85">
        <v>79714.17</v>
      </c>
      <c r="G19" s="85">
        <v>119614.66</v>
      </c>
      <c r="H19" s="85">
        <v>156474.54999999999</v>
      </c>
      <c r="I19" s="85">
        <f>189392.45-2259.46-325.85</f>
        <v>186807.14</v>
      </c>
      <c r="J19" s="85"/>
      <c r="K19" s="85">
        <v>166497.62</v>
      </c>
      <c r="L19" s="85"/>
      <c r="M19" s="85">
        <f>189392.45-325.85</f>
        <v>189066.6</v>
      </c>
      <c r="N19" s="11"/>
      <c r="O19" s="11">
        <f>202116.87-2240.17-515.28</f>
        <v>199361.41999999998</v>
      </c>
      <c r="P19" s="11"/>
      <c r="Q19" s="46" t="s">
        <v>95</v>
      </c>
      <c r="R19" s="51"/>
      <c r="S19" s="51"/>
      <c r="T19" s="52">
        <f>E16/AVERAGE(D22:E22)</f>
        <v>1.6038165525617917E-2</v>
      </c>
      <c r="U19" s="52">
        <f>F16/AVERAGE(E22:F22)</f>
        <v>3.8518908642749247E-2</v>
      </c>
      <c r="V19" s="52">
        <f>G16/AVERAGE(F22:G22)</f>
        <v>3.0170337933820988E-2</v>
      </c>
      <c r="W19" s="52">
        <f>H16/AVERAGE(G22:H22)</f>
        <v>3.174099777458643E-2</v>
      </c>
      <c r="X19" s="18"/>
      <c r="Y19" s="18"/>
      <c r="Z19" s="18"/>
      <c r="AA19" s="18"/>
    </row>
    <row r="20" spans="1:27" x14ac:dyDescent="0.25">
      <c r="A20" s="6" t="s">
        <v>56</v>
      </c>
      <c r="B20" s="7"/>
      <c r="C20" s="7"/>
      <c r="D20" s="88">
        <f t="shared" ref="D20:O20" si="7">D19-D71</f>
        <v>0</v>
      </c>
      <c r="E20" s="89">
        <f t="shared" si="7"/>
        <v>66346.03</v>
      </c>
      <c r="F20" s="89">
        <f t="shared" si="7"/>
        <v>79714.17</v>
      </c>
      <c r="G20" s="89">
        <f t="shared" si="7"/>
        <v>119614.66</v>
      </c>
      <c r="H20" s="89">
        <f t="shared" si="7"/>
        <v>156474.54999999999</v>
      </c>
      <c r="I20" s="89">
        <f t="shared" si="7"/>
        <v>186807.14</v>
      </c>
      <c r="J20" s="89">
        <f t="shared" si="7"/>
        <v>0</v>
      </c>
      <c r="K20" s="89">
        <f t="shared" si="7"/>
        <v>166497.62</v>
      </c>
      <c r="L20" s="89">
        <f t="shared" si="7"/>
        <v>0</v>
      </c>
      <c r="M20" s="89">
        <f t="shared" si="7"/>
        <v>189066.6</v>
      </c>
      <c r="N20" s="89">
        <f t="shared" si="7"/>
        <v>0</v>
      </c>
      <c r="O20" s="89">
        <f t="shared" si="7"/>
        <v>199361.41999999998</v>
      </c>
      <c r="P20" s="11"/>
      <c r="Q20" s="42" t="s">
        <v>31</v>
      </c>
      <c r="R20" s="43"/>
      <c r="S20" s="43">
        <v>4.4699999999999997E-2</v>
      </c>
      <c r="T20" s="44">
        <f>E18/AVERAGE(D22:E22)</f>
        <v>7.0071221950896824E-3</v>
      </c>
      <c r="U20" s="44">
        <f>F18/AVERAGE(E22:F22)</f>
        <v>1.63792675683231E-2</v>
      </c>
      <c r="V20" s="44">
        <f>G18/AVERAGE(F22:G22)</f>
        <v>1.930920200423061E-2</v>
      </c>
      <c r="W20" s="44">
        <f>H18/AVERAGE(G22:H22)</f>
        <v>2.254780333544263E-2</v>
      </c>
      <c r="X20" s="48"/>
      <c r="Y20" s="18"/>
      <c r="Z20" s="18"/>
      <c r="AA20" s="18"/>
    </row>
    <row r="21" spans="1:27" x14ac:dyDescent="0.25">
      <c r="A21" s="6" t="s">
        <v>57</v>
      </c>
      <c r="B21" s="9"/>
      <c r="C21" s="9"/>
      <c r="D21" s="85"/>
      <c r="E21" s="85">
        <f>30446.55+47218.16</f>
        <v>77664.710000000006</v>
      </c>
      <c r="F21" s="85">
        <f>39953.41+96864.64</f>
        <v>136818.04999999999</v>
      </c>
      <c r="G21" s="85">
        <f>107051.35+247962.03</f>
        <v>355013.38</v>
      </c>
      <c r="H21" s="85">
        <f>151887.19+350101.65</f>
        <v>501988.84</v>
      </c>
      <c r="I21" s="85">
        <f>178245.42+524958.34</f>
        <v>703203.76</v>
      </c>
      <c r="J21" s="85"/>
      <c r="K21" s="85">
        <f>177713.3+349337.69</f>
        <v>527050.99</v>
      </c>
      <c r="L21" s="85"/>
      <c r="M21" s="85">
        <f>178245.42+524958.34</f>
        <v>703203.76</v>
      </c>
      <c r="N21" s="11"/>
      <c r="O21" s="11">
        <f>145610.9+531125.53</f>
        <v>676736.43</v>
      </c>
      <c r="P21" s="11"/>
      <c r="Q21" s="42" t="s">
        <v>32</v>
      </c>
      <c r="R21" s="43"/>
      <c r="S21" s="44" t="e">
        <f>D18/AVERAGE(C19:D19)</f>
        <v>#DIV/0!</v>
      </c>
      <c r="T21" s="44">
        <f>E18/AVERAGE(D19:E19)</f>
        <v>1.551095069290506E-2</v>
      </c>
      <c r="U21" s="44">
        <f>F18/AVERAGE(E19:F19)</f>
        <v>4.108593579907463E-2</v>
      </c>
      <c r="V21" s="44">
        <f>G18/AVERAGE(F19:G19)</f>
        <v>6.7596644198433309E-2</v>
      </c>
      <c r="W21" s="44">
        <f>H18/AVERAGE(G19:H19)</f>
        <v>9.3663566207458832E-2</v>
      </c>
      <c r="X21" s="18"/>
      <c r="Y21" s="18"/>
      <c r="Z21" s="18"/>
      <c r="AA21" s="18"/>
    </row>
    <row r="22" spans="1:27" x14ac:dyDescent="0.25">
      <c r="A22" s="6" t="s">
        <v>29</v>
      </c>
      <c r="B22" s="7"/>
      <c r="C22" s="7"/>
      <c r="D22" s="88"/>
      <c r="E22" s="85">
        <v>146863.43</v>
      </c>
      <c r="F22" s="85">
        <v>219515.59</v>
      </c>
      <c r="G22" s="85">
        <v>478284.35</v>
      </c>
      <c r="H22" s="85">
        <v>668590.12</v>
      </c>
      <c r="I22" s="85">
        <v>918861.56</v>
      </c>
      <c r="J22" s="85"/>
      <c r="K22" s="85">
        <v>716425.28</v>
      </c>
      <c r="L22" s="85"/>
      <c r="M22" s="85">
        <v>918861.55599999998</v>
      </c>
      <c r="N22" s="11"/>
      <c r="O22" s="11">
        <v>909777.26</v>
      </c>
      <c r="P22" s="11"/>
      <c r="Q22" s="40" t="s">
        <v>33</v>
      </c>
      <c r="R22" s="45"/>
      <c r="S22" s="45"/>
      <c r="T22" s="45"/>
      <c r="U22" s="46" t="s">
        <v>5</v>
      </c>
      <c r="V22" s="18"/>
      <c r="W22" s="18"/>
      <c r="X22" s="18"/>
      <c r="Y22" s="18"/>
      <c r="Z22" s="18"/>
      <c r="AA22" s="18"/>
    </row>
    <row r="23" spans="1:27" x14ac:dyDescent="0.25">
      <c r="A23" s="6" t="s">
        <v>58</v>
      </c>
      <c r="B23" s="7"/>
      <c r="C23" s="7"/>
      <c r="D23" s="88"/>
      <c r="E23" s="85">
        <v>83187.97</v>
      </c>
      <c r="F23" s="85">
        <v>163692.1</v>
      </c>
      <c r="G23" s="85">
        <v>298931.64</v>
      </c>
      <c r="H23" s="85">
        <v>457698.38</v>
      </c>
      <c r="I23" s="85">
        <v>738594</v>
      </c>
      <c r="J23" s="85"/>
      <c r="K23" s="85">
        <v>545478.24</v>
      </c>
      <c r="L23" s="85"/>
      <c r="M23" s="85">
        <v>730198.84</v>
      </c>
      <c r="N23" s="11"/>
      <c r="O23" s="11">
        <v>772430.95</v>
      </c>
      <c r="P23" s="11"/>
      <c r="Q23" s="42" t="s">
        <v>34</v>
      </c>
      <c r="R23" s="43"/>
      <c r="S23" s="44" t="e">
        <f>D6/AVERAGE(C23:D23)</f>
        <v>#DIV/0!</v>
      </c>
      <c r="T23" s="44">
        <f>E6/AVERAGE(D23:E23)</f>
        <v>0.11738379960467842</v>
      </c>
      <c r="U23" s="44">
        <f>F6/AVERAGE(E23:F23)</f>
        <v>0.13927734223341723</v>
      </c>
      <c r="V23" s="44">
        <f>G6/AVERAGE(F23:G23)</f>
        <v>0.12379014531333823</v>
      </c>
      <c r="W23" s="44">
        <f>H6/AVERAGE(G23:H23)</f>
        <v>0.13479034310586829</v>
      </c>
      <c r="X23" s="18"/>
      <c r="Y23" s="18"/>
      <c r="Z23" s="18"/>
      <c r="AA23" s="18"/>
    </row>
    <row r="24" spans="1:27" x14ac:dyDescent="0.25">
      <c r="A24" s="6" t="s">
        <v>59</v>
      </c>
      <c r="B24" s="10"/>
      <c r="C24" s="10"/>
      <c r="D24" s="89"/>
      <c r="E24" s="89">
        <v>619.96</v>
      </c>
      <c r="F24" s="89">
        <v>592.52</v>
      </c>
      <c r="G24" s="89">
        <v>1091.69</v>
      </c>
      <c r="H24" s="89">
        <v>1803.97</v>
      </c>
      <c r="I24" s="89"/>
      <c r="J24" s="89"/>
      <c r="K24" s="89"/>
      <c r="L24" s="89"/>
      <c r="M24" s="89"/>
      <c r="N24" s="11"/>
      <c r="O24" s="11"/>
      <c r="P24" s="11"/>
      <c r="Q24" s="42" t="s">
        <v>35</v>
      </c>
      <c r="R24" s="43"/>
      <c r="S24" s="44" t="e">
        <f>D9/AVERAGE(C21:D21)</f>
        <v>#DIV/0!</v>
      </c>
      <c r="T24" s="44">
        <f>E9/AVERAGE(D21:E21)</f>
        <v>8.0187642495542694E-2</v>
      </c>
      <c r="U24" s="44">
        <f>F9/AVERAGE(E21:F21)</f>
        <v>8.7981150559606744E-2</v>
      </c>
      <c r="V24" s="44">
        <f>G9/AVERAGE(F21:G21)</f>
        <v>8.0944603316628214E-2</v>
      </c>
      <c r="W24" s="44">
        <f>H9/AVERAGE(G21:H21)</f>
        <v>9.1112366079985185E-2</v>
      </c>
      <c r="X24" s="18"/>
      <c r="Y24" s="18"/>
      <c r="Z24" s="18"/>
      <c r="AA24" s="18"/>
    </row>
    <row r="25" spans="1:27" x14ac:dyDescent="0.25">
      <c r="A25" s="6" t="s">
        <v>60</v>
      </c>
      <c r="B25" s="10"/>
      <c r="C25" s="10"/>
      <c r="D25" s="89"/>
      <c r="E25" s="89">
        <v>123.99</v>
      </c>
      <c r="F25" s="89"/>
      <c r="G25" s="89">
        <v>249.59</v>
      </c>
      <c r="H25" s="89">
        <v>453.56</v>
      </c>
      <c r="I25" s="89"/>
      <c r="J25" s="89"/>
      <c r="K25" s="89"/>
      <c r="L25" s="89"/>
      <c r="M25" s="89"/>
      <c r="N25" s="11"/>
      <c r="O25" s="11"/>
      <c r="P25" s="11"/>
      <c r="Q25" s="42" t="s">
        <v>36</v>
      </c>
      <c r="R25" s="43"/>
      <c r="S25" s="48" t="e">
        <f>S23-S24</f>
        <v>#DIV/0!</v>
      </c>
      <c r="T25" s="48">
        <f>T23-T24</f>
        <v>3.7196157109135722E-2</v>
      </c>
      <c r="U25" s="48">
        <f>U23-U24</f>
        <v>5.1296191673810485E-2</v>
      </c>
      <c r="V25" s="48">
        <f>V23-V24</f>
        <v>4.2845541996710021E-2</v>
      </c>
      <c r="W25" s="48">
        <f>W23-W24</f>
        <v>4.3677977025883108E-2</v>
      </c>
      <c r="X25" s="18"/>
      <c r="Y25" s="18"/>
      <c r="Z25" s="18"/>
      <c r="AA25" s="18"/>
    </row>
    <row r="27" spans="1:27" x14ac:dyDescent="0.25">
      <c r="A27" s="739" t="s">
        <v>244</v>
      </c>
      <c r="B27" s="739"/>
      <c r="C27" s="739"/>
      <c r="D27" s="739"/>
      <c r="E27" s="739"/>
      <c r="F27" s="739"/>
      <c r="G27" s="739"/>
      <c r="H27" s="739"/>
      <c r="I27" s="739"/>
      <c r="J27" s="739"/>
      <c r="K27" s="739"/>
      <c r="L27" s="739"/>
      <c r="M27" s="739"/>
      <c r="N27" s="739"/>
      <c r="O27" s="739"/>
      <c r="P27" s="739"/>
      <c r="Q27" s="739"/>
    </row>
    <row r="28" spans="1:27" x14ac:dyDescent="0.25">
      <c r="A28" s="739"/>
      <c r="B28" s="739"/>
      <c r="C28" s="739"/>
      <c r="D28" s="739"/>
      <c r="E28" s="739"/>
      <c r="F28" s="739"/>
      <c r="G28" s="739"/>
      <c r="H28" s="739"/>
      <c r="I28" s="739"/>
      <c r="J28" s="739"/>
      <c r="K28" s="739"/>
      <c r="L28" s="739"/>
      <c r="M28" s="739"/>
      <c r="N28" s="739"/>
      <c r="O28" s="739"/>
      <c r="P28" s="739"/>
      <c r="Q28" s="739"/>
    </row>
    <row r="29" spans="1:27" x14ac:dyDescent="0.25">
      <c r="A29" s="739"/>
      <c r="B29" s="739"/>
      <c r="C29" s="739"/>
      <c r="D29" s="739"/>
      <c r="E29" s="739"/>
      <c r="F29" s="739"/>
      <c r="G29" s="739"/>
      <c r="H29" s="739"/>
      <c r="I29" s="739"/>
      <c r="J29" s="739"/>
      <c r="K29" s="739"/>
      <c r="L29" s="739"/>
      <c r="M29" s="739"/>
      <c r="N29" s="739"/>
      <c r="O29" s="739"/>
      <c r="P29" s="739"/>
      <c r="Q29" s="739"/>
    </row>
    <row r="30" spans="1:27" x14ac:dyDescent="0.25">
      <c r="A30" s="739"/>
      <c r="B30" s="739"/>
      <c r="C30" s="739"/>
      <c r="D30" s="739"/>
      <c r="E30" s="739"/>
      <c r="F30" s="739"/>
      <c r="G30" s="739"/>
      <c r="H30" s="739"/>
      <c r="I30" s="739"/>
      <c r="J30" s="739"/>
      <c r="K30" s="739"/>
      <c r="L30" s="739"/>
      <c r="M30" s="739"/>
      <c r="N30" s="739"/>
      <c r="O30" s="739"/>
      <c r="P30" s="739"/>
      <c r="Q30" s="739"/>
    </row>
    <row r="31" spans="1:27" x14ac:dyDescent="0.25">
      <c r="A31" s="739"/>
      <c r="B31" s="739"/>
      <c r="C31" s="739"/>
      <c r="D31" s="739"/>
      <c r="E31" s="739"/>
      <c r="F31" s="739"/>
      <c r="G31" s="739"/>
      <c r="H31" s="739"/>
      <c r="I31" s="739"/>
      <c r="J31" s="739"/>
      <c r="K31" s="739"/>
      <c r="L31" s="739"/>
      <c r="M31" s="739"/>
      <c r="N31" s="739"/>
      <c r="O31" s="739"/>
      <c r="P31" s="739"/>
      <c r="Q31" s="739"/>
    </row>
    <row r="32" spans="1:27" x14ac:dyDescent="0.25">
      <c r="A32" s="739"/>
      <c r="B32" s="739"/>
      <c r="C32" s="739"/>
      <c r="D32" s="739"/>
      <c r="E32" s="739"/>
      <c r="F32" s="739"/>
      <c r="G32" s="739"/>
      <c r="H32" s="739"/>
      <c r="I32" s="739"/>
      <c r="J32" s="739"/>
      <c r="K32" s="739"/>
      <c r="L32" s="739"/>
      <c r="M32" s="739"/>
      <c r="N32" s="739"/>
      <c r="O32" s="739"/>
      <c r="P32" s="739"/>
      <c r="Q32" s="739"/>
    </row>
    <row r="33" spans="1:17" x14ac:dyDescent="0.25">
      <c r="A33" s="739"/>
      <c r="B33" s="739"/>
      <c r="C33" s="739"/>
      <c r="D33" s="739"/>
      <c r="E33" s="739"/>
      <c r="F33" s="739"/>
      <c r="G33" s="739"/>
      <c r="H33" s="739"/>
      <c r="I33" s="739"/>
      <c r="J33" s="739"/>
      <c r="K33" s="739"/>
      <c r="L33" s="739"/>
      <c r="M33" s="739"/>
      <c r="N33" s="739"/>
      <c r="O33" s="739"/>
      <c r="P33" s="739"/>
      <c r="Q33" s="739"/>
    </row>
    <row r="34" spans="1:17" x14ac:dyDescent="0.25">
      <c r="A34" s="739"/>
      <c r="B34" s="739"/>
      <c r="C34" s="739"/>
      <c r="D34" s="739"/>
      <c r="E34" s="739"/>
      <c r="F34" s="739"/>
      <c r="G34" s="739"/>
      <c r="H34" s="739"/>
      <c r="I34" s="739"/>
      <c r="J34" s="739"/>
      <c r="K34" s="739"/>
      <c r="L34" s="739"/>
      <c r="M34" s="739"/>
      <c r="N34" s="739"/>
      <c r="O34" s="739"/>
      <c r="P34" s="739"/>
      <c r="Q34" s="739"/>
    </row>
    <row r="35" spans="1:17" x14ac:dyDescent="0.25">
      <c r="A35" s="739"/>
      <c r="B35" s="739"/>
      <c r="C35" s="739"/>
      <c r="D35" s="739"/>
      <c r="E35" s="739"/>
      <c r="F35" s="739"/>
      <c r="G35" s="739"/>
      <c r="H35" s="739"/>
      <c r="I35" s="739"/>
      <c r="J35" s="739"/>
      <c r="K35" s="739"/>
      <c r="L35" s="739"/>
      <c r="M35" s="739"/>
      <c r="N35" s="739"/>
      <c r="O35" s="739"/>
      <c r="P35" s="739"/>
      <c r="Q35" s="739"/>
    </row>
    <row r="36" spans="1:17" x14ac:dyDescent="0.25">
      <c r="A36" s="739"/>
      <c r="B36" s="739"/>
      <c r="C36" s="739"/>
      <c r="D36" s="739"/>
      <c r="E36" s="739"/>
      <c r="F36" s="739"/>
      <c r="G36" s="739"/>
      <c r="H36" s="739"/>
      <c r="I36" s="739"/>
      <c r="J36" s="739"/>
      <c r="K36" s="739"/>
      <c r="L36" s="739"/>
      <c r="M36" s="739"/>
      <c r="N36" s="739"/>
      <c r="O36" s="739"/>
      <c r="P36" s="739"/>
      <c r="Q36" s="739"/>
    </row>
    <row r="37" spans="1:17" x14ac:dyDescent="0.25">
      <c r="A37" s="739"/>
      <c r="B37" s="739"/>
      <c r="C37" s="739"/>
      <c r="D37" s="739"/>
      <c r="E37" s="739"/>
      <c r="F37" s="739"/>
      <c r="G37" s="739"/>
      <c r="H37" s="739"/>
      <c r="I37" s="739"/>
      <c r="J37" s="739"/>
      <c r="K37" s="739"/>
      <c r="L37" s="739"/>
      <c r="M37" s="739"/>
      <c r="N37" s="739"/>
      <c r="O37" s="739"/>
      <c r="P37" s="739"/>
      <c r="Q37" s="739"/>
    </row>
  </sheetData>
  <mergeCells count="3">
    <mergeCell ref="A2:A4"/>
    <mergeCell ref="K1:M1"/>
    <mergeCell ref="A27:Q37"/>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D25"/>
  <sheetViews>
    <sheetView topLeftCell="A13" workbookViewId="0">
      <selection activeCell="AD9" sqref="AD9"/>
    </sheetView>
  </sheetViews>
  <sheetFormatPr defaultRowHeight="15" x14ac:dyDescent="0.25"/>
  <cols>
    <col min="1" max="1" width="34" customWidth="1"/>
    <col min="2" max="2" width="8.28515625" customWidth="1"/>
    <col min="3" max="3" width="13.42578125" customWidth="1"/>
    <col min="4" max="5" width="10.85546875" customWidth="1"/>
    <col min="6" max="6" width="13.140625" customWidth="1"/>
    <col min="7" max="9" width="10.5703125" customWidth="1"/>
    <col min="11" max="11" width="10.140625" bestFit="1" customWidth="1"/>
    <col min="13" max="13" width="10.140625" bestFit="1" customWidth="1"/>
    <col min="17" max="17" width="31.42578125" customWidth="1"/>
    <col min="19" max="19" width="12.140625" customWidth="1"/>
    <col min="20" max="20" width="12.85546875" customWidth="1"/>
    <col min="21" max="21" width="12" customWidth="1"/>
    <col min="22" max="24" width="12.42578125" customWidth="1"/>
    <col min="31" max="31" width="5.7109375" bestFit="1" customWidth="1"/>
    <col min="32" max="32" width="36.7109375" bestFit="1" customWidth="1"/>
    <col min="33" max="33" width="27.5703125" bestFit="1" customWidth="1"/>
    <col min="34" max="34" width="34.140625" bestFit="1" customWidth="1"/>
    <col min="35" max="36" width="12.140625" bestFit="1" customWidth="1"/>
    <col min="37" max="37" width="23.140625" bestFit="1" customWidth="1"/>
    <col min="38" max="38" width="22.85546875" bestFit="1" customWidth="1"/>
    <col min="39" max="39" width="25.140625" bestFit="1" customWidth="1"/>
  </cols>
  <sheetData>
    <row r="1" spans="1:30" x14ac:dyDescent="0.25">
      <c r="K1" s="772" t="s">
        <v>113</v>
      </c>
      <c r="L1" s="772"/>
      <c r="M1" s="772"/>
    </row>
    <row r="2" spans="1:30"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c r="P2" s="11"/>
      <c r="Q2" s="40" t="s">
        <v>6</v>
      </c>
      <c r="R2" s="41" t="s">
        <v>7</v>
      </c>
      <c r="S2" s="41" t="s">
        <v>8</v>
      </c>
      <c r="T2" s="41" t="s">
        <v>9</v>
      </c>
      <c r="U2" s="40" t="s">
        <v>10</v>
      </c>
      <c r="V2" s="41" t="s">
        <v>90</v>
      </c>
      <c r="W2" s="41" t="s">
        <v>492</v>
      </c>
      <c r="X2" s="41" t="s">
        <v>623</v>
      </c>
      <c r="Y2" s="40" t="s">
        <v>37</v>
      </c>
      <c r="Z2" s="41" t="s">
        <v>38</v>
      </c>
      <c r="AA2" s="41" t="s">
        <v>39</v>
      </c>
      <c r="AB2" s="41" t="s">
        <v>40</v>
      </c>
    </row>
    <row r="3" spans="1:30" x14ac:dyDescent="0.25">
      <c r="A3" s="771"/>
      <c r="B3" s="1" t="s">
        <v>46</v>
      </c>
      <c r="C3" s="4" t="s">
        <v>47</v>
      </c>
      <c r="D3" s="5" t="s">
        <v>47</v>
      </c>
      <c r="E3" s="5" t="s">
        <v>47</v>
      </c>
      <c r="F3" s="1" t="s">
        <v>46</v>
      </c>
      <c r="G3" s="1" t="s">
        <v>46</v>
      </c>
      <c r="H3" s="1" t="s">
        <v>46</v>
      </c>
      <c r="I3" s="1" t="s">
        <v>46</v>
      </c>
      <c r="J3" s="1" t="s">
        <v>96</v>
      </c>
      <c r="K3" s="1" t="s">
        <v>96</v>
      </c>
      <c r="L3" s="1"/>
      <c r="M3" s="1"/>
      <c r="N3" s="11"/>
      <c r="O3" s="11"/>
      <c r="P3" s="11"/>
      <c r="Q3" s="42" t="s">
        <v>11</v>
      </c>
      <c r="R3" s="43"/>
      <c r="S3" s="44">
        <f t="shared" ref="S3:X3" si="0">D10/AVERAGE(C23:D23)</f>
        <v>0.13880710484484068</v>
      </c>
      <c r="T3" s="44">
        <f t="shared" si="0"/>
        <v>0.12946429930324513</v>
      </c>
      <c r="U3" s="44">
        <f t="shared" si="0"/>
        <v>0.1067301847363574</v>
      </c>
      <c r="V3" s="44">
        <f t="shared" si="0"/>
        <v>0.10841824025433842</v>
      </c>
      <c r="W3" s="44">
        <f t="shared" si="0"/>
        <v>0.10164292712337027</v>
      </c>
      <c r="X3" s="44">
        <f t="shared" si="0"/>
        <v>0.10680863282371623</v>
      </c>
      <c r="Y3" s="18"/>
      <c r="Z3" s="18"/>
      <c r="AA3" s="18"/>
      <c r="AB3" s="18"/>
    </row>
    <row r="4" spans="1:30" x14ac:dyDescent="0.25">
      <c r="A4" s="771"/>
      <c r="B4" s="1" t="s">
        <v>48</v>
      </c>
      <c r="C4" s="1" t="s">
        <v>48</v>
      </c>
      <c r="D4" s="5" t="s">
        <v>49</v>
      </c>
      <c r="E4" s="5" t="s">
        <v>49</v>
      </c>
      <c r="F4" s="5" t="s">
        <v>49</v>
      </c>
      <c r="G4" s="5" t="s">
        <v>49</v>
      </c>
      <c r="H4" s="5" t="s">
        <v>49</v>
      </c>
      <c r="I4" s="5" t="s">
        <v>49</v>
      </c>
      <c r="J4" s="5"/>
      <c r="K4" s="5"/>
      <c r="L4" s="5"/>
      <c r="M4" s="5"/>
      <c r="N4" s="11"/>
      <c r="O4" s="11"/>
      <c r="P4" s="11"/>
      <c r="Q4" s="40" t="s">
        <v>12</v>
      </c>
      <c r="R4" s="45"/>
      <c r="S4" s="45"/>
      <c r="T4" s="45"/>
      <c r="U4" s="46" t="s">
        <v>5</v>
      </c>
      <c r="V4" s="18"/>
      <c r="W4" s="18"/>
      <c r="X4" s="18"/>
      <c r="Y4" s="18"/>
      <c r="Z4" s="18"/>
      <c r="AA4" s="18"/>
      <c r="AB4" s="18"/>
    </row>
    <row r="5" spans="1:30" x14ac:dyDescent="0.25">
      <c r="A5" s="6" t="s">
        <v>23</v>
      </c>
      <c r="B5" s="7"/>
      <c r="C5" s="8"/>
      <c r="D5">
        <v>30759</v>
      </c>
      <c r="E5">
        <v>36834</v>
      </c>
      <c r="F5" s="85">
        <v>39069</v>
      </c>
      <c r="G5" s="90">
        <v>43329</v>
      </c>
      <c r="H5" s="90">
        <v>53860</v>
      </c>
      <c r="I5" s="90">
        <v>68432</v>
      </c>
      <c r="J5" s="85">
        <v>16454</v>
      </c>
      <c r="K5" s="85">
        <v>16093</v>
      </c>
      <c r="L5" s="85">
        <v>18248</v>
      </c>
      <c r="M5" s="85">
        <v>18326</v>
      </c>
      <c r="N5" s="11">
        <v>20193</v>
      </c>
      <c r="O5" s="11">
        <v>22195</v>
      </c>
      <c r="P5" s="11"/>
      <c r="Q5" s="42" t="s">
        <v>13</v>
      </c>
      <c r="R5" s="46"/>
      <c r="S5" s="47">
        <f t="shared" ref="S5:AB5" si="1">D21/D20</f>
        <v>1.5215636822194198</v>
      </c>
      <c r="T5" s="47">
        <f t="shared" si="1"/>
        <v>2.0393032882918067</v>
      </c>
      <c r="U5" s="47">
        <f t="shared" si="1"/>
        <v>2.0959542831148892</v>
      </c>
      <c r="V5" s="47">
        <f t="shared" si="1"/>
        <v>2.4379140760371012</v>
      </c>
      <c r="W5" s="47">
        <f t="shared" si="1"/>
        <v>2.7171167099762741</v>
      </c>
      <c r="X5" s="47">
        <f t="shared" si="1"/>
        <v>2.1149928709830732</v>
      </c>
      <c r="Y5" s="47" t="e">
        <f t="shared" si="1"/>
        <v>#DIV/0!</v>
      </c>
      <c r="Z5" s="47">
        <f t="shared" si="1"/>
        <v>1.8215817223198594</v>
      </c>
      <c r="AA5" s="47" t="e">
        <f t="shared" si="1"/>
        <v>#DIV/0!</v>
      </c>
      <c r="AB5" s="47">
        <f t="shared" si="1"/>
        <v>2.1149928709830732</v>
      </c>
      <c r="AC5" s="47"/>
      <c r="AD5" s="47">
        <f t="shared" ref="AD5" si="2">O21/O20</f>
        <v>2.3434092321600088</v>
      </c>
    </row>
    <row r="6" spans="1:30" x14ac:dyDescent="0.25">
      <c r="A6" s="6" t="s">
        <v>50</v>
      </c>
      <c r="B6" s="7"/>
      <c r="C6" s="8"/>
      <c r="D6">
        <v>28931</v>
      </c>
      <c r="E6">
        <v>33235</v>
      </c>
      <c r="F6" s="85">
        <v>34692</v>
      </c>
      <c r="G6" s="85">
        <v>39044</v>
      </c>
      <c r="H6" s="85">
        <v>47135</v>
      </c>
      <c r="I6" s="85">
        <v>60995</v>
      </c>
      <c r="J6" s="85">
        <v>14027</v>
      </c>
      <c r="K6" s="85">
        <v>14789</v>
      </c>
      <c r="L6" s="85">
        <v>15910</v>
      </c>
      <c r="M6" s="85">
        <v>17075</v>
      </c>
      <c r="N6" s="11">
        <v>18651</v>
      </c>
      <c r="O6" s="11">
        <v>20149</v>
      </c>
      <c r="P6" s="11"/>
      <c r="Q6" s="42" t="s">
        <v>14</v>
      </c>
      <c r="R6" s="43"/>
      <c r="S6" s="43"/>
      <c r="T6" s="43">
        <v>0.376</v>
      </c>
      <c r="U6" s="43">
        <v>0.36499999999999999</v>
      </c>
      <c r="V6" s="48">
        <v>0.3</v>
      </c>
      <c r="W6" s="48">
        <v>0.26379999999999998</v>
      </c>
      <c r="X6" s="48">
        <v>0.3337</v>
      </c>
      <c r="Y6" s="48"/>
      <c r="Z6" s="154">
        <v>0.34960000000000002</v>
      </c>
      <c r="AA6" s="48">
        <v>0.34279999999999999</v>
      </c>
      <c r="AB6" s="48">
        <v>0.26379999999999998</v>
      </c>
      <c r="AD6" s="80">
        <v>0.31109999999999999</v>
      </c>
    </row>
    <row r="7" spans="1:30" x14ac:dyDescent="0.25">
      <c r="A7" s="6" t="s">
        <v>51</v>
      </c>
      <c r="B7" s="7"/>
      <c r="C7" s="8"/>
      <c r="D7" s="87"/>
      <c r="E7" s="85"/>
      <c r="F7" s="85">
        <v>0</v>
      </c>
      <c r="G7" s="85">
        <v>0</v>
      </c>
      <c r="H7" s="85"/>
      <c r="I7" s="85"/>
      <c r="J7" s="85"/>
      <c r="K7" s="85"/>
      <c r="L7" s="85"/>
      <c r="M7" s="85"/>
      <c r="N7" s="11"/>
      <c r="O7" s="11"/>
      <c r="P7" s="11"/>
      <c r="Q7" s="42" t="s">
        <v>15</v>
      </c>
      <c r="R7" s="43"/>
      <c r="S7" s="44">
        <f t="shared" ref="S7:X7" si="3">D20/D23</f>
        <v>0.41105121293800539</v>
      </c>
      <c r="T7" s="44">
        <f t="shared" si="3"/>
        <v>0.34822365951706169</v>
      </c>
      <c r="U7" s="44">
        <f t="shared" si="3"/>
        <v>0.35266456108688021</v>
      </c>
      <c r="V7" s="44">
        <f t="shared" si="3"/>
        <v>0.33819226907846828</v>
      </c>
      <c r="W7" s="44">
        <f t="shared" si="3"/>
        <v>0.2963382092480556</v>
      </c>
      <c r="X7" s="44">
        <f t="shared" si="3"/>
        <v>0.35622843003190729</v>
      </c>
      <c r="Y7" s="18"/>
      <c r="Z7" s="18"/>
      <c r="AA7" s="18"/>
      <c r="AB7" s="18"/>
    </row>
    <row r="8" spans="1:30" x14ac:dyDescent="0.25">
      <c r="A8" s="6" t="s">
        <v>52</v>
      </c>
      <c r="B8" s="7"/>
      <c r="C8" s="8"/>
      <c r="D8" s="85">
        <f t="shared" ref="D8:O8" si="4">D5-D6-D7</f>
        <v>1828</v>
      </c>
      <c r="E8" s="85">
        <f t="shared" si="4"/>
        <v>3599</v>
      </c>
      <c r="F8" s="85">
        <f t="shared" si="4"/>
        <v>4377</v>
      </c>
      <c r="G8" s="85">
        <f t="shared" si="4"/>
        <v>4285</v>
      </c>
      <c r="H8" s="85">
        <f t="shared" si="4"/>
        <v>6725</v>
      </c>
      <c r="I8" s="85">
        <f t="shared" si="4"/>
        <v>7437</v>
      </c>
      <c r="J8" s="85">
        <f t="shared" si="4"/>
        <v>2427</v>
      </c>
      <c r="K8" s="85">
        <f t="shared" si="4"/>
        <v>1304</v>
      </c>
      <c r="L8" s="85">
        <f t="shared" si="4"/>
        <v>2338</v>
      </c>
      <c r="M8" s="85">
        <f t="shared" si="4"/>
        <v>1251</v>
      </c>
      <c r="N8" s="85">
        <f t="shared" si="4"/>
        <v>1542</v>
      </c>
      <c r="O8" s="85">
        <f t="shared" si="4"/>
        <v>2046</v>
      </c>
      <c r="P8" s="11"/>
      <c r="Q8" s="40" t="s">
        <v>16</v>
      </c>
      <c r="R8" s="45"/>
      <c r="S8" s="45"/>
      <c r="T8" s="45"/>
      <c r="U8" s="46" t="s">
        <v>5</v>
      </c>
      <c r="V8" s="18"/>
      <c r="W8" s="18"/>
      <c r="X8" s="18"/>
      <c r="Y8" s="18"/>
      <c r="Z8" s="18"/>
      <c r="AA8" s="18"/>
      <c r="AB8" s="18"/>
    </row>
    <row r="9" spans="1:30" ht="33.75" x14ac:dyDescent="0.25">
      <c r="A9" s="6" t="s">
        <v>24</v>
      </c>
      <c r="B9" s="7"/>
      <c r="C9" s="7"/>
      <c r="D9" s="88">
        <v>8847</v>
      </c>
      <c r="E9" s="85">
        <v>11969</v>
      </c>
      <c r="F9" s="85">
        <v>14237</v>
      </c>
      <c r="G9" s="85">
        <v>15650</v>
      </c>
      <c r="H9" s="85">
        <v>20161</v>
      </c>
      <c r="I9" s="85">
        <v>24541</v>
      </c>
      <c r="J9" s="85">
        <v>6256</v>
      </c>
      <c r="K9" s="85">
        <v>5828</v>
      </c>
      <c r="L9" s="85">
        <v>6004</v>
      </c>
      <c r="M9" s="85">
        <v>6453</v>
      </c>
      <c r="N9" s="11">
        <v>7351</v>
      </c>
      <c r="O9" s="11">
        <v>7784</v>
      </c>
      <c r="P9" s="11"/>
      <c r="Q9" s="49" t="s">
        <v>93</v>
      </c>
      <c r="R9" s="45"/>
      <c r="S9" s="50">
        <f t="shared" ref="S9:X9" si="5">D14/(D11-D9)</f>
        <v>0.57584884994523544</v>
      </c>
      <c r="T9" s="50">
        <f t="shared" si="5"/>
        <v>0.53163080635431326</v>
      </c>
      <c r="U9" s="50">
        <f t="shared" si="5"/>
        <v>0.45147390463917525</v>
      </c>
      <c r="V9" s="50">
        <f t="shared" si="5"/>
        <v>0.50811084215470215</v>
      </c>
      <c r="W9" s="50">
        <f t="shared" si="5"/>
        <v>0.51256713849075641</v>
      </c>
      <c r="X9" s="50">
        <f t="shared" si="5"/>
        <v>0.48743478161809939</v>
      </c>
      <c r="Y9" s="18"/>
      <c r="Z9" s="18"/>
      <c r="AA9" s="18"/>
      <c r="AB9" s="18"/>
    </row>
    <row r="10" spans="1:30" ht="22.5" x14ac:dyDescent="0.25">
      <c r="A10" s="6" t="s">
        <v>53</v>
      </c>
      <c r="B10" s="10">
        <f t="shared" ref="B10:K10" si="6">B6-B9</f>
        <v>0</v>
      </c>
      <c r="C10" s="10">
        <f t="shared" si="6"/>
        <v>0</v>
      </c>
      <c r="D10" s="89">
        <f t="shared" si="6"/>
        <v>20084</v>
      </c>
      <c r="E10" s="89">
        <f t="shared" si="6"/>
        <v>21266</v>
      </c>
      <c r="F10" s="89">
        <f t="shared" si="6"/>
        <v>20455</v>
      </c>
      <c r="G10" s="89">
        <f t="shared" si="6"/>
        <v>23394</v>
      </c>
      <c r="H10" s="89">
        <f>H6-H9</f>
        <v>26974</v>
      </c>
      <c r="I10" s="89">
        <f>I6-I9</f>
        <v>36454</v>
      </c>
      <c r="J10" s="89">
        <f t="shared" si="6"/>
        <v>7771</v>
      </c>
      <c r="K10" s="89">
        <f t="shared" si="6"/>
        <v>8961</v>
      </c>
      <c r="L10" s="89">
        <f>L6-L9</f>
        <v>9906</v>
      </c>
      <c r="M10" s="89">
        <f>M6-M9</f>
        <v>10622</v>
      </c>
      <c r="N10" s="89">
        <f>N6-N9</f>
        <v>11300</v>
      </c>
      <c r="O10" s="89">
        <f>O6-O9</f>
        <v>12365</v>
      </c>
      <c r="P10" s="11"/>
      <c r="Q10" s="42" t="s">
        <v>92</v>
      </c>
      <c r="R10" s="43"/>
      <c r="S10" s="44">
        <f t="shared" ref="S10:X10" si="7">D14/D11</f>
        <v>0.41022139861503948</v>
      </c>
      <c r="T10" s="44">
        <f t="shared" si="7"/>
        <v>0.35888038225552477</v>
      </c>
      <c r="U10" s="44">
        <f t="shared" si="7"/>
        <v>0.28695385087921371</v>
      </c>
      <c r="V10" s="44">
        <f t="shared" si="7"/>
        <v>0.3245863047843246</v>
      </c>
      <c r="W10" s="44">
        <f t="shared" si="7"/>
        <v>0.32070181953212029</v>
      </c>
      <c r="X10" s="44">
        <f t="shared" si="7"/>
        <v>0.31263151741875145</v>
      </c>
      <c r="Y10" s="18"/>
      <c r="Z10" s="18"/>
      <c r="AA10" s="18"/>
      <c r="AB10" s="18"/>
    </row>
    <row r="11" spans="1:30" ht="22.5" x14ac:dyDescent="0.25">
      <c r="A11" s="6" t="s">
        <v>1</v>
      </c>
      <c r="B11" s="10">
        <f>B5-B9</f>
        <v>0</v>
      </c>
      <c r="C11" s="10">
        <f t="shared" ref="C11:K11" si="8">SUM(C6:C8)</f>
        <v>0</v>
      </c>
      <c r="D11" s="89">
        <f t="shared" si="8"/>
        <v>30759</v>
      </c>
      <c r="E11" s="89">
        <f t="shared" si="8"/>
        <v>36834</v>
      </c>
      <c r="F11" s="89">
        <f>SUM(F6:F8)</f>
        <v>39069</v>
      </c>
      <c r="G11" s="89">
        <f>SUM(G6:G8)</f>
        <v>43329</v>
      </c>
      <c r="H11" s="89">
        <f>SUM(H6:H8)</f>
        <v>53860</v>
      </c>
      <c r="I11" s="89">
        <f>SUM(I6:I8)</f>
        <v>68432</v>
      </c>
      <c r="J11" s="89">
        <f t="shared" si="8"/>
        <v>16454</v>
      </c>
      <c r="K11" s="89">
        <f t="shared" si="8"/>
        <v>16093</v>
      </c>
      <c r="L11" s="89">
        <f>SUM(L6:L8)</f>
        <v>18248</v>
      </c>
      <c r="M11" s="89">
        <f>SUM(M6:M8)</f>
        <v>18326</v>
      </c>
      <c r="N11" s="89">
        <f>SUM(N6:N8)</f>
        <v>20193</v>
      </c>
      <c r="O11" s="89">
        <f>SUM(O6:O8)</f>
        <v>22195</v>
      </c>
      <c r="P11" s="11"/>
      <c r="Q11" s="42" t="s">
        <v>17</v>
      </c>
      <c r="R11" s="43"/>
      <c r="S11" s="44">
        <f t="shared" ref="S11:X11" si="9">D14/AVERAGE(C22:D22)</f>
        <v>8.1949432692744836E-2</v>
      </c>
      <c r="T11" s="44">
        <f t="shared" si="9"/>
        <v>7.4824387123797881E-2</v>
      </c>
      <c r="U11" s="44">
        <f t="shared" si="9"/>
        <v>5.2442989124079055E-2</v>
      </c>
      <c r="V11" s="44">
        <f t="shared" si="9"/>
        <v>5.5481697430657742E-2</v>
      </c>
      <c r="W11" s="44">
        <f t="shared" si="9"/>
        <v>5.6096558958545442E-2</v>
      </c>
      <c r="X11" s="44">
        <f t="shared" si="9"/>
        <v>5.5464025769487529E-2</v>
      </c>
      <c r="Y11" s="18"/>
      <c r="Z11" s="18"/>
      <c r="AA11" s="18"/>
      <c r="AB11" s="18"/>
    </row>
    <row r="12" spans="1:30" x14ac:dyDescent="0.25">
      <c r="A12" s="6" t="s">
        <v>91</v>
      </c>
      <c r="B12" s="10"/>
      <c r="C12" s="10"/>
      <c r="D12" s="89">
        <v>102</v>
      </c>
      <c r="E12" s="89">
        <v>10</v>
      </c>
      <c r="F12" s="89">
        <v>7</v>
      </c>
      <c r="G12" s="89">
        <v>30</v>
      </c>
      <c r="H12" s="89">
        <v>30</v>
      </c>
      <c r="I12" s="89">
        <v>39</v>
      </c>
      <c r="J12" s="89">
        <v>9</v>
      </c>
      <c r="K12" s="89">
        <v>8</v>
      </c>
      <c r="L12" s="89">
        <v>10</v>
      </c>
      <c r="M12" s="89">
        <v>12</v>
      </c>
      <c r="N12" s="11">
        <v>10</v>
      </c>
      <c r="O12" s="11">
        <v>7</v>
      </c>
      <c r="P12" s="11"/>
      <c r="Q12" s="40" t="s">
        <v>18</v>
      </c>
      <c r="R12" s="45"/>
      <c r="S12" s="45"/>
      <c r="T12" s="45"/>
      <c r="U12" s="46" t="s">
        <v>5</v>
      </c>
      <c r="V12" s="18"/>
      <c r="W12" s="18"/>
      <c r="X12" s="18"/>
      <c r="Y12" s="18"/>
      <c r="Z12" s="18"/>
      <c r="AA12" s="53"/>
      <c r="AB12" s="54"/>
    </row>
    <row r="13" spans="1:30" x14ac:dyDescent="0.25">
      <c r="A13" s="6" t="s">
        <v>25</v>
      </c>
      <c r="B13" s="7"/>
      <c r="C13" s="7"/>
      <c r="D13" s="88">
        <f t="shared" ref="D13:O13" si="10">D11+D12</f>
        <v>30861</v>
      </c>
      <c r="E13" s="88">
        <f t="shared" si="10"/>
        <v>36844</v>
      </c>
      <c r="F13" s="88">
        <f t="shared" si="10"/>
        <v>39076</v>
      </c>
      <c r="G13" s="88">
        <f t="shared" si="10"/>
        <v>43359</v>
      </c>
      <c r="H13" s="88">
        <f t="shared" si="10"/>
        <v>53890</v>
      </c>
      <c r="I13" s="88">
        <f t="shared" si="10"/>
        <v>68471</v>
      </c>
      <c r="J13" s="88">
        <f t="shared" si="10"/>
        <v>16463</v>
      </c>
      <c r="K13" s="88">
        <f t="shared" si="10"/>
        <v>16101</v>
      </c>
      <c r="L13" s="88">
        <f t="shared" si="10"/>
        <v>18258</v>
      </c>
      <c r="M13" s="88">
        <f t="shared" si="10"/>
        <v>18338</v>
      </c>
      <c r="N13" s="88">
        <f t="shared" si="10"/>
        <v>20203</v>
      </c>
      <c r="O13" s="88">
        <f t="shared" si="10"/>
        <v>22202</v>
      </c>
      <c r="P13" s="11"/>
      <c r="Q13" s="42" t="s">
        <v>19</v>
      </c>
      <c r="R13" s="43"/>
      <c r="S13" s="44">
        <f t="shared" ref="S13:X13" si="11">D24/D23</f>
        <v>3.3817126269956456E-2</v>
      </c>
      <c r="T13" s="44">
        <f t="shared" si="11"/>
        <v>3.687042043593914E-2</v>
      </c>
      <c r="U13" s="44">
        <f t="shared" si="11"/>
        <v>3.170401564144984E-2</v>
      </c>
      <c r="V13" s="44">
        <f t="shared" si="11"/>
        <v>2.6219294125757818E-2</v>
      </c>
      <c r="W13" s="44">
        <f t="shared" si="11"/>
        <v>3.7461622678527783E-2</v>
      </c>
      <c r="X13" s="44">
        <f t="shared" si="11"/>
        <v>2.7007879143061797E-2</v>
      </c>
      <c r="Y13" s="48"/>
      <c r="Z13" s="48">
        <v>3.2000000000000001E-2</v>
      </c>
      <c r="AA13" s="48">
        <v>3.1899999999999998E-2</v>
      </c>
      <c r="AB13" s="48">
        <v>3.7400000000000003E-2</v>
      </c>
      <c r="AD13" s="80">
        <v>2.7099999999999999E-2</v>
      </c>
    </row>
    <row r="14" spans="1:30" x14ac:dyDescent="0.25">
      <c r="A14" s="6" t="s">
        <v>26</v>
      </c>
      <c r="B14" s="7"/>
      <c r="C14" s="7"/>
      <c r="D14" s="85">
        <f>721+8934+491+2472</f>
        <v>12618</v>
      </c>
      <c r="E14" s="85">
        <f>861+9567+851+1940</f>
        <v>13219</v>
      </c>
      <c r="F14" s="85">
        <f>297+8813+637+1464</f>
        <v>11211</v>
      </c>
      <c r="G14" s="85">
        <f>507+10848+566+2143</f>
        <v>14064</v>
      </c>
      <c r="H14" s="85">
        <f>737+13330+782+2424</f>
        <v>17273</v>
      </c>
      <c r="I14" s="85">
        <f>843+16743+946+2862</f>
        <v>21394</v>
      </c>
      <c r="J14" s="85">
        <f>214+3845+227+804</f>
        <v>5090</v>
      </c>
      <c r="K14" s="85">
        <f>197+4127+238+622</f>
        <v>5184</v>
      </c>
      <c r="L14" s="85">
        <f>201+4085+248+655</f>
        <v>5189</v>
      </c>
      <c r="M14" s="85">
        <f>231+4685+235+781</f>
        <v>5932</v>
      </c>
      <c r="N14" s="11">
        <f>225+4288+285+1030</f>
        <v>5828</v>
      </c>
      <c r="O14" s="11">
        <f>4393+548+641</f>
        <v>5582</v>
      </c>
      <c r="P14" s="11"/>
      <c r="Q14" s="42" t="s">
        <v>20</v>
      </c>
      <c r="R14" s="43"/>
      <c r="S14" s="44">
        <f t="shared" ref="S14:X14" si="12">D25/D23</f>
        <v>2.6110995922316676E-2</v>
      </c>
      <c r="T14" s="44">
        <f t="shared" si="12"/>
        <v>2.4081639313942544E-2</v>
      </c>
      <c r="U14" s="44">
        <f t="shared" si="12"/>
        <v>2.1261342557778111E-2</v>
      </c>
      <c r="V14" s="44">
        <f t="shared" si="12"/>
        <v>1.8459072479005176E-2</v>
      </c>
      <c r="W14" s="44">
        <f t="shared" si="12"/>
        <v>2.3911958992764808E-2</v>
      </c>
      <c r="X14" s="44">
        <f t="shared" si="12"/>
        <v>1.3122354626554665E-2</v>
      </c>
      <c r="Y14" s="48"/>
      <c r="Z14" s="48">
        <v>1.6899999999999998E-2</v>
      </c>
      <c r="AA14" s="48">
        <v>1.5599999999999999E-2</v>
      </c>
      <c r="AB14" s="48">
        <v>2.4199999999999999E-2</v>
      </c>
      <c r="AD14" s="80">
        <v>1.55E-2</v>
      </c>
    </row>
    <row r="15" spans="1:30" x14ac:dyDescent="0.25">
      <c r="A15" s="6" t="s">
        <v>54</v>
      </c>
      <c r="B15" s="10"/>
      <c r="C15" s="10"/>
      <c r="D15" s="89">
        <f t="shared" ref="D15:K15" si="13">D11-D14</f>
        <v>18141</v>
      </c>
      <c r="E15" s="89">
        <f t="shared" si="13"/>
        <v>23615</v>
      </c>
      <c r="F15" s="89">
        <f t="shared" si="13"/>
        <v>27858</v>
      </c>
      <c r="G15" s="89">
        <f t="shared" si="13"/>
        <v>29265</v>
      </c>
      <c r="H15" s="89">
        <f>H11-H14</f>
        <v>36587</v>
      </c>
      <c r="I15" s="89">
        <f>I11-I14</f>
        <v>47038</v>
      </c>
      <c r="J15" s="89">
        <f t="shared" si="13"/>
        <v>11364</v>
      </c>
      <c r="K15" s="89">
        <f t="shared" si="13"/>
        <v>10909</v>
      </c>
      <c r="L15" s="89">
        <f>L11-L14</f>
        <v>13059</v>
      </c>
      <c r="M15" s="89">
        <f>M11-M14</f>
        <v>12394</v>
      </c>
      <c r="N15" s="89">
        <f>N11-N14</f>
        <v>14365</v>
      </c>
      <c r="O15" s="89">
        <f>O11-O14</f>
        <v>16613</v>
      </c>
      <c r="P15" s="11"/>
      <c r="Q15" s="42" t="s">
        <v>21</v>
      </c>
      <c r="R15" s="43"/>
      <c r="S15" s="44">
        <f t="shared" ref="S15:X15" si="14">(S13-S14)/S13</f>
        <v>0.22787655834866133</v>
      </c>
      <c r="T15" s="44">
        <f t="shared" si="14"/>
        <v>0.3468574800826203</v>
      </c>
      <c r="U15" s="44">
        <f t="shared" si="14"/>
        <v>0.32938013915243514</v>
      </c>
      <c r="V15" s="44">
        <f t="shared" si="14"/>
        <v>0.29597370583401805</v>
      </c>
      <c r="W15" s="44">
        <f t="shared" si="14"/>
        <v>0.36169452140495123</v>
      </c>
      <c r="X15" s="44">
        <f t="shared" si="14"/>
        <v>0.51412865271482311</v>
      </c>
      <c r="Y15" s="44"/>
      <c r="Z15" s="44">
        <f>(Z13-Z14)/Z13</f>
        <v>0.47187500000000004</v>
      </c>
      <c r="AA15" s="18"/>
      <c r="AB15" s="18"/>
    </row>
    <row r="16" spans="1:30" x14ac:dyDescent="0.25">
      <c r="A16" s="6" t="s">
        <v>94</v>
      </c>
      <c r="B16" s="10"/>
      <c r="C16" s="10"/>
      <c r="D16" s="89">
        <f t="shared" ref="D16:K16" si="15">D13-D14-D9</f>
        <v>9396</v>
      </c>
      <c r="E16" s="89">
        <f t="shared" si="15"/>
        <v>11656</v>
      </c>
      <c r="F16" s="89">
        <f t="shared" si="15"/>
        <v>13628</v>
      </c>
      <c r="G16" s="89">
        <f t="shared" si="15"/>
        <v>13645</v>
      </c>
      <c r="H16" s="89">
        <f>H13-H14-H9</f>
        <v>16456</v>
      </c>
      <c r="I16" s="89">
        <f>I13-I14-I9</f>
        <v>22536</v>
      </c>
      <c r="J16" s="89">
        <f t="shared" si="15"/>
        <v>5117</v>
      </c>
      <c r="K16" s="89">
        <f t="shared" si="15"/>
        <v>5089</v>
      </c>
      <c r="L16" s="89">
        <f>L13-L14-L9</f>
        <v>7065</v>
      </c>
      <c r="M16" s="89">
        <f>M13-M14-M9</f>
        <v>5953</v>
      </c>
      <c r="N16" s="89">
        <f>N13-N14-N9</f>
        <v>7024</v>
      </c>
      <c r="O16" s="89">
        <f>O13-O14-O9</f>
        <v>8836</v>
      </c>
      <c r="P16" s="11"/>
      <c r="Q16" s="42" t="s">
        <v>22</v>
      </c>
      <c r="R16" s="43"/>
      <c r="S16" s="44">
        <f t="shared" ref="S16:X16" si="16">D17/AVERAGE(C23:D23)</f>
        <v>2.9787822240652431E-2</v>
      </c>
      <c r="T16" s="44">
        <f t="shared" si="16"/>
        <v>3.1754245517056648E-2</v>
      </c>
      <c r="U16" s="44">
        <f t="shared" si="16"/>
        <v>2.6229901670480012E-2</v>
      </c>
      <c r="V16" s="44">
        <f t="shared" si="16"/>
        <v>1.6697910559817959E-2</v>
      </c>
      <c r="W16" s="44">
        <f t="shared" si="16"/>
        <v>1.1165121712261663E-2</v>
      </c>
      <c r="X16" s="44">
        <f t="shared" si="16"/>
        <v>8.6756010805679427E-3</v>
      </c>
      <c r="Y16" s="18"/>
      <c r="Z16" s="18"/>
      <c r="AA16" s="18"/>
      <c r="AB16" s="18"/>
    </row>
    <row r="17" spans="1:28" x14ac:dyDescent="0.25">
      <c r="A17" s="6" t="s">
        <v>27</v>
      </c>
      <c r="B17" s="7"/>
      <c r="C17" s="7"/>
      <c r="D17" s="88">
        <v>4310</v>
      </c>
      <c r="E17" s="85">
        <v>5216</v>
      </c>
      <c r="F17" s="85">
        <v>5027</v>
      </c>
      <c r="G17" s="85">
        <v>3603</v>
      </c>
      <c r="H17" s="85">
        <v>2963</v>
      </c>
      <c r="I17" s="85">
        <v>2961</v>
      </c>
      <c r="J17" s="85">
        <v>877</v>
      </c>
      <c r="K17" s="85">
        <v>946</v>
      </c>
      <c r="L17" s="85">
        <v>1095</v>
      </c>
      <c r="M17" s="85">
        <v>731</v>
      </c>
      <c r="N17" s="11">
        <v>1295</v>
      </c>
      <c r="O17" s="11">
        <v>1713</v>
      </c>
      <c r="P17" s="11"/>
      <c r="Q17" s="18"/>
      <c r="R17" s="18"/>
      <c r="S17" s="18"/>
      <c r="T17" s="18"/>
      <c r="U17" s="18"/>
      <c r="V17" s="18"/>
      <c r="W17" s="18"/>
      <c r="X17" s="18"/>
      <c r="Y17" s="18"/>
      <c r="Z17" s="18"/>
      <c r="AA17" s="18"/>
      <c r="AB17" s="18"/>
    </row>
    <row r="18" spans="1:28" x14ac:dyDescent="0.25">
      <c r="A18" s="6" t="s">
        <v>55</v>
      </c>
      <c r="B18" s="7"/>
      <c r="C18" s="7"/>
      <c r="D18" s="88">
        <v>3374</v>
      </c>
      <c r="E18" s="85">
        <v>4504</v>
      </c>
      <c r="F18" s="89">
        <v>6476</v>
      </c>
      <c r="G18" s="89">
        <v>7419</v>
      </c>
      <c r="H18" s="89">
        <v>10003</v>
      </c>
      <c r="I18" s="89">
        <v>14710</v>
      </c>
      <c r="J18" s="89">
        <v>3105</v>
      </c>
      <c r="K18" s="89">
        <v>3070</v>
      </c>
      <c r="L18" s="89">
        <v>4428</v>
      </c>
      <c r="M18" s="89">
        <v>4108</v>
      </c>
      <c r="N18" s="11">
        <v>4269</v>
      </c>
      <c r="O18" s="11">
        <v>5130</v>
      </c>
      <c r="P18" s="11"/>
      <c r="Q18" s="40" t="s">
        <v>30</v>
      </c>
      <c r="R18" s="45"/>
      <c r="S18" s="45"/>
      <c r="T18" s="45"/>
      <c r="U18" s="46" t="s">
        <v>5</v>
      </c>
      <c r="V18" s="18"/>
      <c r="W18" s="18"/>
      <c r="X18" s="18"/>
      <c r="Y18" s="18"/>
      <c r="Z18" s="18"/>
      <c r="AA18" s="18"/>
      <c r="AB18" s="18"/>
    </row>
    <row r="19" spans="1:28" ht="22.5" x14ac:dyDescent="0.25">
      <c r="A19" s="6" t="s">
        <v>28</v>
      </c>
      <c r="B19" s="7"/>
      <c r="C19" s="7"/>
      <c r="D19" s="88">
        <v>59475</v>
      </c>
      <c r="E19" s="85">
        <v>64015</v>
      </c>
      <c r="F19" s="85">
        <v>70346</v>
      </c>
      <c r="G19" s="85">
        <v>78488</v>
      </c>
      <c r="H19" s="85">
        <v>88510</v>
      </c>
      <c r="I19" s="85">
        <v>136765</v>
      </c>
      <c r="J19" s="85"/>
      <c r="K19" s="85">
        <v>128025</v>
      </c>
      <c r="L19" s="85"/>
      <c r="M19" s="85">
        <v>136765</v>
      </c>
      <c r="N19" s="11"/>
      <c r="O19" s="11">
        <f>146174-2918-1664</f>
        <v>141592</v>
      </c>
      <c r="P19" s="11"/>
      <c r="Q19" s="46" t="s">
        <v>95</v>
      </c>
      <c r="R19" s="51"/>
      <c r="S19" s="51"/>
      <c r="T19" s="52">
        <f>E16/AVERAGE(D22:E22)</f>
        <v>6.5977234005218863E-2</v>
      </c>
      <c r="U19" s="52">
        <f>F16/AVERAGE(E22:F22)</f>
        <v>6.374926909133434E-2</v>
      </c>
      <c r="V19" s="52">
        <f>G16/AVERAGE(F22:G22)</f>
        <v>5.3828765745259161E-2</v>
      </c>
      <c r="W19" s="52">
        <f>H16/AVERAGE(G22:H22)</f>
        <v>5.3443233614416941E-2</v>
      </c>
      <c r="X19" s="52">
        <f>I16/AVERAGE(H22:I22)</f>
        <v>5.8424665080918523E-2</v>
      </c>
      <c r="Y19" s="18"/>
      <c r="Z19" s="48">
        <v>3.0300000000000001E-2</v>
      </c>
      <c r="AA19" s="18"/>
      <c r="AB19" s="18"/>
    </row>
    <row r="20" spans="1:28" x14ac:dyDescent="0.25">
      <c r="A20" s="6" t="s">
        <v>56</v>
      </c>
      <c r="B20" s="7"/>
      <c r="C20" s="7"/>
      <c r="D20" s="88">
        <f t="shared" ref="D20:K20" si="17">D19-D71</f>
        <v>59475</v>
      </c>
      <c r="E20" s="89">
        <f t="shared" si="17"/>
        <v>64015</v>
      </c>
      <c r="F20" s="89">
        <f t="shared" si="17"/>
        <v>70346</v>
      </c>
      <c r="G20" s="89">
        <f t="shared" si="17"/>
        <v>78488</v>
      </c>
      <c r="H20" s="89">
        <f t="shared" si="17"/>
        <v>88510</v>
      </c>
      <c r="I20" s="89">
        <f t="shared" si="17"/>
        <v>136765</v>
      </c>
      <c r="J20" s="89">
        <f t="shared" si="17"/>
        <v>0</v>
      </c>
      <c r="K20" s="89">
        <f t="shared" si="17"/>
        <v>128025</v>
      </c>
      <c r="L20" s="89"/>
      <c r="M20" s="89">
        <v>136765</v>
      </c>
      <c r="N20" s="11"/>
      <c r="O20" s="11">
        <f>146174-2918-1664</f>
        <v>141592</v>
      </c>
      <c r="P20" s="11"/>
      <c r="Q20" s="42" t="s">
        <v>31</v>
      </c>
      <c r="R20" s="43"/>
      <c r="S20" s="43">
        <v>4.4699999999999997E-2</v>
      </c>
      <c r="T20" s="44">
        <f>E18/AVERAGE(D22:E22)</f>
        <v>2.549429152020468E-2</v>
      </c>
      <c r="U20" s="44">
        <f>F18/AVERAGE(E22:F22)</f>
        <v>3.02935329201263E-2</v>
      </c>
      <c r="V20" s="44">
        <f>G18/AVERAGE(F22:G22)</f>
        <v>2.9267542181317531E-2</v>
      </c>
      <c r="W20" s="44">
        <f>H18/AVERAGE(G22:H22)</f>
        <v>3.2486185333313849E-2</v>
      </c>
      <c r="X20" s="44">
        <f>I18/AVERAGE(H22:I22)</f>
        <v>3.8135730535157591E-2</v>
      </c>
      <c r="Y20" s="48"/>
      <c r="Z20" s="48">
        <v>2.0199999999999999E-2</v>
      </c>
      <c r="AA20" s="18"/>
      <c r="AB20" s="18"/>
    </row>
    <row r="21" spans="1:28" x14ac:dyDescent="0.25">
      <c r="A21" s="6" t="s">
        <v>57</v>
      </c>
      <c r="B21" s="9"/>
      <c r="C21" s="9"/>
      <c r="D21" s="85">
        <f>34013+56482</f>
        <v>90495</v>
      </c>
      <c r="E21" s="85">
        <f>19900+110646</f>
        <v>130546</v>
      </c>
      <c r="F21" s="85">
        <f>17733+129709</f>
        <v>147442</v>
      </c>
      <c r="G21" s="85">
        <f>17150+174197</f>
        <v>191347</v>
      </c>
      <c r="H21" s="85">
        <f>14692+225800</f>
        <v>240492</v>
      </c>
      <c r="I21" s="85">
        <f>19250+270007</f>
        <v>289257</v>
      </c>
      <c r="J21" s="85"/>
      <c r="K21" s="85">
        <f>2188+231020</f>
        <v>233208</v>
      </c>
      <c r="L21" s="85"/>
      <c r="M21" s="85">
        <v>289257</v>
      </c>
      <c r="N21" s="11"/>
      <c r="O21" s="11">
        <f>31043+300765</f>
        <v>331808</v>
      </c>
      <c r="P21" s="11"/>
      <c r="Q21" s="42" t="s">
        <v>32</v>
      </c>
      <c r="R21" s="43"/>
      <c r="S21" s="44">
        <f t="shared" ref="S21:X21" si="18">D18/AVERAGE(C19:D19)</f>
        <v>5.6729718369062633E-2</v>
      </c>
      <c r="T21" s="44">
        <f t="shared" si="18"/>
        <v>7.2945177747186007E-2</v>
      </c>
      <c r="U21" s="44">
        <f t="shared" si="18"/>
        <v>9.6397019968592082E-2</v>
      </c>
      <c r="V21" s="44">
        <f t="shared" si="18"/>
        <v>9.9694962172621845E-2</v>
      </c>
      <c r="W21" s="44">
        <f t="shared" si="18"/>
        <v>0.11979784189032204</v>
      </c>
      <c r="X21" s="44">
        <f t="shared" si="18"/>
        <v>0.13059593829763622</v>
      </c>
      <c r="Y21" s="18"/>
      <c r="Z21" s="18"/>
      <c r="AA21" s="18"/>
      <c r="AB21" s="18"/>
    </row>
    <row r="22" spans="1:28" x14ac:dyDescent="0.25">
      <c r="A22" s="6" t="s">
        <v>29</v>
      </c>
      <c r="B22" s="7"/>
      <c r="C22" s="7"/>
      <c r="D22" s="88">
        <v>153973</v>
      </c>
      <c r="E22" s="85">
        <v>199361</v>
      </c>
      <c r="F22" s="85">
        <v>228189</v>
      </c>
      <c r="G22" s="85">
        <v>278789</v>
      </c>
      <c r="H22" s="85">
        <v>337042</v>
      </c>
      <c r="I22" s="85">
        <v>434413</v>
      </c>
      <c r="J22" s="85"/>
      <c r="K22" s="85">
        <v>368073</v>
      </c>
      <c r="L22" s="85"/>
      <c r="M22" s="85">
        <v>434413</v>
      </c>
      <c r="N22" s="11"/>
      <c r="O22" s="11">
        <v>486851</v>
      </c>
      <c r="P22" s="11"/>
      <c r="Q22" s="40" t="s">
        <v>33</v>
      </c>
      <c r="R22" s="45"/>
      <c r="S22" s="45"/>
      <c r="T22" s="45"/>
      <c r="U22" s="46" t="s">
        <v>5</v>
      </c>
      <c r="V22" s="18"/>
      <c r="W22" s="18"/>
      <c r="X22" s="18"/>
      <c r="Y22" s="18"/>
      <c r="Z22" s="18"/>
      <c r="AA22" s="18"/>
      <c r="AB22" s="18"/>
    </row>
    <row r="23" spans="1:28" x14ac:dyDescent="0.25">
      <c r="A23" s="6" t="s">
        <v>58</v>
      </c>
      <c r="B23" s="7"/>
      <c r="C23" s="7"/>
      <c r="D23" s="88">
        <v>144690</v>
      </c>
      <c r="E23" s="85">
        <v>183833</v>
      </c>
      <c r="F23" s="85">
        <v>199470</v>
      </c>
      <c r="G23" s="85">
        <v>232081</v>
      </c>
      <c r="H23" s="85">
        <v>298679</v>
      </c>
      <c r="I23" s="85">
        <v>383925</v>
      </c>
      <c r="J23" s="85"/>
      <c r="K23" s="85">
        <v>320723</v>
      </c>
      <c r="L23" s="85"/>
      <c r="M23" s="85">
        <v>383925</v>
      </c>
      <c r="N23" s="11"/>
      <c r="O23" s="11">
        <v>427839</v>
      </c>
      <c r="P23" s="11"/>
      <c r="Q23" s="42" t="s">
        <v>34</v>
      </c>
      <c r="R23" s="43"/>
      <c r="S23" s="44">
        <f t="shared" ref="S23:X23" si="19">D6/AVERAGE(C23:D23)</f>
        <v>0.19995162070633768</v>
      </c>
      <c r="T23" s="44">
        <f t="shared" si="19"/>
        <v>0.20232982165632238</v>
      </c>
      <c r="U23" s="44">
        <f t="shared" si="19"/>
        <v>0.18101606301020343</v>
      </c>
      <c r="V23" s="44">
        <f t="shared" si="19"/>
        <v>0.18094732719887105</v>
      </c>
      <c r="W23" s="44">
        <f t="shared" si="19"/>
        <v>0.17761323385334238</v>
      </c>
      <c r="X23" s="44">
        <f t="shared" si="19"/>
        <v>0.17871269432936226</v>
      </c>
      <c r="Y23" s="18"/>
      <c r="Z23" s="18"/>
      <c r="AA23" s="18"/>
      <c r="AB23" s="18"/>
    </row>
    <row r="24" spans="1:28" x14ac:dyDescent="0.25">
      <c r="A24" s="6" t="s">
        <v>59</v>
      </c>
      <c r="B24" s="10"/>
      <c r="C24" s="10"/>
      <c r="D24" s="89">
        <v>4893</v>
      </c>
      <c r="E24" s="89">
        <v>6778</v>
      </c>
      <c r="F24" s="89">
        <v>6324</v>
      </c>
      <c r="G24" s="89">
        <v>6085</v>
      </c>
      <c r="H24" s="89">
        <v>11189</v>
      </c>
      <c r="I24" s="89">
        <v>10369</v>
      </c>
      <c r="J24" s="89"/>
      <c r="K24" s="89"/>
      <c r="L24" s="89"/>
      <c r="M24" s="89">
        <v>10369</v>
      </c>
      <c r="N24" s="11"/>
      <c r="O24" s="11"/>
      <c r="P24" s="11"/>
      <c r="Q24" s="42" t="s">
        <v>35</v>
      </c>
      <c r="R24" s="43"/>
      <c r="S24" s="44">
        <f t="shared" ref="S24:X24" si="20">D9/AVERAGE(C21:D21)</f>
        <v>9.7762307309796126E-2</v>
      </c>
      <c r="T24" s="44">
        <f t="shared" si="20"/>
        <v>0.10829665084758032</v>
      </c>
      <c r="U24" s="44">
        <f t="shared" si="20"/>
        <v>0.10242888182223693</v>
      </c>
      <c r="V24" s="44">
        <f t="shared" si="20"/>
        <v>9.2387887446168562E-2</v>
      </c>
      <c r="W24" s="44">
        <f t="shared" si="20"/>
        <v>9.3372761607914065E-2</v>
      </c>
      <c r="X24" s="44">
        <f t="shared" si="20"/>
        <v>9.2651425486409603E-2</v>
      </c>
      <c r="Y24" s="18"/>
      <c r="Z24" s="18"/>
      <c r="AA24" s="18"/>
      <c r="AB24" s="18"/>
    </row>
    <row r="25" spans="1:28" x14ac:dyDescent="0.25">
      <c r="A25" s="6" t="s">
        <v>60</v>
      </c>
      <c r="B25" s="10"/>
      <c r="C25" s="10"/>
      <c r="D25" s="89">
        <v>3778</v>
      </c>
      <c r="E25" s="89">
        <v>4427</v>
      </c>
      <c r="F25" s="89">
        <v>4241</v>
      </c>
      <c r="G25" s="89">
        <v>4284</v>
      </c>
      <c r="H25" s="89">
        <v>7142</v>
      </c>
      <c r="I25" s="89">
        <v>5038</v>
      </c>
      <c r="J25" s="89"/>
      <c r="K25" s="89"/>
      <c r="L25" s="89"/>
      <c r="M25" s="89">
        <v>5038</v>
      </c>
      <c r="N25" s="11"/>
      <c r="O25" s="11"/>
      <c r="P25" s="11"/>
      <c r="Q25" s="42" t="s">
        <v>36</v>
      </c>
      <c r="R25" s="43"/>
      <c r="S25" s="48">
        <f t="shared" ref="S25:X25" si="21">S23-S24</f>
        <v>0.10218931339654155</v>
      </c>
      <c r="T25" s="48">
        <f t="shared" si="21"/>
        <v>9.4033170808742059E-2</v>
      </c>
      <c r="U25" s="48">
        <f t="shared" si="21"/>
        <v>7.8587181187966496E-2</v>
      </c>
      <c r="V25" s="48">
        <f t="shared" si="21"/>
        <v>8.8559439752702487E-2</v>
      </c>
      <c r="W25" s="48">
        <f t="shared" si="21"/>
        <v>8.4240472245428313E-2</v>
      </c>
      <c r="X25" s="48">
        <f t="shared" si="21"/>
        <v>8.6061268842952662E-2</v>
      </c>
      <c r="Y25" s="18"/>
      <c r="Z25" s="18"/>
      <c r="AA25" s="18"/>
      <c r="AB25" s="18"/>
    </row>
  </sheetData>
  <mergeCells count="2">
    <mergeCell ref="A2:A4"/>
    <mergeCell ref="K1:M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L40"/>
  <sheetViews>
    <sheetView topLeftCell="Y2" workbookViewId="0">
      <selection activeCell="AH21" sqref="AH21"/>
    </sheetView>
  </sheetViews>
  <sheetFormatPr defaultRowHeight="15" x14ac:dyDescent="0.25"/>
  <cols>
    <col min="1" max="1" width="32" customWidth="1"/>
    <col min="4" max="4" width="13" customWidth="1"/>
    <col min="5" max="5" width="11.5703125" customWidth="1"/>
    <col min="6" max="6" width="11.42578125" customWidth="1"/>
    <col min="7" max="9" width="11.140625" customWidth="1"/>
    <col min="10" max="13" width="10.140625" bestFit="1" customWidth="1"/>
    <col min="19" max="19" width="28.85546875" customWidth="1"/>
    <col min="21" max="21" width="13.7109375" customWidth="1"/>
    <col min="22" max="22" width="13.42578125" customWidth="1"/>
    <col min="23" max="23" width="11.85546875" customWidth="1"/>
    <col min="24" max="24" width="12.7109375" customWidth="1"/>
    <col min="25" max="26" width="13.7109375" customWidth="1"/>
    <col min="34" max="34" width="12.5703125" bestFit="1" customWidth="1"/>
    <col min="35" max="35" width="12.5703125" customWidth="1"/>
    <col min="36" max="36" width="40.5703125" customWidth="1"/>
    <col min="37" max="37" width="42.42578125" bestFit="1" customWidth="1"/>
    <col min="38" max="38" width="12.85546875" customWidth="1"/>
  </cols>
  <sheetData>
    <row r="1" spans="1:38" x14ac:dyDescent="0.25">
      <c r="K1" s="772" t="s">
        <v>114</v>
      </c>
      <c r="L1" s="772"/>
      <c r="M1" s="772"/>
      <c r="AJ1" s="430" t="s">
        <v>662</v>
      </c>
      <c r="AK1" s="431" t="s">
        <v>663</v>
      </c>
    </row>
    <row r="2" spans="1:38"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t="s">
        <v>683</v>
      </c>
      <c r="P2" s="11"/>
      <c r="Q2" s="11"/>
      <c r="R2" s="11"/>
      <c r="S2" s="40" t="s">
        <v>6</v>
      </c>
      <c r="T2" s="41" t="s">
        <v>7</v>
      </c>
      <c r="U2" s="41" t="s">
        <v>8</v>
      </c>
      <c r="V2" s="41" t="s">
        <v>9</v>
      </c>
      <c r="W2" s="40" t="s">
        <v>10</v>
      </c>
      <c r="X2" s="41" t="s">
        <v>90</v>
      </c>
      <c r="Y2" s="41" t="s">
        <v>492</v>
      </c>
      <c r="Z2" s="41" t="s">
        <v>622</v>
      </c>
      <c r="AA2" s="40" t="s">
        <v>37</v>
      </c>
      <c r="AB2" s="41" t="s">
        <v>38</v>
      </c>
      <c r="AC2" s="41" t="s">
        <v>39</v>
      </c>
      <c r="AD2" s="41" t="s">
        <v>40</v>
      </c>
      <c r="AF2" s="441" t="s">
        <v>683</v>
      </c>
      <c r="AG2" s="443"/>
      <c r="AJ2" s="774" t="s">
        <v>664</v>
      </c>
      <c r="AK2" s="774"/>
    </row>
    <row r="3" spans="1:38"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t="e">
        <f t="shared" ref="U3:Z3" si="0">D10/AVERAGE(C23:D23)</f>
        <v>#DIV/0!</v>
      </c>
      <c r="V3" s="44">
        <f t="shared" si="0"/>
        <v>2.8049036034005062E-2</v>
      </c>
      <c r="W3" s="44">
        <f t="shared" si="0"/>
        <v>3.4498598935192963E-2</v>
      </c>
      <c r="X3" s="44">
        <f t="shared" si="0"/>
        <v>3.6356412449903723E-2</v>
      </c>
      <c r="Y3" s="44">
        <f t="shared" si="0"/>
        <v>3.5014880849238018E-2</v>
      </c>
      <c r="Z3" s="44">
        <f t="shared" si="0"/>
        <v>3.6457312159917724E-2</v>
      </c>
      <c r="AA3" s="44">
        <f t="shared" ref="AA3:AH3" si="1">(J10*4)/J23</f>
        <v>3.2589674418604657E-2</v>
      </c>
      <c r="AB3" s="44">
        <f t="shared" si="1"/>
        <v>3.4011047413307079E-2</v>
      </c>
      <c r="AC3" s="44">
        <f t="shared" si="1"/>
        <v>3.7260406801822181E-2</v>
      </c>
      <c r="AD3" s="44">
        <f t="shared" si="1"/>
        <v>3.6067536329629446E-2</v>
      </c>
      <c r="AE3" s="44">
        <f t="shared" si="1"/>
        <v>3.2572930939214741E-2</v>
      </c>
      <c r="AF3" s="44">
        <f t="shared" si="1"/>
        <v>3.7295023731089651E-2</v>
      </c>
      <c r="AG3" s="44">
        <f t="shared" si="1"/>
        <v>3.6455793597837342E-2</v>
      </c>
      <c r="AH3" s="44">
        <f t="shared" si="1"/>
        <v>3.7268353249988964E-2</v>
      </c>
      <c r="AI3" s="44"/>
      <c r="AJ3" s="774" t="s">
        <v>665</v>
      </c>
      <c r="AK3" s="774"/>
    </row>
    <row r="4" spans="1:38"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74" t="s">
        <v>666</v>
      </c>
      <c r="AK4" s="774"/>
    </row>
    <row r="5" spans="1:38" x14ac:dyDescent="0.25">
      <c r="A5" s="6" t="s">
        <v>23</v>
      </c>
      <c r="B5" s="7"/>
      <c r="C5" s="8"/>
      <c r="E5">
        <v>33362.9</v>
      </c>
      <c r="F5" s="85">
        <v>37744.870000000003</v>
      </c>
      <c r="G5" s="90">
        <v>38545.4</v>
      </c>
      <c r="H5" s="90">
        <v>39651.75</v>
      </c>
      <c r="I5" s="90">
        <v>46022.559999999998</v>
      </c>
      <c r="J5" s="85">
        <v>10138.94</v>
      </c>
      <c r="K5" s="85">
        <v>11787.33</v>
      </c>
      <c r="L5" s="85">
        <v>11852.5</v>
      </c>
      <c r="M5" s="85">
        <v>12243.69</v>
      </c>
      <c r="N5" s="11">
        <v>10184.89</v>
      </c>
      <c r="O5" s="11">
        <v>11910.1</v>
      </c>
      <c r="P5" s="11">
        <v>13206.57</v>
      </c>
      <c r="Q5" s="11">
        <v>13043.69</v>
      </c>
      <c r="R5" s="11"/>
      <c r="S5" s="42" t="s">
        <v>13</v>
      </c>
      <c r="T5" s="46"/>
      <c r="U5" s="47" t="e">
        <f t="shared" ref="U5:Z5" si="2">D21/D20</f>
        <v>#DIV/0!</v>
      </c>
      <c r="V5" s="47">
        <f t="shared" si="2"/>
        <v>6.8699359425278423</v>
      </c>
      <c r="W5" s="47">
        <f t="shared" si="2"/>
        <v>6.3550202774715459</v>
      </c>
      <c r="X5" s="47">
        <f t="shared" si="2"/>
        <v>5.5169687489258692</v>
      </c>
      <c r="Y5" s="47">
        <f t="shared" si="2"/>
        <v>5.4304350458921951</v>
      </c>
      <c r="Z5" s="47">
        <f t="shared" si="2"/>
        <v>5.4171881487212366</v>
      </c>
      <c r="AA5" s="18"/>
      <c r="AB5" s="18"/>
      <c r="AC5" s="18"/>
      <c r="AD5" s="18"/>
      <c r="AH5" s="236"/>
      <c r="AI5" s="236"/>
      <c r="AJ5" s="775" t="s">
        <v>667</v>
      </c>
      <c r="AK5" s="432" t="s">
        <v>668</v>
      </c>
      <c r="AL5" s="80">
        <v>3.61E-2</v>
      </c>
    </row>
    <row r="6" spans="1:38" x14ac:dyDescent="0.25">
      <c r="A6" s="6" t="s">
        <v>50</v>
      </c>
      <c r="B6" s="7"/>
      <c r="C6" s="8"/>
      <c r="E6">
        <f>32069.35-401.91</f>
        <v>31667.439999999999</v>
      </c>
      <c r="F6" s="85">
        <f>36058.44-331.27</f>
        <v>35727.170000000006</v>
      </c>
      <c r="G6" s="85">
        <f>36780.13-386.71</f>
        <v>36393.42</v>
      </c>
      <c r="H6" s="85">
        <f>37659.34-282.32</f>
        <v>37377.019999999997</v>
      </c>
      <c r="I6" s="85">
        <v>43461.14</v>
      </c>
      <c r="J6" s="85">
        <v>10124.08</v>
      </c>
      <c r="K6" s="85">
        <v>10692.07</v>
      </c>
      <c r="L6" s="85">
        <v>11331.26</v>
      </c>
      <c r="M6" s="85">
        <v>11493.73</v>
      </c>
      <c r="N6" s="11">
        <v>9616.68</v>
      </c>
      <c r="O6" s="11">
        <v>11827.03</v>
      </c>
      <c r="P6" s="11">
        <v>11908.98</v>
      </c>
      <c r="Q6" s="11">
        <v>12417.22</v>
      </c>
      <c r="R6" s="11"/>
      <c r="S6" s="42" t="s">
        <v>14</v>
      </c>
      <c r="T6" s="43"/>
      <c r="U6" s="43"/>
      <c r="V6" s="43">
        <v>0.1696</v>
      </c>
      <c r="W6" s="43">
        <v>0.1883</v>
      </c>
      <c r="X6" s="48">
        <v>0.23480000000000001</v>
      </c>
      <c r="Y6" s="48">
        <v>0.2437</v>
      </c>
      <c r="Z6" s="48">
        <v>0.25409999999999999</v>
      </c>
      <c r="AA6" s="48">
        <v>0.25080000000000002</v>
      </c>
      <c r="AB6" s="48">
        <v>0.24859999999999999</v>
      </c>
      <c r="AC6" s="48">
        <v>0.26860000000000001</v>
      </c>
      <c r="AD6" s="48">
        <v>0.25409999999999999</v>
      </c>
      <c r="AF6" s="80">
        <v>0.27100000000000002</v>
      </c>
      <c r="AG6" s="80">
        <v>0.24379999999999999</v>
      </c>
      <c r="AH6" s="80">
        <v>0.24149999999999999</v>
      </c>
      <c r="AJ6" s="775"/>
      <c r="AK6" s="432" t="s">
        <v>669</v>
      </c>
      <c r="AL6" s="80">
        <v>3.2599999999999997E-2</v>
      </c>
    </row>
    <row r="7" spans="1:38"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3">D20/D23</f>
        <v>#DIV/0!</v>
      </c>
      <c r="V7" s="44">
        <f t="shared" si="3"/>
        <v>0.12907866722515618</v>
      </c>
      <c r="W7" s="44">
        <f t="shared" si="3"/>
        <v>0.13909720220741204</v>
      </c>
      <c r="X7" s="44">
        <f t="shared" si="3"/>
        <v>0.15692786037817347</v>
      </c>
      <c r="Y7" s="44">
        <f t="shared" si="3"/>
        <v>0.15977889104986806</v>
      </c>
      <c r="Z7" s="44">
        <f t="shared" si="3"/>
        <v>0.18034262953227892</v>
      </c>
      <c r="AA7" s="18"/>
      <c r="AB7" s="18"/>
      <c r="AC7" s="18"/>
      <c r="AD7" s="18"/>
      <c r="AJ7" s="775"/>
      <c r="AK7" s="432" t="s">
        <v>670</v>
      </c>
      <c r="AL7" s="80">
        <v>3.73E-2</v>
      </c>
    </row>
    <row r="8" spans="1:38" x14ac:dyDescent="0.25">
      <c r="A8" s="6" t="s">
        <v>52</v>
      </c>
      <c r="B8" s="7"/>
      <c r="C8" s="8"/>
      <c r="D8" s="85">
        <f t="shared" ref="D8:Q8" si="4">D5-D6-D7</f>
        <v>0</v>
      </c>
      <c r="E8" s="85">
        <f t="shared" si="4"/>
        <v>1695.4600000000028</v>
      </c>
      <c r="F8" s="85">
        <f t="shared" si="4"/>
        <v>2017.6999999999971</v>
      </c>
      <c r="G8" s="85">
        <f t="shared" si="4"/>
        <v>2151.9800000000032</v>
      </c>
      <c r="H8" s="85">
        <f t="shared" si="4"/>
        <v>2274.7300000000032</v>
      </c>
      <c r="I8" s="85">
        <f t="shared" si="4"/>
        <v>2561.4199999999983</v>
      </c>
      <c r="J8" s="85">
        <f t="shared" si="4"/>
        <v>14.860000000000582</v>
      </c>
      <c r="K8" s="85">
        <f t="shared" si="4"/>
        <v>1095.2600000000002</v>
      </c>
      <c r="L8" s="85">
        <f t="shared" si="4"/>
        <v>521.23999999999978</v>
      </c>
      <c r="M8" s="85">
        <f t="shared" si="4"/>
        <v>749.96000000000095</v>
      </c>
      <c r="N8" s="85">
        <f t="shared" si="4"/>
        <v>568.20999999999913</v>
      </c>
      <c r="O8" s="85">
        <f t="shared" si="4"/>
        <v>83.069999999999709</v>
      </c>
      <c r="P8" s="85">
        <f t="shared" si="4"/>
        <v>1297.5900000000001</v>
      </c>
      <c r="Q8" s="85">
        <f t="shared" si="4"/>
        <v>626.47000000000116</v>
      </c>
      <c r="R8" s="11"/>
      <c r="S8" s="40" t="s">
        <v>16</v>
      </c>
      <c r="T8" s="45"/>
      <c r="U8" s="45"/>
      <c r="V8" s="45"/>
      <c r="W8" s="46" t="s">
        <v>5</v>
      </c>
      <c r="X8" s="18"/>
      <c r="Y8" s="18"/>
      <c r="Z8" s="18"/>
      <c r="AA8" s="18"/>
      <c r="AB8" s="18"/>
      <c r="AC8" s="18"/>
      <c r="AD8" s="18"/>
      <c r="AJ8" s="775"/>
      <c r="AK8" s="432" t="s">
        <v>671</v>
      </c>
      <c r="AL8" s="80">
        <v>3.6200000000000003E-2</v>
      </c>
    </row>
    <row r="9" spans="1:38" ht="33.75" x14ac:dyDescent="0.25">
      <c r="A9" s="6" t="s">
        <v>24</v>
      </c>
      <c r="B9" s="7"/>
      <c r="C9" s="7"/>
      <c r="D9" s="88"/>
      <c r="E9" s="85">
        <v>21853.19</v>
      </c>
      <c r="F9" s="85">
        <v>23194.49</v>
      </c>
      <c r="G9" s="85">
        <v>22671.3</v>
      </c>
      <c r="H9" s="85">
        <v>23282.57</v>
      </c>
      <c r="I9" s="85">
        <v>28013.78</v>
      </c>
      <c r="J9" s="85">
        <v>6620.69</v>
      </c>
      <c r="K9" s="85">
        <v>6963.14</v>
      </c>
      <c r="L9" s="85">
        <v>7173.51</v>
      </c>
      <c r="M9" s="85">
        <v>7256.44</v>
      </c>
      <c r="N9" s="11">
        <v>6140.71</v>
      </c>
      <c r="O9" s="11">
        <v>7499.01</v>
      </c>
      <c r="P9" s="11">
        <v>7500.68</v>
      </c>
      <c r="Q9" s="11">
        <v>7723.05</v>
      </c>
      <c r="R9" s="11"/>
      <c r="S9" s="49" t="s">
        <v>93</v>
      </c>
      <c r="T9" s="45"/>
      <c r="U9" s="93" t="e">
        <f t="shared" ref="U9:Z9" si="5">D14/(D11-D9)</f>
        <v>#DIV/0!</v>
      </c>
      <c r="V9" s="93">
        <f t="shared" si="5"/>
        <v>0.2027948575593998</v>
      </c>
      <c r="W9" s="93">
        <f t="shared" si="5"/>
        <v>2.4014493092276629E-2</v>
      </c>
      <c r="X9" s="93">
        <f t="shared" si="5"/>
        <v>9.320213429422769E-2</v>
      </c>
      <c r="Y9" s="93">
        <f t="shared" si="5"/>
        <v>0.15756500936516063</v>
      </c>
      <c r="Z9" s="93">
        <f t="shared" si="5"/>
        <v>3.5801425748995773E-2</v>
      </c>
      <c r="AA9" s="18"/>
      <c r="AB9" s="18"/>
      <c r="AC9" s="18"/>
      <c r="AD9" s="18"/>
      <c r="AJ9" s="775" t="s">
        <v>672</v>
      </c>
      <c r="AK9" s="432" t="s">
        <v>668</v>
      </c>
      <c r="AL9" s="220">
        <v>4135.45</v>
      </c>
    </row>
    <row r="10" spans="1:38" ht="22.5" x14ac:dyDescent="0.25">
      <c r="A10" s="6" t="s">
        <v>53</v>
      </c>
      <c r="B10" s="10">
        <f t="shared" ref="B10:J10" si="6">B6-B9</f>
        <v>0</v>
      </c>
      <c r="C10" s="10">
        <f t="shared" si="6"/>
        <v>0</v>
      </c>
      <c r="D10" s="89">
        <f t="shared" si="6"/>
        <v>0</v>
      </c>
      <c r="E10" s="89">
        <f t="shared" si="6"/>
        <v>9814.25</v>
      </c>
      <c r="F10" s="89">
        <f t="shared" si="6"/>
        <v>12532.680000000004</v>
      </c>
      <c r="G10" s="89">
        <f t="shared" si="6"/>
        <v>13722.119999999999</v>
      </c>
      <c r="H10" s="89">
        <f>H6-H9</f>
        <v>14094.449999999997</v>
      </c>
      <c r="I10" s="89">
        <f>I6-I9</f>
        <v>15447.36</v>
      </c>
      <c r="J10" s="89">
        <f t="shared" si="6"/>
        <v>3503.3900000000003</v>
      </c>
      <c r="K10" s="89">
        <f t="shared" ref="K10:P10" si="7">K6-K9</f>
        <v>3728.9299999999994</v>
      </c>
      <c r="L10" s="89">
        <f t="shared" si="7"/>
        <v>4157.75</v>
      </c>
      <c r="M10" s="89">
        <f t="shared" si="7"/>
        <v>4237.29</v>
      </c>
      <c r="N10" s="89">
        <f t="shared" si="7"/>
        <v>3475.9700000000003</v>
      </c>
      <c r="O10" s="89">
        <f t="shared" si="7"/>
        <v>4328.0200000000004</v>
      </c>
      <c r="P10" s="89">
        <f t="shared" si="7"/>
        <v>4408.2999999999993</v>
      </c>
      <c r="Q10" s="89">
        <f t="shared" ref="Q10" si="8">Q6-Q9</f>
        <v>4694.1699999999992</v>
      </c>
      <c r="R10" s="11"/>
      <c r="S10" s="42" t="s">
        <v>92</v>
      </c>
      <c r="T10" s="43"/>
      <c r="U10" s="44" t="e">
        <f t="shared" ref="U10:Z10" si="9">D14/D11</f>
        <v>#DIV/0!</v>
      </c>
      <c r="V10" s="44">
        <f t="shared" si="9"/>
        <v>6.9961244376238282E-2</v>
      </c>
      <c r="W10" s="44">
        <f t="shared" si="9"/>
        <v>9.2574169681866707E-3</v>
      </c>
      <c r="X10" s="44">
        <f t="shared" si="9"/>
        <v>3.8383309032984481E-2</v>
      </c>
      <c r="Y10" s="44">
        <f t="shared" si="9"/>
        <v>6.5046561627166516E-2</v>
      </c>
      <c r="Z10" s="44">
        <f t="shared" si="9"/>
        <v>1.4009216349546832E-2</v>
      </c>
      <c r="AA10" s="18"/>
      <c r="AB10" s="18"/>
      <c r="AC10" s="18"/>
      <c r="AD10" s="18"/>
      <c r="AJ10" s="775"/>
      <c r="AK10" s="432" t="s">
        <v>670</v>
      </c>
      <c r="AL10" s="220">
        <v>3377.2</v>
      </c>
    </row>
    <row r="11" spans="1:38" ht="22.5" x14ac:dyDescent="0.25">
      <c r="A11" s="6" t="s">
        <v>1</v>
      </c>
      <c r="B11" s="10">
        <f>B5-B9</f>
        <v>0</v>
      </c>
      <c r="C11" s="10">
        <f t="shared" ref="C11:J11" si="10">SUM(C6:C8)</f>
        <v>0</v>
      </c>
      <c r="D11" s="89">
        <f t="shared" si="10"/>
        <v>0</v>
      </c>
      <c r="E11" s="89">
        <f t="shared" si="10"/>
        <v>33362.9</v>
      </c>
      <c r="F11" s="89">
        <f>SUM(F6:F8)</f>
        <v>37744.870000000003</v>
      </c>
      <c r="G11" s="89">
        <f>SUM(G6:G8)</f>
        <v>38545.4</v>
      </c>
      <c r="H11" s="89">
        <f>SUM(H6:H8)</f>
        <v>39651.75</v>
      </c>
      <c r="I11" s="89">
        <f>SUM(I6:I8)</f>
        <v>46022.559999999998</v>
      </c>
      <c r="J11" s="89">
        <f t="shared" si="10"/>
        <v>10138.94</v>
      </c>
      <c r="K11" s="89">
        <f t="shared" ref="K11:P11" si="11">SUM(K6:K8)</f>
        <v>11787.33</v>
      </c>
      <c r="L11" s="89">
        <f t="shared" si="11"/>
        <v>11852.5</v>
      </c>
      <c r="M11" s="89">
        <f t="shared" si="11"/>
        <v>12243.69</v>
      </c>
      <c r="N11" s="89">
        <f t="shared" si="11"/>
        <v>10184.89</v>
      </c>
      <c r="O11" s="89">
        <f t="shared" si="11"/>
        <v>11910.1</v>
      </c>
      <c r="P11" s="89">
        <f t="shared" si="11"/>
        <v>13206.57</v>
      </c>
      <c r="Q11" s="89">
        <f t="shared" ref="Q11" si="12">SUM(Q6:Q8)</f>
        <v>13043.69</v>
      </c>
      <c r="R11" s="11"/>
      <c r="S11" s="42" t="s">
        <v>17</v>
      </c>
      <c r="T11" s="43"/>
      <c r="U11" s="44" t="e">
        <f t="shared" ref="U11:Z11" si="13">D14/AVERAGE(C22:D22)</f>
        <v>#DIV/0!</v>
      </c>
      <c r="V11" s="44">
        <f t="shared" si="13"/>
        <v>6.4516091583766665E-3</v>
      </c>
      <c r="W11" s="44">
        <f t="shared" si="13"/>
        <v>9.2700169404240373E-4</v>
      </c>
      <c r="X11" s="44">
        <f t="shared" si="13"/>
        <v>3.7622660808839144E-3</v>
      </c>
      <c r="Y11" s="44">
        <f t="shared" si="13"/>
        <v>6.14651485891924E-3</v>
      </c>
      <c r="Z11" s="44">
        <f t="shared" si="13"/>
        <v>1.3567531533847065E-3</v>
      </c>
      <c r="AA11" s="18"/>
      <c r="AB11" s="18"/>
      <c r="AC11" s="18"/>
      <c r="AD11" s="18"/>
      <c r="AJ11" s="775"/>
      <c r="AK11" s="432" t="s">
        <v>673</v>
      </c>
      <c r="AL11" s="220">
        <v>3847.43</v>
      </c>
    </row>
    <row r="12" spans="1:38" x14ac:dyDescent="0.25">
      <c r="A12" s="6" t="s">
        <v>91</v>
      </c>
      <c r="B12" s="10"/>
      <c r="C12" s="10"/>
      <c r="D12" s="89"/>
      <c r="E12" s="89">
        <v>8.16</v>
      </c>
      <c r="F12" s="89">
        <v>21.7</v>
      </c>
      <c r="G12" s="89">
        <v>45.77</v>
      </c>
      <c r="H12" s="89">
        <v>13.88</v>
      </c>
      <c r="I12" s="89">
        <v>11.64</v>
      </c>
      <c r="J12" s="89">
        <v>3.24</v>
      </c>
      <c r="K12" s="89">
        <v>1.1599999999999999</v>
      </c>
      <c r="L12" s="89">
        <v>1.83</v>
      </c>
      <c r="M12" s="89">
        <v>5.41</v>
      </c>
      <c r="N12" s="11">
        <v>1.34</v>
      </c>
      <c r="O12" s="11">
        <v>6.14</v>
      </c>
      <c r="P12" s="11">
        <v>8.74</v>
      </c>
      <c r="Q12" s="11">
        <v>8.84</v>
      </c>
      <c r="R12" s="11"/>
      <c r="S12" s="40" t="s">
        <v>18</v>
      </c>
      <c r="T12" s="45"/>
      <c r="U12" s="45"/>
      <c r="V12" s="45"/>
      <c r="W12" s="46" t="s">
        <v>5</v>
      </c>
      <c r="X12" s="18"/>
      <c r="Y12" s="18"/>
      <c r="Z12" s="18"/>
      <c r="AA12" s="18"/>
      <c r="AB12" s="18"/>
      <c r="AC12" s="53"/>
      <c r="AD12" s="54"/>
      <c r="AJ12" s="775"/>
      <c r="AK12" s="432" t="s">
        <v>674</v>
      </c>
      <c r="AL12" s="220">
        <v>3006.94</v>
      </c>
    </row>
    <row r="13" spans="1:38" x14ac:dyDescent="0.25">
      <c r="A13" s="6" t="s">
        <v>25</v>
      </c>
      <c r="B13" s="7"/>
      <c r="C13" s="7"/>
      <c r="D13" s="88">
        <f t="shared" ref="D13:Q13" si="14">D11+D12</f>
        <v>0</v>
      </c>
      <c r="E13" s="88">
        <f t="shared" si="14"/>
        <v>33371.060000000005</v>
      </c>
      <c r="F13" s="88">
        <f t="shared" si="14"/>
        <v>37766.57</v>
      </c>
      <c r="G13" s="88">
        <f t="shared" si="14"/>
        <v>38591.17</v>
      </c>
      <c r="H13" s="88">
        <f t="shared" si="14"/>
        <v>39665.629999999997</v>
      </c>
      <c r="I13" s="88">
        <f t="shared" si="14"/>
        <v>46034.2</v>
      </c>
      <c r="J13" s="88">
        <f t="shared" si="14"/>
        <v>10142.18</v>
      </c>
      <c r="K13" s="88">
        <f t="shared" si="14"/>
        <v>11788.49</v>
      </c>
      <c r="L13" s="88">
        <f t="shared" si="14"/>
        <v>11854.33</v>
      </c>
      <c r="M13" s="88">
        <f t="shared" si="14"/>
        <v>12249.1</v>
      </c>
      <c r="N13" s="88">
        <f t="shared" si="14"/>
        <v>10186.23</v>
      </c>
      <c r="O13" s="88">
        <f t="shared" si="14"/>
        <v>11916.24</v>
      </c>
      <c r="P13" s="88">
        <f t="shared" si="14"/>
        <v>13215.31</v>
      </c>
      <c r="Q13" s="88">
        <f t="shared" si="14"/>
        <v>13052.53</v>
      </c>
      <c r="R13" s="11"/>
      <c r="S13" s="42" t="s">
        <v>19</v>
      </c>
      <c r="T13" s="43"/>
      <c r="U13" s="44" t="e">
        <f t="shared" ref="U13:Z13" si="15">D24/D23</f>
        <v>#DIV/0!</v>
      </c>
      <c r="V13" s="44">
        <f t="shared" si="15"/>
        <v>7.9657061683672106E-2</v>
      </c>
      <c r="W13" s="44">
        <f t="shared" si="15"/>
        <v>5.6151038194310963E-2</v>
      </c>
      <c r="X13" s="44">
        <f t="shared" si="15"/>
        <v>5.5302016091759026E-2</v>
      </c>
      <c r="Y13" s="44">
        <f t="shared" si="15"/>
        <v>3.8658784873941157E-2</v>
      </c>
      <c r="Z13" s="44">
        <f t="shared" si="15"/>
        <v>0</v>
      </c>
      <c r="AA13" s="48">
        <v>3.8199999999999998E-2</v>
      </c>
      <c r="AB13" s="48">
        <v>3.6700000000000003E-2</v>
      </c>
      <c r="AC13" s="48">
        <v>3.5200000000000002E-2</v>
      </c>
      <c r="AD13" s="48">
        <v>3.3399999999999999E-2</v>
      </c>
      <c r="AF13" s="80">
        <v>3.3799999999999997E-2</v>
      </c>
      <c r="AG13" s="80">
        <v>2.7099999999999999E-2</v>
      </c>
      <c r="AH13" s="80">
        <v>2.6800000000000001E-2</v>
      </c>
      <c r="AJ13" s="775"/>
      <c r="AK13" s="432" t="s">
        <v>675</v>
      </c>
      <c r="AL13" s="220">
        <v>14637.02</v>
      </c>
    </row>
    <row r="14" spans="1:38" x14ac:dyDescent="0.25">
      <c r="A14" s="6" t="s">
        <v>26</v>
      </c>
      <c r="B14" s="7"/>
      <c r="C14" s="7"/>
      <c r="D14" s="85"/>
      <c r="E14" s="85">
        <f>2633.42+10.76-699.05+193.82+9.1+97.15+88.91</f>
        <v>2334.11</v>
      </c>
      <c r="F14" s="85">
        <f>70.8+222.61+11.17+194.62+14.28-164.06</f>
        <v>349.42</v>
      </c>
      <c r="G14" s="85">
        <f>10.18+213.11+13.2+214.72+122.71+905.58</f>
        <v>1479.5</v>
      </c>
      <c r="H14" s="85">
        <f>12.06+219.01+19.06+225.3+128.55+1975.23</f>
        <v>2579.21</v>
      </c>
      <c r="I14" s="85">
        <f>242.72+18.4+217.51+166.11</f>
        <v>644.74</v>
      </c>
      <c r="J14" s="85">
        <f>4.62+58.06+3.64+3.01+32.46</f>
        <v>101.78999999999999</v>
      </c>
      <c r="K14" s="85">
        <f>6.15+63.39+3.94+2.31+38.46</f>
        <v>114.25</v>
      </c>
      <c r="L14" s="85">
        <f>2.19+63.66+5.11+5.13+33.88</f>
        <v>109.97</v>
      </c>
      <c r="M14" s="85">
        <f>11.44+57.61+5.71+61.31</f>
        <v>136.07</v>
      </c>
      <c r="N14" s="11">
        <f>53.03+5.18+144.02+48.78</f>
        <v>251.01000000000002</v>
      </c>
      <c r="O14" s="11">
        <f>5.39+62.87+3.68+1.52+28.16</f>
        <v>101.61999999999999</v>
      </c>
      <c r="P14" s="11">
        <f>4.99+58.94+4.29+127.38+39.88</f>
        <v>235.48</v>
      </c>
      <c r="Q14" s="11">
        <f>10.04+64.04+5.41+64.84+38.91</f>
        <v>183.24</v>
      </c>
      <c r="R14" s="11"/>
      <c r="S14" s="42" t="s">
        <v>20</v>
      </c>
      <c r="T14" s="43"/>
      <c r="U14" s="44" t="e">
        <f t="shared" ref="U14:Z14" si="16">D25/D23</f>
        <v>#DIV/0!</v>
      </c>
      <c r="V14" s="44">
        <f t="shared" si="16"/>
        <v>3.7506098952329175E-2</v>
      </c>
      <c r="W14" s="44">
        <f t="shared" si="16"/>
        <v>2.0532274894712953E-2</v>
      </c>
      <c r="X14" s="44">
        <f t="shared" si="16"/>
        <v>1.7374092889855617E-2</v>
      </c>
      <c r="Y14" s="44">
        <f t="shared" si="16"/>
        <v>1.054756872036427E-2</v>
      </c>
      <c r="Z14" s="44">
        <f t="shared" si="16"/>
        <v>0</v>
      </c>
      <c r="AA14" s="48">
        <v>1.04E-2</v>
      </c>
      <c r="AB14" s="48">
        <v>0.01</v>
      </c>
      <c r="AC14" s="48">
        <v>8.9999999999999993E-3</v>
      </c>
      <c r="AD14" s="48">
        <v>8.5000000000000006E-3</v>
      </c>
      <c r="AF14" s="80">
        <v>8.6999999999999994E-3</v>
      </c>
      <c r="AG14" s="80">
        <v>7.1999999999999998E-3</v>
      </c>
      <c r="AH14" s="80">
        <v>7.1000000000000004E-3</v>
      </c>
      <c r="AJ14" s="775" t="s">
        <v>676</v>
      </c>
      <c r="AK14" s="432" t="s">
        <v>668</v>
      </c>
      <c r="AL14" s="80">
        <v>3.3399999999999999E-2</v>
      </c>
    </row>
    <row r="15" spans="1:38" x14ac:dyDescent="0.25">
      <c r="A15" s="6" t="s">
        <v>54</v>
      </c>
      <c r="B15" s="10"/>
      <c r="C15" s="10"/>
      <c r="D15" s="89">
        <f t="shared" ref="D15:K15" si="17">D11-D14</f>
        <v>0</v>
      </c>
      <c r="E15" s="89">
        <f t="shared" si="17"/>
        <v>31028.79</v>
      </c>
      <c r="F15" s="89">
        <f t="shared" si="17"/>
        <v>37395.450000000004</v>
      </c>
      <c r="G15" s="89">
        <f t="shared" si="17"/>
        <v>37065.9</v>
      </c>
      <c r="H15" s="89">
        <f>H11-H14</f>
        <v>37072.54</v>
      </c>
      <c r="I15" s="89">
        <f>I11-I14</f>
        <v>45377.82</v>
      </c>
      <c r="J15" s="89">
        <f t="shared" si="17"/>
        <v>10037.15</v>
      </c>
      <c r="K15" s="89">
        <f t="shared" si="17"/>
        <v>11673.08</v>
      </c>
      <c r="L15" s="89">
        <f t="shared" ref="L15:Q15" si="18">L11-L14</f>
        <v>11742.53</v>
      </c>
      <c r="M15" s="89">
        <f t="shared" si="18"/>
        <v>12107.62</v>
      </c>
      <c r="N15" s="89">
        <f t="shared" si="18"/>
        <v>9933.8799999999992</v>
      </c>
      <c r="O15" s="89">
        <f t="shared" si="18"/>
        <v>11808.48</v>
      </c>
      <c r="P15" s="89">
        <f t="shared" si="18"/>
        <v>12971.09</v>
      </c>
      <c r="Q15" s="89">
        <f t="shared" si="18"/>
        <v>12860.45</v>
      </c>
      <c r="R15" s="11"/>
      <c r="S15" s="42" t="s">
        <v>21</v>
      </c>
      <c r="T15" s="43"/>
      <c r="U15" s="44" t="e">
        <f t="shared" ref="U15:AA15" si="19">(U13-U14)/U13</f>
        <v>#DIV/0!</v>
      </c>
      <c r="V15" s="44">
        <f t="shared" si="19"/>
        <v>0.52915537982971983</v>
      </c>
      <c r="W15" s="44">
        <f t="shared" si="19"/>
        <v>0.6343384636333721</v>
      </c>
      <c r="X15" s="44">
        <f t="shared" si="19"/>
        <v>0.6858325587799925</v>
      </c>
      <c r="Y15" s="44">
        <f t="shared" si="19"/>
        <v>0.72716243527162439</v>
      </c>
      <c r="Z15" s="44" t="e">
        <f>(Z13-Z14)/Z13</f>
        <v>#DIV/0!</v>
      </c>
      <c r="AA15" s="44">
        <f t="shared" si="19"/>
        <v>0.72774869109947649</v>
      </c>
      <c r="AB15" s="18"/>
      <c r="AC15" s="18"/>
      <c r="AD15" s="18"/>
      <c r="AJ15" s="775"/>
      <c r="AK15" s="432" t="s">
        <v>670</v>
      </c>
      <c r="AL15" s="80">
        <v>3.5200000000000002E-2</v>
      </c>
    </row>
    <row r="16" spans="1:38" x14ac:dyDescent="0.25">
      <c r="A16" s="6" t="s">
        <v>94</v>
      </c>
      <c r="B16" s="10"/>
      <c r="C16" s="10"/>
      <c r="D16" s="89">
        <f t="shared" ref="D16:K16" si="20">D13-D14-D9</f>
        <v>0</v>
      </c>
      <c r="E16" s="89">
        <f t="shared" si="20"/>
        <v>9183.7600000000057</v>
      </c>
      <c r="F16" s="89">
        <f t="shared" si="20"/>
        <v>14222.66</v>
      </c>
      <c r="G16" s="89">
        <f t="shared" si="20"/>
        <v>14440.369999999999</v>
      </c>
      <c r="H16" s="89">
        <f>H13-H14-H9</f>
        <v>13803.849999999999</v>
      </c>
      <c r="I16" s="89">
        <f>I13-I14-I9</f>
        <v>17375.68</v>
      </c>
      <c r="J16" s="89">
        <f t="shared" si="20"/>
        <v>3419.7</v>
      </c>
      <c r="K16" s="89">
        <f t="shared" si="20"/>
        <v>4711.0999999999995</v>
      </c>
      <c r="L16" s="89">
        <f t="shared" ref="L16:Q16" si="21">L13-L14-L9</f>
        <v>4570.8500000000004</v>
      </c>
      <c r="M16" s="89">
        <f t="shared" si="21"/>
        <v>4856.5900000000011</v>
      </c>
      <c r="N16" s="89">
        <f t="shared" si="21"/>
        <v>3794.5099999999993</v>
      </c>
      <c r="O16" s="89">
        <f t="shared" si="21"/>
        <v>4315.6099999999988</v>
      </c>
      <c r="P16" s="89">
        <f t="shared" si="21"/>
        <v>5479.15</v>
      </c>
      <c r="Q16" s="89">
        <f t="shared" si="21"/>
        <v>5146.2400000000007</v>
      </c>
      <c r="R16" s="11"/>
      <c r="S16" s="42" t="s">
        <v>22</v>
      </c>
      <c r="T16" s="43"/>
      <c r="U16" s="44" t="e">
        <f t="shared" ref="U16:Z16" si="22">D17/AVERAGE(C23:D23)</f>
        <v>#DIV/0!</v>
      </c>
      <c r="V16" s="44">
        <f t="shared" si="22"/>
        <v>2.8328976231119544E-3</v>
      </c>
      <c r="W16" s="44">
        <f t="shared" si="22"/>
        <v>9.6245097869736267E-3</v>
      </c>
      <c r="X16" s="44">
        <f t="shared" si="22"/>
        <v>5.8875041437787354E-3</v>
      </c>
      <c r="Y16" s="44">
        <f t="shared" si="22"/>
        <v>-7.3587531662127963E-4</v>
      </c>
      <c r="Z16" s="44">
        <f t="shared" si="22"/>
        <v>-4.0393109088995908E-4</v>
      </c>
      <c r="AA16" s="44">
        <f t="shared" ref="AA16:AH16" si="23">(J17*4)/J23</f>
        <v>1.9999999999999998E-5</v>
      </c>
      <c r="AB16" s="44">
        <f t="shared" si="23"/>
        <v>-9.018706085198178E-4</v>
      </c>
      <c r="AC16" s="44">
        <f t="shared" si="23"/>
        <v>2.3533360173551812E-3</v>
      </c>
      <c r="AD16" s="44">
        <f t="shared" si="23"/>
        <v>-2.8686922759149631E-3</v>
      </c>
      <c r="AE16" s="44">
        <f t="shared" si="23"/>
        <v>-4.6310936142026325E-3</v>
      </c>
      <c r="AF16" s="44">
        <f t="shared" si="23"/>
        <v>5.344331522964727E-4</v>
      </c>
      <c r="AG16" s="44">
        <f t="shared" si="23"/>
        <v>-1.0262831444075072E-3</v>
      </c>
      <c r="AH16" s="44">
        <f t="shared" si="23"/>
        <v>5.9131794333379026E-4</v>
      </c>
      <c r="AI16" s="44"/>
      <c r="AJ16" s="775"/>
      <c r="AK16" s="432" t="s">
        <v>669</v>
      </c>
      <c r="AL16" s="80">
        <v>3.8699999999999998E-2</v>
      </c>
    </row>
    <row r="17" spans="1:38" x14ac:dyDescent="0.25">
      <c r="A17" s="6" t="s">
        <v>27</v>
      </c>
      <c r="B17" s="7"/>
      <c r="C17" s="7"/>
      <c r="D17" s="88"/>
      <c r="E17" s="85">
        <v>991.22</v>
      </c>
      <c r="F17" s="85">
        <v>3496.4</v>
      </c>
      <c r="G17" s="85">
        <v>2222.14</v>
      </c>
      <c r="H17" s="85">
        <v>-296.20999999999998</v>
      </c>
      <c r="I17" s="85">
        <v>-171.15</v>
      </c>
      <c r="J17" s="85">
        <v>2.15</v>
      </c>
      <c r="K17" s="85">
        <v>-98.88</v>
      </c>
      <c r="L17" s="85">
        <v>262.60000000000002</v>
      </c>
      <c r="M17" s="85">
        <v>-337.02</v>
      </c>
      <c r="N17" s="11">
        <v>-494.2</v>
      </c>
      <c r="O17" s="11">
        <v>62.02</v>
      </c>
      <c r="P17" s="11">
        <v>-124.1</v>
      </c>
      <c r="Q17" s="11">
        <v>74.48</v>
      </c>
      <c r="R17" s="11"/>
      <c r="S17" s="18"/>
      <c r="T17" s="18"/>
      <c r="U17" s="18"/>
      <c r="V17" s="18"/>
      <c r="W17" s="18"/>
      <c r="X17" s="18"/>
      <c r="Y17" s="18"/>
      <c r="Z17" s="18"/>
      <c r="AA17" s="18"/>
      <c r="AB17" s="18"/>
      <c r="AC17" s="18"/>
      <c r="AD17" s="18"/>
      <c r="AJ17" s="433" t="s">
        <v>677</v>
      </c>
      <c r="AK17" s="432" t="s">
        <v>668</v>
      </c>
      <c r="AL17" s="80">
        <v>8.5000000000000006E-3</v>
      </c>
    </row>
    <row r="18" spans="1:38" x14ac:dyDescent="0.25">
      <c r="A18" s="6" t="s">
        <v>55</v>
      </c>
      <c r="B18" s="7"/>
      <c r="C18" s="7"/>
      <c r="D18" s="88"/>
      <c r="E18" s="85">
        <v>5655.14</v>
      </c>
      <c r="F18" s="89">
        <v>8444.01</v>
      </c>
      <c r="G18" s="89">
        <v>10021.9</v>
      </c>
      <c r="H18" s="89">
        <v>11605.47</v>
      </c>
      <c r="I18" s="89">
        <v>14637.02</v>
      </c>
      <c r="J18" s="89">
        <v>3006.94</v>
      </c>
      <c r="K18" s="89">
        <v>3847.43</v>
      </c>
      <c r="L18" s="89">
        <v>3377.2</v>
      </c>
      <c r="M18" s="89">
        <v>4135.45</v>
      </c>
      <c r="N18" s="11">
        <v>3499.27</v>
      </c>
      <c r="O18" s="11">
        <v>3717.88</v>
      </c>
      <c r="P18" s="11">
        <v>4370.4399999999996</v>
      </c>
      <c r="Q18" s="11">
        <v>4154.92</v>
      </c>
      <c r="R18" s="11"/>
      <c r="S18" s="40" t="s">
        <v>30</v>
      </c>
      <c r="T18" s="45"/>
      <c r="U18" s="45"/>
      <c r="V18" s="45"/>
      <c r="W18" s="46" t="s">
        <v>5</v>
      </c>
      <c r="X18" s="18"/>
      <c r="Y18" s="18"/>
      <c r="Z18" s="18"/>
      <c r="AA18" s="18"/>
      <c r="AB18" s="18"/>
      <c r="AC18" s="18"/>
      <c r="AD18" s="18"/>
      <c r="AJ18" s="776" t="s">
        <v>678</v>
      </c>
      <c r="AK18" s="432" t="s">
        <v>668</v>
      </c>
      <c r="AL18" s="80">
        <v>-2.8999999999999998E-3</v>
      </c>
    </row>
    <row r="19" spans="1:38" ht="22.5" x14ac:dyDescent="0.25">
      <c r="A19" s="6" t="s">
        <v>28</v>
      </c>
      <c r="B19" s="7"/>
      <c r="C19" s="7"/>
      <c r="D19" s="88"/>
      <c r="E19" s="85">
        <v>45164.13</v>
      </c>
      <c r="F19" s="85">
        <v>52393.120000000003</v>
      </c>
      <c r="G19" s="85">
        <v>59350.28</v>
      </c>
      <c r="H19" s="85">
        <v>68202.23</v>
      </c>
      <c r="I19" s="85">
        <v>75846.33</v>
      </c>
      <c r="J19" s="85"/>
      <c r="K19" s="85">
        <v>70635.86</v>
      </c>
      <c r="L19" s="85"/>
      <c r="M19" s="85">
        <f>79203.49-3357.16</f>
        <v>75846.33</v>
      </c>
      <c r="N19" s="11">
        <v>68202.23</v>
      </c>
      <c r="O19" s="11"/>
      <c r="P19" s="11">
        <f>85924.06-3174.82</f>
        <v>82749.239999999991</v>
      </c>
      <c r="Q19" s="11"/>
      <c r="R19" s="11"/>
      <c r="S19" s="46" t="s">
        <v>95</v>
      </c>
      <c r="T19" s="51"/>
      <c r="U19" s="51"/>
      <c r="V19" s="52">
        <f>E16/AVERAGE(D22:E22)</f>
        <v>2.5384420667549226E-2</v>
      </c>
      <c r="W19" s="52">
        <f>F16/AVERAGE(E22:F22)</f>
        <v>3.7732327610866957E-2</v>
      </c>
      <c r="X19" s="52">
        <f>G16/AVERAGE(F22:G22)</f>
        <v>3.6720861268275527E-2</v>
      </c>
      <c r="Y19" s="52">
        <f>H16/AVERAGE(G22:H22)</f>
        <v>3.2895952301399398E-2</v>
      </c>
      <c r="Z19" s="52">
        <f>I16/AVERAGE(H22:I22)</f>
        <v>3.6564364910201909E-2</v>
      </c>
      <c r="AA19" s="18"/>
      <c r="AB19" s="18"/>
      <c r="AC19" s="18"/>
      <c r="AD19" s="18"/>
      <c r="AJ19" s="775"/>
      <c r="AK19" s="432" t="s">
        <v>670</v>
      </c>
      <c r="AL19" s="80">
        <v>2.3999999999999998E-3</v>
      </c>
    </row>
    <row r="20" spans="1:38" x14ac:dyDescent="0.25">
      <c r="A20" s="6" t="s">
        <v>56</v>
      </c>
      <c r="B20" s="7"/>
      <c r="C20" s="7"/>
      <c r="D20" s="88">
        <f t="shared" ref="D20:P20" si="24">D19-D71</f>
        <v>0</v>
      </c>
      <c r="E20" s="89">
        <f t="shared" si="24"/>
        <v>45164.13</v>
      </c>
      <c r="F20" s="89">
        <f t="shared" si="24"/>
        <v>52393.120000000003</v>
      </c>
      <c r="G20" s="89">
        <f t="shared" si="24"/>
        <v>59350.28</v>
      </c>
      <c r="H20" s="89">
        <f t="shared" si="24"/>
        <v>68202.23</v>
      </c>
      <c r="I20" s="89">
        <v>75846.33</v>
      </c>
      <c r="J20" s="89">
        <f>J19-J71</f>
        <v>0</v>
      </c>
      <c r="K20" s="89">
        <v>70635.86</v>
      </c>
      <c r="L20" s="89">
        <f t="shared" si="24"/>
        <v>0</v>
      </c>
      <c r="M20" s="89">
        <f t="shared" si="24"/>
        <v>75846.33</v>
      </c>
      <c r="N20" s="89">
        <f t="shared" si="24"/>
        <v>68202.23</v>
      </c>
      <c r="O20" s="89">
        <f t="shared" si="24"/>
        <v>0</v>
      </c>
      <c r="P20" s="89">
        <f t="shared" si="24"/>
        <v>82749.239999999991</v>
      </c>
      <c r="Q20" s="440"/>
      <c r="R20" s="11"/>
      <c r="S20" s="42" t="s">
        <v>31</v>
      </c>
      <c r="T20" s="43"/>
      <c r="U20" s="43">
        <v>4.4699999999999997E-2</v>
      </c>
      <c r="V20" s="44">
        <f>E18/AVERAGE(D22:E22)</f>
        <v>1.5631119791227586E-2</v>
      </c>
      <c r="W20" s="44">
        <f>F18/AVERAGE(E22:F22)</f>
        <v>2.2401727361086934E-2</v>
      </c>
      <c r="X20" s="44">
        <f>G18/AVERAGE(F22:G22)</f>
        <v>2.5484997929037172E-2</v>
      </c>
      <c r="Y20" s="44">
        <f>H18/AVERAGE(G22:H22)</f>
        <v>2.7656993342822594E-2</v>
      </c>
      <c r="Z20" s="44">
        <f>I18/AVERAGE(H22:I22)</f>
        <v>3.0801288955478203E-2</v>
      </c>
      <c r="AA20" s="48"/>
      <c r="AB20" s="18"/>
      <c r="AC20" s="18"/>
      <c r="AD20" s="18"/>
      <c r="AJ20" s="775"/>
      <c r="AK20" s="432" t="s">
        <v>669</v>
      </c>
      <c r="AL20" s="80">
        <v>-4.5999999999999999E-3</v>
      </c>
    </row>
    <row r="21" spans="1:38" ht="75" x14ac:dyDescent="0.25">
      <c r="A21" s="6" t="s">
        <v>57</v>
      </c>
      <c r="B21" s="9"/>
      <c r="C21" s="9"/>
      <c r="D21" s="85"/>
      <c r="E21" s="85">
        <f>221847.67+79116.06+9310.95</f>
        <v>310274.68</v>
      </c>
      <c r="F21" s="85">
        <f>242811.54+80837.6+9310.2</f>
        <v>332959.34000000003</v>
      </c>
      <c r="G21" s="85">
        <f>230156.95+87965.42+9311.27</f>
        <v>327433.64</v>
      </c>
      <c r="H21" s="85">
        <f>259827.05+101228.89+9311.84</f>
        <v>370367.78</v>
      </c>
      <c r="I21" s="85">
        <v>410873.83999999997</v>
      </c>
      <c r="J21" s="85"/>
      <c r="K21" s="85">
        <v>394547.98999999993</v>
      </c>
      <c r="L21" s="85"/>
      <c r="M21" s="85">
        <f>294267.8+116606.04</f>
        <v>410873.83999999997</v>
      </c>
      <c r="N21" s="11">
        <v>370367.78</v>
      </c>
      <c r="O21" s="11"/>
      <c r="P21" s="11">
        <f>300460.61+122693.81</f>
        <v>423154.42</v>
      </c>
      <c r="Q21" s="11"/>
      <c r="R21" s="11"/>
      <c r="S21" s="42" t="s">
        <v>32</v>
      </c>
      <c r="T21" s="43"/>
      <c r="U21" s="44" t="e">
        <f t="shared" ref="U21:Z21" si="25">D18/AVERAGE(C19:D19)</f>
        <v>#DIV/0!</v>
      </c>
      <c r="V21" s="44">
        <f t="shared" si="25"/>
        <v>0.12521308392301592</v>
      </c>
      <c r="W21" s="44">
        <f t="shared" si="25"/>
        <v>0.17310881559289545</v>
      </c>
      <c r="X21" s="44">
        <f t="shared" si="25"/>
        <v>0.17937345740330077</v>
      </c>
      <c r="Y21" s="44">
        <f t="shared" si="25"/>
        <v>0.18197164446234732</v>
      </c>
      <c r="Z21" s="44">
        <f t="shared" si="25"/>
        <v>0.20322341299350719</v>
      </c>
      <c r="AA21" s="18"/>
      <c r="AB21" s="18"/>
      <c r="AC21" s="18"/>
      <c r="AD21" s="18"/>
      <c r="AJ21" s="434" t="s">
        <v>679</v>
      </c>
      <c r="AK21" s="435" t="s">
        <v>668</v>
      </c>
    </row>
    <row r="22" spans="1:38" x14ac:dyDescent="0.25">
      <c r="A22" s="6" t="s">
        <v>29</v>
      </c>
      <c r="B22" s="7"/>
      <c r="C22" s="7"/>
      <c r="D22" s="88"/>
      <c r="E22" s="85">
        <v>361787.26</v>
      </c>
      <c r="F22" s="85">
        <v>392084.07</v>
      </c>
      <c r="G22" s="85">
        <v>394410.01</v>
      </c>
      <c r="H22" s="85">
        <v>444833.06</v>
      </c>
      <c r="I22" s="85">
        <v>505583.01</v>
      </c>
      <c r="J22" s="85"/>
      <c r="K22" s="85">
        <v>476076.87</v>
      </c>
      <c r="L22" s="85"/>
      <c r="M22" s="85">
        <v>505583.01</v>
      </c>
      <c r="N22" s="11">
        <v>444833.06</v>
      </c>
      <c r="O22" s="11"/>
      <c r="P22" s="11">
        <v>522329.05</v>
      </c>
      <c r="Q22" s="11"/>
      <c r="R22" s="11"/>
      <c r="S22" s="40" t="s">
        <v>33</v>
      </c>
      <c r="T22" s="45"/>
      <c r="U22" s="45"/>
      <c r="V22" s="45"/>
      <c r="W22" s="46" t="s">
        <v>5</v>
      </c>
      <c r="X22" s="18"/>
      <c r="Y22" s="18"/>
      <c r="Z22" s="18"/>
      <c r="AA22" s="18"/>
      <c r="AB22" s="18"/>
      <c r="AC22" s="18"/>
      <c r="AD22" s="18"/>
      <c r="AJ22" s="433" t="s">
        <v>641</v>
      </c>
      <c r="AK22" s="435" t="s">
        <v>668</v>
      </c>
    </row>
    <row r="23" spans="1:38" x14ac:dyDescent="0.25">
      <c r="A23" s="6" t="s">
        <v>58</v>
      </c>
      <c r="B23" s="7"/>
      <c r="C23" s="7"/>
      <c r="D23" s="88"/>
      <c r="E23" s="85">
        <v>349896.16</v>
      </c>
      <c r="F23" s="85">
        <v>376665.52</v>
      </c>
      <c r="G23" s="85">
        <v>378201.04</v>
      </c>
      <c r="H23" s="85">
        <v>426853.82</v>
      </c>
      <c r="I23" s="85">
        <v>420567.95</v>
      </c>
      <c r="J23" s="85">
        <v>430000</v>
      </c>
      <c r="K23" s="85">
        <v>438555.15</v>
      </c>
      <c r="L23" s="85">
        <v>446345.1</v>
      </c>
      <c r="M23" s="85">
        <v>469928.41</v>
      </c>
      <c r="N23" s="11">
        <v>426853.82</v>
      </c>
      <c r="O23" s="11">
        <v>464192.76</v>
      </c>
      <c r="P23" s="11">
        <v>483687.18</v>
      </c>
      <c r="Q23" s="11">
        <v>503823.71</v>
      </c>
      <c r="R23" s="11"/>
      <c r="S23" s="42" t="s">
        <v>34</v>
      </c>
      <c r="T23" s="43"/>
      <c r="U23" s="44" t="e">
        <f t="shared" ref="U23:Z23" si="26">D6/AVERAGE(C23:D23)</f>
        <v>#DIV/0!</v>
      </c>
      <c r="V23" s="44">
        <f t="shared" si="26"/>
        <v>9.0505251615222077E-2</v>
      </c>
      <c r="W23" s="44">
        <f t="shared" si="26"/>
        <v>9.8345869272929473E-2</v>
      </c>
      <c r="X23" s="44">
        <f t="shared" si="26"/>
        <v>9.6423452643073754E-2</v>
      </c>
      <c r="Y23" s="44">
        <f t="shared" si="26"/>
        <v>9.2855833452145112E-2</v>
      </c>
      <c r="Z23" s="44">
        <f t="shared" si="26"/>
        <v>0.10257263039159355</v>
      </c>
      <c r="AA23" s="18"/>
      <c r="AB23" s="18"/>
      <c r="AC23" s="18"/>
      <c r="AD23" s="18"/>
      <c r="AJ23" s="433" t="s">
        <v>642</v>
      </c>
      <c r="AK23" s="435" t="s">
        <v>668</v>
      </c>
      <c r="AL23" s="80">
        <v>0.25409999999999999</v>
      </c>
    </row>
    <row r="24" spans="1:38" x14ac:dyDescent="0.25">
      <c r="A24" s="6" t="s">
        <v>59</v>
      </c>
      <c r="B24" s="10"/>
      <c r="C24" s="10"/>
      <c r="D24" s="89"/>
      <c r="E24" s="89">
        <v>27871.7</v>
      </c>
      <c r="F24" s="89">
        <v>21150.16</v>
      </c>
      <c r="G24" s="89">
        <v>20915.28</v>
      </c>
      <c r="H24" s="89">
        <v>16501.650000000001</v>
      </c>
      <c r="I24" s="89"/>
      <c r="J24" s="89"/>
      <c r="K24" s="89"/>
      <c r="L24" s="89"/>
      <c r="M24" s="89"/>
      <c r="N24" s="11"/>
      <c r="O24" s="11"/>
      <c r="P24" s="11"/>
      <c r="Q24" s="11"/>
      <c r="R24" s="11"/>
      <c r="S24" s="42" t="s">
        <v>35</v>
      </c>
      <c r="T24" s="43"/>
      <c r="U24" s="44" t="e">
        <f t="shared" ref="U24:Z24" si="27">D9/AVERAGE(C21:D21)</f>
        <v>#DIV/0!</v>
      </c>
      <c r="V24" s="44">
        <f t="shared" si="27"/>
        <v>7.0431754212106512E-2</v>
      </c>
      <c r="W24" s="44">
        <f t="shared" si="27"/>
        <v>7.2118355928997666E-2</v>
      </c>
      <c r="X24" s="44">
        <f t="shared" si="27"/>
        <v>6.8660027246201197E-2</v>
      </c>
      <c r="Y24" s="44">
        <f t="shared" si="27"/>
        <v>6.6731219893476273E-2</v>
      </c>
      <c r="Z24" s="44">
        <f t="shared" si="27"/>
        <v>7.1716046054996402E-2</v>
      </c>
      <c r="AA24" s="18"/>
      <c r="AB24" s="18"/>
      <c r="AC24" s="18"/>
      <c r="AD24" s="18"/>
      <c r="AJ24" s="433" t="s">
        <v>680</v>
      </c>
      <c r="AK24" s="435" t="s">
        <v>668</v>
      </c>
      <c r="AL24" s="436">
        <v>0.15</v>
      </c>
    </row>
    <row r="25" spans="1:38" x14ac:dyDescent="0.25">
      <c r="A25" s="6" t="s">
        <v>60</v>
      </c>
      <c r="B25" s="10"/>
      <c r="C25" s="10"/>
      <c r="D25" s="89"/>
      <c r="E25" s="89">
        <v>13123.24</v>
      </c>
      <c r="F25" s="89">
        <v>7733.8</v>
      </c>
      <c r="G25" s="89">
        <v>6570.9</v>
      </c>
      <c r="H25" s="89">
        <v>4502.2700000000004</v>
      </c>
      <c r="I25" s="89"/>
      <c r="J25" s="89"/>
      <c r="K25" s="89"/>
      <c r="L25" s="89"/>
      <c r="M25" s="89"/>
      <c r="N25" s="11"/>
      <c r="O25" s="11"/>
      <c r="P25" s="11"/>
      <c r="Q25" s="11"/>
      <c r="R25" s="11"/>
      <c r="S25" s="42" t="s">
        <v>36</v>
      </c>
      <c r="T25" s="43"/>
      <c r="U25" s="48" t="e">
        <f t="shared" ref="U25:Z25" si="28">U23-U24</f>
        <v>#DIV/0!</v>
      </c>
      <c r="V25" s="48">
        <f t="shared" si="28"/>
        <v>2.0073497403115564E-2</v>
      </c>
      <c r="W25" s="48">
        <f t="shared" si="28"/>
        <v>2.6227513343931808E-2</v>
      </c>
      <c r="X25" s="48">
        <f t="shared" si="28"/>
        <v>2.7763425396872557E-2</v>
      </c>
      <c r="Y25" s="48">
        <f t="shared" si="28"/>
        <v>2.6124613558668838E-2</v>
      </c>
      <c r="Z25" s="48">
        <f t="shared" si="28"/>
        <v>3.0856584336597145E-2</v>
      </c>
      <c r="AA25" s="18"/>
      <c r="AB25" s="18"/>
      <c r="AC25" s="18"/>
      <c r="AD25" s="18"/>
    </row>
    <row r="27" spans="1:38" ht="15" customHeight="1" x14ac:dyDescent="0.25">
      <c r="A27" s="732" t="s">
        <v>250</v>
      </c>
      <c r="B27" s="732"/>
      <c r="C27" s="732"/>
      <c r="D27" s="732"/>
      <c r="E27" s="732"/>
      <c r="F27" s="732"/>
      <c r="G27" s="732"/>
      <c r="H27" s="732"/>
      <c r="I27" s="732"/>
      <c r="J27" s="732"/>
      <c r="K27" s="732"/>
      <c r="L27" s="732"/>
      <c r="M27" s="732"/>
      <c r="N27" s="732"/>
      <c r="O27" s="732"/>
      <c r="P27" s="732"/>
      <c r="Q27" s="732"/>
      <c r="R27" s="732"/>
      <c r="S27" s="129"/>
    </row>
    <row r="28" spans="1:38" x14ac:dyDescent="0.25">
      <c r="A28" s="732"/>
      <c r="B28" s="732"/>
      <c r="C28" s="732"/>
      <c r="D28" s="732"/>
      <c r="E28" s="732"/>
      <c r="F28" s="732"/>
      <c r="G28" s="732"/>
      <c r="H28" s="732"/>
      <c r="I28" s="732"/>
      <c r="J28" s="732"/>
      <c r="K28" s="732"/>
      <c r="L28" s="732"/>
      <c r="M28" s="732"/>
      <c r="N28" s="732"/>
      <c r="O28" s="732"/>
      <c r="P28" s="732"/>
      <c r="Q28" s="732"/>
      <c r="R28" s="732"/>
      <c r="S28" s="129"/>
    </row>
    <row r="29" spans="1:38" x14ac:dyDescent="0.25">
      <c r="A29" s="732"/>
      <c r="B29" s="732"/>
      <c r="C29" s="732"/>
      <c r="D29" s="732"/>
      <c r="E29" s="732"/>
      <c r="F29" s="732"/>
      <c r="G29" s="732"/>
      <c r="H29" s="732"/>
      <c r="I29" s="732"/>
      <c r="J29" s="732"/>
      <c r="K29" s="732"/>
      <c r="L29" s="732"/>
      <c r="M29" s="732"/>
      <c r="N29" s="732"/>
      <c r="O29" s="732"/>
      <c r="P29" s="732"/>
      <c r="Q29" s="732"/>
      <c r="R29" s="732"/>
      <c r="S29" s="129"/>
    </row>
    <row r="30" spans="1:38" x14ac:dyDescent="0.25">
      <c r="A30" s="129"/>
      <c r="B30" s="129"/>
      <c r="C30" s="129"/>
      <c r="D30" s="129"/>
      <c r="E30" s="129"/>
      <c r="F30" s="129"/>
      <c r="G30" s="129"/>
      <c r="H30" s="129"/>
      <c r="I30" s="129"/>
      <c r="J30" s="129"/>
      <c r="K30" s="129"/>
      <c r="L30" s="129"/>
      <c r="M30" s="129"/>
      <c r="N30" s="129"/>
      <c r="O30" s="129"/>
      <c r="P30" s="129"/>
      <c r="Q30" s="129"/>
      <c r="R30" s="129"/>
      <c r="S30" s="129"/>
    </row>
    <row r="31" spans="1:38" x14ac:dyDescent="0.25">
      <c r="A31" s="129"/>
      <c r="B31" s="129"/>
      <c r="C31" s="129"/>
      <c r="D31" s="129"/>
      <c r="E31" s="129"/>
      <c r="F31" s="129"/>
      <c r="G31" s="129"/>
      <c r="H31" s="129"/>
      <c r="I31" s="129"/>
      <c r="J31" s="129"/>
      <c r="K31" s="129"/>
      <c r="L31" s="129"/>
      <c r="M31" s="129"/>
      <c r="N31" s="129"/>
      <c r="O31" s="129"/>
      <c r="P31" s="129"/>
      <c r="Q31" s="129"/>
      <c r="R31" s="129"/>
      <c r="S31" s="129"/>
    </row>
    <row r="32" spans="1:38" x14ac:dyDescent="0.25">
      <c r="A32" s="129"/>
      <c r="B32" s="129"/>
      <c r="C32" s="129"/>
      <c r="D32" s="129"/>
      <c r="E32" s="129"/>
      <c r="F32" s="129"/>
      <c r="G32" s="129"/>
      <c r="H32" s="129"/>
      <c r="I32" s="129"/>
      <c r="J32" s="129"/>
      <c r="K32" s="129"/>
      <c r="L32" s="129"/>
      <c r="M32" s="129"/>
      <c r="N32" s="129"/>
      <c r="O32" s="129"/>
      <c r="P32" s="129"/>
      <c r="Q32" s="129"/>
      <c r="R32" s="129"/>
      <c r="S32" s="129"/>
    </row>
    <row r="33" spans="5:19" x14ac:dyDescent="0.25">
      <c r="E33" s="739" t="s">
        <v>251</v>
      </c>
      <c r="F33" s="739"/>
      <c r="G33" s="739"/>
      <c r="H33" s="739"/>
      <c r="I33" s="739"/>
      <c r="J33" s="739"/>
      <c r="K33" s="739"/>
      <c r="L33" s="739"/>
      <c r="M33" s="739"/>
      <c r="N33" s="739"/>
      <c r="O33" s="739"/>
      <c r="P33" s="739"/>
      <c r="Q33" s="739"/>
      <c r="R33" s="739"/>
      <c r="S33" s="739"/>
    </row>
    <row r="34" spans="5:19" x14ac:dyDescent="0.25">
      <c r="E34" s="739"/>
      <c r="F34" s="739"/>
      <c r="G34" s="739"/>
      <c r="H34" s="739"/>
      <c r="I34" s="739"/>
      <c r="J34" s="739"/>
      <c r="K34" s="739"/>
      <c r="L34" s="739"/>
      <c r="M34" s="739"/>
      <c r="N34" s="739"/>
      <c r="O34" s="739"/>
      <c r="P34" s="739"/>
      <c r="Q34" s="739"/>
      <c r="R34" s="739"/>
      <c r="S34" s="739"/>
    </row>
    <row r="35" spans="5:19" x14ac:dyDescent="0.25">
      <c r="E35" s="739"/>
      <c r="F35" s="739"/>
      <c r="G35" s="739"/>
      <c r="H35" s="739"/>
      <c r="I35" s="739"/>
      <c r="J35" s="739"/>
      <c r="K35" s="739"/>
      <c r="L35" s="739"/>
      <c r="M35" s="739"/>
      <c r="N35" s="739"/>
      <c r="O35" s="739"/>
      <c r="P35" s="739"/>
      <c r="Q35" s="739"/>
      <c r="R35" s="739"/>
      <c r="S35" s="739"/>
    </row>
    <row r="36" spans="5:19" x14ac:dyDescent="0.25">
      <c r="E36" s="739"/>
      <c r="F36" s="739"/>
      <c r="G36" s="739"/>
      <c r="H36" s="739"/>
      <c r="I36" s="739"/>
      <c r="J36" s="739"/>
      <c r="K36" s="739"/>
      <c r="L36" s="739"/>
      <c r="M36" s="739"/>
      <c r="N36" s="739"/>
      <c r="O36" s="739"/>
      <c r="P36" s="739"/>
      <c r="Q36" s="739"/>
      <c r="R36" s="739"/>
      <c r="S36" s="739"/>
    </row>
    <row r="37" spans="5:19" x14ac:dyDescent="0.25">
      <c r="E37" s="739"/>
      <c r="F37" s="739"/>
      <c r="G37" s="739"/>
      <c r="H37" s="739"/>
      <c r="I37" s="739"/>
      <c r="J37" s="739"/>
      <c r="K37" s="739"/>
      <c r="L37" s="739"/>
      <c r="M37" s="739"/>
      <c r="N37" s="739"/>
      <c r="O37" s="739"/>
      <c r="P37" s="739"/>
      <c r="Q37" s="739"/>
      <c r="R37" s="739"/>
      <c r="S37" s="739"/>
    </row>
    <row r="38" spans="5:19" x14ac:dyDescent="0.25">
      <c r="E38" s="739"/>
      <c r="F38" s="739"/>
      <c r="G38" s="739"/>
      <c r="H38" s="739"/>
      <c r="I38" s="739"/>
      <c r="J38" s="739"/>
      <c r="K38" s="739"/>
      <c r="L38" s="739"/>
      <c r="M38" s="739"/>
      <c r="N38" s="739"/>
      <c r="O38" s="739"/>
      <c r="P38" s="739"/>
      <c r="Q38" s="739"/>
      <c r="R38" s="739"/>
      <c r="S38" s="739"/>
    </row>
    <row r="39" spans="5:19" x14ac:dyDescent="0.25">
      <c r="E39" s="739"/>
      <c r="F39" s="739"/>
      <c r="G39" s="739"/>
      <c r="H39" s="739"/>
      <c r="I39" s="739"/>
      <c r="J39" s="739"/>
      <c r="K39" s="739"/>
      <c r="L39" s="739"/>
      <c r="M39" s="739"/>
      <c r="N39" s="739"/>
      <c r="O39" s="739"/>
      <c r="P39" s="739"/>
      <c r="Q39" s="739"/>
      <c r="R39" s="739"/>
      <c r="S39" s="739"/>
    </row>
    <row r="40" spans="5:19" x14ac:dyDescent="0.25">
      <c r="E40" s="739"/>
      <c r="F40" s="739"/>
      <c r="G40" s="739"/>
      <c r="H40" s="739"/>
      <c r="I40" s="739"/>
      <c r="J40" s="739"/>
      <c r="K40" s="739"/>
      <c r="L40" s="739"/>
      <c r="M40" s="739"/>
      <c r="N40" s="739"/>
      <c r="O40" s="739"/>
      <c r="P40" s="739"/>
      <c r="Q40" s="739"/>
      <c r="R40" s="739"/>
      <c r="S40" s="739"/>
    </row>
  </sheetData>
  <mergeCells count="11">
    <mergeCell ref="A2:A4"/>
    <mergeCell ref="K1:M1"/>
    <mergeCell ref="A27:R29"/>
    <mergeCell ref="E33:S40"/>
    <mergeCell ref="AJ2:AK2"/>
    <mergeCell ref="AJ3:AK3"/>
    <mergeCell ref="AJ4:AK4"/>
    <mergeCell ref="AJ5:AJ8"/>
    <mergeCell ref="AJ9:AJ13"/>
    <mergeCell ref="AJ14:AJ16"/>
    <mergeCell ref="AJ18:AJ20"/>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25"/>
  <sheetViews>
    <sheetView topLeftCell="B3" workbookViewId="0">
      <selection activeCell="AG6" sqref="AG6"/>
    </sheetView>
  </sheetViews>
  <sheetFormatPr defaultRowHeight="15" x14ac:dyDescent="0.25"/>
  <cols>
    <col min="1" max="1" width="33.42578125" customWidth="1"/>
    <col min="4" max="4" width="14.42578125" customWidth="1"/>
    <col min="5" max="5" width="12.5703125" customWidth="1"/>
    <col min="6" max="6" width="11.7109375" customWidth="1"/>
    <col min="7" max="8" width="11.140625" customWidth="1"/>
    <col min="10" max="10" width="10.140625" bestFit="1" customWidth="1"/>
    <col min="12" max="12" width="10.140625" bestFit="1" customWidth="1"/>
    <col min="15" max="15" width="29.85546875" customWidth="1"/>
    <col min="17" max="17" width="14.140625" customWidth="1"/>
    <col min="18" max="19" width="12.28515625" customWidth="1"/>
    <col min="20" max="20" width="13.85546875" customWidth="1"/>
  </cols>
  <sheetData>
    <row r="1" spans="1:24" x14ac:dyDescent="0.25">
      <c r="J1" s="772" t="s">
        <v>111</v>
      </c>
      <c r="K1" s="772"/>
      <c r="L1" s="772"/>
    </row>
    <row r="2" spans="1:24"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252</v>
      </c>
      <c r="T2" s="41" t="s">
        <v>90</v>
      </c>
      <c r="U2" s="40" t="s">
        <v>37</v>
      </c>
      <c r="V2" s="41" t="s">
        <v>38</v>
      </c>
      <c r="W2" s="41" t="s">
        <v>39</v>
      </c>
      <c r="X2" s="41" t="s">
        <v>40</v>
      </c>
    </row>
    <row r="3" spans="1:24" x14ac:dyDescent="0.25">
      <c r="A3" s="771"/>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f>E10/AVERAGE(D23:E23)</f>
        <v>2.2213108596839455E-2</v>
      </c>
      <c r="S3" s="44">
        <f>F10/AVERAGE(E23:F23)</f>
        <v>2.287197189462192E-2</v>
      </c>
      <c r="T3" s="44">
        <f>G10/AVERAGE(F23:G23)</f>
        <v>2.1966504139248902E-2</v>
      </c>
      <c r="U3" s="18"/>
      <c r="V3" s="18"/>
      <c r="W3" s="18"/>
      <c r="X3" s="18"/>
    </row>
    <row r="4" spans="1:24"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row>
    <row r="5" spans="1:24" x14ac:dyDescent="0.25">
      <c r="A5" s="6" t="s">
        <v>23</v>
      </c>
      <c r="B5" s="7"/>
      <c r="C5" s="8"/>
      <c r="E5">
        <v>19696.689999999999</v>
      </c>
      <c r="F5" s="85">
        <v>19847.150000000001</v>
      </c>
      <c r="G5" s="90">
        <v>19919.07</v>
      </c>
      <c r="H5" s="90">
        <v>22656.95</v>
      </c>
      <c r="I5" s="85">
        <v>6746.51</v>
      </c>
      <c r="J5" s="85">
        <v>5085.54</v>
      </c>
      <c r="K5" s="85">
        <v>5870.84</v>
      </c>
      <c r="L5" s="85">
        <v>6415.11</v>
      </c>
      <c r="M5" s="11"/>
      <c r="N5" s="11"/>
      <c r="O5" s="42" t="s">
        <v>13</v>
      </c>
      <c r="P5" s="46"/>
      <c r="Q5" s="47" t="e">
        <f>D21/D20</f>
        <v>#DIV/0!</v>
      </c>
      <c r="R5" s="47">
        <f>E21/E20</f>
        <v>10.51672255785026</v>
      </c>
      <c r="S5" s="47">
        <f>F21/F20</f>
        <v>10.129055601226236</v>
      </c>
      <c r="T5" s="47">
        <f>G21/G20</f>
        <v>9.0653210299677696</v>
      </c>
      <c r="U5" s="18"/>
      <c r="V5" s="18"/>
      <c r="W5" s="18"/>
      <c r="X5" s="18"/>
    </row>
    <row r="6" spans="1:24" x14ac:dyDescent="0.25">
      <c r="A6" s="6" t="s">
        <v>50</v>
      </c>
      <c r="B6" s="7"/>
      <c r="C6" s="8"/>
      <c r="E6">
        <v>19461.95</v>
      </c>
      <c r="F6" s="85">
        <v>19514.310000000001</v>
      </c>
      <c r="G6" s="85">
        <v>19460.2</v>
      </c>
      <c r="H6" s="85">
        <v>22189.32</v>
      </c>
      <c r="I6" s="85">
        <v>6703.67</v>
      </c>
      <c r="J6" s="85">
        <v>5049.3</v>
      </c>
      <c r="K6" s="85">
        <v>5838.66</v>
      </c>
      <c r="L6" s="85">
        <v>6378.03</v>
      </c>
      <c r="M6" s="11"/>
      <c r="N6" s="11"/>
      <c r="O6" s="42" t="s">
        <v>14</v>
      </c>
      <c r="P6" s="43"/>
      <c r="Q6" s="43"/>
      <c r="R6" s="43">
        <v>0.1389</v>
      </c>
      <c r="S6" s="43">
        <v>0.15279999999999999</v>
      </c>
      <c r="T6" s="48">
        <v>0.18079999999999999</v>
      </c>
      <c r="U6" s="48"/>
      <c r="V6" s="18"/>
      <c r="W6" s="18"/>
      <c r="X6" s="18"/>
    </row>
    <row r="7" spans="1:24" x14ac:dyDescent="0.25">
      <c r="A7" s="6" t="s">
        <v>51</v>
      </c>
      <c r="B7" s="7"/>
      <c r="C7" s="8"/>
      <c r="D7" s="87"/>
      <c r="E7" s="85"/>
      <c r="F7" s="85">
        <v>0</v>
      </c>
      <c r="G7" s="85">
        <v>0</v>
      </c>
      <c r="H7" s="85"/>
      <c r="I7" s="85"/>
      <c r="J7" s="85"/>
      <c r="K7" s="85"/>
      <c r="L7" s="85"/>
      <c r="M7" s="11"/>
      <c r="N7" s="11"/>
      <c r="O7" s="42" t="s">
        <v>15</v>
      </c>
      <c r="P7" s="43"/>
      <c r="Q7" s="44" t="e">
        <f>D20/D23</f>
        <v>#DIV/0!</v>
      </c>
      <c r="R7" s="44">
        <f>E20/E23</f>
        <v>8.6386769788968129E-2</v>
      </c>
      <c r="S7" s="44">
        <f>F20/F23</f>
        <v>8.8448661243426041E-2</v>
      </c>
      <c r="T7" s="44">
        <f>G20/G23</f>
        <v>9.8241168261987699E-2</v>
      </c>
      <c r="U7" s="18"/>
      <c r="V7" s="18"/>
      <c r="W7" s="18"/>
      <c r="X7" s="18"/>
    </row>
    <row r="8" spans="1:24" x14ac:dyDescent="0.25">
      <c r="A8" s="6" t="s">
        <v>52</v>
      </c>
      <c r="B8" s="7"/>
      <c r="C8" s="8"/>
      <c r="D8" s="85">
        <f t="shared" ref="D8:L8" si="0">D5-D6-D7</f>
        <v>0</v>
      </c>
      <c r="E8" s="85">
        <f t="shared" si="0"/>
        <v>234.73999999999796</v>
      </c>
      <c r="F8" s="85">
        <f t="shared" si="0"/>
        <v>332.84000000000015</v>
      </c>
      <c r="G8" s="85">
        <f t="shared" si="0"/>
        <v>458.86999999999898</v>
      </c>
      <c r="H8" s="85">
        <f t="shared" si="0"/>
        <v>467.63000000000102</v>
      </c>
      <c r="I8" s="85">
        <f t="shared" si="0"/>
        <v>42.840000000000146</v>
      </c>
      <c r="J8" s="85">
        <f t="shared" si="0"/>
        <v>36.239999999999782</v>
      </c>
      <c r="K8" s="85">
        <f t="shared" si="0"/>
        <v>32.180000000000291</v>
      </c>
      <c r="L8" s="85">
        <f t="shared" si="0"/>
        <v>37.079999999999927</v>
      </c>
      <c r="M8" s="11"/>
      <c r="N8" s="11"/>
      <c r="O8" s="40" t="s">
        <v>16</v>
      </c>
      <c r="P8" s="45"/>
      <c r="Q8" s="45"/>
      <c r="R8" s="45"/>
      <c r="S8" s="46" t="s">
        <v>5</v>
      </c>
      <c r="T8" s="18"/>
      <c r="U8" s="18"/>
      <c r="V8" s="18"/>
      <c r="W8" s="18"/>
      <c r="X8" s="18"/>
    </row>
    <row r="9" spans="1:24" ht="33.75" x14ac:dyDescent="0.25">
      <c r="A9" s="6" t="s">
        <v>24</v>
      </c>
      <c r="B9" s="7"/>
      <c r="C9" s="7"/>
      <c r="D9" s="88"/>
      <c r="E9" s="85">
        <v>14783.86</v>
      </c>
      <c r="F9" s="85">
        <v>14452.58</v>
      </c>
      <c r="G9" s="85">
        <v>14153.65</v>
      </c>
      <c r="H9" s="85">
        <v>16185.96</v>
      </c>
      <c r="I9" s="85">
        <v>4494.2299999999996</v>
      </c>
      <c r="J9" s="85">
        <v>3886.4</v>
      </c>
      <c r="K9" s="85">
        <v>4232.79</v>
      </c>
      <c r="L9" s="85">
        <v>4387.7299999999996</v>
      </c>
      <c r="M9" s="11"/>
      <c r="N9" s="11"/>
      <c r="O9" s="49" t="s">
        <v>93</v>
      </c>
      <c r="P9" s="45"/>
      <c r="Q9" s="93" t="e">
        <f>D14/(D11-D9)</f>
        <v>#DIV/0!</v>
      </c>
      <c r="R9" s="93">
        <f>E14/(E11-E9)</f>
        <v>0.12552642774124081</v>
      </c>
      <c r="S9" s="93">
        <f>F14/(F11-F9)</f>
        <v>0.1300400217255499</v>
      </c>
      <c r="T9" s="93">
        <f>G14/(G11-G9)</f>
        <v>0.17334209823395347</v>
      </c>
      <c r="U9" s="18"/>
      <c r="V9" s="18"/>
      <c r="W9" s="18"/>
      <c r="X9" s="18"/>
    </row>
    <row r="10" spans="1:24" ht="22.5" x14ac:dyDescent="0.25">
      <c r="A10" s="6" t="s">
        <v>53</v>
      </c>
      <c r="B10" s="10">
        <f t="shared" ref="B10:J10" si="1">B6-B9</f>
        <v>0</v>
      </c>
      <c r="C10" s="10">
        <f t="shared" si="1"/>
        <v>0</v>
      </c>
      <c r="D10" s="89">
        <f t="shared" si="1"/>
        <v>0</v>
      </c>
      <c r="E10" s="89">
        <f t="shared" si="1"/>
        <v>4678.09</v>
      </c>
      <c r="F10" s="89">
        <f t="shared" si="1"/>
        <v>5061.7300000000014</v>
      </c>
      <c r="G10" s="89">
        <f t="shared" si="1"/>
        <v>5306.5500000000011</v>
      </c>
      <c r="H10" s="89">
        <f>H6-H9</f>
        <v>6003.3600000000006</v>
      </c>
      <c r="I10" s="89">
        <f t="shared" si="1"/>
        <v>2209.4400000000005</v>
      </c>
      <c r="J10" s="89">
        <f t="shared" si="1"/>
        <v>1162.9000000000001</v>
      </c>
      <c r="K10" s="89">
        <f>K6-K9</f>
        <v>1605.87</v>
      </c>
      <c r="L10" s="89">
        <f>L6-L9</f>
        <v>1990.3000000000002</v>
      </c>
      <c r="M10" s="11"/>
      <c r="N10" s="11"/>
      <c r="O10" s="42" t="s">
        <v>92</v>
      </c>
      <c r="P10" s="43"/>
      <c r="Q10" s="44" t="e">
        <f>D14/D11</f>
        <v>#DIV/0!</v>
      </c>
      <c r="R10" s="44">
        <f>E14/E11</f>
        <v>3.130932151544244E-2</v>
      </c>
      <c r="S10" s="44">
        <f>F14/F11</f>
        <v>3.5345628969398628E-2</v>
      </c>
      <c r="T10" s="44">
        <f>G14/G11</f>
        <v>5.0172523114783971E-2</v>
      </c>
      <c r="U10" s="18"/>
      <c r="V10" s="18"/>
      <c r="W10" s="18"/>
      <c r="X10" s="18"/>
    </row>
    <row r="11" spans="1:24" ht="22.5" x14ac:dyDescent="0.25">
      <c r="A11" s="6" t="s">
        <v>1</v>
      </c>
      <c r="B11" s="10">
        <f>B5-B9</f>
        <v>0</v>
      </c>
      <c r="C11" s="10">
        <f t="shared" ref="C11:J11" si="2">SUM(C6:C8)</f>
        <v>0</v>
      </c>
      <c r="D11" s="89">
        <f t="shared" si="2"/>
        <v>0</v>
      </c>
      <c r="E11" s="89">
        <f t="shared" si="2"/>
        <v>19696.689999999999</v>
      </c>
      <c r="F11" s="89">
        <f>SUM(F6:F8)</f>
        <v>19847.150000000001</v>
      </c>
      <c r="G11" s="89">
        <f>SUM(G6:G8)</f>
        <v>19919.07</v>
      </c>
      <c r="H11" s="89">
        <f>SUM(H6:H8)</f>
        <v>22656.95</v>
      </c>
      <c r="I11" s="89">
        <f t="shared" si="2"/>
        <v>6746.51</v>
      </c>
      <c r="J11" s="89">
        <f t="shared" si="2"/>
        <v>5085.54</v>
      </c>
      <c r="K11" s="89">
        <f>SUM(K6:K8)</f>
        <v>5870.84</v>
      </c>
      <c r="L11" s="89">
        <f>SUM(L6:L8)</f>
        <v>6415.11</v>
      </c>
      <c r="M11" s="11"/>
      <c r="N11" s="11"/>
      <c r="O11" s="42" t="s">
        <v>17</v>
      </c>
      <c r="P11" s="43"/>
      <c r="Q11" s="44" t="e">
        <f>D14/AVERAGE(C22:D22)</f>
        <v>#DIV/0!</v>
      </c>
      <c r="R11" s="44">
        <f>E14/AVERAGE(D22:E22)</f>
        <v>2.8444377287504437E-3</v>
      </c>
      <c r="S11" s="44">
        <f>F14/AVERAGE(E22:F22)</f>
        <v>3.1010153392863576E-3</v>
      </c>
      <c r="T11" s="44">
        <f>G14/AVERAGE(F22:G22)</f>
        <v>4.0774720921496694E-3</v>
      </c>
      <c r="U11" s="18"/>
      <c r="V11" s="18"/>
      <c r="W11" s="18"/>
      <c r="X11" s="18"/>
    </row>
    <row r="12" spans="1:24" x14ac:dyDescent="0.25">
      <c r="A12" s="6" t="s">
        <v>91</v>
      </c>
      <c r="B12" s="10"/>
      <c r="C12" s="10"/>
      <c r="D12" s="89"/>
      <c r="E12" s="89">
        <v>-26.93</v>
      </c>
      <c r="F12" s="89">
        <v>0.54</v>
      </c>
      <c r="G12" s="89">
        <v>33.950000000000003</v>
      </c>
      <c r="H12" s="89">
        <v>17.25</v>
      </c>
      <c r="I12" s="89">
        <v>0.04</v>
      </c>
      <c r="J12" s="89">
        <v>6.48</v>
      </c>
      <c r="K12" s="89">
        <v>5.19</v>
      </c>
      <c r="L12" s="89">
        <v>0.06</v>
      </c>
      <c r="M12" s="11"/>
      <c r="N12" s="11"/>
      <c r="O12" s="40" t="s">
        <v>18</v>
      </c>
      <c r="P12" s="45"/>
      <c r="Q12" s="45"/>
      <c r="R12" s="45"/>
      <c r="S12" s="46" t="s">
        <v>5</v>
      </c>
      <c r="T12" s="18"/>
      <c r="U12" s="18"/>
      <c r="V12" s="18"/>
      <c r="W12" s="53"/>
      <c r="X12" s="54"/>
    </row>
    <row r="13" spans="1:24" x14ac:dyDescent="0.25">
      <c r="A13" s="6" t="s">
        <v>25</v>
      </c>
      <c r="B13" s="7"/>
      <c r="C13" s="7"/>
      <c r="D13" s="88">
        <f t="shared" ref="D13:L13" si="3">D11+D12</f>
        <v>0</v>
      </c>
      <c r="E13" s="88">
        <f t="shared" si="3"/>
        <v>19669.759999999998</v>
      </c>
      <c r="F13" s="88">
        <f t="shared" si="3"/>
        <v>19847.690000000002</v>
      </c>
      <c r="G13" s="88">
        <f t="shared" si="3"/>
        <v>19953.02</v>
      </c>
      <c r="H13" s="88">
        <f t="shared" si="3"/>
        <v>22674.2</v>
      </c>
      <c r="I13" s="88">
        <f t="shared" si="3"/>
        <v>6746.55</v>
      </c>
      <c r="J13" s="88">
        <f t="shared" si="3"/>
        <v>5092.0199999999995</v>
      </c>
      <c r="K13" s="88">
        <f t="shared" si="3"/>
        <v>5876.03</v>
      </c>
      <c r="L13" s="88">
        <f t="shared" si="3"/>
        <v>6415.17</v>
      </c>
      <c r="M13" s="11"/>
      <c r="N13" s="11"/>
      <c r="O13" s="42" t="s">
        <v>19</v>
      </c>
      <c r="P13" s="43"/>
      <c r="Q13" s="44" t="e">
        <f>D24/D23</f>
        <v>#DIV/0!</v>
      </c>
      <c r="R13" s="44">
        <f>E24/E23</f>
        <v>2.8337550323973709E-2</v>
      </c>
      <c r="S13" s="44">
        <f>F24/F23</f>
        <v>4.163170466584315E-2</v>
      </c>
      <c r="T13" s="44">
        <f>G24/G23</f>
        <v>4.6255516694277923E-2</v>
      </c>
      <c r="U13" s="48">
        <v>4.9799999999999997E-2</v>
      </c>
      <c r="V13" s="18">
        <v>4.91</v>
      </c>
      <c r="W13" s="48">
        <v>4.7600000000000003E-2</v>
      </c>
      <c r="X13" s="48">
        <v>4.41E-2</v>
      </c>
    </row>
    <row r="14" spans="1:24" x14ac:dyDescent="0.25">
      <c r="A14" s="6" t="s">
        <v>26</v>
      </c>
      <c r="B14" s="7"/>
      <c r="C14" s="7"/>
      <c r="D14" s="85"/>
      <c r="E14" s="85">
        <f>60.56+299.09+48.07+208.97</f>
        <v>616.68999999999994</v>
      </c>
      <c r="F14" s="85">
        <f>109.15+293.18+49.44+249.74</f>
        <v>701.51</v>
      </c>
      <c r="G14" s="85">
        <f>135.54+563.32+52.44+248.09</f>
        <v>999.39</v>
      </c>
      <c r="H14" s="85">
        <f>159.09+473.21+65.56+290.42</f>
        <v>988.28</v>
      </c>
      <c r="I14" s="85">
        <f>29.85+133.1+18.4+61.13</f>
        <v>242.48</v>
      </c>
      <c r="J14" s="85">
        <f>52.31+111.67+15.98+81.01</f>
        <v>260.97000000000003</v>
      </c>
      <c r="K14" s="85">
        <f>56.47+120.5+16.28+94.31</f>
        <v>287.56</v>
      </c>
      <c r="L14" s="85">
        <f>46+143.6+18.61+67.69</f>
        <v>275.89999999999998</v>
      </c>
      <c r="M14" s="11"/>
      <c r="N14" s="11"/>
      <c r="O14" s="42" t="s">
        <v>20</v>
      </c>
      <c r="P14" s="43"/>
      <c r="Q14" s="44" t="e">
        <f>D25/D23</f>
        <v>#DIV/0!</v>
      </c>
      <c r="R14" s="44">
        <f>E25/E23</f>
        <v>1.9563588714590407E-2</v>
      </c>
      <c r="S14" s="44">
        <f>F25/F23</f>
        <v>2.5489561396778986E-2</v>
      </c>
      <c r="T14" s="44">
        <f>G25/G23</f>
        <v>2.6267577914627346E-2</v>
      </c>
      <c r="U14" s="48">
        <v>2.9899999999999999E-2</v>
      </c>
      <c r="V14" s="18">
        <v>2.82</v>
      </c>
      <c r="W14" s="48">
        <v>2.4E-2</v>
      </c>
      <c r="X14" s="48">
        <v>2.5000000000000001E-2</v>
      </c>
    </row>
    <row r="15" spans="1:24" x14ac:dyDescent="0.25">
      <c r="A15" s="6" t="s">
        <v>54</v>
      </c>
      <c r="B15" s="10"/>
      <c r="C15" s="10"/>
      <c r="D15" s="89">
        <f t="shared" ref="D15:J15" si="4">D11-D14</f>
        <v>0</v>
      </c>
      <c r="E15" s="89">
        <f t="shared" si="4"/>
        <v>19080</v>
      </c>
      <c r="F15" s="89">
        <f t="shared" si="4"/>
        <v>19145.640000000003</v>
      </c>
      <c r="G15" s="89">
        <f t="shared" si="4"/>
        <v>18919.68</v>
      </c>
      <c r="H15" s="89">
        <f>H11-H14</f>
        <v>21668.670000000002</v>
      </c>
      <c r="I15" s="89">
        <f t="shared" si="4"/>
        <v>6504.0300000000007</v>
      </c>
      <c r="J15" s="89">
        <f t="shared" si="4"/>
        <v>4824.57</v>
      </c>
      <c r="K15" s="89">
        <f>K11-K14</f>
        <v>5583.28</v>
      </c>
      <c r="L15" s="89">
        <f>L11-L14</f>
        <v>6139.21</v>
      </c>
      <c r="M15" s="11"/>
      <c r="N15" s="11"/>
      <c r="O15" s="42" t="s">
        <v>21</v>
      </c>
      <c r="P15" s="43"/>
      <c r="Q15" s="44" t="e">
        <f>(Q13-Q14)/Q13</f>
        <v>#DIV/0!</v>
      </c>
      <c r="R15" s="44">
        <f>(R13-R14)/R13</f>
        <v>0.30962315052195905</v>
      </c>
      <c r="S15" s="44">
        <f>(S13-S14)/S13</f>
        <v>0.38773678374760456</v>
      </c>
      <c r="T15" s="44">
        <f>(T13-T14)/T13</f>
        <v>0.43212010605695389</v>
      </c>
      <c r="U15" s="44">
        <f>(U13-U14)/U13</f>
        <v>0.39959839357429716</v>
      </c>
      <c r="V15" s="18"/>
      <c r="W15" s="18"/>
      <c r="X15" s="18"/>
    </row>
    <row r="16" spans="1:24" x14ac:dyDescent="0.25">
      <c r="A16" s="6" t="s">
        <v>94</v>
      </c>
      <c r="B16" s="10"/>
      <c r="C16" s="10"/>
      <c r="D16" s="89">
        <f t="shared" ref="D16:J16" si="5">D13-D14-D9</f>
        <v>0</v>
      </c>
      <c r="E16" s="89">
        <f t="shared" si="5"/>
        <v>4269.2099999999991</v>
      </c>
      <c r="F16" s="89">
        <f t="shared" si="5"/>
        <v>4693.600000000004</v>
      </c>
      <c r="G16" s="89">
        <f t="shared" si="5"/>
        <v>4799.9800000000014</v>
      </c>
      <c r="H16" s="89">
        <f>H13-H14-H9</f>
        <v>5499.9600000000028</v>
      </c>
      <c r="I16" s="89">
        <f t="shared" si="5"/>
        <v>2009.8400000000011</v>
      </c>
      <c r="J16" s="89">
        <f t="shared" si="5"/>
        <v>944.64999999999918</v>
      </c>
      <c r="K16" s="89">
        <f>K13-K14-K9</f>
        <v>1355.6799999999994</v>
      </c>
      <c r="L16" s="89">
        <f>L13-L14-L9</f>
        <v>1751.5400000000009</v>
      </c>
      <c r="M16" s="11"/>
      <c r="N16" s="11"/>
      <c r="O16" s="42" t="s">
        <v>22</v>
      </c>
      <c r="P16" s="43"/>
      <c r="Q16" s="44" t="e">
        <f>D17/AVERAGE(C23:D23)</f>
        <v>#DIV/0!</v>
      </c>
      <c r="R16" s="44">
        <f>E17/AVERAGE(D23:E23)</f>
        <v>4.5238751185776357E-3</v>
      </c>
      <c r="S16" s="44">
        <f>F17/AVERAGE(E23:F23)</f>
        <v>5.9537626242554976E-3</v>
      </c>
      <c r="T16" s="44">
        <f>G17/AVERAGE(F23:G23)</f>
        <v>8.2303346222725171E-3</v>
      </c>
      <c r="U16" s="18"/>
      <c r="V16" s="18"/>
      <c r="W16" s="18"/>
      <c r="X16" s="18"/>
    </row>
    <row r="17" spans="1:24" x14ac:dyDescent="0.25">
      <c r="A17" s="6" t="s">
        <v>27</v>
      </c>
      <c r="B17" s="7"/>
      <c r="C17" s="7"/>
      <c r="D17" s="88"/>
      <c r="E17" s="85">
        <v>952.73</v>
      </c>
      <c r="F17" s="85">
        <v>1317.61</v>
      </c>
      <c r="G17" s="85">
        <v>1988.24</v>
      </c>
      <c r="H17" s="85">
        <v>1942.96</v>
      </c>
      <c r="I17" s="85">
        <v>360.81</v>
      </c>
      <c r="J17" s="85">
        <v>373.81</v>
      </c>
      <c r="K17" s="85">
        <v>762.61</v>
      </c>
      <c r="L17" s="85">
        <v>306.76</v>
      </c>
      <c r="M17" s="11"/>
      <c r="N17" s="11"/>
      <c r="O17" s="18"/>
      <c r="P17" s="18"/>
      <c r="Q17" s="18"/>
      <c r="R17" s="18"/>
      <c r="S17" s="18"/>
      <c r="T17" s="18"/>
      <c r="U17" s="18"/>
      <c r="V17" s="18"/>
      <c r="W17" s="18"/>
      <c r="X17" s="18"/>
    </row>
    <row r="18" spans="1:24" x14ac:dyDescent="0.25">
      <c r="A18" s="6" t="s">
        <v>55</v>
      </c>
      <c r="B18" s="7"/>
      <c r="C18" s="7"/>
      <c r="D18" s="88"/>
      <c r="E18" s="85">
        <v>2401.84</v>
      </c>
      <c r="F18" s="89">
        <v>2734.34</v>
      </c>
      <c r="G18" s="89">
        <v>2287.2800000000002</v>
      </c>
      <c r="H18" s="89">
        <v>2891.03</v>
      </c>
      <c r="I18" s="89">
        <v>1323.66</v>
      </c>
      <c r="J18" s="89">
        <v>304.97000000000003</v>
      </c>
      <c r="K18" s="89">
        <v>480.3</v>
      </c>
      <c r="L18" s="89">
        <v>1180.28</v>
      </c>
      <c r="M18" s="11"/>
      <c r="N18" s="11"/>
      <c r="O18" s="40" t="s">
        <v>30</v>
      </c>
      <c r="P18" s="45"/>
      <c r="Q18" s="45"/>
      <c r="R18" s="45"/>
      <c r="S18" s="46" t="s">
        <v>5</v>
      </c>
      <c r="T18" s="18"/>
      <c r="U18" s="18"/>
      <c r="V18" s="18"/>
      <c r="W18" s="18"/>
      <c r="X18" s="18"/>
    </row>
    <row r="19" spans="1:24" ht="22.5" x14ac:dyDescent="0.25">
      <c r="A19" s="6" t="s">
        <v>28</v>
      </c>
      <c r="B19" s="7"/>
      <c r="C19" s="7"/>
      <c r="D19" s="88"/>
      <c r="E19" s="85">
        <v>18193.09</v>
      </c>
      <c r="F19" s="85">
        <v>20521.310000000001</v>
      </c>
      <c r="G19" s="85">
        <v>24671.84</v>
      </c>
      <c r="H19" s="85">
        <v>27100.34</v>
      </c>
      <c r="I19" s="85">
        <v>25901.43</v>
      </c>
      <c r="J19" s="85">
        <v>25438.02</v>
      </c>
      <c r="K19" s="85"/>
      <c r="L19" s="85">
        <v>27100.34</v>
      </c>
      <c r="M19" s="11"/>
      <c r="N19" s="11"/>
      <c r="O19" s="46" t="s">
        <v>95</v>
      </c>
      <c r="P19" s="51"/>
      <c r="Q19" s="51"/>
      <c r="R19" s="52">
        <f>E16/AVERAGE(D22:E22)</f>
        <v>1.9691420318083123E-2</v>
      </c>
      <c r="S19" s="52">
        <f>F16/AVERAGE(E22:F22)</f>
        <v>2.0747994464048212E-2</v>
      </c>
      <c r="T19" s="52">
        <f>G16/AVERAGE(F22:G22)</f>
        <v>1.9583730568523375E-2</v>
      </c>
      <c r="U19" s="18"/>
      <c r="V19" s="18"/>
      <c r="W19" s="18"/>
      <c r="X19" s="18"/>
    </row>
    <row r="20" spans="1:24" x14ac:dyDescent="0.25">
      <c r="A20" s="6" t="s">
        <v>56</v>
      </c>
      <c r="B20" s="7"/>
      <c r="C20" s="7"/>
      <c r="D20" s="88">
        <f t="shared" ref="D20:L20" si="6">D19-D71</f>
        <v>0</v>
      </c>
      <c r="E20" s="89">
        <f t="shared" si="6"/>
        <v>18193.09</v>
      </c>
      <c r="F20" s="89">
        <f t="shared" si="6"/>
        <v>20521.310000000001</v>
      </c>
      <c r="G20" s="89">
        <f t="shared" si="6"/>
        <v>24671.84</v>
      </c>
      <c r="H20" s="89">
        <f t="shared" si="6"/>
        <v>27100.34</v>
      </c>
      <c r="I20" s="89">
        <f t="shared" si="6"/>
        <v>25901.43</v>
      </c>
      <c r="J20" s="89">
        <f t="shared" si="6"/>
        <v>25438.02</v>
      </c>
      <c r="K20" s="89">
        <f t="shared" si="6"/>
        <v>0</v>
      </c>
      <c r="L20" s="89">
        <f t="shared" si="6"/>
        <v>27100.34</v>
      </c>
      <c r="M20" s="11"/>
      <c r="N20" s="11"/>
      <c r="O20" s="42" t="s">
        <v>31</v>
      </c>
      <c r="P20" s="43"/>
      <c r="Q20" s="43">
        <v>4.4699999999999997E-2</v>
      </c>
      <c r="R20" s="44">
        <f>E18/AVERAGE(D22:E22)</f>
        <v>1.1078312141305951E-2</v>
      </c>
      <c r="S20" s="44">
        <f>F18/AVERAGE(E22:F22)</f>
        <v>1.2087112489949195E-2</v>
      </c>
      <c r="T20" s="44">
        <f>G18/AVERAGE(F22:G22)</f>
        <v>9.3320128947979239E-3</v>
      </c>
      <c r="U20" s="48"/>
      <c r="V20" s="18"/>
      <c r="W20" s="18"/>
      <c r="X20" s="18"/>
    </row>
    <row r="21" spans="1:24" x14ac:dyDescent="0.25">
      <c r="A21" s="6" t="s">
        <v>57</v>
      </c>
      <c r="B21" s="9"/>
      <c r="C21" s="9"/>
      <c r="D21" s="85"/>
      <c r="E21" s="85">
        <v>191331.68</v>
      </c>
      <c r="F21" s="85">
        <v>207861.49</v>
      </c>
      <c r="G21" s="85">
        <f>127341.99+76447.22+18073.5+1795.44</f>
        <v>223658.15000000002</v>
      </c>
      <c r="H21" s="85">
        <f>136959.99+94392.25+11626.21+1795.77</f>
        <v>244774.21999999997</v>
      </c>
      <c r="I21" s="85"/>
      <c r="J21" s="85">
        <f>127757.41+86993.91+16039.48+1795.6</f>
        <v>232586.40000000002</v>
      </c>
      <c r="K21" s="85"/>
      <c r="L21" s="85">
        <f>136959.99+94392.25+11626.21+1795.77</f>
        <v>244774.21999999997</v>
      </c>
      <c r="M21" s="11"/>
      <c r="N21" s="11"/>
      <c r="O21" s="42" t="s">
        <v>32</v>
      </c>
      <c r="P21" s="43"/>
      <c r="Q21" s="44" t="e">
        <f>D18/AVERAGE(C19:D19)</f>
        <v>#DIV/0!</v>
      </c>
      <c r="R21" s="44">
        <f>E18/AVERAGE(D19:E19)</f>
        <v>0.13201935460111505</v>
      </c>
      <c r="S21" s="44">
        <f>F18/AVERAGE(E19:F19)</f>
        <v>0.14125699997933586</v>
      </c>
      <c r="T21" s="44">
        <f>G18/AVERAGE(F19:G19)</f>
        <v>0.1012224197693677</v>
      </c>
      <c r="U21" s="18"/>
      <c r="V21" s="18"/>
      <c r="W21" s="18"/>
      <c r="X21" s="18"/>
    </row>
    <row r="22" spans="1:24" x14ac:dyDescent="0.25">
      <c r="A22" s="6" t="s">
        <v>29</v>
      </c>
      <c r="B22" s="7"/>
      <c r="C22" s="7"/>
      <c r="D22" s="88"/>
      <c r="E22" s="85">
        <v>216805.59</v>
      </c>
      <c r="F22" s="85">
        <v>235633.32</v>
      </c>
      <c r="G22" s="85">
        <v>254567.46</v>
      </c>
      <c r="H22" s="85">
        <v>278412.01</v>
      </c>
      <c r="I22" s="85"/>
      <c r="J22" s="85">
        <v>265132.82</v>
      </c>
      <c r="K22" s="85"/>
      <c r="L22" s="85">
        <v>278412.01</v>
      </c>
      <c r="M22" s="11"/>
      <c r="N22" s="11"/>
      <c r="O22" s="40" t="s">
        <v>33</v>
      </c>
      <c r="P22" s="45"/>
      <c r="Q22" s="45"/>
      <c r="R22" s="45"/>
      <c r="S22" s="46" t="s">
        <v>5</v>
      </c>
      <c r="T22" s="18"/>
      <c r="U22" s="18"/>
      <c r="V22" s="18"/>
      <c r="W22" s="18"/>
      <c r="X22" s="18"/>
    </row>
    <row r="23" spans="1:24" x14ac:dyDescent="0.25">
      <c r="A23" s="6" t="s">
        <v>58</v>
      </c>
      <c r="B23" s="7"/>
      <c r="C23" s="7"/>
      <c r="D23" s="88"/>
      <c r="E23" s="85">
        <v>210600.42</v>
      </c>
      <c r="F23" s="85">
        <v>232013.8</v>
      </c>
      <c r="G23" s="85">
        <v>251135.45</v>
      </c>
      <c r="H23" s="85">
        <v>275065.09000000003</v>
      </c>
      <c r="I23" s="85"/>
      <c r="J23" s="85">
        <v>255831.76</v>
      </c>
      <c r="K23" s="85"/>
      <c r="L23" s="85">
        <v>267834.8</v>
      </c>
      <c r="M23" s="11"/>
      <c r="N23" s="11"/>
      <c r="O23" s="42" t="s">
        <v>34</v>
      </c>
      <c r="P23" s="43"/>
      <c r="Q23" s="44" t="e">
        <f>D6/AVERAGE(C23:D23)</f>
        <v>#DIV/0!</v>
      </c>
      <c r="R23" s="44">
        <f>E6/AVERAGE(D23:E23)</f>
        <v>9.2411734031679515E-2</v>
      </c>
      <c r="S23" s="44">
        <f>F6/AVERAGE(E23:F23)</f>
        <v>8.8177510428833497E-2</v>
      </c>
      <c r="T23" s="44">
        <f>G6/AVERAGE(F23:G23)</f>
        <v>8.0555646107284662E-2</v>
      </c>
      <c r="U23" s="18"/>
      <c r="V23" s="18"/>
      <c r="W23" s="18"/>
      <c r="X23" s="18"/>
    </row>
    <row r="24" spans="1:24" x14ac:dyDescent="0.25">
      <c r="A24" s="6" t="s">
        <v>59</v>
      </c>
      <c r="B24" s="10"/>
      <c r="C24" s="10"/>
      <c r="D24" s="89"/>
      <c r="E24" s="89">
        <v>5967.9</v>
      </c>
      <c r="F24" s="89">
        <v>9659.1299999999992</v>
      </c>
      <c r="G24" s="89">
        <v>11616.4</v>
      </c>
      <c r="H24" s="89">
        <v>12124.74</v>
      </c>
      <c r="I24" s="89"/>
      <c r="J24" s="89"/>
      <c r="K24" s="89"/>
      <c r="L24" s="89"/>
      <c r="M24" s="11"/>
      <c r="N24" s="11"/>
      <c r="O24" s="42" t="s">
        <v>35</v>
      </c>
      <c r="P24" s="43"/>
      <c r="Q24" s="44" t="e">
        <f>D9/AVERAGE(C21:D21)</f>
        <v>#DIV/0!</v>
      </c>
      <c r="R24" s="44">
        <f>E9/AVERAGE(D21:E21)</f>
        <v>7.7268228659258101E-2</v>
      </c>
      <c r="S24" s="44">
        <f>F9/AVERAGE(E21:F21)</f>
        <v>7.2408954291477479E-2</v>
      </c>
      <c r="T24" s="44">
        <f>G9/AVERAGE(F21:G21)</f>
        <v>6.5599099962170893E-2</v>
      </c>
      <c r="U24" s="18"/>
      <c r="V24" s="18"/>
      <c r="W24" s="18"/>
      <c r="X24" s="18"/>
    </row>
    <row r="25" spans="1:24" x14ac:dyDescent="0.25">
      <c r="A25" s="6" t="s">
        <v>60</v>
      </c>
      <c r="B25" s="10"/>
      <c r="C25" s="10"/>
      <c r="D25" s="89"/>
      <c r="E25" s="89">
        <v>4120.1000000000004</v>
      </c>
      <c r="F25" s="89">
        <v>5913.93</v>
      </c>
      <c r="G25" s="89">
        <v>6596.72</v>
      </c>
      <c r="H25" s="89">
        <v>6743.52</v>
      </c>
      <c r="I25" s="89"/>
      <c r="J25" s="89"/>
      <c r="K25" s="89"/>
      <c r="L25" s="89"/>
      <c r="M25" s="11"/>
      <c r="N25" s="11"/>
      <c r="O25" s="42" t="s">
        <v>36</v>
      </c>
      <c r="P25" s="43"/>
      <c r="Q25" s="48" t="e">
        <f>Q23-Q24</f>
        <v>#DIV/0!</v>
      </c>
      <c r="R25" s="48">
        <f>R23-R24</f>
        <v>1.5143505372421415E-2</v>
      </c>
      <c r="S25" s="48">
        <f>S23-S24</f>
        <v>1.5768556137356018E-2</v>
      </c>
      <c r="T25" s="48">
        <f>T23-T24</f>
        <v>1.4956546145113769E-2</v>
      </c>
      <c r="U25" s="18"/>
      <c r="V25" s="18"/>
      <c r="W25" s="18"/>
      <c r="X25" s="18"/>
    </row>
  </sheetData>
  <mergeCells count="2">
    <mergeCell ref="A2:A4"/>
    <mergeCell ref="J1:L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W25"/>
  <sheetViews>
    <sheetView workbookViewId="0">
      <selection activeCell="AG6" sqref="AG6"/>
    </sheetView>
  </sheetViews>
  <sheetFormatPr defaultRowHeight="15" x14ac:dyDescent="0.25"/>
  <cols>
    <col min="1" max="1" width="30.5703125" customWidth="1"/>
    <col min="4" max="4" width="13.28515625" customWidth="1"/>
    <col min="5" max="5" width="12.140625" customWidth="1"/>
    <col min="6" max="6" width="12.5703125" customWidth="1"/>
    <col min="7" max="7" width="10.5703125" customWidth="1"/>
    <col min="14" max="14" width="29.28515625" customWidth="1"/>
    <col min="16" max="16" width="12" customWidth="1"/>
    <col min="17" max="17" width="11.85546875" customWidth="1"/>
    <col min="18" max="18" width="14.28515625" customWidth="1"/>
    <col min="19" max="19" width="13.140625" customWidth="1"/>
  </cols>
  <sheetData>
    <row r="1" spans="1:23" x14ac:dyDescent="0.25">
      <c r="F1" t="s">
        <v>356</v>
      </c>
      <c r="I1" s="772" t="s">
        <v>113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f>E10/AVERAGE(D23:E23)</f>
        <v>3.317762587087638E-2</v>
      </c>
      <c r="R3" s="44">
        <f>F10/AVERAGE(E23:F23)</f>
        <v>2.8804281272013628E-2</v>
      </c>
      <c r="S3" s="44">
        <f>G10/AVERAGE(F23:G23)</f>
        <v>0</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E5">
        <f>136971.04-546.03</f>
        <v>136425.01</v>
      </c>
      <c r="F5" s="85">
        <f>113945.03-888.25</f>
        <v>113056.78</v>
      </c>
      <c r="G5" s="90"/>
      <c r="H5" s="85"/>
      <c r="I5" s="85"/>
      <c r="J5" s="85"/>
      <c r="K5" s="85"/>
      <c r="L5" s="11"/>
      <c r="M5" s="11"/>
      <c r="N5" s="42" t="s">
        <v>13</v>
      </c>
      <c r="O5" s="46"/>
      <c r="P5" s="47" t="e">
        <f>D21/D20</f>
        <v>#DIV/0!</v>
      </c>
      <c r="Q5" s="47">
        <f>E21/E20</f>
        <v>4.3856763074844265</v>
      </c>
      <c r="R5" s="47">
        <f>F21/F20</f>
        <v>4.3284635940582907</v>
      </c>
      <c r="S5" s="47" t="e">
        <f>G21/G20</f>
        <v>#DIV/0!</v>
      </c>
      <c r="T5" s="18"/>
      <c r="U5" s="18"/>
      <c r="V5" s="18"/>
      <c r="W5" s="18"/>
    </row>
    <row r="6" spans="1:23" x14ac:dyDescent="0.25">
      <c r="A6" s="6" t="s">
        <v>50</v>
      </c>
      <c r="B6" s="7"/>
      <c r="C6" s="8"/>
      <c r="E6">
        <v>130834.14</v>
      </c>
      <c r="F6" s="85">
        <v>106024.52</v>
      </c>
      <c r="G6" s="85"/>
      <c r="H6" s="85"/>
      <c r="I6" s="85"/>
      <c r="J6" s="85"/>
      <c r="K6" s="85"/>
      <c r="L6" s="11"/>
      <c r="M6" s="11"/>
      <c r="N6" s="42" t="s">
        <v>14</v>
      </c>
      <c r="O6" s="43"/>
      <c r="P6" s="43"/>
      <c r="Q6" s="43">
        <v>0.2361</v>
      </c>
      <c r="R6" s="43">
        <v>0.24099999999999999</v>
      </c>
      <c r="S6" s="48"/>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f>E20/E23</f>
        <v>0.1949588814816052</v>
      </c>
      <c r="R7" s="44">
        <f>F20/F23</f>
        <v>0.20014637332296656</v>
      </c>
      <c r="S7" s="44" t="e">
        <f>G20/G23</f>
        <v>#DIV/0!</v>
      </c>
      <c r="T7" s="18"/>
      <c r="U7" s="18"/>
      <c r="V7" s="18"/>
      <c r="W7" s="18"/>
    </row>
    <row r="8" spans="1:23" x14ac:dyDescent="0.25">
      <c r="A8" s="6" t="s">
        <v>52</v>
      </c>
      <c r="B8" s="7"/>
      <c r="C8" s="8"/>
      <c r="D8" s="85">
        <f>D5-D6-D7</f>
        <v>0</v>
      </c>
      <c r="E8" s="85">
        <f>E5-E6-E7</f>
        <v>5590.8700000000099</v>
      </c>
      <c r="F8" s="85">
        <f>F5-F6-F7</f>
        <v>7032.2599999999948</v>
      </c>
      <c r="G8" s="85">
        <f>G5-G6-G7</f>
        <v>0</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c r="E9" s="85">
        <v>94844.64</v>
      </c>
      <c r="F9" s="85">
        <v>75150.23</v>
      </c>
      <c r="G9" s="85"/>
      <c r="H9" s="85"/>
      <c r="I9" s="85"/>
      <c r="J9" s="85"/>
      <c r="K9" s="85"/>
      <c r="L9" s="11"/>
      <c r="M9" s="11"/>
      <c r="N9" s="49" t="s">
        <v>93</v>
      </c>
      <c r="O9" s="45"/>
      <c r="P9" s="93" t="e">
        <f>D14/(D11-D9)</f>
        <v>#DIV/0!</v>
      </c>
      <c r="Q9" s="93">
        <f>E14/(E11-E9)</f>
        <v>0.12871650733266679</v>
      </c>
      <c r="R9" s="93">
        <f>F14/(F11-F9)</f>
        <v>0.17164500594224477</v>
      </c>
      <c r="S9" s="93" t="e">
        <f>G14/(G11-G9)</f>
        <v>#DIV/0!</v>
      </c>
      <c r="T9" s="18"/>
      <c r="U9" s="18"/>
      <c r="V9" s="18"/>
      <c r="W9" s="18"/>
    </row>
    <row r="10" spans="1:23" ht="22.5" x14ac:dyDescent="0.25">
      <c r="A10" s="6" t="s">
        <v>53</v>
      </c>
      <c r="B10" s="10">
        <f t="shared" ref="B10:H10" si="0">B6-B9</f>
        <v>0</v>
      </c>
      <c r="C10" s="10">
        <f t="shared" si="0"/>
        <v>0</v>
      </c>
      <c r="D10" s="89">
        <f t="shared" si="0"/>
        <v>0</v>
      </c>
      <c r="E10" s="89">
        <f t="shared" si="0"/>
        <v>35989.5</v>
      </c>
      <c r="F10" s="89">
        <f t="shared" si="0"/>
        <v>30874.290000000008</v>
      </c>
      <c r="G10" s="89">
        <f t="shared" si="0"/>
        <v>0</v>
      </c>
      <c r="H10" s="89">
        <f t="shared" si="0"/>
        <v>0</v>
      </c>
      <c r="I10" s="89"/>
      <c r="J10" s="89"/>
      <c r="K10" s="89"/>
      <c r="L10" s="11"/>
      <c r="M10" s="11"/>
      <c r="N10" s="42" t="s">
        <v>92</v>
      </c>
      <c r="O10" s="43"/>
      <c r="P10" s="44" t="e">
        <f>D14/D11</f>
        <v>#DIV/0!</v>
      </c>
      <c r="Q10" s="44">
        <f>E14/E11</f>
        <v>3.9230929871289726E-2</v>
      </c>
      <c r="R10" s="44">
        <f>F14/F11</f>
        <v>5.7550462696708674E-2</v>
      </c>
      <c r="S10" s="44" t="e">
        <f>G14/G11</f>
        <v>#DIV/0!</v>
      </c>
      <c r="T10" s="18"/>
      <c r="U10" s="18"/>
      <c r="V10" s="18"/>
      <c r="W10" s="18"/>
    </row>
    <row r="11" spans="1:23" ht="22.5" x14ac:dyDescent="0.25">
      <c r="A11" s="6" t="s">
        <v>1</v>
      </c>
      <c r="B11" s="10">
        <f>B5-B9</f>
        <v>0</v>
      </c>
      <c r="C11" s="10">
        <f t="shared" ref="C11:H11" si="1">SUM(C6:C8)</f>
        <v>0</v>
      </c>
      <c r="D11" s="89">
        <f t="shared" si="1"/>
        <v>0</v>
      </c>
      <c r="E11" s="89">
        <f t="shared" si="1"/>
        <v>136425.01</v>
      </c>
      <c r="F11" s="89">
        <f>SUM(F6:F8)</f>
        <v>113056.78</v>
      </c>
      <c r="G11" s="89">
        <f>SUM(G6:G8)</f>
        <v>0</v>
      </c>
      <c r="H11" s="89">
        <f t="shared" si="1"/>
        <v>0</v>
      </c>
      <c r="I11" s="89"/>
      <c r="J11" s="89"/>
      <c r="K11" s="89"/>
      <c r="L11" s="11"/>
      <c r="M11" s="11"/>
      <c r="N11" s="42" t="s">
        <v>17</v>
      </c>
      <c r="O11" s="43"/>
      <c r="P11" s="44" t="e">
        <f>D14/AVERAGE(C22:D22)</f>
        <v>#DIV/0!</v>
      </c>
      <c r="Q11" s="44">
        <f>E14/AVERAGE(D22:E22)</f>
        <v>4.5972810632809282E-3</v>
      </c>
      <c r="R11" s="44">
        <f>F14/AVERAGE(E22:F22)</f>
        <v>5.6153399003180003E-3</v>
      </c>
      <c r="S11" s="44">
        <f>G14/AVERAGE(F22:G22)</f>
        <v>0</v>
      </c>
      <c r="T11" s="18"/>
      <c r="U11" s="18"/>
      <c r="V11" s="18"/>
      <c r="W11" s="18"/>
    </row>
    <row r="12" spans="1:23" x14ac:dyDescent="0.25">
      <c r="A12" s="6" t="s">
        <v>91</v>
      </c>
      <c r="B12" s="10"/>
      <c r="C12" s="10"/>
      <c r="D12" s="89"/>
      <c r="E12" s="89">
        <v>546.03</v>
      </c>
      <c r="F12" s="89">
        <v>888.25</v>
      </c>
      <c r="G12" s="89"/>
      <c r="H12" s="89"/>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136971.04</v>
      </c>
      <c r="F13" s="88">
        <f>F11+F12</f>
        <v>113945.03</v>
      </c>
      <c r="G13" s="88">
        <f>G11+G12</f>
        <v>0</v>
      </c>
      <c r="H13" s="88">
        <f>H11+H12</f>
        <v>0</v>
      </c>
      <c r="I13" s="88"/>
      <c r="J13" s="88"/>
      <c r="K13" s="88"/>
      <c r="L13" s="11"/>
      <c r="M13" s="11"/>
      <c r="N13" s="42" t="s">
        <v>19</v>
      </c>
      <c r="O13" s="43"/>
      <c r="P13" s="44" t="e">
        <f>D24/D23</f>
        <v>#DIV/0!</v>
      </c>
      <c r="Q13" s="44">
        <f>E24/E23</f>
        <v>6.864417098350542E-2</v>
      </c>
      <c r="R13" s="44">
        <f>F24/F23</f>
        <v>7.7820973129240037E-2</v>
      </c>
      <c r="S13" s="44" t="e">
        <f>G24/G23</f>
        <v>#DIV/0!</v>
      </c>
      <c r="T13" s="48"/>
      <c r="U13" s="18"/>
      <c r="V13" s="18"/>
      <c r="W13" s="18"/>
    </row>
    <row r="14" spans="1:23" x14ac:dyDescent="0.25">
      <c r="A14" s="6" t="s">
        <v>26</v>
      </c>
      <c r="B14" s="7"/>
      <c r="C14" s="7"/>
      <c r="D14" s="85"/>
      <c r="E14" s="85">
        <f>190.75+1640.92+634.16+2886.25</f>
        <v>5352.08</v>
      </c>
      <c r="F14" s="85">
        <f>148.02+595.82+1674.33+595.43+3492.87</f>
        <v>6506.4699999999993</v>
      </c>
      <c r="G14" s="85"/>
      <c r="H14" s="85"/>
      <c r="I14" s="85"/>
      <c r="J14" s="85"/>
      <c r="K14" s="85"/>
      <c r="L14" s="11"/>
      <c r="M14" s="11"/>
      <c r="N14" s="42" t="s">
        <v>20</v>
      </c>
      <c r="O14" s="43"/>
      <c r="P14" s="44" t="e">
        <f>D25/D23</f>
        <v>#DIV/0!</v>
      </c>
      <c r="Q14" s="44">
        <f>E25/E23</f>
        <v>3.5444650709693937E-2</v>
      </c>
      <c r="R14" s="44">
        <f>F25/F23</f>
        <v>2.9562338419549611E-2</v>
      </c>
      <c r="S14" s="44" t="e">
        <f>G25/G23</f>
        <v>#DIV/0!</v>
      </c>
      <c r="T14" s="48"/>
      <c r="U14" s="18"/>
      <c r="V14" s="18"/>
      <c r="W14" s="18"/>
    </row>
    <row r="15" spans="1:23" x14ac:dyDescent="0.25">
      <c r="A15" s="6" t="s">
        <v>54</v>
      </c>
      <c r="B15" s="10"/>
      <c r="C15" s="10"/>
      <c r="D15" s="89">
        <f>D11-D14</f>
        <v>0</v>
      </c>
      <c r="E15" s="89">
        <f>E11-E14</f>
        <v>131072.93000000002</v>
      </c>
      <c r="F15" s="89">
        <f>F11-F14</f>
        <v>106550.31</v>
      </c>
      <c r="G15" s="89">
        <f>G11-G14</f>
        <v>0</v>
      </c>
      <c r="H15" s="89">
        <f>H11-H14</f>
        <v>0</v>
      </c>
      <c r="I15" s="89"/>
      <c r="J15" s="89"/>
      <c r="K15" s="89"/>
      <c r="L15" s="11"/>
      <c r="M15" s="11"/>
      <c r="N15" s="42" t="s">
        <v>21</v>
      </c>
      <c r="O15" s="43"/>
      <c r="P15" s="44" t="e">
        <f>(P13-P14)/P13</f>
        <v>#DIV/0!</v>
      </c>
      <c r="Q15" s="44">
        <f>(Q13-Q14)/Q13</f>
        <v>0.48364660535836368</v>
      </c>
      <c r="R15" s="44">
        <f>(R13-R14)/R13</f>
        <v>0.62012376316016515</v>
      </c>
      <c r="S15" s="44" t="e">
        <f>(S13-S14)/S13</f>
        <v>#DIV/0!</v>
      </c>
      <c r="T15" s="44" t="e">
        <f>(T13-T14)/T13</f>
        <v>#DIV/0!</v>
      </c>
      <c r="U15" s="18"/>
      <c r="V15" s="18"/>
      <c r="W15" s="18"/>
    </row>
    <row r="16" spans="1:23" x14ac:dyDescent="0.25">
      <c r="A16" s="6" t="s">
        <v>94</v>
      </c>
      <c r="B16" s="10"/>
      <c r="C16" s="10"/>
      <c r="D16" s="89">
        <f>D13-D14-D9</f>
        <v>0</v>
      </c>
      <c r="E16" s="89">
        <f>E13-E14-E9</f>
        <v>36774.320000000022</v>
      </c>
      <c r="F16" s="89">
        <f>F13-F14-F9</f>
        <v>32288.33</v>
      </c>
      <c r="G16" s="89">
        <f>G13-G14-G9</f>
        <v>0</v>
      </c>
      <c r="H16" s="89">
        <f>H13-H14-H9</f>
        <v>0</v>
      </c>
      <c r="I16" s="89"/>
      <c r="J16" s="89"/>
      <c r="K16" s="89"/>
      <c r="L16" s="11"/>
      <c r="M16" s="11"/>
      <c r="N16" s="42" t="s">
        <v>22</v>
      </c>
      <c r="O16" s="43"/>
      <c r="P16" s="44" t="e">
        <f>D17/AVERAGE(C23:D23)</f>
        <v>#DIV/0!</v>
      </c>
      <c r="Q16" s="44">
        <f>E17/AVERAGE(D23:E23)</f>
        <v>1.8041495046813089E-2</v>
      </c>
      <c r="R16" s="44">
        <f>F17/AVERAGE(E23:F23)</f>
        <v>2.1408459213813773E-2</v>
      </c>
      <c r="S16" s="44">
        <f>G17/AVERAGE(F23:G23)</f>
        <v>0</v>
      </c>
      <c r="T16" s="18"/>
      <c r="U16" s="18"/>
      <c r="V16" s="18"/>
      <c r="W16" s="18"/>
    </row>
    <row r="17" spans="1:23" x14ac:dyDescent="0.25">
      <c r="A17" s="6" t="s">
        <v>27</v>
      </c>
      <c r="B17" s="7"/>
      <c r="C17" s="7"/>
      <c r="D17" s="88"/>
      <c r="E17" s="85">
        <v>19570.55</v>
      </c>
      <c r="F17" s="85">
        <v>22946.97</v>
      </c>
      <c r="G17" s="85"/>
      <c r="H17" s="85"/>
      <c r="I17" s="85"/>
      <c r="J17" s="85"/>
      <c r="K17" s="85"/>
      <c r="L17" s="11"/>
      <c r="M17" s="11"/>
      <c r="N17" s="18"/>
      <c r="O17" s="18"/>
      <c r="P17" s="18"/>
      <c r="Q17" s="18"/>
      <c r="R17" s="18"/>
      <c r="S17" s="18"/>
      <c r="T17" s="18"/>
      <c r="U17" s="18"/>
      <c r="V17" s="18"/>
      <c r="W17" s="18"/>
    </row>
    <row r="18" spans="1:23" x14ac:dyDescent="0.25">
      <c r="A18" s="6" t="s">
        <v>55</v>
      </c>
      <c r="B18" s="7"/>
      <c r="C18" s="7"/>
      <c r="D18" s="88"/>
      <c r="E18" s="85">
        <v>10999.89</v>
      </c>
      <c r="F18" s="89">
        <v>2560.31</v>
      </c>
      <c r="G18" s="89"/>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v>211482.06</v>
      </c>
      <c r="F19" s="85">
        <v>211950.43</v>
      </c>
      <c r="G19" s="85"/>
      <c r="H19" s="85"/>
      <c r="I19" s="85"/>
      <c r="J19" s="85"/>
      <c r="K19" s="85"/>
      <c r="L19" s="11"/>
      <c r="M19" s="11"/>
      <c r="N19" s="46" t="s">
        <v>95</v>
      </c>
      <c r="O19" s="51"/>
      <c r="P19" s="51"/>
      <c r="Q19" s="52">
        <f>E16/AVERAGE(D22:E22)</f>
        <v>3.1588071357497124E-2</v>
      </c>
      <c r="R19" s="52">
        <f>F16/AVERAGE(E22:F22)</f>
        <v>2.7866100629624777E-2</v>
      </c>
      <c r="S19" s="52">
        <f>G16/AVERAGE(F22:G22)</f>
        <v>0</v>
      </c>
      <c r="T19" s="18"/>
      <c r="U19" s="18"/>
      <c r="V19" s="18"/>
      <c r="W19" s="18"/>
    </row>
    <row r="20" spans="1:23" x14ac:dyDescent="0.25">
      <c r="A20" s="6" t="s">
        <v>56</v>
      </c>
      <c r="B20" s="7"/>
      <c r="C20" s="7"/>
      <c r="D20" s="88">
        <f>D19-D71</f>
        <v>0</v>
      </c>
      <c r="E20" s="89">
        <f>E19-E71</f>
        <v>211482.06</v>
      </c>
      <c r="F20" s="89">
        <f>F19-F71</f>
        <v>211950.43</v>
      </c>
      <c r="G20" s="89">
        <f>G19-G71</f>
        <v>0</v>
      </c>
      <c r="H20" s="89">
        <f>H19-H71</f>
        <v>0</v>
      </c>
      <c r="I20" s="89"/>
      <c r="J20" s="89"/>
      <c r="K20" s="89"/>
      <c r="L20" s="11"/>
      <c r="M20" s="11"/>
      <c r="N20" s="42" t="s">
        <v>31</v>
      </c>
      <c r="O20" s="43"/>
      <c r="P20" s="43">
        <v>4.4699999999999997E-2</v>
      </c>
      <c r="Q20" s="44">
        <f>E18/AVERAGE(D22:E22)</f>
        <v>9.4485855957260074E-3</v>
      </c>
      <c r="R20" s="44">
        <f>F18/AVERAGE(E22:F22)</f>
        <v>2.2096483807937609E-3</v>
      </c>
      <c r="S20" s="44">
        <f>G18/AVERAGE(F22:G22)</f>
        <v>0</v>
      </c>
      <c r="T20" s="48"/>
      <c r="U20" s="18"/>
      <c r="V20" s="18"/>
      <c r="W20" s="18"/>
    </row>
    <row r="21" spans="1:23" x14ac:dyDescent="0.25">
      <c r="A21" s="6" t="s">
        <v>57</v>
      </c>
      <c r="B21" s="9"/>
      <c r="C21" s="9"/>
      <c r="D21" s="85"/>
      <c r="E21" s="85">
        <f>41298.1+886193.76</f>
        <v>927491.86</v>
      </c>
      <c r="F21" s="85">
        <f>63608.8+853810.92</f>
        <v>917419.72000000009</v>
      </c>
      <c r="G21" s="85"/>
      <c r="H21" s="85"/>
      <c r="I21" s="85"/>
      <c r="J21" s="85"/>
      <c r="K21" s="85"/>
      <c r="L21" s="11"/>
      <c r="M21" s="11"/>
      <c r="N21" s="42" t="s">
        <v>32</v>
      </c>
      <c r="O21" s="43"/>
      <c r="P21" s="44" t="e">
        <f>D18/AVERAGE(C19:D19)</f>
        <v>#DIV/0!</v>
      </c>
      <c r="Q21" s="44">
        <f>E18/AVERAGE(D19:E19)</f>
        <v>5.2013348082574948E-2</v>
      </c>
      <c r="R21" s="44">
        <f>F18/AVERAGE(E19:F19)</f>
        <v>1.2093120204356543E-2</v>
      </c>
      <c r="S21" s="44">
        <f>G18/AVERAGE(F19:G19)</f>
        <v>0</v>
      </c>
      <c r="T21" s="18"/>
      <c r="U21" s="18"/>
      <c r="V21" s="18"/>
      <c r="W21" s="18"/>
    </row>
    <row r="22" spans="1:23" x14ac:dyDescent="0.25">
      <c r="A22" s="6" t="s">
        <v>29</v>
      </c>
      <c r="B22" s="7"/>
      <c r="C22" s="7"/>
      <c r="D22" s="88"/>
      <c r="E22" s="85">
        <v>1164183.77</v>
      </c>
      <c r="F22" s="85">
        <v>1153207.56</v>
      </c>
      <c r="G22" s="85"/>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v>1084752.1200000001</v>
      </c>
      <c r="F23" s="85">
        <v>1058977.1200000001</v>
      </c>
      <c r="G23" s="85"/>
      <c r="H23" s="85"/>
      <c r="I23" s="85"/>
      <c r="J23" s="85"/>
      <c r="K23" s="85"/>
      <c r="L23" s="11"/>
      <c r="M23" s="11"/>
      <c r="N23" s="42" t="s">
        <v>34</v>
      </c>
      <c r="O23" s="43"/>
      <c r="P23" s="44" t="e">
        <f>D6/AVERAGE(C23:D23)</f>
        <v>#DIV/0!</v>
      </c>
      <c r="Q23" s="44">
        <f>E6/AVERAGE(D23:E23)</f>
        <v>0.120612015950704</v>
      </c>
      <c r="R23" s="44">
        <f>F6/AVERAGE(E23:F23)</f>
        <v>9.8915961980347841E-2</v>
      </c>
      <c r="S23" s="44">
        <f>G6/AVERAGE(F23:G23)</f>
        <v>0</v>
      </c>
      <c r="T23" s="18"/>
      <c r="U23" s="18"/>
      <c r="V23" s="18"/>
      <c r="W23" s="18"/>
    </row>
    <row r="24" spans="1:23" x14ac:dyDescent="0.25">
      <c r="A24" s="6" t="s">
        <v>59</v>
      </c>
      <c r="B24" s="10"/>
      <c r="C24" s="10"/>
      <c r="D24" s="89"/>
      <c r="E24" s="89">
        <v>74461.91</v>
      </c>
      <c r="F24" s="89">
        <v>82410.63</v>
      </c>
      <c r="G24" s="89"/>
      <c r="H24" s="89"/>
      <c r="I24" s="89"/>
      <c r="J24" s="89"/>
      <c r="K24" s="89"/>
      <c r="L24" s="11"/>
      <c r="M24" s="11"/>
      <c r="N24" s="42" t="s">
        <v>35</v>
      </c>
      <c r="O24" s="43"/>
      <c r="P24" s="44" t="e">
        <f>D9/AVERAGE(C21:D21)</f>
        <v>#DIV/0!</v>
      </c>
      <c r="Q24" s="44">
        <f>E9/AVERAGE(D21:E21)</f>
        <v>0.10225926942366913</v>
      </c>
      <c r="R24" s="44">
        <f>F9/AVERAGE(E21:F21)</f>
        <v>8.1467568218093131E-2</v>
      </c>
      <c r="S24" s="44">
        <f>G9/AVERAGE(F21:G21)</f>
        <v>0</v>
      </c>
      <c r="T24" s="18"/>
      <c r="U24" s="18"/>
      <c r="V24" s="18"/>
      <c r="W24" s="18"/>
    </row>
    <row r="25" spans="1:23" x14ac:dyDescent="0.25">
      <c r="A25" s="6" t="s">
        <v>60</v>
      </c>
      <c r="B25" s="10"/>
      <c r="C25" s="10"/>
      <c r="D25" s="89"/>
      <c r="E25" s="89">
        <v>38448.660000000003</v>
      </c>
      <c r="F25" s="89">
        <v>31305.84</v>
      </c>
      <c r="G25" s="89"/>
      <c r="H25" s="89"/>
      <c r="I25" s="89"/>
      <c r="J25" s="89"/>
      <c r="K25" s="89"/>
      <c r="L25" s="11"/>
      <c r="M25" s="11"/>
      <c r="N25" s="42" t="s">
        <v>36</v>
      </c>
      <c r="O25" s="43"/>
      <c r="P25" s="48" t="e">
        <f>P23-P24</f>
        <v>#DIV/0!</v>
      </c>
      <c r="Q25" s="48">
        <f>Q23-Q24</f>
        <v>1.8352746527034877E-2</v>
      </c>
      <c r="R25" s="48">
        <f>R23-R24</f>
        <v>1.744839376225471E-2</v>
      </c>
      <c r="S25" s="48">
        <f>S23-S24</f>
        <v>0</v>
      </c>
      <c r="T25" s="18"/>
      <c r="U25" s="18"/>
      <c r="V25" s="18"/>
      <c r="W25" s="18"/>
    </row>
  </sheetData>
  <mergeCells count="2">
    <mergeCell ref="A2:A4"/>
    <mergeCell ref="I1:K1"/>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H25"/>
  <sheetViews>
    <sheetView topLeftCell="J15" workbookViewId="0">
      <selection activeCell="AH7" sqref="AH7"/>
    </sheetView>
  </sheetViews>
  <sheetFormatPr defaultRowHeight="15" x14ac:dyDescent="0.25"/>
  <cols>
    <col min="1" max="1" width="32" customWidth="1"/>
    <col min="4" max="4" width="11.85546875" customWidth="1"/>
    <col min="5" max="5" width="12.140625" customWidth="1"/>
    <col min="6" max="6" width="14.28515625" customWidth="1"/>
    <col min="7" max="7" width="12.5703125" customWidth="1"/>
    <col min="8" max="8" width="13.140625" bestFit="1" customWidth="1"/>
    <col min="9" max="9" width="13.140625" customWidth="1"/>
    <col min="10" max="12" width="11.28515625" bestFit="1" customWidth="1"/>
    <col min="13" max="13" width="11.42578125" customWidth="1"/>
    <col min="14" max="14" width="10.140625" bestFit="1" customWidth="1"/>
    <col min="15" max="17" width="10.140625" customWidth="1"/>
    <col min="18" max="18" width="29.85546875" customWidth="1"/>
    <col min="24" max="24" width="14.42578125" customWidth="1"/>
    <col min="25" max="26" width="14.85546875" customWidth="1"/>
    <col min="27" max="28" width="11.42578125" bestFit="1" customWidth="1"/>
    <col min="34" max="34" width="13.85546875" bestFit="1" customWidth="1"/>
    <col min="36" max="36" width="23.28515625" customWidth="1"/>
    <col min="37" max="37" width="42.42578125" bestFit="1" customWidth="1"/>
  </cols>
  <sheetData>
    <row r="1" spans="1:34" x14ac:dyDescent="0.25">
      <c r="J1" s="772" t="s">
        <v>112</v>
      </c>
      <c r="K1" s="772"/>
      <c r="L1" s="772"/>
    </row>
    <row r="2" spans="1:34"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681</v>
      </c>
      <c r="O2" s="11"/>
      <c r="P2" s="11"/>
      <c r="Q2" s="11"/>
      <c r="R2" s="11"/>
      <c r="S2" s="40" t="s">
        <v>6</v>
      </c>
      <c r="T2" s="41" t="s">
        <v>7</v>
      </c>
      <c r="U2" s="41" t="s">
        <v>8</v>
      </c>
      <c r="V2" s="41" t="s">
        <v>9</v>
      </c>
      <c r="W2" s="40" t="s">
        <v>10</v>
      </c>
      <c r="X2" s="41" t="s">
        <v>90</v>
      </c>
      <c r="Y2" s="41" t="s">
        <v>492</v>
      </c>
      <c r="Z2" s="41" t="s">
        <v>623</v>
      </c>
      <c r="AA2" s="40" t="s">
        <v>37</v>
      </c>
      <c r="AB2" s="41" t="s">
        <v>38</v>
      </c>
      <c r="AC2" s="41" t="s">
        <v>39</v>
      </c>
      <c r="AD2" s="41" t="s">
        <v>40</v>
      </c>
    </row>
    <row r="3" spans="1:34" ht="33.75"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t="e">
        <f t="shared" ref="U3:Z3" si="0">D10/AVERAGE(C23:D23)</f>
        <v>#DIV/0!</v>
      </c>
      <c r="V3" s="44">
        <f t="shared" si="0"/>
        <v>0.49999178188566334</v>
      </c>
      <c r="W3" s="44">
        <f t="shared" si="0"/>
        <v>0.67141008824736359</v>
      </c>
      <c r="X3" s="44">
        <f t="shared" si="0"/>
        <v>5.8015276952971304E-2</v>
      </c>
      <c r="Y3" s="44">
        <f t="shared" si="0"/>
        <v>2.8250176128799785E-2</v>
      </c>
      <c r="Z3" s="44">
        <f t="shared" si="0"/>
        <v>2.5463297858280928E-2</v>
      </c>
      <c r="AA3" s="44">
        <f t="shared" ref="AA3:AH3" si="1">(J10*4)/J23</f>
        <v>2.6054945859435699E-2</v>
      </c>
      <c r="AB3" s="44">
        <f t="shared" si="1"/>
        <v>2.6398817857967018E-2</v>
      </c>
      <c r="AC3" s="44">
        <f t="shared" si="1"/>
        <v>2.7817234566978499E-2</v>
      </c>
      <c r="AD3" s="44">
        <f t="shared" si="1"/>
        <v>2.1523126022273274E-2</v>
      </c>
      <c r="AE3" s="44">
        <f t="shared" si="1"/>
        <v>2.6427302306389375E-2</v>
      </c>
      <c r="AF3" s="44">
        <f t="shared" si="1"/>
        <v>2.4854318020166372E-2</v>
      </c>
      <c r="AG3" s="44">
        <f t="shared" si="1"/>
        <v>2.5960210072297273E-2</v>
      </c>
      <c r="AH3" s="44">
        <f t="shared" si="1"/>
        <v>2.6776743269531753E-2</v>
      </c>
    </row>
    <row r="4" spans="1:34" ht="22.5"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row>
    <row r="5" spans="1:34" ht="45" x14ac:dyDescent="0.25">
      <c r="A5" s="6" t="s">
        <v>23</v>
      </c>
      <c r="B5" s="7"/>
      <c r="C5" s="8"/>
      <c r="E5">
        <v>134210.17000000001</v>
      </c>
      <c r="F5" s="85">
        <v>157704.72</v>
      </c>
      <c r="G5" s="90">
        <v>202992.64000000001</v>
      </c>
      <c r="H5" s="90">
        <f>238912.75+5.55</f>
        <v>238918.3</v>
      </c>
      <c r="I5" s="90">
        <v>266445.84000000003</v>
      </c>
      <c r="J5" s="85">
        <v>66791.73</v>
      </c>
      <c r="K5" s="85">
        <v>67663.22</v>
      </c>
      <c r="L5" s="85">
        <v>67418.63</v>
      </c>
      <c r="M5" s="85">
        <v>62360.75</v>
      </c>
      <c r="N5" s="11">
        <v>64731.16</v>
      </c>
      <c r="O5" s="11">
        <v>67656.33</v>
      </c>
      <c r="P5" s="11">
        <v>68993.399999999994</v>
      </c>
      <c r="Q5" s="11">
        <v>67634.3</v>
      </c>
      <c r="R5" s="11"/>
      <c r="S5" s="42" t="s">
        <v>13</v>
      </c>
      <c r="T5" s="46"/>
      <c r="U5" s="47" t="e">
        <f t="shared" ref="U5:Z5" si="2">D21/D20</f>
        <v>#DIV/0!</v>
      </c>
      <c r="V5" s="47">
        <f t="shared" si="2"/>
        <v>7.735268625300959</v>
      </c>
      <c r="W5" s="47">
        <f t="shared" si="2"/>
        <v>8.9969437854669323</v>
      </c>
      <c r="X5" s="47">
        <f t="shared" si="2"/>
        <v>9.4744218142400012</v>
      </c>
      <c r="Y5" s="47">
        <f t="shared" si="2"/>
        <v>9.213506889106112</v>
      </c>
      <c r="Z5" s="47">
        <f t="shared" si="2"/>
        <v>8.3782860326125395</v>
      </c>
      <c r="AA5" s="18"/>
      <c r="AB5" s="18"/>
      <c r="AC5" s="18"/>
      <c r="AD5" s="18"/>
      <c r="AH5" s="236"/>
    </row>
    <row r="6" spans="1:34" x14ac:dyDescent="0.25">
      <c r="A6" s="6" t="s">
        <v>50</v>
      </c>
      <c r="B6" s="7"/>
      <c r="C6" s="8"/>
      <c r="E6">
        <v>133871.93</v>
      </c>
      <c r="F6" s="85">
        <v>157512.70000000001</v>
      </c>
      <c r="G6" s="85">
        <v>202801.61</v>
      </c>
      <c r="H6" s="85">
        <v>238912.75</v>
      </c>
      <c r="I6" s="85">
        <v>266445.84000000003</v>
      </c>
      <c r="J6" s="85">
        <v>66791.73</v>
      </c>
      <c r="K6" s="85">
        <v>67663.22</v>
      </c>
      <c r="L6" s="85">
        <v>67418.63</v>
      </c>
      <c r="M6" s="85">
        <v>62360.75</v>
      </c>
      <c r="N6" s="85">
        <v>64731.16</v>
      </c>
      <c r="O6" s="439">
        <v>67656.33</v>
      </c>
      <c r="P6" s="439">
        <v>68993.399999999994</v>
      </c>
      <c r="Q6" s="439">
        <v>67634.3</v>
      </c>
      <c r="R6" s="11"/>
      <c r="S6" s="42" t="s">
        <v>14</v>
      </c>
      <c r="T6" s="43"/>
      <c r="U6" s="43"/>
      <c r="V6" s="43">
        <v>3.9539</v>
      </c>
      <c r="W6" s="43">
        <v>4.2046000000000001</v>
      </c>
      <c r="X6" s="48">
        <v>4.3973000000000004</v>
      </c>
      <c r="Y6" s="48">
        <v>5.1201999999999996</v>
      </c>
      <c r="Z6" s="48">
        <v>6.1201999999999996</v>
      </c>
      <c r="AA6" s="48">
        <v>6.2756999999999996</v>
      </c>
      <c r="AB6" s="48">
        <v>6.3278999999999996</v>
      </c>
      <c r="AC6" s="48">
        <v>6.1413000000000002</v>
      </c>
      <c r="AD6" s="48">
        <v>5.1201999999999996</v>
      </c>
      <c r="AE6" s="80">
        <v>6.1615000000000002</v>
      </c>
      <c r="AF6" s="80">
        <v>7.2163000000000004</v>
      </c>
      <c r="AG6" s="80">
        <v>7.2289000000000003</v>
      </c>
      <c r="AH6" s="80">
        <v>7.1985000000000001</v>
      </c>
    </row>
    <row r="7" spans="1:34" ht="22.5"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3">D20/D23</f>
        <v>#DIV/0!</v>
      </c>
      <c r="V7" s="44">
        <f t="shared" si="3"/>
        <v>4.6982420057905143</v>
      </c>
      <c r="W7" s="44">
        <f t="shared" si="3"/>
        <v>5.1320916870230473</v>
      </c>
      <c r="X7" s="44">
        <f t="shared" si="3"/>
        <v>0.1981222768501085</v>
      </c>
      <c r="Y7" s="44">
        <f t="shared" si="3"/>
        <v>0.18239413827099582</v>
      </c>
      <c r="Z7" s="44">
        <f t="shared" si="3"/>
        <v>0.18583538432096469</v>
      </c>
      <c r="AA7" s="18"/>
      <c r="AB7" s="18"/>
      <c r="AC7" s="18"/>
      <c r="AD7" s="18"/>
    </row>
    <row r="8" spans="1:34" ht="45" x14ac:dyDescent="0.25">
      <c r="A8" s="6" t="s">
        <v>52</v>
      </c>
      <c r="B8" s="7"/>
      <c r="C8" s="8"/>
      <c r="D8" s="85">
        <f t="shared" ref="D8:Q8" si="4">D5-D6-D7</f>
        <v>0</v>
      </c>
      <c r="E8" s="85">
        <f t="shared" si="4"/>
        <v>338.24000000001979</v>
      </c>
      <c r="F8" s="85">
        <f t="shared" si="4"/>
        <v>192.01999999998952</v>
      </c>
      <c r="G8" s="85">
        <f t="shared" si="4"/>
        <v>191.03000000002794</v>
      </c>
      <c r="H8" s="85">
        <f t="shared" si="4"/>
        <v>5.5499999999883585</v>
      </c>
      <c r="I8" s="85">
        <f t="shared" si="4"/>
        <v>0</v>
      </c>
      <c r="J8" s="85">
        <f t="shared" si="4"/>
        <v>0</v>
      </c>
      <c r="K8" s="85">
        <f t="shared" si="4"/>
        <v>0</v>
      </c>
      <c r="L8" s="85">
        <f t="shared" si="4"/>
        <v>0</v>
      </c>
      <c r="M8" s="85">
        <f t="shared" si="4"/>
        <v>0</v>
      </c>
      <c r="N8" s="85">
        <f t="shared" si="4"/>
        <v>0</v>
      </c>
      <c r="O8" s="85">
        <f t="shared" si="4"/>
        <v>0</v>
      </c>
      <c r="P8" s="85">
        <f t="shared" si="4"/>
        <v>0</v>
      </c>
      <c r="Q8" s="85">
        <f t="shared" si="4"/>
        <v>0</v>
      </c>
      <c r="R8" s="11"/>
      <c r="S8" s="40" t="s">
        <v>16</v>
      </c>
      <c r="T8" s="45"/>
      <c r="U8" s="45"/>
      <c r="V8" s="45"/>
      <c r="W8" s="46" t="s">
        <v>5</v>
      </c>
      <c r="X8" s="18"/>
      <c r="Y8" s="18"/>
      <c r="Z8" s="18"/>
      <c r="AA8" s="18"/>
      <c r="AB8" s="18"/>
      <c r="AC8" s="18"/>
      <c r="AD8" s="18"/>
    </row>
    <row r="9" spans="1:34" ht="112.5" x14ac:dyDescent="0.25">
      <c r="A9" s="6" t="s">
        <v>24</v>
      </c>
      <c r="B9" s="7"/>
      <c r="C9" s="7"/>
      <c r="D9" s="88"/>
      <c r="E9" s="85">
        <v>101626.62</v>
      </c>
      <c r="F9" s="85">
        <v>112370.53</v>
      </c>
      <c r="G9" s="85">
        <v>140747.82</v>
      </c>
      <c r="H9" s="85">
        <v>174472.06</v>
      </c>
      <c r="I9" s="85">
        <v>201014.7</v>
      </c>
      <c r="J9" s="85">
        <v>50909.7</v>
      </c>
      <c r="K9" s="85">
        <v>51814.89</v>
      </c>
      <c r="L9" s="85">
        <v>51042.93</v>
      </c>
      <c r="M9" s="85">
        <v>48947</v>
      </c>
      <c r="N9" s="11">
        <v>47247.18</v>
      </c>
      <c r="O9" s="11">
        <v>51549.13</v>
      </c>
      <c r="P9" s="11">
        <v>52487.4</v>
      </c>
      <c r="Q9" s="11">
        <v>50950.7</v>
      </c>
      <c r="R9" s="11"/>
      <c r="S9" s="49" t="s">
        <v>93</v>
      </c>
      <c r="T9" s="45"/>
      <c r="U9" s="50" t="e">
        <f t="shared" ref="U9:Z9" si="5">D14/(D11-D9)</f>
        <v>#DIV/0!</v>
      </c>
      <c r="V9" s="50">
        <f t="shared" si="5"/>
        <v>1.970043165953371E-2</v>
      </c>
      <c r="W9" s="50">
        <f t="shared" si="5"/>
        <v>2.5359006083487977E-2</v>
      </c>
      <c r="X9" s="50">
        <f t="shared" si="5"/>
        <v>2.1881178224951087E-2</v>
      </c>
      <c r="Y9" s="50">
        <f t="shared" si="5"/>
        <v>2.347941478044336E-2</v>
      </c>
      <c r="Z9" s="50">
        <f t="shared" si="5"/>
        <v>2.2354952091618759E-2</v>
      </c>
      <c r="AA9" s="18"/>
      <c r="AB9" s="18"/>
      <c r="AC9" s="18"/>
      <c r="AD9" s="18"/>
    </row>
    <row r="10" spans="1:34" ht="67.5" x14ac:dyDescent="0.25">
      <c r="A10" s="6" t="s">
        <v>53</v>
      </c>
      <c r="B10" s="10">
        <f t="shared" ref="B10:K10" si="6">B6-B9</f>
        <v>0</v>
      </c>
      <c r="C10" s="10">
        <f t="shared" si="6"/>
        <v>0</v>
      </c>
      <c r="D10" s="89">
        <f t="shared" si="6"/>
        <v>0</v>
      </c>
      <c r="E10" s="89">
        <f t="shared" si="6"/>
        <v>32245.309999999998</v>
      </c>
      <c r="F10" s="89">
        <f t="shared" si="6"/>
        <v>45142.170000000013</v>
      </c>
      <c r="G10" s="89">
        <f t="shared" si="6"/>
        <v>62053.789999999979</v>
      </c>
      <c r="H10" s="89">
        <f>H6-H9</f>
        <v>64440.69</v>
      </c>
      <c r="I10" s="89">
        <f>I6-I9</f>
        <v>65431.140000000014</v>
      </c>
      <c r="J10" s="89">
        <f t="shared" si="6"/>
        <v>15882.029999999999</v>
      </c>
      <c r="K10" s="89">
        <f t="shared" si="6"/>
        <v>15848.330000000002</v>
      </c>
      <c r="L10" s="89">
        <f t="shared" ref="L10:Q10" si="7">L6-L9</f>
        <v>16375.700000000004</v>
      </c>
      <c r="M10" s="89">
        <f t="shared" si="7"/>
        <v>13413.75</v>
      </c>
      <c r="N10" s="89">
        <f t="shared" si="7"/>
        <v>17483.980000000003</v>
      </c>
      <c r="O10" s="89">
        <f t="shared" si="7"/>
        <v>16107.200000000004</v>
      </c>
      <c r="P10" s="89">
        <f t="shared" si="7"/>
        <v>16505.999999999993</v>
      </c>
      <c r="Q10" s="89">
        <f t="shared" si="7"/>
        <v>16683.600000000006</v>
      </c>
      <c r="R10" s="11"/>
      <c r="S10" s="42" t="s">
        <v>92</v>
      </c>
      <c r="T10" s="43"/>
      <c r="U10" s="44" t="e">
        <f t="shared" ref="U10:Z10" si="8">D14/D11</f>
        <v>#DIV/0!</v>
      </c>
      <c r="V10" s="44">
        <f t="shared" si="8"/>
        <v>4.7828715215843922E-3</v>
      </c>
      <c r="W10" s="44">
        <f t="shared" si="8"/>
        <v>7.2897627921345654E-3</v>
      </c>
      <c r="X10" s="44">
        <f t="shared" si="8"/>
        <v>6.7095536074608412E-3</v>
      </c>
      <c r="Y10" s="44">
        <f t="shared" si="8"/>
        <v>6.3333783975526355E-3</v>
      </c>
      <c r="Z10" s="44">
        <f t="shared" si="8"/>
        <v>5.4897085276317311E-3</v>
      </c>
      <c r="AA10" s="18"/>
      <c r="AB10" s="18"/>
      <c r="AC10" s="18"/>
      <c r="AD10" s="18"/>
    </row>
    <row r="11" spans="1:34" ht="56.25" x14ac:dyDescent="0.25">
      <c r="A11" s="6" t="s">
        <v>1</v>
      </c>
      <c r="B11" s="10">
        <f>B5-B9</f>
        <v>0</v>
      </c>
      <c r="C11" s="10">
        <f t="shared" ref="C11:K11" si="9">SUM(C6:C8)</f>
        <v>0</v>
      </c>
      <c r="D11" s="89">
        <f t="shared" si="9"/>
        <v>0</v>
      </c>
      <c r="E11" s="89">
        <f t="shared" si="9"/>
        <v>134210.17000000001</v>
      </c>
      <c r="F11" s="89">
        <f>SUM(F6:F8)</f>
        <v>157704.72</v>
      </c>
      <c r="G11" s="89">
        <f>SUM(G6:G8)</f>
        <v>202992.64000000001</v>
      </c>
      <c r="H11" s="89">
        <f>SUM(H6:H8)</f>
        <v>238918.3</v>
      </c>
      <c r="I11" s="89">
        <f>SUM(I6:I8)</f>
        <v>266445.84000000003</v>
      </c>
      <c r="J11" s="89">
        <f t="shared" si="9"/>
        <v>66791.73</v>
      </c>
      <c r="K11" s="89">
        <f t="shared" si="9"/>
        <v>67663.22</v>
      </c>
      <c r="L11" s="89">
        <f t="shared" ref="L11:Q11" si="10">SUM(L6:L8)</f>
        <v>67418.63</v>
      </c>
      <c r="M11" s="89">
        <f t="shared" si="10"/>
        <v>62360.75</v>
      </c>
      <c r="N11" s="89">
        <f t="shared" si="10"/>
        <v>64731.16</v>
      </c>
      <c r="O11" s="89">
        <f t="shared" si="10"/>
        <v>67656.33</v>
      </c>
      <c r="P11" s="89">
        <f t="shared" si="10"/>
        <v>68993.399999999994</v>
      </c>
      <c r="Q11" s="89">
        <f t="shared" si="10"/>
        <v>67634.3</v>
      </c>
      <c r="R11" s="11"/>
      <c r="S11" s="42" t="s">
        <v>17</v>
      </c>
      <c r="T11" s="43"/>
      <c r="U11" s="44" t="e">
        <f t="shared" ref="U11:Z11" si="11">D14/AVERAGE(C22:D22)</f>
        <v>#DIV/0!</v>
      </c>
      <c r="V11" s="44">
        <f t="shared" si="11"/>
        <v>2.3299469315757513E-4</v>
      </c>
      <c r="W11" s="44">
        <f t="shared" si="11"/>
        <v>3.5050461743940702E-4</v>
      </c>
      <c r="X11" s="44">
        <f t="shared" si="11"/>
        <v>3.2800788354674207E-4</v>
      </c>
      <c r="Y11" s="44">
        <f t="shared" si="11"/>
        <v>3.2156341174334122E-4</v>
      </c>
      <c r="Z11" s="44">
        <f t="shared" si="11"/>
        <v>2.9966529150254629E-4</v>
      </c>
      <c r="AA11" s="18"/>
      <c r="AB11" s="18"/>
      <c r="AC11" s="18"/>
      <c r="AD11" s="18"/>
    </row>
    <row r="12" spans="1:34" ht="45" x14ac:dyDescent="0.25">
      <c r="A12" s="6" t="s">
        <v>91</v>
      </c>
      <c r="B12" s="10"/>
      <c r="C12" s="10"/>
      <c r="D12" s="89"/>
      <c r="E12" s="89">
        <v>0.73</v>
      </c>
      <c r="F12" s="89">
        <v>3.9</v>
      </c>
      <c r="G12" s="89">
        <v>23.33</v>
      </c>
      <c r="H12" s="89">
        <v>407.98</v>
      </c>
      <c r="I12" s="89">
        <f>105.57+7.76</f>
        <v>113.33</v>
      </c>
      <c r="J12" s="89">
        <v>18.559999999999999</v>
      </c>
      <c r="K12" s="89">
        <f>8.49+3.07</f>
        <v>11.56</v>
      </c>
      <c r="L12" s="89">
        <v>34.479999999999997</v>
      </c>
      <c r="M12" s="89">
        <v>366.66</v>
      </c>
      <c r="N12" s="11">
        <f>48.73</f>
        <v>48.73</v>
      </c>
      <c r="O12" s="11">
        <v>3.91</v>
      </c>
      <c r="P12" s="11">
        <v>5.4</v>
      </c>
      <c r="Q12" s="11">
        <v>29.6</v>
      </c>
      <c r="R12" s="11"/>
      <c r="S12" s="40" t="s">
        <v>18</v>
      </c>
      <c r="T12" s="45"/>
      <c r="U12" s="45"/>
      <c r="V12" s="45"/>
      <c r="W12" s="46" t="s">
        <v>5</v>
      </c>
      <c r="X12" s="18"/>
      <c r="Y12" s="18"/>
      <c r="Z12" s="18"/>
      <c r="AA12" s="18"/>
      <c r="AB12" s="18"/>
      <c r="AC12" s="53"/>
      <c r="AD12" s="54"/>
    </row>
    <row r="13" spans="1:34" ht="22.5" x14ac:dyDescent="0.25">
      <c r="A13" s="6" t="s">
        <v>25</v>
      </c>
      <c r="B13" s="7"/>
      <c r="C13" s="7"/>
      <c r="D13" s="88">
        <f t="shared" ref="D13:L13" si="12">D11+D12</f>
        <v>0</v>
      </c>
      <c r="E13" s="88">
        <f t="shared" si="12"/>
        <v>134210.90000000002</v>
      </c>
      <c r="F13" s="88">
        <f t="shared" si="12"/>
        <v>157708.62</v>
      </c>
      <c r="G13" s="88">
        <f t="shared" si="12"/>
        <v>203015.97</v>
      </c>
      <c r="H13" s="88">
        <f t="shared" si="12"/>
        <v>239326.28</v>
      </c>
      <c r="I13" s="88">
        <f t="shared" si="12"/>
        <v>266559.17000000004</v>
      </c>
      <c r="J13" s="88">
        <f t="shared" si="12"/>
        <v>66810.289999999994</v>
      </c>
      <c r="K13" s="88">
        <f t="shared" si="12"/>
        <v>67674.78</v>
      </c>
      <c r="L13" s="88">
        <f t="shared" si="12"/>
        <v>67453.11</v>
      </c>
      <c r="M13" s="88">
        <f>M11+M12</f>
        <v>62727.41</v>
      </c>
      <c r="N13" s="88">
        <f>N11+N12</f>
        <v>64779.890000000007</v>
      </c>
      <c r="O13" s="88">
        <f>O11+O12</f>
        <v>67660.240000000005</v>
      </c>
      <c r="P13" s="88">
        <f>P11+P12</f>
        <v>68998.799999999988</v>
      </c>
      <c r="Q13" s="88">
        <f>Q11+Q12</f>
        <v>67663.900000000009</v>
      </c>
      <c r="R13" s="11"/>
      <c r="S13" s="42" t="s">
        <v>19</v>
      </c>
      <c r="T13" s="43"/>
      <c r="U13" s="44" t="e">
        <f t="shared" ref="U13:Z13" si="13">D24/D23</f>
        <v>#DIV/0!</v>
      </c>
      <c r="V13" s="44">
        <f t="shared" si="13"/>
        <v>0</v>
      </c>
      <c r="W13" s="44">
        <f t="shared" si="13"/>
        <v>0</v>
      </c>
      <c r="X13" s="44">
        <f t="shared" si="13"/>
        <v>0</v>
      </c>
      <c r="Y13" s="44">
        <f t="shared" si="13"/>
        <v>0</v>
      </c>
      <c r="Z13" s="44">
        <f t="shared" si="13"/>
        <v>0</v>
      </c>
      <c r="AA13" s="48"/>
      <c r="AB13" s="18"/>
      <c r="AC13" s="18"/>
      <c r="AD13" s="18"/>
    </row>
    <row r="14" spans="1:34" ht="22.5" x14ac:dyDescent="0.25">
      <c r="A14" s="6" t="s">
        <v>26</v>
      </c>
      <c r="B14" s="7"/>
      <c r="C14" s="7"/>
      <c r="D14" s="85"/>
      <c r="E14" s="85">
        <f>62.65+4.58+574.68</f>
        <v>641.91</v>
      </c>
      <c r="F14" s="85">
        <f>78.47+44.32+1026.84</f>
        <v>1149.6299999999999</v>
      </c>
      <c r="G14" s="85">
        <f>107.48+140.25+1114.26</f>
        <v>1361.99</v>
      </c>
      <c r="H14" s="85">
        <f>130.99+140.62+1241.55</f>
        <v>1513.1599999999999</v>
      </c>
      <c r="I14" s="85">
        <f>111.72+94.42+1122.7+133.87</f>
        <v>1462.71</v>
      </c>
      <c r="J14" s="85">
        <f>42.27+274.11+45.12</f>
        <v>361.5</v>
      </c>
      <c r="K14" s="85">
        <f>27.12+21.5+287.24+20.34</f>
        <v>356.2</v>
      </c>
      <c r="L14" s="85">
        <f>31.17+13.32+280.68+37.68</f>
        <v>362.85</v>
      </c>
      <c r="M14" s="85">
        <f>42.59+33.2+413.9+7.45</f>
        <v>497.14</v>
      </c>
      <c r="N14" s="11">
        <f>25.77+17.33+280.67+30.73</f>
        <v>354.5</v>
      </c>
      <c r="O14" s="11">
        <f>26.17+15.89+313.95+23.06</f>
        <v>379.07</v>
      </c>
      <c r="P14" s="11">
        <f>29.2+10.9+313.9+29.4</f>
        <v>383.4</v>
      </c>
      <c r="Q14" s="11">
        <f>36.4+13.4+314+38.2</f>
        <v>402</v>
      </c>
      <c r="R14" s="11"/>
      <c r="S14" s="42" t="s">
        <v>20</v>
      </c>
      <c r="T14" s="43"/>
      <c r="U14" s="44" t="e">
        <f t="shared" ref="U14:Z14" si="14">D25/D23</f>
        <v>#DIV/0!</v>
      </c>
      <c r="V14" s="44">
        <f t="shared" si="14"/>
        <v>0</v>
      </c>
      <c r="W14" s="44">
        <f t="shared" si="14"/>
        <v>0</v>
      </c>
      <c r="X14" s="44">
        <f t="shared" si="14"/>
        <v>0</v>
      </c>
      <c r="Y14" s="44">
        <f t="shared" si="14"/>
        <v>0</v>
      </c>
      <c r="Z14" s="44">
        <f t="shared" si="14"/>
        <v>0</v>
      </c>
      <c r="AA14" s="48"/>
      <c r="AB14" s="18"/>
      <c r="AC14" s="18"/>
      <c r="AD14" s="18"/>
    </row>
    <row r="15" spans="1:34" ht="33.75" x14ac:dyDescent="0.25">
      <c r="A15" s="6" t="s">
        <v>54</v>
      </c>
      <c r="B15" s="10"/>
      <c r="C15" s="10"/>
      <c r="D15" s="89">
        <f t="shared" ref="D15:K15" si="15">D11-D14</f>
        <v>0</v>
      </c>
      <c r="E15" s="89">
        <f t="shared" si="15"/>
        <v>133568.26</v>
      </c>
      <c r="F15" s="89">
        <f t="shared" si="15"/>
        <v>156555.09</v>
      </c>
      <c r="G15" s="89">
        <f t="shared" si="15"/>
        <v>201630.65000000002</v>
      </c>
      <c r="H15" s="89">
        <f>H11-H14</f>
        <v>237405.13999999998</v>
      </c>
      <c r="I15" s="89">
        <f>I11-I14</f>
        <v>264983.13</v>
      </c>
      <c r="J15" s="89">
        <f t="shared" si="15"/>
        <v>66430.23</v>
      </c>
      <c r="K15" s="89">
        <f t="shared" si="15"/>
        <v>67307.02</v>
      </c>
      <c r="L15" s="89">
        <f t="shared" ref="L15:Q15" si="16">L11-L14</f>
        <v>67055.78</v>
      </c>
      <c r="M15" s="89">
        <f t="shared" si="16"/>
        <v>61863.61</v>
      </c>
      <c r="N15" s="89">
        <f t="shared" si="16"/>
        <v>64376.66</v>
      </c>
      <c r="O15" s="89">
        <f t="shared" si="16"/>
        <v>67277.259999999995</v>
      </c>
      <c r="P15" s="89">
        <f t="shared" si="16"/>
        <v>68610</v>
      </c>
      <c r="Q15" s="89">
        <f t="shared" si="16"/>
        <v>67232.3</v>
      </c>
      <c r="R15" s="11"/>
      <c r="S15" s="42" t="s">
        <v>21</v>
      </c>
      <c r="T15" s="43"/>
      <c r="U15" s="44" t="e">
        <f t="shared" ref="U15:AA15" si="17">(U13-U14)/U13</f>
        <v>#DIV/0!</v>
      </c>
      <c r="V15" s="44" t="e">
        <f t="shared" si="17"/>
        <v>#DIV/0!</v>
      </c>
      <c r="W15" s="44" t="e">
        <f t="shared" si="17"/>
        <v>#DIV/0!</v>
      </c>
      <c r="X15" s="44" t="e">
        <f t="shared" si="17"/>
        <v>#DIV/0!</v>
      </c>
      <c r="Y15" s="44" t="e">
        <f t="shared" si="17"/>
        <v>#DIV/0!</v>
      </c>
      <c r="Z15" s="44" t="e">
        <f>(Z13-Z14)/Z13</f>
        <v>#DIV/0!</v>
      </c>
      <c r="AA15" s="44" t="e">
        <f t="shared" si="17"/>
        <v>#DIV/0!</v>
      </c>
      <c r="AB15" s="18"/>
      <c r="AC15" s="18"/>
      <c r="AD15" s="18"/>
    </row>
    <row r="16" spans="1:34" ht="22.5" x14ac:dyDescent="0.25">
      <c r="A16" s="6" t="s">
        <v>94</v>
      </c>
      <c r="B16" s="10"/>
      <c r="C16" s="10"/>
      <c r="D16" s="89">
        <f t="shared" ref="D16:K16" si="18">D13-D14-D9</f>
        <v>0</v>
      </c>
      <c r="E16" s="89">
        <f t="shared" si="18"/>
        <v>31942.370000000024</v>
      </c>
      <c r="F16" s="89">
        <f t="shared" si="18"/>
        <v>44188.459999999992</v>
      </c>
      <c r="G16" s="89">
        <f t="shared" si="18"/>
        <v>60906.16</v>
      </c>
      <c r="H16" s="89">
        <f>H13-H14-H9</f>
        <v>63341.06</v>
      </c>
      <c r="I16" s="89">
        <f>I13-I14-I9</f>
        <v>64081.760000000009</v>
      </c>
      <c r="J16" s="89">
        <f t="shared" si="18"/>
        <v>15539.089999999997</v>
      </c>
      <c r="K16" s="89">
        <f t="shared" si="18"/>
        <v>15503.690000000002</v>
      </c>
      <c r="L16" s="89">
        <f t="shared" ref="L16:Q16" si="19">L13-L14-L9</f>
        <v>16047.329999999994</v>
      </c>
      <c r="M16" s="89">
        <f t="shared" si="19"/>
        <v>13283.270000000004</v>
      </c>
      <c r="N16" s="89">
        <f t="shared" si="19"/>
        <v>17178.210000000006</v>
      </c>
      <c r="O16" s="89">
        <f t="shared" si="19"/>
        <v>15732.04</v>
      </c>
      <c r="P16" s="89">
        <f t="shared" si="19"/>
        <v>16127.999999999993</v>
      </c>
      <c r="Q16" s="89">
        <f t="shared" si="19"/>
        <v>16311.200000000012</v>
      </c>
      <c r="R16" s="11"/>
      <c r="S16" s="42" t="s">
        <v>22</v>
      </c>
      <c r="T16" s="43"/>
      <c r="U16" s="44" t="e">
        <f t="shared" ref="U16:Z16" si="20">D17/AVERAGE(C23:D23)</f>
        <v>#DIV/0!</v>
      </c>
      <c r="V16" s="44">
        <f t="shared" si="20"/>
        <v>3.3198080744679004E-4</v>
      </c>
      <c r="W16" s="44">
        <f t="shared" si="20"/>
        <v>4.0380832148556248E-4</v>
      </c>
      <c r="X16" s="44">
        <f t="shared" si="20"/>
        <v>4.3099773076422545E-6</v>
      </c>
      <c r="Y16" s="44">
        <f t="shared" si="20"/>
        <v>-1.2752775049224113E-5</v>
      </c>
      <c r="Z16" s="44">
        <f t="shared" si="20"/>
        <v>-1.5286274087128464E-5</v>
      </c>
      <c r="AA16" s="44">
        <f t="shared" ref="AA16:AH16" si="21">(J17*4)/J23</f>
        <v>-8.9097181508028447E-5</v>
      </c>
      <c r="AB16" s="44">
        <f t="shared" si="21"/>
        <v>8.2786088347539503E-6</v>
      </c>
      <c r="AC16" s="44">
        <f t="shared" si="21"/>
        <v>8.5953703908175616E-6</v>
      </c>
      <c r="AD16" s="44">
        <f t="shared" si="21"/>
        <v>9.9803443376043057E-6</v>
      </c>
      <c r="AE16" s="44">
        <f t="shared" si="21"/>
        <v>7.5575762230308457E-6</v>
      </c>
      <c r="AF16" s="44">
        <f t="shared" si="21"/>
        <v>-5.5966655569647991E-5</v>
      </c>
      <c r="AG16" s="44">
        <f t="shared" si="21"/>
        <v>7.3920384914453679E-6</v>
      </c>
      <c r="AH16" s="44">
        <f t="shared" si="21"/>
        <v>7.3828801361724093E-6</v>
      </c>
    </row>
    <row r="17" spans="1:30" x14ac:dyDescent="0.25">
      <c r="A17" s="6" t="s">
        <v>27</v>
      </c>
      <c r="B17" s="7"/>
      <c r="C17" s="7"/>
      <c r="D17" s="88"/>
      <c r="E17" s="85">
        <v>21.41</v>
      </c>
      <c r="F17" s="85">
        <v>27.15</v>
      </c>
      <c r="G17" s="85">
        <v>4.6100000000000003</v>
      </c>
      <c r="H17" s="85">
        <v>-29.09</v>
      </c>
      <c r="I17" s="85">
        <v>-39.28</v>
      </c>
      <c r="J17" s="85">
        <v>-54.31</v>
      </c>
      <c r="K17" s="85">
        <v>4.97</v>
      </c>
      <c r="L17" s="85">
        <v>5.0599999999999996</v>
      </c>
      <c r="M17" s="85">
        <v>6.22</v>
      </c>
      <c r="N17" s="11">
        <v>5</v>
      </c>
      <c r="O17" s="11">
        <v>-36.270000000000003</v>
      </c>
      <c r="P17" s="11">
        <v>4.7</v>
      </c>
      <c r="Q17" s="11">
        <v>4.5999999999999996</v>
      </c>
      <c r="R17" s="11"/>
      <c r="S17" s="18"/>
      <c r="T17" s="18"/>
      <c r="U17" s="18"/>
      <c r="V17" s="18"/>
      <c r="W17" s="18"/>
      <c r="X17" s="18"/>
      <c r="Y17" s="18"/>
      <c r="Z17" s="18"/>
      <c r="AA17" s="18"/>
      <c r="AB17" s="18"/>
      <c r="AC17" s="18"/>
      <c r="AD17" s="18"/>
    </row>
    <row r="18" spans="1:30" ht="33.75" customHeight="1" x14ac:dyDescent="0.25">
      <c r="A18" s="6" t="s">
        <v>55</v>
      </c>
      <c r="B18" s="7"/>
      <c r="C18" s="7"/>
      <c r="D18" s="88"/>
      <c r="E18" s="85">
        <v>31920.959999999999</v>
      </c>
      <c r="F18" s="89">
        <v>44161.31</v>
      </c>
      <c r="G18" s="89">
        <v>60898.36</v>
      </c>
      <c r="H18" s="89">
        <v>63370.13</v>
      </c>
      <c r="I18" s="89">
        <v>64121.04</v>
      </c>
      <c r="J18" s="89">
        <v>15565.74</v>
      </c>
      <c r="K18" s="89">
        <v>15498.72</v>
      </c>
      <c r="L18" s="89">
        <v>16042.27</v>
      </c>
      <c r="M18" s="89">
        <v>13277.05</v>
      </c>
      <c r="N18" s="11">
        <v>17173.21</v>
      </c>
      <c r="O18" s="11">
        <v>15768.31</v>
      </c>
      <c r="P18" s="11">
        <v>16126.5</v>
      </c>
      <c r="Q18" s="11">
        <v>16306.6</v>
      </c>
      <c r="R18" s="11"/>
      <c r="S18" s="40" t="s">
        <v>30</v>
      </c>
      <c r="T18" s="45"/>
      <c r="U18" s="45"/>
      <c r="V18" s="45"/>
      <c r="W18" s="46" t="s">
        <v>5</v>
      </c>
      <c r="X18" s="18"/>
      <c r="Y18" s="18"/>
      <c r="Z18" s="18"/>
      <c r="AA18" s="18"/>
      <c r="AB18" s="18"/>
      <c r="AC18" s="18"/>
      <c r="AD18" s="18"/>
    </row>
    <row r="19" spans="1:30" ht="78.75" x14ac:dyDescent="0.25">
      <c r="A19" s="6" t="s">
        <v>28</v>
      </c>
      <c r="B19" s="7"/>
      <c r="C19" s="7"/>
      <c r="D19" s="88"/>
      <c r="E19" s="85">
        <v>302997.52</v>
      </c>
      <c r="F19" s="85">
        <v>359133.82</v>
      </c>
      <c r="G19" s="85">
        <v>409963.4</v>
      </c>
      <c r="H19" s="85">
        <f>454703.17-12.83</f>
        <v>454690.33999999997</v>
      </c>
      <c r="I19" s="11">
        <v>491785.67</v>
      </c>
      <c r="J19" s="85"/>
      <c r="K19" s="85">
        <v>476839.5</v>
      </c>
      <c r="L19" s="85"/>
      <c r="M19" s="85">
        <v>454703.17</v>
      </c>
      <c r="N19" s="11">
        <v>491785.67</v>
      </c>
      <c r="O19" s="11"/>
      <c r="P19" s="11">
        <f>514641.2-9.8</f>
        <v>514631.4</v>
      </c>
      <c r="Q19" s="11">
        <f>520462.6-9.8</f>
        <v>520452.8</v>
      </c>
      <c r="R19" s="11"/>
      <c r="S19" s="46" t="s">
        <v>95</v>
      </c>
      <c r="T19" s="51"/>
      <c r="U19" s="51"/>
      <c r="V19" s="52">
        <f>E16/AVERAGE(D22:E22)</f>
        <v>1.1594152913766321E-2</v>
      </c>
      <c r="W19" s="52">
        <f>F16/AVERAGE(E22:F22)</f>
        <v>1.3472386130786896E-2</v>
      </c>
      <c r="X19" s="52">
        <f>G16/AVERAGE(F22:G22)</f>
        <v>1.4668022993237278E-2</v>
      </c>
      <c r="Y19" s="52">
        <f>H16/AVERAGE(G22:H22)</f>
        <v>1.3460683177614846E-2</v>
      </c>
      <c r="Z19" s="52">
        <f>I16/AVERAGE(H22:I22)</f>
        <v>1.312842551865798E-2</v>
      </c>
      <c r="AA19" s="18"/>
      <c r="AB19" s="18"/>
      <c r="AC19" s="18"/>
      <c r="AD19" s="18"/>
    </row>
    <row r="20" spans="1:30" x14ac:dyDescent="0.25">
      <c r="A20" s="6" t="s">
        <v>56</v>
      </c>
      <c r="B20" s="7"/>
      <c r="C20" s="7"/>
      <c r="D20" s="88">
        <f>D19-D71</f>
        <v>0</v>
      </c>
      <c r="E20" s="89">
        <f>E19-E71</f>
        <v>302997.52</v>
      </c>
      <c r="F20" s="89">
        <f>F19-F71</f>
        <v>359133.82</v>
      </c>
      <c r="G20" s="89">
        <f>G19-G71</f>
        <v>409963.4</v>
      </c>
      <c r="H20" s="89">
        <f>H19-H71</f>
        <v>454690.33999999997</v>
      </c>
      <c r="I20" s="89">
        <v>491785.67</v>
      </c>
      <c r="J20" s="89">
        <f>J19-H71</f>
        <v>0</v>
      </c>
      <c r="K20" s="89">
        <f>K19-J71</f>
        <v>476839.5</v>
      </c>
      <c r="L20" s="89">
        <f>L19-K71</f>
        <v>0</v>
      </c>
      <c r="M20" s="89">
        <f>M19-L71</f>
        <v>454703.17</v>
      </c>
      <c r="N20" s="89">
        <f>N19-M71</f>
        <v>491785.67</v>
      </c>
      <c r="O20" s="89">
        <f t="shared" ref="O20:Q20" si="22">O19-N71</f>
        <v>0</v>
      </c>
      <c r="P20" s="89">
        <f t="shared" si="22"/>
        <v>514631.4</v>
      </c>
      <c r="Q20" s="89">
        <f t="shared" si="22"/>
        <v>520452.8</v>
      </c>
      <c r="R20" s="11"/>
      <c r="S20" s="42" t="s">
        <v>31</v>
      </c>
      <c r="T20" s="43"/>
      <c r="U20" s="43">
        <v>4.4699999999999997E-2</v>
      </c>
      <c r="V20" s="44">
        <f>E18/AVERAGE(D22:E22)</f>
        <v>1.1586381705371827E-2</v>
      </c>
      <c r="W20" s="44">
        <f>F18/AVERAGE(E22:F22)</f>
        <v>1.3464108510714804E-2</v>
      </c>
      <c r="X20" s="44">
        <f>G18/AVERAGE(F22:G22)</f>
        <v>1.4666144520200278E-2</v>
      </c>
      <c r="Y20" s="44">
        <f>H18/AVERAGE(G22:H22)</f>
        <v>1.3466860877513984E-2</v>
      </c>
      <c r="Z20" s="44">
        <f>I18/AVERAGE(H22:I22)</f>
        <v>1.3136472809406123E-2</v>
      </c>
      <c r="AA20" s="48"/>
      <c r="AB20" s="18"/>
      <c r="AC20" s="18"/>
      <c r="AD20" s="18"/>
    </row>
    <row r="21" spans="1:30" x14ac:dyDescent="0.25">
      <c r="A21" s="6" t="s">
        <v>57</v>
      </c>
      <c r="B21" s="9"/>
      <c r="C21" s="9"/>
      <c r="D21" s="85"/>
      <c r="E21" s="85">
        <f>1552904.56+790862.65</f>
        <v>2343767.21</v>
      </c>
      <c r="F21" s="85">
        <f>1785747.89+1445358.9</f>
        <v>3231106.79</v>
      </c>
      <c r="G21" s="85">
        <f>1941749.53+1942416.65</f>
        <v>3884166.1799999997</v>
      </c>
      <c r="H21" s="85">
        <f>2160942.33+2028350.25</f>
        <v>4189292.58</v>
      </c>
      <c r="I21" s="11">
        <v>4120321.01</v>
      </c>
      <c r="J21" s="85"/>
      <c r="K21" s="85">
        <f>2138554.11+1925772.29</f>
        <v>4064326.4</v>
      </c>
      <c r="L21" s="85"/>
      <c r="M21" s="85">
        <f>2160942.33+2028350.25</f>
        <v>4189292.58</v>
      </c>
      <c r="N21" s="11">
        <f>2250942.28+1869378.73</f>
        <v>4120321.01</v>
      </c>
      <c r="O21" s="11"/>
      <c r="P21" s="11">
        <f>2341175.9+1689886.5</f>
        <v>4031062.4</v>
      </c>
      <c r="Q21" s="11">
        <f>2433378.9+1631860.5</f>
        <v>4065239.4</v>
      </c>
      <c r="R21" s="11"/>
      <c r="S21" s="42" t="s">
        <v>32</v>
      </c>
      <c r="T21" s="43"/>
      <c r="U21" s="44" t="e">
        <f t="shared" ref="U21:Z21" si="23">D18/AVERAGE(C19:D19)</f>
        <v>#DIV/0!</v>
      </c>
      <c r="V21" s="44">
        <f t="shared" si="23"/>
        <v>0.10535056524555052</v>
      </c>
      <c r="W21" s="44">
        <f t="shared" si="23"/>
        <v>0.13339139029425792</v>
      </c>
      <c r="X21" s="44">
        <f t="shared" si="23"/>
        <v>0.15836323007382605</v>
      </c>
      <c r="Y21" s="44">
        <f t="shared" si="23"/>
        <v>0.146579207533411</v>
      </c>
      <c r="Z21" s="44">
        <f t="shared" si="23"/>
        <v>0.1354942741760565</v>
      </c>
      <c r="AA21" s="18"/>
      <c r="AB21" s="18"/>
      <c r="AC21" s="18"/>
      <c r="AD21" s="18"/>
    </row>
    <row r="22" spans="1:30" x14ac:dyDescent="0.25">
      <c r="A22" s="6" t="s">
        <v>29</v>
      </c>
      <c r="B22" s="7"/>
      <c r="C22" s="7"/>
      <c r="D22" s="88"/>
      <c r="E22" s="85">
        <v>2755041.29</v>
      </c>
      <c r="F22" s="85">
        <v>3804815.23</v>
      </c>
      <c r="G22" s="85">
        <v>4499802.24</v>
      </c>
      <c r="H22" s="85">
        <v>4911467.4800000004</v>
      </c>
      <c r="I22" s="11">
        <v>4850824.26</v>
      </c>
      <c r="J22" s="85"/>
      <c r="K22" s="85">
        <v>4970140.6500000004</v>
      </c>
      <c r="L22" s="85"/>
      <c r="M22" s="85">
        <v>4911467.4800000004</v>
      </c>
      <c r="N22" s="11">
        <v>4850824.26</v>
      </c>
      <c r="O22" s="11"/>
      <c r="P22" s="11">
        <v>4943483.8</v>
      </c>
      <c r="Q22" s="11">
        <v>4814352.8</v>
      </c>
      <c r="R22" s="11"/>
      <c r="S22" s="40" t="s">
        <v>33</v>
      </c>
      <c r="T22" s="45"/>
      <c r="U22" s="45"/>
      <c r="V22" s="45"/>
      <c r="W22" s="46" t="s">
        <v>5</v>
      </c>
      <c r="X22" s="18"/>
      <c r="Y22" s="18"/>
      <c r="Z22" s="18"/>
      <c r="AA22" s="18"/>
      <c r="AB22" s="18"/>
      <c r="AC22" s="18"/>
      <c r="AD22" s="18"/>
    </row>
    <row r="23" spans="1:30" ht="22.5" x14ac:dyDescent="0.25">
      <c r="A23" s="6" t="s">
        <v>58</v>
      </c>
      <c r="B23" s="7"/>
      <c r="C23" s="7"/>
      <c r="D23" s="88"/>
      <c r="E23" s="85">
        <v>64491.68</v>
      </c>
      <c r="F23" s="85">
        <v>69978.06</v>
      </c>
      <c r="G23" s="85">
        <f>68522.14+2000722.2</f>
        <v>2069244.3399999999</v>
      </c>
      <c r="H23" s="85">
        <f>59331.26+2433568.7</f>
        <v>2492899.96</v>
      </c>
      <c r="I23" s="11">
        <v>2646351.08</v>
      </c>
      <c r="J23" s="85">
        <f>49445.08+2388791.42</f>
        <v>2438236.5</v>
      </c>
      <c r="K23" s="85">
        <f>49445.08+2351924.57</f>
        <v>2401369.65</v>
      </c>
      <c r="L23" s="85">
        <v>2354756</v>
      </c>
      <c r="M23" s="85">
        <f>59331.26+2433568.7</f>
        <v>2492899.96</v>
      </c>
      <c r="N23" s="11">
        <f>49445.08+2596906</f>
        <v>2646351.08</v>
      </c>
      <c r="O23" s="11">
        <f>44743.89+2547513.92</f>
        <v>2592257.81</v>
      </c>
      <c r="P23" s="11">
        <f>44743.9+2498532.9</f>
        <v>2543276.7999999998</v>
      </c>
      <c r="Q23" s="11">
        <f>44743.9+2447508.4</f>
        <v>2492252.2999999998</v>
      </c>
      <c r="R23" s="11"/>
      <c r="S23" s="42" t="s">
        <v>34</v>
      </c>
      <c r="T23" s="43"/>
      <c r="U23" s="44" t="e">
        <f t="shared" ref="U23:Z23" si="24">D6/AVERAGE(C23:D23)</f>
        <v>#DIV/0!</v>
      </c>
      <c r="V23" s="44">
        <f t="shared" si="24"/>
        <v>2.0758015607594653</v>
      </c>
      <c r="W23" s="44">
        <f t="shared" si="24"/>
        <v>2.3427233517369785</v>
      </c>
      <c r="X23" s="44">
        <f t="shared" si="24"/>
        <v>0.18960310998987295</v>
      </c>
      <c r="Y23" s="44">
        <f t="shared" si="24"/>
        <v>0.10473704218430795</v>
      </c>
      <c r="Z23" s="44">
        <f t="shared" si="24"/>
        <v>0.10369053308592609</v>
      </c>
      <c r="AA23" s="18"/>
      <c r="AB23" s="18"/>
      <c r="AC23" s="18"/>
      <c r="AD23" s="18"/>
    </row>
    <row r="24" spans="1:30" ht="45" x14ac:dyDescent="0.25">
      <c r="A24" s="6" t="s">
        <v>59</v>
      </c>
      <c r="B24" s="10"/>
      <c r="C24" s="10"/>
      <c r="D24" s="89"/>
      <c r="E24" s="89"/>
      <c r="F24" s="89"/>
      <c r="G24" s="89"/>
      <c r="H24" s="89"/>
      <c r="I24" s="89"/>
      <c r="J24" s="89"/>
      <c r="K24" s="89"/>
      <c r="L24" s="89"/>
      <c r="M24" s="89"/>
      <c r="N24" s="11"/>
      <c r="O24" s="11"/>
      <c r="P24" s="11"/>
      <c r="Q24" s="11"/>
      <c r="R24" s="11"/>
      <c r="S24" s="42" t="s">
        <v>35</v>
      </c>
      <c r="T24" s="43"/>
      <c r="U24" s="44" t="e">
        <f t="shared" ref="U24:Z24" si="25">D9/AVERAGE(C21:D21)</f>
        <v>#DIV/0!</v>
      </c>
      <c r="V24" s="44">
        <f t="shared" si="25"/>
        <v>4.3360372807673166E-2</v>
      </c>
      <c r="W24" s="44">
        <f t="shared" si="25"/>
        <v>4.0313208872523397E-2</v>
      </c>
      <c r="X24" s="44">
        <f t="shared" si="25"/>
        <v>3.9562170163655722E-2</v>
      </c>
      <c r="Y24" s="44">
        <f t="shared" si="25"/>
        <v>4.3221143548641844E-2</v>
      </c>
      <c r="Z24" s="44">
        <f t="shared" si="25"/>
        <v>4.8381238868172215E-2</v>
      </c>
      <c r="AA24" s="18"/>
      <c r="AB24" s="18"/>
      <c r="AC24" s="18"/>
      <c r="AD24" s="18"/>
    </row>
    <row r="25" spans="1:30" ht="22.5" x14ac:dyDescent="0.25">
      <c r="A25" s="6" t="s">
        <v>60</v>
      </c>
      <c r="B25" s="10"/>
      <c r="C25" s="10"/>
      <c r="D25" s="89"/>
      <c r="E25" s="89"/>
      <c r="F25" s="89"/>
      <c r="G25" s="89"/>
      <c r="H25" s="89"/>
      <c r="I25" s="89"/>
      <c r="J25" s="89"/>
      <c r="K25" s="89"/>
      <c r="L25" s="89"/>
      <c r="M25" s="89"/>
      <c r="N25" s="11"/>
      <c r="O25" s="11"/>
      <c r="P25" s="11"/>
      <c r="Q25" s="11"/>
      <c r="R25" s="11"/>
      <c r="S25" s="42" t="s">
        <v>36</v>
      </c>
      <c r="T25" s="43"/>
      <c r="U25" s="48" t="e">
        <f t="shared" ref="U25:Z25" si="26">U23-U24</f>
        <v>#DIV/0!</v>
      </c>
      <c r="V25" s="48">
        <f t="shared" si="26"/>
        <v>2.0324411879517923</v>
      </c>
      <c r="W25" s="48">
        <f t="shared" si="26"/>
        <v>2.302410142864455</v>
      </c>
      <c r="X25" s="48">
        <f t="shared" si="26"/>
        <v>0.15004093982621725</v>
      </c>
      <c r="Y25" s="48">
        <f t="shared" si="26"/>
        <v>6.1515898635666103E-2</v>
      </c>
      <c r="Z25" s="48">
        <f t="shared" si="26"/>
        <v>5.5309294217753872E-2</v>
      </c>
      <c r="AA25" s="18"/>
      <c r="AB25" s="18"/>
      <c r="AC25" s="18"/>
      <c r="AD25" s="18"/>
    </row>
  </sheetData>
  <mergeCells count="2">
    <mergeCell ref="A2:A4"/>
    <mergeCell ref="J1:L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C39"/>
  <sheetViews>
    <sheetView workbookViewId="0">
      <selection activeCell="AA3" sqref="AA3"/>
    </sheetView>
  </sheetViews>
  <sheetFormatPr defaultRowHeight="15" x14ac:dyDescent="0.25"/>
  <cols>
    <col min="1" max="1" width="31.85546875" customWidth="1"/>
    <col min="4" max="4" width="13.7109375" customWidth="1"/>
    <col min="5" max="5" width="14.28515625" customWidth="1"/>
    <col min="6" max="6" width="13.140625" customWidth="1"/>
    <col min="7" max="8" width="12.7109375" customWidth="1"/>
    <col min="9" max="9" width="10.140625" bestFit="1" customWidth="1"/>
    <col min="10" max="10" width="11.28515625" bestFit="1" customWidth="1"/>
    <col min="12" max="12" width="11.28515625" bestFit="1" customWidth="1"/>
    <col min="16" max="16" width="33.85546875" customWidth="1"/>
    <col min="18" max="19" width="14.85546875" customWidth="1"/>
    <col min="20" max="20" width="12.28515625" customWidth="1"/>
    <col min="21" max="22" width="13.140625" customWidth="1"/>
  </cols>
  <sheetData>
    <row r="1" spans="1:29" x14ac:dyDescent="0.25">
      <c r="J1" s="772" t="s">
        <v>113</v>
      </c>
      <c r="K1" s="772"/>
      <c r="L1" s="772"/>
    </row>
    <row r="2" spans="1:29"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11"/>
      <c r="P2" s="40" t="s">
        <v>6</v>
      </c>
      <c r="Q2" s="41" t="s">
        <v>7</v>
      </c>
      <c r="R2" s="41" t="s">
        <v>8</v>
      </c>
      <c r="S2" s="41" t="s">
        <v>9</v>
      </c>
      <c r="T2" s="40" t="s">
        <v>10</v>
      </c>
      <c r="U2" s="41" t="s">
        <v>90</v>
      </c>
      <c r="V2" s="41" t="s">
        <v>492</v>
      </c>
      <c r="W2" s="40" t="s">
        <v>37</v>
      </c>
      <c r="X2" s="41" t="s">
        <v>38</v>
      </c>
      <c r="Y2" s="41" t="s">
        <v>39</v>
      </c>
      <c r="Z2" s="41" t="s">
        <v>40</v>
      </c>
    </row>
    <row r="3" spans="1:29" x14ac:dyDescent="0.25">
      <c r="A3" s="771"/>
      <c r="B3" s="1" t="s">
        <v>46</v>
      </c>
      <c r="C3" s="4" t="s">
        <v>47</v>
      </c>
      <c r="D3" s="5" t="s">
        <v>47</v>
      </c>
      <c r="E3" s="5" t="s">
        <v>47</v>
      </c>
      <c r="F3" s="1" t="s">
        <v>46</v>
      </c>
      <c r="G3" s="1" t="s">
        <v>46</v>
      </c>
      <c r="H3" s="1" t="s">
        <v>46</v>
      </c>
      <c r="I3" s="1" t="s">
        <v>96</v>
      </c>
      <c r="J3" s="1"/>
      <c r="K3" s="1"/>
      <c r="L3" s="1"/>
      <c r="M3" s="11"/>
      <c r="N3" s="11"/>
      <c r="O3" s="11"/>
      <c r="P3" s="42" t="s">
        <v>11</v>
      </c>
      <c r="Q3" s="43"/>
      <c r="R3" s="44" t="e">
        <f>D10/AVERAGE(C23:D23)</f>
        <v>#DIV/0!</v>
      </c>
      <c r="S3" s="44">
        <f>E10/AVERAGE(D23:E23)</f>
        <v>4.1951555392599808E-2</v>
      </c>
      <c r="T3" s="44">
        <f>F10/AVERAGE(E23:F23)</f>
        <v>4.1787438255708097E-2</v>
      </c>
      <c r="U3" s="44">
        <f>G10/AVERAGE(F23:G23)</f>
        <v>7.6218541565200498E-2</v>
      </c>
      <c r="V3" s="44">
        <f>H10/AVERAGE(G23:H23)</f>
        <v>9.3395103346424813E-2</v>
      </c>
      <c r="W3" s="44">
        <f>(I10*4)/I23</f>
        <v>0.10833443442054128</v>
      </c>
      <c r="X3" s="44">
        <f>(J10*4)/J23</f>
        <v>0.10546845542588157</v>
      </c>
      <c r="Y3" s="44" t="e">
        <f>(K10*4)/K23</f>
        <v>#DIV/0!</v>
      </c>
      <c r="Z3" s="44">
        <f>(L10*4)/L23</f>
        <v>0.1296882704688487</v>
      </c>
      <c r="AA3" s="44">
        <f>(M10*4)/M23</f>
        <v>0.14212628743135428</v>
      </c>
    </row>
    <row r="4" spans="1:29" x14ac:dyDescent="0.25">
      <c r="A4" s="771"/>
      <c r="B4" s="1" t="s">
        <v>48</v>
      </c>
      <c r="C4" s="1" t="s">
        <v>48</v>
      </c>
      <c r="D4" s="5" t="s">
        <v>49</v>
      </c>
      <c r="E4" s="5" t="s">
        <v>49</v>
      </c>
      <c r="F4" s="5" t="s">
        <v>49</v>
      </c>
      <c r="G4" s="5" t="s">
        <v>49</v>
      </c>
      <c r="H4" s="5" t="s">
        <v>49</v>
      </c>
      <c r="I4" s="5"/>
      <c r="J4" s="5"/>
      <c r="K4" s="5"/>
      <c r="L4" s="5"/>
      <c r="M4" s="11"/>
      <c r="N4" s="11"/>
      <c r="O4" s="11"/>
      <c r="P4" s="40" t="s">
        <v>12</v>
      </c>
      <c r="Q4" s="45"/>
      <c r="R4" s="45"/>
      <c r="S4" s="45"/>
      <c r="T4" s="46" t="s">
        <v>5</v>
      </c>
      <c r="U4" s="18"/>
      <c r="V4" s="18"/>
      <c r="W4" s="18"/>
      <c r="X4" s="18"/>
      <c r="Y4" s="18"/>
      <c r="Z4" s="18"/>
    </row>
    <row r="5" spans="1:29" x14ac:dyDescent="0.25">
      <c r="A5" s="6" t="s">
        <v>23</v>
      </c>
      <c r="B5" s="7"/>
      <c r="C5" s="8"/>
      <c r="E5">
        <v>59878.41</v>
      </c>
      <c r="F5" s="85">
        <v>65128.56</v>
      </c>
      <c r="G5" s="90">
        <v>86711.4</v>
      </c>
      <c r="H5" s="90">
        <v>125244.95</v>
      </c>
      <c r="I5" s="85">
        <v>38801.82</v>
      </c>
      <c r="J5" s="85">
        <v>42444.35</v>
      </c>
      <c r="K5" s="85">
        <v>47290.63</v>
      </c>
      <c r="L5" s="85">
        <v>54329.23</v>
      </c>
      <c r="M5" s="11">
        <v>56127.92</v>
      </c>
      <c r="N5" s="11">
        <v>57319.66</v>
      </c>
      <c r="O5" s="11"/>
      <c r="P5" s="42" t="s">
        <v>13</v>
      </c>
      <c r="Q5" s="46"/>
      <c r="R5" s="47" t="e">
        <f>D21/D20</f>
        <v>#DIV/0!</v>
      </c>
      <c r="S5" s="47">
        <f>E21/E20</f>
        <v>1.9567552337899279</v>
      </c>
      <c r="T5" s="47">
        <f>F21/F20</f>
        <v>2.5223805829413055</v>
      </c>
      <c r="U5" s="47">
        <f>G21/G20</f>
        <v>3.4989808261746904</v>
      </c>
      <c r="V5" s="47">
        <f>H21/H20</f>
        <v>3.6502407777201049</v>
      </c>
      <c r="W5" s="47"/>
      <c r="X5" s="47">
        <f>J21/J20</f>
        <v>3.7581427295751553</v>
      </c>
      <c r="Y5" s="47"/>
      <c r="Z5" s="47">
        <f>L21/L20</f>
        <v>4.1443720493226559</v>
      </c>
      <c r="AA5" s="47">
        <v>3.32</v>
      </c>
      <c r="AB5" s="47">
        <f t="shared" ref="AB5" si="0">N21/N20</f>
        <v>2.8912664524148997</v>
      </c>
    </row>
    <row r="6" spans="1:29" x14ac:dyDescent="0.25">
      <c r="A6" s="6" t="s">
        <v>50</v>
      </c>
      <c r="B6" s="7"/>
      <c r="C6" s="8"/>
      <c r="E6">
        <v>43483.64</v>
      </c>
      <c r="F6" s="85">
        <v>46569.42</v>
      </c>
      <c r="G6" s="85">
        <v>75550.320000000007</v>
      </c>
      <c r="H6" s="85">
        <v>112255.24</v>
      </c>
      <c r="I6" s="85">
        <v>35894.699999999997</v>
      </c>
      <c r="J6" s="85">
        <v>38704.639999999999</v>
      </c>
      <c r="K6" s="85">
        <v>44769.59</v>
      </c>
      <c r="L6" s="85">
        <v>50565.35</v>
      </c>
      <c r="M6" s="11">
        <v>55213.55</v>
      </c>
      <c r="N6" s="11">
        <v>55563.79</v>
      </c>
      <c r="O6" s="11"/>
      <c r="P6" s="42" t="s">
        <v>14</v>
      </c>
      <c r="Q6" s="43"/>
      <c r="R6" s="43"/>
      <c r="S6" s="43">
        <v>0.3367</v>
      </c>
      <c r="T6" s="43">
        <v>0.28699999999999998</v>
      </c>
      <c r="U6" s="48">
        <v>0.22789999999999999</v>
      </c>
      <c r="V6" s="48">
        <v>1.2279</v>
      </c>
      <c r="W6" s="48"/>
      <c r="X6" s="48">
        <v>0.19919999999999999</v>
      </c>
      <c r="Y6" s="48">
        <v>0.19309999999999999</v>
      </c>
      <c r="Z6" s="48">
        <v>0.18260000000000001</v>
      </c>
      <c r="AA6" s="80">
        <v>0.215</v>
      </c>
      <c r="AB6" s="80">
        <v>0.24890000000000001</v>
      </c>
    </row>
    <row r="7" spans="1:29" x14ac:dyDescent="0.25">
      <c r="A7" s="6" t="s">
        <v>51</v>
      </c>
      <c r="B7" s="7"/>
      <c r="C7" s="8"/>
      <c r="D7" s="87"/>
      <c r="E7" s="85"/>
      <c r="F7" s="85">
        <v>0</v>
      </c>
      <c r="G7" s="85">
        <v>0</v>
      </c>
      <c r="H7" s="85"/>
      <c r="I7" s="85"/>
      <c r="J7" s="85"/>
      <c r="K7" s="85"/>
      <c r="L7" s="85"/>
      <c r="M7" s="11"/>
      <c r="N7" s="11"/>
      <c r="O7" s="11"/>
      <c r="P7" s="42" t="s">
        <v>15</v>
      </c>
      <c r="Q7" s="43"/>
      <c r="R7" s="44" t="e">
        <f>D20/D23</f>
        <v>#DIV/0!</v>
      </c>
      <c r="S7" s="44">
        <f>E20/E23</f>
        <v>0.49849058897150217</v>
      </c>
      <c r="T7" s="44">
        <f>F20/F23</f>
        <v>0.40633424241504817</v>
      </c>
      <c r="U7" s="44">
        <f>G20/G23</f>
        <v>0.32740334076499533</v>
      </c>
      <c r="V7" s="44">
        <f>H20/H23</f>
        <v>0.27969041986560816</v>
      </c>
      <c r="W7" s="18"/>
      <c r="X7" s="18"/>
      <c r="Y7" s="18"/>
      <c r="Z7" s="18"/>
    </row>
    <row r="8" spans="1:29" x14ac:dyDescent="0.25">
      <c r="A8" s="6" t="s">
        <v>52</v>
      </c>
      <c r="B8" s="7"/>
      <c r="C8" s="8"/>
      <c r="D8" s="85">
        <f t="shared" ref="D8:N8" si="1">D5-D6-D7</f>
        <v>0</v>
      </c>
      <c r="E8" s="85">
        <f t="shared" si="1"/>
        <v>16394.770000000004</v>
      </c>
      <c r="F8" s="85">
        <f t="shared" si="1"/>
        <v>18559.14</v>
      </c>
      <c r="G8" s="85">
        <f t="shared" si="1"/>
        <v>11161.079999999987</v>
      </c>
      <c r="H8" s="85">
        <f t="shared" si="1"/>
        <v>12989.709999999992</v>
      </c>
      <c r="I8" s="85">
        <f t="shared" si="1"/>
        <v>2907.1200000000026</v>
      </c>
      <c r="J8" s="85">
        <f t="shared" si="1"/>
        <v>3739.7099999999991</v>
      </c>
      <c r="K8" s="85">
        <f t="shared" si="1"/>
        <v>2521.0400000000009</v>
      </c>
      <c r="L8" s="85">
        <f t="shared" si="1"/>
        <v>3763.8800000000047</v>
      </c>
      <c r="M8" s="85">
        <f t="shared" si="1"/>
        <v>914.36999999999534</v>
      </c>
      <c r="N8" s="85">
        <f t="shared" si="1"/>
        <v>1755.8700000000026</v>
      </c>
      <c r="O8" s="11"/>
      <c r="P8" s="40" t="s">
        <v>16</v>
      </c>
      <c r="Q8" s="45"/>
      <c r="R8" s="45"/>
      <c r="S8" s="45"/>
      <c r="T8" s="46" t="s">
        <v>5</v>
      </c>
      <c r="U8" s="18"/>
      <c r="V8" s="18"/>
      <c r="W8" s="18"/>
      <c r="X8" s="18"/>
      <c r="Y8" s="18"/>
      <c r="Z8" s="18"/>
    </row>
    <row r="9" spans="1:29" ht="22.5" x14ac:dyDescent="0.25">
      <c r="A9" s="6" t="s">
        <v>24</v>
      </c>
      <c r="B9" s="7"/>
      <c r="C9" s="7"/>
      <c r="D9" s="88"/>
      <c r="E9" s="85">
        <v>30920.5</v>
      </c>
      <c r="F9" s="85">
        <v>32296.76</v>
      </c>
      <c r="G9" s="85">
        <v>41026.93</v>
      </c>
      <c r="H9" s="85">
        <v>55690.71</v>
      </c>
      <c r="I9" s="85">
        <v>16380.96</v>
      </c>
      <c r="J9" s="85">
        <v>17425.21</v>
      </c>
      <c r="K9" s="85">
        <v>18399.37</v>
      </c>
      <c r="L9" s="85">
        <v>20380.810000000001</v>
      </c>
      <c r="M9" s="11">
        <v>20922.03</v>
      </c>
      <c r="N9" s="11">
        <v>20502.87</v>
      </c>
      <c r="O9" s="11"/>
      <c r="P9" s="49" t="s">
        <v>93</v>
      </c>
      <c r="Q9" s="45"/>
      <c r="R9" s="93" t="e">
        <f>D14/(D11-D9)</f>
        <v>#DIV/0!</v>
      </c>
      <c r="S9" s="93">
        <f>E14/(E11-E9)</f>
        <v>0.43364628179312659</v>
      </c>
      <c r="T9" s="93">
        <f>F14/(F11-F9)</f>
        <v>0.36207366029276489</v>
      </c>
      <c r="U9" s="93">
        <f>G14/(G11-G9)</f>
        <v>0.43759772193920604</v>
      </c>
      <c r="V9" s="93">
        <f>H14/(H11-H9)</f>
        <v>0.5161074292523361</v>
      </c>
      <c r="W9" s="18"/>
      <c r="X9" s="18"/>
      <c r="Y9" s="18"/>
      <c r="Z9" s="18"/>
    </row>
    <row r="10" spans="1:29" ht="22.5" x14ac:dyDescent="0.25">
      <c r="A10" s="6" t="s">
        <v>53</v>
      </c>
      <c r="B10" s="10">
        <f t="shared" ref="B10:I10" si="2">B6-B9</f>
        <v>0</v>
      </c>
      <c r="C10" s="10">
        <f t="shared" si="2"/>
        <v>0</v>
      </c>
      <c r="D10" s="89">
        <f t="shared" si="2"/>
        <v>0</v>
      </c>
      <c r="E10" s="89">
        <f t="shared" si="2"/>
        <v>12563.14</v>
      </c>
      <c r="F10" s="89">
        <f t="shared" si="2"/>
        <v>14272.66</v>
      </c>
      <c r="G10" s="89">
        <f t="shared" si="2"/>
        <v>34523.390000000007</v>
      </c>
      <c r="H10" s="89">
        <f>H6-H9</f>
        <v>56564.530000000006</v>
      </c>
      <c r="I10" s="89">
        <f t="shared" si="2"/>
        <v>19513.739999999998</v>
      </c>
      <c r="J10" s="89">
        <f>J6-J9</f>
        <v>21279.43</v>
      </c>
      <c r="K10" s="89">
        <f>K6-K9</f>
        <v>26370.219999999998</v>
      </c>
      <c r="L10" s="89">
        <f>L6-L9</f>
        <v>30184.539999999997</v>
      </c>
      <c r="M10" s="89">
        <f>M6-M9</f>
        <v>34291.520000000004</v>
      </c>
      <c r="N10" s="89">
        <f>N6-N9</f>
        <v>35060.92</v>
      </c>
      <c r="O10" s="11"/>
      <c r="P10" s="42" t="s">
        <v>92</v>
      </c>
      <c r="Q10" s="43"/>
      <c r="R10" s="44" t="e">
        <f>D14/D11</f>
        <v>#DIV/0!</v>
      </c>
      <c r="S10" s="44">
        <f>E14/E11</f>
        <v>0.20971649046793325</v>
      </c>
      <c r="T10" s="44">
        <f>F14/F11</f>
        <v>0.18252407238851895</v>
      </c>
      <c r="U10" s="44">
        <f>G14/G11</f>
        <v>0.23055123086468446</v>
      </c>
      <c r="V10" s="44">
        <f>H14/H11</f>
        <v>0.28661802332149922</v>
      </c>
      <c r="W10" s="18"/>
      <c r="X10" s="18"/>
      <c r="Y10" s="18"/>
      <c r="Z10" s="18"/>
    </row>
    <row r="11" spans="1:29" x14ac:dyDescent="0.25">
      <c r="A11" s="6" t="s">
        <v>1</v>
      </c>
      <c r="B11" s="10">
        <f>B5-B9</f>
        <v>0</v>
      </c>
      <c r="C11" s="10">
        <f t="shared" ref="C11:I11" si="3">SUM(C6:C8)</f>
        <v>0</v>
      </c>
      <c r="D11" s="89">
        <f t="shared" si="3"/>
        <v>0</v>
      </c>
      <c r="E11" s="89">
        <f t="shared" si="3"/>
        <v>59878.41</v>
      </c>
      <c r="F11" s="89">
        <f>SUM(F6:F8)</f>
        <v>65128.56</v>
      </c>
      <c r="G11" s="89">
        <f>SUM(G6:G8)</f>
        <v>86711.4</v>
      </c>
      <c r="H11" s="89">
        <f>SUM(H6:H8)</f>
        <v>125244.95</v>
      </c>
      <c r="I11" s="89">
        <f t="shared" si="3"/>
        <v>38801.82</v>
      </c>
      <c r="J11" s="89">
        <f>SUM(J6:J8)</f>
        <v>42444.35</v>
      </c>
      <c r="K11" s="89">
        <f>SUM(K6:K8)</f>
        <v>47290.63</v>
      </c>
      <c r="L11" s="89">
        <f>SUM(L6:L8)</f>
        <v>54329.23</v>
      </c>
      <c r="M11" s="89">
        <f>SUM(M6:M8)</f>
        <v>56127.92</v>
      </c>
      <c r="N11" s="89">
        <f>SUM(N6:N8)</f>
        <v>57319.66</v>
      </c>
      <c r="O11" s="11"/>
      <c r="P11" s="42" t="s">
        <v>17</v>
      </c>
      <c r="Q11" s="43"/>
      <c r="R11" s="44" t="e">
        <f>D14/AVERAGE(C22:D22)</f>
        <v>#DIV/0!</v>
      </c>
      <c r="S11" s="44">
        <f>E14/AVERAGE(D22:E22)</f>
        <v>2.8010044411039804E-2</v>
      </c>
      <c r="T11" s="44">
        <f>F14/AVERAGE(E22:F22)</f>
        <v>2.3639365315217587E-2</v>
      </c>
      <c r="U11" s="44">
        <f>G14/AVERAGE(F22:G22)</f>
        <v>2.9817023434053371E-2</v>
      </c>
      <c r="V11" s="44">
        <f>H14/AVERAGE(G22:H22)</f>
        <v>4.2133287946663746E-2</v>
      </c>
      <c r="W11" s="18"/>
      <c r="X11" s="18"/>
      <c r="Y11" s="18"/>
      <c r="Z11" s="18"/>
    </row>
    <row r="12" spans="1:29" x14ac:dyDescent="0.25">
      <c r="A12" s="6" t="s">
        <v>91</v>
      </c>
      <c r="B12" s="10"/>
      <c r="C12" s="10"/>
      <c r="D12" s="89"/>
      <c r="E12" s="89">
        <v>186.49</v>
      </c>
      <c r="F12" s="89">
        <v>291.63</v>
      </c>
      <c r="G12" s="89">
        <v>700.53</v>
      </c>
      <c r="H12" s="89">
        <v>542.53</v>
      </c>
      <c r="I12" s="89">
        <v>137.07</v>
      </c>
      <c r="J12" s="89">
        <v>219.12</v>
      </c>
      <c r="K12" s="89">
        <v>108.7</v>
      </c>
      <c r="L12" s="89">
        <v>1100.76</v>
      </c>
      <c r="M12" s="11">
        <v>422.53</v>
      </c>
      <c r="N12" s="11">
        <v>56.5</v>
      </c>
      <c r="O12" s="11"/>
      <c r="P12" s="40" t="s">
        <v>18</v>
      </c>
      <c r="Q12" s="45"/>
      <c r="R12" s="45"/>
      <c r="S12" s="45"/>
      <c r="T12" s="46" t="s">
        <v>5</v>
      </c>
      <c r="U12" s="18"/>
      <c r="V12" s="18"/>
      <c r="W12" s="18"/>
      <c r="X12" s="18"/>
      <c r="Y12" s="53"/>
      <c r="Z12" s="54"/>
    </row>
    <row r="13" spans="1:29" x14ac:dyDescent="0.25">
      <c r="A13" s="6" t="s">
        <v>25</v>
      </c>
      <c r="B13" s="7"/>
      <c r="C13" s="7"/>
      <c r="D13" s="88">
        <f t="shared" ref="D13:N13" si="4">D11+D12</f>
        <v>0</v>
      </c>
      <c r="E13" s="88">
        <f t="shared" si="4"/>
        <v>60064.9</v>
      </c>
      <c r="F13" s="88">
        <f t="shared" si="4"/>
        <v>65420.189999999995</v>
      </c>
      <c r="G13" s="88">
        <f t="shared" si="4"/>
        <v>87411.93</v>
      </c>
      <c r="H13" s="88">
        <f t="shared" si="4"/>
        <v>125787.48</v>
      </c>
      <c r="I13" s="88">
        <f t="shared" si="4"/>
        <v>38938.89</v>
      </c>
      <c r="J13" s="88">
        <f t="shared" si="4"/>
        <v>42663.47</v>
      </c>
      <c r="K13" s="88">
        <f t="shared" si="4"/>
        <v>47399.329999999994</v>
      </c>
      <c r="L13" s="88">
        <f t="shared" si="4"/>
        <v>55429.990000000005</v>
      </c>
      <c r="M13" s="88">
        <f t="shared" si="4"/>
        <v>56550.45</v>
      </c>
      <c r="N13" s="88">
        <f t="shared" si="4"/>
        <v>57376.160000000003</v>
      </c>
      <c r="O13" s="11"/>
      <c r="P13" s="42" t="s">
        <v>19</v>
      </c>
      <c r="Q13" s="43"/>
      <c r="R13" s="44" t="e">
        <f>D24/D23</f>
        <v>#DIV/0!</v>
      </c>
      <c r="S13" s="44">
        <f>E24/E23</f>
        <v>6.6800170168545671E-3</v>
      </c>
      <c r="T13" s="44">
        <f>F24/F23</f>
        <v>3.0569762455352662E-2</v>
      </c>
      <c r="U13" s="44">
        <v>5.1000000000000004E-3</v>
      </c>
      <c r="V13" s="44">
        <v>7.7000000000000002E-3</v>
      </c>
      <c r="W13" s="48"/>
      <c r="X13" s="48">
        <v>4.4000000000000003E-3</v>
      </c>
      <c r="Y13" s="48">
        <v>4.1000000000000003E-3</v>
      </c>
      <c r="Z13" s="48">
        <v>4.7000000000000002E-3</v>
      </c>
      <c r="AA13" s="80">
        <v>4.8999999999999998E-3</v>
      </c>
      <c r="AB13" s="80">
        <v>6.0000000000000001E-3</v>
      </c>
    </row>
    <row r="14" spans="1:29" x14ac:dyDescent="0.25">
      <c r="A14" s="6" t="s">
        <v>26</v>
      </c>
      <c r="B14" s="7"/>
      <c r="C14" s="7"/>
      <c r="D14" s="85"/>
      <c r="E14" s="85">
        <f>2289.11+6047.37+671.62+3549.39</f>
        <v>12557.49</v>
      </c>
      <c r="F14" s="85">
        <f>2852.19+5679.95+673.83+2681.56</f>
        <v>11887.529999999999</v>
      </c>
      <c r="G14" s="85">
        <f>5273.22+8771.65+911.82+5034.73</f>
        <v>19991.419999999998</v>
      </c>
      <c r="H14" s="85">
        <f>15947.57+10957.43+1026.14+7966.32</f>
        <v>35897.46</v>
      </c>
      <c r="I14" s="85">
        <f>4719.58+3955.39+295.05+2493.74</f>
        <v>11463.759999999998</v>
      </c>
      <c r="J14" s="85">
        <f>7361.33+4321.33+361.33+2056.29</f>
        <v>14100.279999999999</v>
      </c>
      <c r="K14" s="85">
        <f>7221.93+4656.59+410.44+2484.32</f>
        <v>14773.28</v>
      </c>
      <c r="L14" s="85">
        <f>12411.35+5027.72+400.21+3813.98</f>
        <v>21653.26</v>
      </c>
      <c r="M14" s="11">
        <f>10760.22+5036.69+331.33+3422.14</f>
        <v>19550.38</v>
      </c>
      <c r="N14" s="11">
        <f>7390.72+4978.44+252.17+1380.78</f>
        <v>14002.11</v>
      </c>
      <c r="O14" s="11"/>
      <c r="P14" s="42" t="s">
        <v>20</v>
      </c>
      <c r="Q14" s="43"/>
      <c r="R14" s="44" t="e">
        <f>D25/D23</f>
        <v>#DIV/0!</v>
      </c>
      <c r="S14" s="44">
        <f>E25/E23</f>
        <v>1.9724658210331799E-3</v>
      </c>
      <c r="T14" s="44">
        <f>F25/F23</f>
        <v>1.1684343139717383E-2</v>
      </c>
      <c r="U14" s="44">
        <v>1.8E-3</v>
      </c>
      <c r="V14" s="44">
        <v>4.0000000000000001E-3</v>
      </c>
      <c r="W14" s="48"/>
      <c r="X14" s="48">
        <v>1.6000000000000001E-3</v>
      </c>
      <c r="Y14" s="48">
        <v>1E-3</v>
      </c>
      <c r="Z14" s="48">
        <v>8.9999999999999998E-4</v>
      </c>
      <c r="AA14" s="80">
        <v>1.1999999999999999E-3</v>
      </c>
      <c r="AB14" s="80">
        <v>1.8E-3</v>
      </c>
    </row>
    <row r="15" spans="1:29" x14ac:dyDescent="0.25">
      <c r="A15" s="6" t="s">
        <v>54</v>
      </c>
      <c r="B15" s="10"/>
      <c r="C15" s="10"/>
      <c r="D15" s="89">
        <f t="shared" ref="D15:J15" si="5">D11-D14</f>
        <v>0</v>
      </c>
      <c r="E15" s="89">
        <f t="shared" si="5"/>
        <v>47320.920000000006</v>
      </c>
      <c r="F15" s="89">
        <f t="shared" si="5"/>
        <v>53241.03</v>
      </c>
      <c r="G15" s="89">
        <f t="shared" si="5"/>
        <v>66719.98</v>
      </c>
      <c r="H15" s="89">
        <f>H11-H14</f>
        <v>89347.489999999991</v>
      </c>
      <c r="I15" s="89">
        <f t="shared" si="5"/>
        <v>27338.06</v>
      </c>
      <c r="J15" s="89">
        <f t="shared" si="5"/>
        <v>28344.07</v>
      </c>
      <c r="K15" s="89">
        <f>K11-K14</f>
        <v>32517.35</v>
      </c>
      <c r="L15" s="89">
        <f>L11-L14</f>
        <v>32675.970000000005</v>
      </c>
      <c r="M15" s="89">
        <f>M11-M14</f>
        <v>36577.539999999994</v>
      </c>
      <c r="N15" s="89">
        <f>N11-N14</f>
        <v>43317.55</v>
      </c>
      <c r="O15" s="11"/>
      <c r="P15" s="42" t="s">
        <v>21</v>
      </c>
      <c r="Q15" s="43"/>
      <c r="R15" s="44" t="e">
        <f t="shared" ref="R15:W15" si="6">(R13-R14)/R13</f>
        <v>#DIV/0!</v>
      </c>
      <c r="S15" s="44">
        <f t="shared" si="6"/>
        <v>0.70472143767652284</v>
      </c>
      <c r="T15" s="44">
        <f t="shared" si="6"/>
        <v>0.61778102931671641</v>
      </c>
      <c r="U15" s="44">
        <f t="shared" si="6"/>
        <v>0.6470588235294118</v>
      </c>
      <c r="V15" s="44">
        <f t="shared" si="6"/>
        <v>0.48051948051948051</v>
      </c>
      <c r="W15" s="44" t="e">
        <f t="shared" si="6"/>
        <v>#DIV/0!</v>
      </c>
      <c r="X15" s="18"/>
      <c r="Y15" s="18"/>
      <c r="Z15" s="18"/>
    </row>
    <row r="16" spans="1:29" x14ac:dyDescent="0.25">
      <c r="A16" s="6" t="s">
        <v>94</v>
      </c>
      <c r="B16" s="10"/>
      <c r="C16" s="10"/>
      <c r="D16" s="89">
        <f t="shared" ref="D16:J16" si="7">D13-D14-D9</f>
        <v>0</v>
      </c>
      <c r="E16" s="89">
        <f t="shared" si="7"/>
        <v>16586.910000000003</v>
      </c>
      <c r="F16" s="89">
        <f t="shared" si="7"/>
        <v>21235.899999999998</v>
      </c>
      <c r="G16" s="89">
        <f t="shared" si="7"/>
        <v>26393.579999999994</v>
      </c>
      <c r="H16" s="89">
        <f>H13-H14-H9</f>
        <v>34199.30999999999</v>
      </c>
      <c r="I16" s="89">
        <f t="shared" si="7"/>
        <v>11094.170000000002</v>
      </c>
      <c r="J16" s="89">
        <f t="shared" si="7"/>
        <v>11137.980000000003</v>
      </c>
      <c r="K16" s="89">
        <f>K13-K14-K9</f>
        <v>14226.679999999997</v>
      </c>
      <c r="L16" s="89">
        <f>L13-L14-L9</f>
        <v>13395.920000000009</v>
      </c>
      <c r="M16" s="89">
        <f>M13-M14-M9</f>
        <v>16078.039999999994</v>
      </c>
      <c r="N16" s="89">
        <f>N13-N14-N9</f>
        <v>22871.180000000004</v>
      </c>
      <c r="O16" s="11"/>
      <c r="P16" s="42" t="s">
        <v>120</v>
      </c>
      <c r="Q16" s="43"/>
      <c r="R16" s="44" t="e">
        <f>D17/AVERAGE(C23:D23)</f>
        <v>#DIV/0!</v>
      </c>
      <c r="S16" s="44">
        <f>E17/AVERAGE(D23:E23)</f>
        <v>1.1764470170081726E-2</v>
      </c>
      <c r="T16" s="44">
        <f>F17/AVERAGE(E23:F23)</f>
        <v>3.9825873425987542E-2</v>
      </c>
      <c r="U16" s="44">
        <f>G17/AVERAGE(F23:G23)</f>
        <v>8.1349342821477495E-3</v>
      </c>
      <c r="V16" s="44">
        <f>H17/AVERAGE(G23:H23)</f>
        <v>6.4300912359603508E-3</v>
      </c>
      <c r="W16" s="44">
        <f t="shared" ref="W16:AC16" si="8">I17/AVERAGE(H23:I23)</f>
        <v>4.4886025838400028E-3</v>
      </c>
      <c r="X16" s="44">
        <f t="shared" si="8"/>
        <v>1.7629995604579308E-3</v>
      </c>
      <c r="Y16" s="44">
        <f t="shared" si="8"/>
        <v>6.6187317539455138E-3</v>
      </c>
      <c r="Z16" s="44">
        <f t="shared" si="8"/>
        <v>2.6444715676153378E-3</v>
      </c>
      <c r="AA16" s="44">
        <f t="shared" si="8"/>
        <v>5.4189587483754898E-3</v>
      </c>
      <c r="AB16" s="44">
        <f t="shared" si="8"/>
        <v>7.9727641099581383E-3</v>
      </c>
      <c r="AC16" s="44">
        <f t="shared" si="8"/>
        <v>0</v>
      </c>
    </row>
    <row r="17" spans="1:26" x14ac:dyDescent="0.25">
      <c r="A17" s="6" t="s">
        <v>27</v>
      </c>
      <c r="B17" s="7"/>
      <c r="C17" s="7"/>
      <c r="D17" s="88"/>
      <c r="E17" s="85">
        <v>3523.08</v>
      </c>
      <c r="F17" s="85">
        <v>13602.68</v>
      </c>
      <c r="G17" s="85">
        <v>3684.74</v>
      </c>
      <c r="H17" s="85">
        <v>3894.37</v>
      </c>
      <c r="I17" s="85">
        <v>3163.41</v>
      </c>
      <c r="J17" s="85">
        <v>1346.53</v>
      </c>
      <c r="K17" s="85">
        <v>5341.61</v>
      </c>
      <c r="L17" s="85">
        <v>2461.9699999999998</v>
      </c>
      <c r="M17" s="11">
        <v>5137.41</v>
      </c>
      <c r="N17" s="11">
        <v>7835.26</v>
      </c>
      <c r="O17" s="11"/>
      <c r="P17" s="18"/>
      <c r="Q17" s="18"/>
      <c r="R17" s="18"/>
      <c r="S17" s="18"/>
      <c r="T17" s="18"/>
      <c r="U17" s="18"/>
      <c r="V17" s="18"/>
      <c r="W17" s="18"/>
      <c r="X17" s="18"/>
      <c r="Y17" s="18"/>
      <c r="Z17" s="18"/>
    </row>
    <row r="18" spans="1:26" x14ac:dyDescent="0.25">
      <c r="A18" s="6" t="s">
        <v>55</v>
      </c>
      <c r="B18" s="7"/>
      <c r="C18" s="7"/>
      <c r="D18" s="88"/>
      <c r="E18" s="85">
        <v>8961.93</v>
      </c>
      <c r="F18" s="89">
        <v>5604.99</v>
      </c>
      <c r="G18" s="89">
        <v>16372.93</v>
      </c>
      <c r="H18" s="89">
        <v>22535.61</v>
      </c>
      <c r="I18" s="89">
        <v>5929.58</v>
      </c>
      <c r="J18" s="89">
        <v>7279.83</v>
      </c>
      <c r="K18" s="89">
        <v>6613.76</v>
      </c>
      <c r="L18" s="89">
        <v>8193.94</v>
      </c>
      <c r="M18" s="11">
        <v>8147.78</v>
      </c>
      <c r="N18" s="11">
        <v>11213.43</v>
      </c>
      <c r="O18" s="11"/>
      <c r="P18" s="40" t="s">
        <v>30</v>
      </c>
      <c r="Q18" s="45"/>
      <c r="R18" s="45"/>
      <c r="S18" s="45"/>
      <c r="T18" s="46" t="s">
        <v>5</v>
      </c>
      <c r="U18" s="18"/>
      <c r="V18" s="18"/>
      <c r="W18" s="18"/>
      <c r="X18" s="18"/>
      <c r="Y18" s="18"/>
      <c r="Z18" s="18"/>
    </row>
    <row r="19" spans="1:26" ht="22.5" x14ac:dyDescent="0.25">
      <c r="A19" s="6" t="s">
        <v>28</v>
      </c>
      <c r="B19" s="7"/>
      <c r="C19" s="7"/>
      <c r="D19" s="88"/>
      <c r="E19" s="85">
        <v>149281.88</v>
      </c>
      <c r="F19" s="85">
        <v>155886.01999999999</v>
      </c>
      <c r="G19" s="85">
        <v>170991.44</v>
      </c>
      <c r="H19" s="85">
        <v>192715.09</v>
      </c>
      <c r="I19" s="85"/>
      <c r="J19" s="85">
        <v>208135.98</v>
      </c>
      <c r="K19" s="85"/>
      <c r="L19" s="85">
        <f>225035.33-2085.13-1179-3456.92</f>
        <v>218314.27999999997</v>
      </c>
      <c r="M19" s="11"/>
      <c r="N19" s="11">
        <f>325482.56-5497.29-2085.13</f>
        <v>317900.14</v>
      </c>
      <c r="O19" s="11"/>
      <c r="P19" s="46" t="s">
        <v>95</v>
      </c>
      <c r="Q19" s="51"/>
      <c r="R19" s="51"/>
      <c r="S19" s="52">
        <f>E16/AVERAGE(D22:E22)</f>
        <v>3.6997846364354686E-2</v>
      </c>
      <c r="T19" s="52">
        <f>F16/AVERAGE(E22:F22)</f>
        <v>4.2229394827809408E-2</v>
      </c>
      <c r="U19" s="52">
        <f>G16/AVERAGE(F22:G22)</f>
        <v>3.9365787591304782E-2</v>
      </c>
      <c r="V19" s="52">
        <f>H16/AVERAGE(G22:H22)</f>
        <v>4.0140148517672745E-2</v>
      </c>
      <c r="W19" s="18"/>
      <c r="X19" s="18"/>
      <c r="Y19" s="18"/>
      <c r="Z19" s="18"/>
    </row>
    <row r="20" spans="1:26" x14ac:dyDescent="0.25">
      <c r="A20" s="6" t="s">
        <v>56</v>
      </c>
      <c r="B20" s="7"/>
      <c r="C20" s="7"/>
      <c r="D20" s="88">
        <f t="shared" ref="D20:N20" si="9">D19-D71</f>
        <v>0</v>
      </c>
      <c r="E20" s="89">
        <f t="shared" si="9"/>
        <v>149281.88</v>
      </c>
      <c r="F20" s="89">
        <f t="shared" si="9"/>
        <v>155886.01999999999</v>
      </c>
      <c r="G20" s="89">
        <f t="shared" si="9"/>
        <v>170991.44</v>
      </c>
      <c r="H20" s="89">
        <f t="shared" si="9"/>
        <v>192715.09</v>
      </c>
      <c r="I20" s="89">
        <f t="shared" si="9"/>
        <v>0</v>
      </c>
      <c r="J20" s="89">
        <f t="shared" si="9"/>
        <v>208135.98</v>
      </c>
      <c r="K20" s="89">
        <f t="shared" si="9"/>
        <v>0</v>
      </c>
      <c r="L20" s="89">
        <f t="shared" si="9"/>
        <v>218314.27999999997</v>
      </c>
      <c r="M20" s="89">
        <f t="shared" si="9"/>
        <v>0</v>
      </c>
      <c r="N20" s="89">
        <f t="shared" si="9"/>
        <v>317900.14</v>
      </c>
      <c r="O20" s="11"/>
      <c r="P20" s="42" t="s">
        <v>31</v>
      </c>
      <c r="Q20" s="43"/>
      <c r="R20" s="43">
        <v>4.4699999999999997E-2</v>
      </c>
      <c r="S20" s="44">
        <f>E18/AVERAGE(D22:E22)</f>
        <v>1.9989986638144244E-2</v>
      </c>
      <c r="T20" s="44">
        <f>F18/AVERAGE(E22:F22)</f>
        <v>1.1145999732336442E-2</v>
      </c>
      <c r="U20" s="44">
        <f>G18/AVERAGE(F22:G22)</f>
        <v>2.4420078088205614E-2</v>
      </c>
      <c r="V20" s="44">
        <f>H18/AVERAGE(G22:H22)</f>
        <v>2.645032114204501E-2</v>
      </c>
      <c r="W20" s="48"/>
      <c r="X20" s="18"/>
      <c r="Y20" s="18"/>
      <c r="Z20" s="18"/>
    </row>
    <row r="21" spans="1:26" x14ac:dyDescent="0.25">
      <c r="A21" s="6" t="s">
        <v>57</v>
      </c>
      <c r="B21" s="9"/>
      <c r="C21" s="9"/>
      <c r="D21" s="85"/>
      <c r="E21" s="85">
        <f>86020.7+206087.4</f>
        <v>292108.09999999998</v>
      </c>
      <c r="F21" s="85">
        <f>163956.78+229247.09</f>
        <v>393203.87</v>
      </c>
      <c r="G21" s="85">
        <f>134359.68+459942.62+3993.47</f>
        <v>598295.77</v>
      </c>
      <c r="H21" s="85">
        <f>122431.55+577029.86+3995.07</f>
        <v>703456.48</v>
      </c>
      <c r="I21" s="85"/>
      <c r="J21" s="85">
        <f>118465.31+663739.41</f>
        <v>782204.72</v>
      </c>
      <c r="K21" s="85"/>
      <c r="L21" s="85">
        <f>141372.46+763403.14</f>
        <v>904775.6</v>
      </c>
      <c r="M21" s="11"/>
      <c r="N21" s="11">
        <f>169692.74+749441.27</f>
        <v>919134.01</v>
      </c>
      <c r="O21" s="11"/>
      <c r="P21" s="42" t="s">
        <v>32</v>
      </c>
      <c r="Q21" s="43"/>
      <c r="R21" s="44" t="e">
        <f>D18/AVERAGE(C19:D19)</f>
        <v>#DIV/0!</v>
      </c>
      <c r="S21" s="44">
        <f>E18/AVERAGE(D19:E19)</f>
        <v>6.0033608901495616E-2</v>
      </c>
      <c r="T21" s="44">
        <f>F18/AVERAGE(E19:F19)</f>
        <v>3.6733811124957765E-2</v>
      </c>
      <c r="U21" s="44">
        <f>G18/AVERAGE(F19:G19)</f>
        <v>0.1001777852777001</v>
      </c>
      <c r="V21" s="44">
        <f>H18/AVERAGE(G19:H19)</f>
        <v>0.12392194333161959</v>
      </c>
      <c r="W21" s="18"/>
      <c r="X21" s="18"/>
      <c r="Y21" s="18"/>
      <c r="Z21" s="18"/>
    </row>
    <row r="22" spans="1:26" x14ac:dyDescent="0.25">
      <c r="A22" s="6" t="s">
        <v>29</v>
      </c>
      <c r="B22" s="7"/>
      <c r="C22" s="7"/>
      <c r="D22" s="88"/>
      <c r="E22" s="85">
        <v>448320.96</v>
      </c>
      <c r="F22" s="85">
        <v>557419.24</v>
      </c>
      <c r="G22" s="85">
        <v>783520.78</v>
      </c>
      <c r="H22" s="85">
        <v>920474.41</v>
      </c>
      <c r="I22" s="85"/>
      <c r="J22" s="85">
        <v>1019516.89</v>
      </c>
      <c r="K22" s="85"/>
      <c r="L22" s="85">
        <v>1161956.6399999999</v>
      </c>
      <c r="M22" s="11"/>
      <c r="N22" s="11">
        <v>1276824.79</v>
      </c>
      <c r="O22" s="11"/>
      <c r="P22" s="40" t="s">
        <v>33</v>
      </c>
      <c r="Q22" s="45"/>
      <c r="R22" s="45"/>
      <c r="S22" s="45"/>
      <c r="T22" s="46" t="s">
        <v>5</v>
      </c>
      <c r="U22" s="18"/>
      <c r="V22" s="18"/>
      <c r="W22" s="18"/>
      <c r="X22" s="18"/>
      <c r="Y22" s="18"/>
      <c r="Z22" s="18"/>
    </row>
    <row r="23" spans="1:26" x14ac:dyDescent="0.25">
      <c r="A23" s="6" t="s">
        <v>58</v>
      </c>
      <c r="B23" s="7"/>
      <c r="C23" s="7"/>
      <c r="D23" s="88"/>
      <c r="E23" s="85">
        <v>299467.8</v>
      </c>
      <c r="F23" s="85">
        <v>383639.88</v>
      </c>
      <c r="G23" s="85">
        <v>522265.41</v>
      </c>
      <c r="H23" s="85">
        <v>689030</v>
      </c>
      <c r="I23" s="85">
        <v>720500</v>
      </c>
      <c r="J23" s="85">
        <v>807044.34</v>
      </c>
      <c r="K23" s="85"/>
      <c r="L23" s="85">
        <v>930987.51</v>
      </c>
      <c r="M23" s="11">
        <v>965100</v>
      </c>
      <c r="N23" s="11">
        <v>1000406.54</v>
      </c>
      <c r="O23" s="11"/>
      <c r="P23" s="42" t="s">
        <v>34</v>
      </c>
      <c r="Q23" s="43"/>
      <c r="R23" s="44" t="e">
        <f>D6/AVERAGE(C23:D23)</f>
        <v>#DIV/0!</v>
      </c>
      <c r="S23" s="44">
        <f>E6/AVERAGE(D23:E23)</f>
        <v>0.14520305688958879</v>
      </c>
      <c r="T23" s="44">
        <f>F6/AVERAGE(E23:F23)</f>
        <v>0.13634576616090746</v>
      </c>
      <c r="U23" s="44">
        <f>G6/AVERAGE(F23:G23)</f>
        <v>0.16679518451647413</v>
      </c>
      <c r="V23" s="44">
        <f>H6/AVERAGE(G23:H23)</f>
        <v>0.18534742074189814</v>
      </c>
      <c r="W23" s="18"/>
      <c r="X23" s="18"/>
      <c r="Y23" s="18"/>
      <c r="Z23" s="18"/>
    </row>
    <row r="24" spans="1:26" x14ac:dyDescent="0.25">
      <c r="A24" s="6" t="s">
        <v>59</v>
      </c>
      <c r="B24" s="10"/>
      <c r="C24" s="10"/>
      <c r="D24" s="89"/>
      <c r="E24" s="89">
        <v>2000.45</v>
      </c>
      <c r="F24" s="89">
        <v>11727.78</v>
      </c>
      <c r="G24" s="89"/>
      <c r="H24" s="89"/>
      <c r="I24" s="89"/>
      <c r="J24" s="89"/>
      <c r="K24" s="89"/>
      <c r="L24" s="89"/>
      <c r="M24" s="11"/>
      <c r="N24" s="11"/>
      <c r="O24" s="11"/>
      <c r="P24" s="42" t="s">
        <v>35</v>
      </c>
      <c r="Q24" s="43"/>
      <c r="R24" s="44" t="e">
        <f>D9/AVERAGE(C21:D21)</f>
        <v>#DIV/0!</v>
      </c>
      <c r="S24" s="44">
        <f>E9/AVERAGE(D21:E21)</f>
        <v>0.10585293595076618</v>
      </c>
      <c r="T24" s="44">
        <f>F9/AVERAGE(E21:F21)</f>
        <v>9.4254183244457265E-2</v>
      </c>
      <c r="U24" s="44">
        <f>G9/AVERAGE(F21:G21)</f>
        <v>8.2757327072756168E-2</v>
      </c>
      <c r="V24" s="44">
        <f>H9/AVERAGE(G21:H21)</f>
        <v>8.5562686755486686E-2</v>
      </c>
      <c r="W24" s="18"/>
      <c r="X24" s="18"/>
      <c r="Y24" s="18"/>
      <c r="Z24" s="18"/>
    </row>
    <row r="25" spans="1:26" x14ac:dyDescent="0.25">
      <c r="A25" s="6" t="s">
        <v>60</v>
      </c>
      <c r="B25" s="10"/>
      <c r="C25" s="10"/>
      <c r="D25" s="89"/>
      <c r="E25" s="89">
        <v>590.69000000000005</v>
      </c>
      <c r="F25" s="89">
        <v>4482.58</v>
      </c>
      <c r="G25" s="89"/>
      <c r="H25" s="89"/>
      <c r="I25" s="89"/>
      <c r="J25" s="89"/>
      <c r="K25" s="89"/>
      <c r="L25" s="89"/>
      <c r="M25" s="11"/>
      <c r="N25" s="11"/>
      <c r="O25" s="11"/>
      <c r="P25" s="42" t="s">
        <v>36</v>
      </c>
      <c r="Q25" s="43"/>
      <c r="R25" s="48" t="e">
        <f>R23-R24</f>
        <v>#DIV/0!</v>
      </c>
      <c r="S25" s="48">
        <f>S23-S24</f>
        <v>3.9350120938822605E-2</v>
      </c>
      <c r="T25" s="48">
        <f>T23-T24</f>
        <v>4.2091582916450196E-2</v>
      </c>
      <c r="U25" s="48">
        <f>U23-U24</f>
        <v>8.4037857443717959E-2</v>
      </c>
      <c r="V25" s="48">
        <f>V23-V24</f>
        <v>9.9784733986411453E-2</v>
      </c>
      <c r="W25" s="18"/>
      <c r="X25" s="18"/>
      <c r="Y25" s="18"/>
      <c r="Z25" s="18"/>
    </row>
    <row r="27" spans="1:26" ht="15" customHeight="1" x14ac:dyDescent="0.25">
      <c r="A27" s="739" t="s">
        <v>253</v>
      </c>
      <c r="B27" s="739"/>
      <c r="C27" s="739"/>
      <c r="D27" s="739"/>
      <c r="E27" s="739"/>
      <c r="F27" s="739"/>
      <c r="G27" s="739"/>
      <c r="H27" s="739"/>
      <c r="I27" s="739"/>
      <c r="J27" s="739"/>
      <c r="K27" s="739"/>
      <c r="L27" s="739"/>
      <c r="M27" s="739"/>
      <c r="N27" s="739"/>
      <c r="O27" s="739"/>
      <c r="P27" s="129"/>
    </row>
    <row r="28" spans="1:26" x14ac:dyDescent="0.25">
      <c r="A28" s="739"/>
      <c r="B28" s="739"/>
      <c r="C28" s="739"/>
      <c r="D28" s="739"/>
      <c r="E28" s="739"/>
      <c r="F28" s="739"/>
      <c r="G28" s="739"/>
      <c r="H28" s="739"/>
      <c r="I28" s="739"/>
      <c r="J28" s="739"/>
      <c r="K28" s="739"/>
      <c r="L28" s="739"/>
      <c r="M28" s="739"/>
      <c r="N28" s="739"/>
      <c r="O28" s="739"/>
      <c r="P28" s="129"/>
    </row>
    <row r="29" spans="1:26" x14ac:dyDescent="0.25">
      <c r="A29" s="739"/>
      <c r="B29" s="739"/>
      <c r="C29" s="739"/>
      <c r="D29" s="739"/>
      <c r="E29" s="739"/>
      <c r="F29" s="739"/>
      <c r="G29" s="739"/>
      <c r="H29" s="739"/>
      <c r="I29" s="739"/>
      <c r="J29" s="739"/>
      <c r="K29" s="739"/>
      <c r="L29" s="739"/>
      <c r="M29" s="739"/>
      <c r="N29" s="739"/>
      <c r="O29" s="739"/>
      <c r="P29" s="129"/>
    </row>
    <row r="30" spans="1:26" x14ac:dyDescent="0.25">
      <c r="A30" s="739"/>
      <c r="B30" s="739"/>
      <c r="C30" s="739"/>
      <c r="D30" s="739"/>
      <c r="E30" s="739"/>
      <c r="F30" s="739"/>
      <c r="G30" s="739"/>
      <c r="H30" s="739"/>
      <c r="I30" s="739"/>
      <c r="J30" s="739"/>
      <c r="K30" s="739"/>
      <c r="L30" s="739"/>
      <c r="M30" s="739"/>
      <c r="N30" s="739"/>
      <c r="O30" s="739"/>
      <c r="P30" s="129"/>
    </row>
    <row r="31" spans="1:26" x14ac:dyDescent="0.25">
      <c r="A31" s="739"/>
      <c r="B31" s="739"/>
      <c r="C31" s="739"/>
      <c r="D31" s="739"/>
      <c r="E31" s="739"/>
      <c r="F31" s="739"/>
      <c r="G31" s="739"/>
      <c r="H31" s="739"/>
      <c r="I31" s="739"/>
      <c r="J31" s="739"/>
      <c r="K31" s="739"/>
      <c r="L31" s="739"/>
      <c r="M31" s="739"/>
      <c r="N31" s="739"/>
      <c r="O31" s="739"/>
      <c r="P31" s="129"/>
    </row>
    <row r="32" spans="1:26" x14ac:dyDescent="0.25">
      <c r="A32" s="739"/>
      <c r="B32" s="739"/>
      <c r="C32" s="739"/>
      <c r="D32" s="739"/>
      <c r="E32" s="739"/>
      <c r="F32" s="739"/>
      <c r="G32" s="739"/>
      <c r="H32" s="739"/>
      <c r="I32" s="739"/>
      <c r="J32" s="739"/>
      <c r="K32" s="739"/>
      <c r="L32" s="739"/>
      <c r="M32" s="739"/>
      <c r="N32" s="739"/>
      <c r="O32" s="739"/>
      <c r="P32" s="129"/>
    </row>
    <row r="33" spans="1:16" x14ac:dyDescent="0.25">
      <c r="A33" s="739"/>
      <c r="B33" s="739"/>
      <c r="C33" s="739"/>
      <c r="D33" s="739"/>
      <c r="E33" s="739"/>
      <c r="F33" s="739"/>
      <c r="G33" s="739"/>
      <c r="H33" s="739"/>
      <c r="I33" s="739"/>
      <c r="J33" s="739"/>
      <c r="K33" s="739"/>
      <c r="L33" s="739"/>
      <c r="M33" s="739"/>
      <c r="N33" s="739"/>
      <c r="O33" s="739"/>
      <c r="P33" s="129"/>
    </row>
    <row r="34" spans="1:16" x14ac:dyDescent="0.25">
      <c r="A34" s="739"/>
      <c r="B34" s="739"/>
      <c r="C34" s="739"/>
      <c r="D34" s="739"/>
      <c r="E34" s="739"/>
      <c r="F34" s="739"/>
      <c r="G34" s="739"/>
      <c r="H34" s="739"/>
      <c r="I34" s="739"/>
      <c r="J34" s="739"/>
      <c r="K34" s="739"/>
      <c r="L34" s="739"/>
      <c r="M34" s="739"/>
      <c r="N34" s="739"/>
      <c r="O34" s="739"/>
      <c r="P34" s="129"/>
    </row>
    <row r="35" spans="1:16" x14ac:dyDescent="0.25">
      <c r="A35" s="739"/>
      <c r="B35" s="739"/>
      <c r="C35" s="739"/>
      <c r="D35" s="739"/>
      <c r="E35" s="739"/>
      <c r="F35" s="739"/>
      <c r="G35" s="739"/>
      <c r="H35" s="739"/>
      <c r="I35" s="739"/>
      <c r="J35" s="739"/>
      <c r="K35" s="739"/>
      <c r="L35" s="739"/>
      <c r="M35" s="739"/>
      <c r="N35" s="739"/>
      <c r="O35" s="739"/>
      <c r="P35" s="129"/>
    </row>
    <row r="36" spans="1:16" x14ac:dyDescent="0.25">
      <c r="A36" s="126"/>
      <c r="B36" s="126"/>
      <c r="C36" s="126"/>
      <c r="D36" s="126"/>
      <c r="E36" s="126"/>
      <c r="F36" s="126"/>
      <c r="G36" s="126"/>
      <c r="H36" s="126"/>
      <c r="I36" s="126"/>
      <c r="J36" s="126"/>
      <c r="K36" s="126"/>
      <c r="L36" s="126"/>
      <c r="M36" s="126"/>
      <c r="N36" s="126"/>
      <c r="O36" s="126"/>
      <c r="P36" s="129"/>
    </row>
    <row r="37" spans="1:16" x14ac:dyDescent="0.25">
      <c r="A37" s="126"/>
      <c r="B37" s="126"/>
      <c r="C37" s="126"/>
      <c r="D37" s="126"/>
      <c r="E37" s="126"/>
      <c r="F37" s="126"/>
      <c r="G37" s="126"/>
      <c r="H37" s="126"/>
      <c r="I37" s="126"/>
      <c r="J37" s="126"/>
      <c r="K37" s="126"/>
      <c r="L37" s="126"/>
      <c r="M37" s="126"/>
      <c r="N37" s="126"/>
      <c r="O37" s="126"/>
      <c r="P37" s="129"/>
    </row>
    <row r="38" spans="1:16" x14ac:dyDescent="0.25">
      <c r="A38" s="126"/>
      <c r="B38" s="126"/>
      <c r="C38" s="126"/>
      <c r="D38" s="126"/>
      <c r="E38" s="126"/>
      <c r="F38" s="126"/>
      <c r="G38" s="126"/>
      <c r="H38" s="126"/>
      <c r="I38" s="126"/>
      <c r="J38" s="126"/>
      <c r="K38" s="126"/>
      <c r="L38" s="126"/>
      <c r="M38" s="126"/>
      <c r="N38" s="126"/>
      <c r="O38" s="126"/>
      <c r="P38" s="129"/>
    </row>
    <row r="39" spans="1:16" x14ac:dyDescent="0.25">
      <c r="A39" s="129"/>
      <c r="B39" s="129"/>
      <c r="C39" s="129"/>
      <c r="D39" s="129"/>
      <c r="E39" s="129"/>
      <c r="F39" s="129"/>
      <c r="G39" s="129"/>
      <c r="H39" s="129"/>
      <c r="I39" s="129"/>
      <c r="J39" s="129"/>
      <c r="K39" s="129"/>
      <c r="L39" s="129"/>
      <c r="M39" s="129"/>
      <c r="N39" s="129"/>
      <c r="O39" s="129"/>
      <c r="P39" s="129"/>
    </row>
  </sheetData>
  <mergeCells count="3">
    <mergeCell ref="A2:A4"/>
    <mergeCell ref="J1:L1"/>
    <mergeCell ref="A27:O35"/>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Y39"/>
  <sheetViews>
    <sheetView topLeftCell="C2" workbookViewId="0">
      <selection activeCell="AG6" sqref="AG6"/>
    </sheetView>
  </sheetViews>
  <sheetFormatPr defaultRowHeight="15" x14ac:dyDescent="0.25"/>
  <cols>
    <col min="1" max="1" width="37.7109375" customWidth="1"/>
    <col min="4" max="4" width="13" customWidth="1"/>
    <col min="5" max="5" width="13.85546875" customWidth="1"/>
    <col min="6" max="6" width="13.140625" customWidth="1"/>
    <col min="7" max="8" width="12.5703125" customWidth="1"/>
    <col min="10" max="10" width="10.140625" bestFit="1" customWidth="1"/>
    <col min="15" max="15" width="34.7109375" customWidth="1"/>
    <col min="17" max="17" width="14.42578125" customWidth="1"/>
    <col min="18" max="18" width="15.140625" customWidth="1"/>
    <col min="19" max="19" width="14.7109375" customWidth="1"/>
    <col min="20" max="21" width="15.28515625" customWidth="1"/>
  </cols>
  <sheetData>
    <row r="1" spans="1:25" x14ac:dyDescent="0.25">
      <c r="J1" s="772" t="s">
        <v>121</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f>D10/AVERAGE(C23:D23)</f>
        <v>7.5486931967122126E-2</v>
      </c>
      <c r="R3" s="44">
        <f>E10/AVERAGE(D23:E23)</f>
        <v>0.14712508430535268</v>
      </c>
      <c r="S3" s="44">
        <f>F10/AVERAGE(E23:F23)</f>
        <v>0.15528462303217305</v>
      </c>
      <c r="T3" s="44">
        <f>G10/AVERAGE(F23:G23)</f>
        <v>0.16313448421957144</v>
      </c>
      <c r="U3" s="44">
        <f>H10/AVERAGE(G23:H23)</f>
        <v>0.15316613387168515</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2228.0100000000002</v>
      </c>
      <c r="E5">
        <v>7145.99</v>
      </c>
      <c r="F5" s="85">
        <v>10996.64</v>
      </c>
      <c r="G5" s="90">
        <v>14129.6</v>
      </c>
      <c r="H5" s="90">
        <v>16717.23</v>
      </c>
      <c r="I5" s="85">
        <v>5805.17</v>
      </c>
      <c r="J5" s="85">
        <v>7210.82</v>
      </c>
      <c r="K5" s="85">
        <v>8273.6299999999992</v>
      </c>
      <c r="L5" s="85">
        <v>4698.58</v>
      </c>
      <c r="M5" s="11"/>
      <c r="N5" s="11"/>
      <c r="O5" s="42" t="s">
        <v>13</v>
      </c>
      <c r="P5" s="46"/>
      <c r="Q5" s="47">
        <f>D21/D20</f>
        <v>1.1502180672230968</v>
      </c>
      <c r="R5" s="47">
        <f>E21/E20</f>
        <v>1.2778818635659863</v>
      </c>
      <c r="S5" s="47">
        <f>F21/F20</f>
        <v>1.4973497495477832</v>
      </c>
      <c r="T5" s="47">
        <f>G21/G20</f>
        <v>1.2807687785555431</v>
      </c>
      <c r="U5" s="47">
        <f>H21/H20</f>
        <v>1.5618173370468271</v>
      </c>
      <c r="V5" s="18"/>
      <c r="W5" s="18"/>
      <c r="X5" s="18"/>
      <c r="Y5" s="18"/>
    </row>
    <row r="6" spans="1:25" x14ac:dyDescent="0.25">
      <c r="A6" s="6" t="s">
        <v>50</v>
      </c>
      <c r="B6" s="7"/>
      <c r="C6" s="8"/>
      <c r="D6">
        <v>2191.19</v>
      </c>
      <c r="E6">
        <v>7000.99</v>
      </c>
      <c r="F6" s="85">
        <v>10763.96</v>
      </c>
      <c r="G6" s="85">
        <v>13757.5</v>
      </c>
      <c r="H6" s="85">
        <v>16142.09</v>
      </c>
      <c r="I6" s="85">
        <v>5616.65</v>
      </c>
      <c r="J6" s="85">
        <v>7034.51</v>
      </c>
      <c r="K6" s="85">
        <v>7959.98</v>
      </c>
      <c r="L6" s="85">
        <v>4560.09</v>
      </c>
      <c r="M6" s="11"/>
      <c r="N6" s="11"/>
      <c r="O6" s="42" t="s">
        <v>14</v>
      </c>
      <c r="P6" s="43"/>
      <c r="Q6" s="43"/>
      <c r="R6" s="43"/>
      <c r="S6" s="43">
        <v>0.44440000000000002</v>
      </c>
      <c r="T6" s="48">
        <v>0.47920000000000001</v>
      </c>
      <c r="U6" s="48">
        <v>0.39169999999999999</v>
      </c>
      <c r="V6" s="48"/>
      <c r="W6" s="154">
        <v>0.5</v>
      </c>
      <c r="X6" s="48">
        <v>0.48470000000000002</v>
      </c>
      <c r="Y6" s="48">
        <v>0.39300000000000002</v>
      </c>
    </row>
    <row r="7" spans="1:25" x14ac:dyDescent="0.25">
      <c r="A7" s="6" t="s">
        <v>51</v>
      </c>
      <c r="B7" s="7"/>
      <c r="C7" s="8"/>
      <c r="D7" s="87"/>
      <c r="E7" s="85"/>
      <c r="F7" s="85">
        <v>0</v>
      </c>
      <c r="G7" s="85">
        <v>0</v>
      </c>
      <c r="H7" s="85"/>
      <c r="I7" s="85"/>
      <c r="J7" s="85"/>
      <c r="K7" s="85"/>
      <c r="L7" s="85"/>
      <c r="M7" s="11"/>
      <c r="N7" s="11"/>
      <c r="O7" s="42" t="s">
        <v>15</v>
      </c>
      <c r="P7" s="43"/>
      <c r="Q7" s="44">
        <f>D20/D23</f>
        <v>0.46489817317137566</v>
      </c>
      <c r="R7" s="44">
        <f>E20/E23</f>
        <v>0.44420095739192167</v>
      </c>
      <c r="S7" s="44">
        <f>F20/F23</f>
        <v>0.41456446088329774</v>
      </c>
      <c r="T7" s="44">
        <f>G20/G23</f>
        <v>0.44455946968570376</v>
      </c>
      <c r="U7" s="44">
        <f>H20/H23</f>
        <v>0.3989664133563206</v>
      </c>
      <c r="V7" s="18"/>
      <c r="W7" s="18"/>
      <c r="X7" s="18"/>
      <c r="Y7" s="18"/>
    </row>
    <row r="8" spans="1:25" x14ac:dyDescent="0.25">
      <c r="A8" s="6" t="s">
        <v>52</v>
      </c>
      <c r="B8" s="7"/>
      <c r="C8" s="8"/>
      <c r="D8" s="85">
        <f t="shared" ref="D8:L8" si="0">D5-D6-D7</f>
        <v>36.820000000000164</v>
      </c>
      <c r="E8" s="85">
        <f t="shared" si="0"/>
        <v>145</v>
      </c>
      <c r="F8" s="85">
        <f t="shared" si="0"/>
        <v>232.68000000000029</v>
      </c>
      <c r="G8" s="85">
        <f t="shared" si="0"/>
        <v>372.10000000000036</v>
      </c>
      <c r="H8" s="85">
        <f t="shared" si="0"/>
        <v>575.13999999999942</v>
      </c>
      <c r="I8" s="85">
        <f t="shared" si="0"/>
        <v>188.52000000000044</v>
      </c>
      <c r="J8" s="85">
        <f t="shared" si="0"/>
        <v>176.30999999999949</v>
      </c>
      <c r="K8" s="85">
        <f t="shared" si="0"/>
        <v>313.64999999999964</v>
      </c>
      <c r="L8" s="85">
        <f t="shared" si="0"/>
        <v>138.48999999999978</v>
      </c>
      <c r="M8" s="11"/>
      <c r="N8" s="11"/>
      <c r="O8" s="40" t="s">
        <v>16</v>
      </c>
      <c r="P8" s="45"/>
      <c r="Q8" s="45"/>
      <c r="R8" s="45"/>
      <c r="S8" s="46" t="s">
        <v>5</v>
      </c>
      <c r="T8" s="18"/>
      <c r="U8" s="18"/>
      <c r="V8" s="18"/>
      <c r="W8" s="18"/>
      <c r="X8" s="18"/>
      <c r="Y8" s="18"/>
    </row>
    <row r="9" spans="1:25" ht="22.5" x14ac:dyDescent="0.25">
      <c r="A9" s="6" t="s">
        <v>24</v>
      </c>
      <c r="B9" s="7"/>
      <c r="C9" s="7"/>
      <c r="D9" s="88">
        <v>572.79999999999995</v>
      </c>
      <c r="E9" s="85">
        <v>2277.1</v>
      </c>
      <c r="F9" s="85">
        <v>2957.42</v>
      </c>
      <c r="G9" s="85">
        <v>3505.66</v>
      </c>
      <c r="H9" s="85">
        <v>3628.23</v>
      </c>
      <c r="I9" s="85">
        <v>1571.76</v>
      </c>
      <c r="J9" s="85">
        <v>2162.62</v>
      </c>
      <c r="K9" s="85">
        <v>2566.6</v>
      </c>
      <c r="L9" s="85">
        <v>1011.02</v>
      </c>
      <c r="M9" s="11"/>
      <c r="N9" s="11"/>
      <c r="O9" s="49" t="s">
        <v>93</v>
      </c>
      <c r="P9" s="45"/>
      <c r="Q9" s="50">
        <f>D14/(D11-D9)</f>
        <v>0.35733230224563645</v>
      </c>
      <c r="R9" s="50">
        <f>E14/(E11-E9)</f>
        <v>0.26470509705497558</v>
      </c>
      <c r="S9" s="50">
        <f>F14/(F11-F9)</f>
        <v>0.18765502125828132</v>
      </c>
      <c r="T9" s="50">
        <f>G14/(G11-G9)</f>
        <v>0.22886047925722472</v>
      </c>
      <c r="U9" s="50">
        <f>H14/(H11-H9)</f>
        <v>0.17701046680418672</v>
      </c>
      <c r="V9" s="18"/>
      <c r="W9" s="18"/>
      <c r="X9" s="18"/>
      <c r="Y9" s="18"/>
    </row>
    <row r="10" spans="1:25" ht="22.5" x14ac:dyDescent="0.25">
      <c r="A10" s="6" t="s">
        <v>53</v>
      </c>
      <c r="B10" s="10">
        <f t="shared" ref="B10:I10" si="1">B6-B9</f>
        <v>0</v>
      </c>
      <c r="C10" s="10">
        <f t="shared" si="1"/>
        <v>0</v>
      </c>
      <c r="D10" s="89">
        <f t="shared" si="1"/>
        <v>1618.39</v>
      </c>
      <c r="E10" s="89">
        <f t="shared" si="1"/>
        <v>4723.8899999999994</v>
      </c>
      <c r="F10" s="89">
        <f t="shared" si="1"/>
        <v>7806.5399999999991</v>
      </c>
      <c r="G10" s="89">
        <f t="shared" si="1"/>
        <v>10251.84</v>
      </c>
      <c r="H10" s="89">
        <f>H6-H9</f>
        <v>12513.86</v>
      </c>
      <c r="I10" s="89">
        <f t="shared" si="1"/>
        <v>4044.8899999999994</v>
      </c>
      <c r="J10" s="89">
        <f>J6-J9</f>
        <v>4871.8900000000003</v>
      </c>
      <c r="K10" s="89">
        <f>K6-K9</f>
        <v>5393.3799999999992</v>
      </c>
      <c r="L10" s="89">
        <f>L6-L9</f>
        <v>3549.07</v>
      </c>
      <c r="M10" s="11"/>
      <c r="N10" s="11"/>
      <c r="O10" s="42" t="s">
        <v>92</v>
      </c>
      <c r="P10" s="43"/>
      <c r="Q10" s="44">
        <f>D14/D11</f>
        <v>0.26546559485819182</v>
      </c>
      <c r="R10" s="44">
        <f>E14/E11</f>
        <v>0.18035569599173801</v>
      </c>
      <c r="S10" s="44">
        <f>F14/F11</f>
        <v>0.13718735904785465</v>
      </c>
      <c r="T10" s="44">
        <f>G14/G11</f>
        <v>0.17207847355905334</v>
      </c>
      <c r="U10" s="44">
        <f>H14/H11</f>
        <v>0.13859293674849241</v>
      </c>
      <c r="V10" s="18"/>
      <c r="W10" s="18"/>
      <c r="X10" s="18"/>
      <c r="Y10" s="18"/>
    </row>
    <row r="11" spans="1:25" x14ac:dyDescent="0.25">
      <c r="A11" s="6" t="s">
        <v>1</v>
      </c>
      <c r="B11" s="10">
        <f>B5-B9</f>
        <v>0</v>
      </c>
      <c r="C11" s="10">
        <f t="shared" ref="C11:I11" si="2">SUM(C6:C8)</f>
        <v>0</v>
      </c>
      <c r="D11" s="89">
        <f t="shared" si="2"/>
        <v>2228.0100000000002</v>
      </c>
      <c r="E11" s="89">
        <f t="shared" si="2"/>
        <v>7145.99</v>
      </c>
      <c r="F11" s="89">
        <f>SUM(F6:F8)</f>
        <v>10996.64</v>
      </c>
      <c r="G11" s="89">
        <f>SUM(G6:G8)</f>
        <v>14129.6</v>
      </c>
      <c r="H11" s="89">
        <f>SUM(H6:H8)</f>
        <v>16717.23</v>
      </c>
      <c r="I11" s="89">
        <f t="shared" si="2"/>
        <v>5805.17</v>
      </c>
      <c r="J11" s="89">
        <f>SUM(J6:J8)</f>
        <v>7210.82</v>
      </c>
      <c r="K11" s="89">
        <f>SUM(K6:K8)</f>
        <v>8273.6299999999992</v>
      </c>
      <c r="L11" s="89">
        <f>SUM(L6:L8)</f>
        <v>4698.58</v>
      </c>
      <c r="M11" s="11"/>
      <c r="N11" s="11"/>
      <c r="O11" s="42" t="s">
        <v>17</v>
      </c>
      <c r="P11" s="43"/>
      <c r="Q11" s="44">
        <f>D14/AVERAGE(C22:D22)</f>
        <v>2.741207844416781E-2</v>
      </c>
      <c r="R11" s="44">
        <f>E14/AVERAGE(D22:E22)</f>
        <v>3.9685703222488829E-2</v>
      </c>
      <c r="S11" s="44">
        <f>F14/AVERAGE(E22:F22)</f>
        <v>2.9163632412962916E-2</v>
      </c>
      <c r="T11" s="44">
        <f>G14/AVERAGE(F22:G22)</f>
        <v>3.7622113459437202E-2</v>
      </c>
      <c r="U11" s="44">
        <f>H14/AVERAGE(G22:H22)</f>
        <v>2.769613518363935E-2</v>
      </c>
      <c r="V11" s="18"/>
      <c r="W11" s="18"/>
      <c r="X11" s="18"/>
      <c r="Y11" s="18"/>
    </row>
    <row r="12" spans="1:25" x14ac:dyDescent="0.25">
      <c r="A12" s="6" t="s">
        <v>91</v>
      </c>
      <c r="B12" s="10"/>
      <c r="C12" s="10"/>
      <c r="D12" s="89">
        <v>247.31</v>
      </c>
      <c r="E12" s="89">
        <v>447.62</v>
      </c>
      <c r="F12" s="89">
        <v>220.55</v>
      </c>
      <c r="G12" s="89">
        <v>224.13</v>
      </c>
      <c r="H12" s="89">
        <v>550.25</v>
      </c>
      <c r="I12" s="89">
        <v>467.18</v>
      </c>
      <c r="J12" s="89">
        <v>400.12</v>
      </c>
      <c r="K12" s="89">
        <v>389.76</v>
      </c>
      <c r="L12" s="89">
        <v>367.68</v>
      </c>
      <c r="M12" s="11"/>
      <c r="N12" s="11"/>
      <c r="O12" s="40" t="s">
        <v>18</v>
      </c>
      <c r="P12" s="45"/>
      <c r="Q12" s="45"/>
      <c r="R12" s="45"/>
      <c r="S12" s="46" t="s">
        <v>5</v>
      </c>
      <c r="T12" s="18"/>
      <c r="U12" s="18"/>
      <c r="V12" s="18"/>
      <c r="W12" s="18"/>
      <c r="X12" s="53"/>
      <c r="Y12" s="54"/>
    </row>
    <row r="13" spans="1:25" x14ac:dyDescent="0.25">
      <c r="A13" s="6" t="s">
        <v>25</v>
      </c>
      <c r="B13" s="7"/>
      <c r="C13" s="7"/>
      <c r="D13" s="88">
        <f t="shared" ref="D13:L13" si="3">D11+D12</f>
        <v>2475.3200000000002</v>
      </c>
      <c r="E13" s="88">
        <f t="shared" si="3"/>
        <v>7593.61</v>
      </c>
      <c r="F13" s="88">
        <f t="shared" si="3"/>
        <v>11217.189999999999</v>
      </c>
      <c r="G13" s="88">
        <f t="shared" si="3"/>
        <v>14353.73</v>
      </c>
      <c r="H13" s="88">
        <f t="shared" si="3"/>
        <v>17267.48</v>
      </c>
      <c r="I13" s="88">
        <f t="shared" si="3"/>
        <v>6272.35</v>
      </c>
      <c r="J13" s="88">
        <f t="shared" si="3"/>
        <v>7610.94</v>
      </c>
      <c r="K13" s="88">
        <f t="shared" si="3"/>
        <v>8663.39</v>
      </c>
      <c r="L13" s="88">
        <f t="shared" si="3"/>
        <v>5066.26</v>
      </c>
      <c r="M13" s="11"/>
      <c r="N13" s="11"/>
      <c r="O13" s="42" t="s">
        <v>19</v>
      </c>
      <c r="P13" s="43"/>
      <c r="Q13" s="44">
        <f>D24/D23</f>
        <v>0</v>
      </c>
      <c r="R13" s="44">
        <f>E24/E23</f>
        <v>0</v>
      </c>
      <c r="S13" s="44">
        <f>F24/F23</f>
        <v>5.0875662063045307E-3</v>
      </c>
      <c r="T13" s="44">
        <f>G24/G23</f>
        <v>1.6463071498845804E-2</v>
      </c>
      <c r="U13" s="44">
        <f>H24/H23</f>
        <v>1.7157043966496092E-2</v>
      </c>
      <c r="V13" s="48"/>
      <c r="W13" s="48">
        <v>2.4199999999999999E-2</v>
      </c>
      <c r="X13" s="48">
        <v>2.4500000000000001E-2</v>
      </c>
      <c r="Y13" s="48">
        <v>1.72E-2</v>
      </c>
    </row>
    <row r="14" spans="1:25" x14ac:dyDescent="0.25">
      <c r="A14" s="6" t="s">
        <v>26</v>
      </c>
      <c r="B14" s="7"/>
      <c r="C14" s="7"/>
      <c r="D14" s="85">
        <f>12.73+1.24+577.49</f>
        <v>591.46</v>
      </c>
      <c r="E14" s="85">
        <f>42.25+1.27+1245.3</f>
        <v>1288.82</v>
      </c>
      <c r="F14" s="85">
        <f>1.3+41.61+1465.69</f>
        <v>1508.6000000000001</v>
      </c>
      <c r="G14" s="85">
        <f>69.21+513.67+1848.52</f>
        <v>2431.4</v>
      </c>
      <c r="H14" s="85">
        <f>168.15+2148.74</f>
        <v>2316.89</v>
      </c>
      <c r="I14" s="85">
        <f>57.83+1308.93</f>
        <v>1366.76</v>
      </c>
      <c r="J14" s="85">
        <f>50.59+1291.86</f>
        <v>1342.4499999999998</v>
      </c>
      <c r="K14" s="85">
        <f>46.25+868.33</f>
        <v>914.58</v>
      </c>
      <c r="L14" s="85">
        <f>46.3+644.75</f>
        <v>691.05</v>
      </c>
      <c r="M14" s="11"/>
      <c r="N14" s="11"/>
      <c r="O14" s="42" t="s">
        <v>20</v>
      </c>
      <c r="P14" s="43"/>
      <c r="Q14" s="44">
        <f>D25/D23</f>
        <v>0</v>
      </c>
      <c r="R14" s="44">
        <f>E25/E23</f>
        <v>0</v>
      </c>
      <c r="S14" s="44">
        <f>F25/F23</f>
        <v>3.9466288512261657E-3</v>
      </c>
      <c r="T14" s="44">
        <f>G25/G23</f>
        <v>1.2325254801931638E-2</v>
      </c>
      <c r="U14" s="44">
        <f>H25/H23</f>
        <v>1.2893022546582719E-2</v>
      </c>
      <c r="V14" s="48"/>
      <c r="W14" s="48">
        <v>1.8200000000000001E-2</v>
      </c>
      <c r="X14" s="48">
        <v>1.9099999999999999E-2</v>
      </c>
      <c r="Y14" s="48">
        <v>1.29E-2</v>
      </c>
    </row>
    <row r="15" spans="1:25" x14ac:dyDescent="0.25">
      <c r="A15" s="6" t="s">
        <v>54</v>
      </c>
      <c r="B15" s="10"/>
      <c r="C15" s="10"/>
      <c r="D15" s="89">
        <f t="shared" ref="D15:L15" si="4">D11-D14</f>
        <v>1636.5500000000002</v>
      </c>
      <c r="E15" s="89">
        <f t="shared" si="4"/>
        <v>5857.17</v>
      </c>
      <c r="F15" s="89">
        <f t="shared" si="4"/>
        <v>9488.0399999999991</v>
      </c>
      <c r="G15" s="89">
        <f t="shared" si="4"/>
        <v>11698.2</v>
      </c>
      <c r="H15" s="89">
        <f>H11-H14</f>
        <v>14400.34</v>
      </c>
      <c r="I15" s="89">
        <f t="shared" si="4"/>
        <v>4438.41</v>
      </c>
      <c r="J15" s="89">
        <f t="shared" si="4"/>
        <v>5868.37</v>
      </c>
      <c r="K15" s="89">
        <f t="shared" si="4"/>
        <v>7359.0499999999993</v>
      </c>
      <c r="L15" s="89">
        <f t="shared" si="4"/>
        <v>4007.5299999999997</v>
      </c>
      <c r="M15" s="11"/>
      <c r="N15" s="11"/>
      <c r="O15" s="42" t="s">
        <v>21</v>
      </c>
      <c r="P15" s="43"/>
      <c r="Q15" s="44" t="e">
        <f t="shared" ref="Q15:V15" si="5">(Q13-Q14)/Q13</f>
        <v>#DIV/0!</v>
      </c>
      <c r="R15" s="44" t="e">
        <f t="shared" si="5"/>
        <v>#DIV/0!</v>
      </c>
      <c r="S15" s="44">
        <f t="shared" si="5"/>
        <v>0.22425995236474983</v>
      </c>
      <c r="T15" s="44">
        <f t="shared" si="5"/>
        <v>0.25133928970692138</v>
      </c>
      <c r="U15" s="44">
        <f t="shared" si="5"/>
        <v>0.2485289090731517</v>
      </c>
      <c r="V15" s="44" t="e">
        <f t="shared" si="5"/>
        <v>#DIV/0!</v>
      </c>
      <c r="W15" s="18"/>
      <c r="X15" s="18"/>
      <c r="Y15" s="18"/>
    </row>
    <row r="16" spans="1:25" x14ac:dyDescent="0.25">
      <c r="A16" s="6" t="s">
        <v>94</v>
      </c>
      <c r="B16" s="10"/>
      <c r="C16" s="10"/>
      <c r="D16" s="89">
        <f t="shared" ref="D16:L16" si="6">D13-D14-D9</f>
        <v>1311.0600000000002</v>
      </c>
      <c r="E16" s="89">
        <f t="shared" si="6"/>
        <v>4027.69</v>
      </c>
      <c r="F16" s="89">
        <f t="shared" si="6"/>
        <v>6751.1699999999983</v>
      </c>
      <c r="G16" s="89">
        <f t="shared" si="6"/>
        <v>8416.67</v>
      </c>
      <c r="H16" s="89">
        <f>H13-H14-H9</f>
        <v>11322.36</v>
      </c>
      <c r="I16" s="89">
        <f t="shared" si="6"/>
        <v>3333.83</v>
      </c>
      <c r="J16" s="89">
        <f t="shared" si="6"/>
        <v>4105.87</v>
      </c>
      <c r="K16" s="89">
        <f t="shared" si="6"/>
        <v>5182.2099999999991</v>
      </c>
      <c r="L16" s="89">
        <f t="shared" si="6"/>
        <v>3364.19</v>
      </c>
      <c r="M16" s="11"/>
      <c r="N16" s="11"/>
      <c r="O16" s="42" t="s">
        <v>22</v>
      </c>
      <c r="P16" s="43"/>
      <c r="Q16" s="44">
        <f>D17/AVERAGE(C23:D23)</f>
        <v>7.6448248873332858E-4</v>
      </c>
      <c r="R16" s="44">
        <f>E17/AVERAGE(D23:E23)</f>
        <v>5.5126473990815676E-4</v>
      </c>
      <c r="S16" s="44">
        <f>F17/AVERAGE(E23:F23)</f>
        <v>1.7540418750146703E-3</v>
      </c>
      <c r="T16" s="44">
        <f>G17/AVERAGE(F23:G23)</f>
        <v>8.1738781047175184E-3</v>
      </c>
      <c r="U16" s="44">
        <f>H17/AVERAGE(G23:H23)</f>
        <v>7.2788386758484147E-3</v>
      </c>
      <c r="V16" s="18"/>
      <c r="W16" s="18"/>
      <c r="X16" s="18"/>
      <c r="Y16" s="18"/>
    </row>
    <row r="17" spans="1:25" x14ac:dyDescent="0.25">
      <c r="A17" s="6" t="s">
        <v>27</v>
      </c>
      <c r="B17" s="7"/>
      <c r="C17" s="7"/>
      <c r="D17" s="88">
        <v>16.39</v>
      </c>
      <c r="E17" s="85">
        <v>17.7</v>
      </c>
      <c r="F17" s="85">
        <v>88.18</v>
      </c>
      <c r="G17" s="85">
        <v>513.66999999999996</v>
      </c>
      <c r="H17" s="85">
        <v>594.69000000000005</v>
      </c>
      <c r="I17" s="85">
        <v>160.22999999999999</v>
      </c>
      <c r="J17" s="85">
        <v>132.08000000000001</v>
      </c>
      <c r="K17" s="85">
        <v>137.33000000000001</v>
      </c>
      <c r="L17" s="85">
        <v>-191.6</v>
      </c>
      <c r="M17" s="11"/>
      <c r="N17" s="11"/>
      <c r="O17" s="18"/>
      <c r="P17" s="18"/>
      <c r="Q17" s="18"/>
      <c r="R17" s="18"/>
      <c r="S17" s="18"/>
      <c r="T17" s="18"/>
      <c r="U17" s="18"/>
      <c r="V17" s="18"/>
      <c r="W17" s="18"/>
      <c r="X17" s="18"/>
      <c r="Y17" s="18"/>
    </row>
    <row r="18" spans="1:25" x14ac:dyDescent="0.25">
      <c r="A18" s="6" t="s">
        <v>55</v>
      </c>
      <c r="B18" s="7"/>
      <c r="C18" s="7"/>
      <c r="D18" s="88">
        <v>904.63</v>
      </c>
      <c r="E18" s="85">
        <v>2986.31</v>
      </c>
      <c r="F18" s="89">
        <v>4947.26</v>
      </c>
      <c r="G18" s="89">
        <v>6244.67</v>
      </c>
      <c r="H18" s="89">
        <v>7901.95</v>
      </c>
      <c r="I18" s="89">
        <v>2347.6</v>
      </c>
      <c r="J18" s="89">
        <v>2965.04</v>
      </c>
      <c r="K18" s="89">
        <v>3751.94</v>
      </c>
      <c r="L18" s="89">
        <v>2595.7399999999998</v>
      </c>
      <c r="M18" s="11"/>
      <c r="N18" s="11"/>
      <c r="O18" s="40" t="s">
        <v>30</v>
      </c>
      <c r="P18" s="45"/>
      <c r="Q18" s="45"/>
      <c r="R18" s="45"/>
      <c r="S18" s="46" t="s">
        <v>5</v>
      </c>
      <c r="T18" s="18"/>
      <c r="U18" s="18"/>
      <c r="V18" s="18"/>
      <c r="W18" s="18"/>
      <c r="X18" s="18"/>
      <c r="Y18" s="18"/>
    </row>
    <row r="19" spans="1:25" ht="22.5" x14ac:dyDescent="0.25">
      <c r="A19" s="6" t="s">
        <v>28</v>
      </c>
      <c r="B19" s="7"/>
      <c r="C19" s="7"/>
      <c r="D19" s="88">
        <v>9967.11</v>
      </c>
      <c r="E19" s="85">
        <v>19001.419999999998</v>
      </c>
      <c r="F19" s="85">
        <v>23948.68</v>
      </c>
      <c r="G19" s="85">
        <v>30193.35</v>
      </c>
      <c r="H19" s="85">
        <v>38095.300000000003</v>
      </c>
      <c r="I19" s="85"/>
      <c r="J19" s="85">
        <v>43407.94</v>
      </c>
      <c r="K19" s="85"/>
      <c r="L19" s="85">
        <v>38095.300000000003</v>
      </c>
      <c r="M19" s="11"/>
      <c r="N19" s="11"/>
      <c r="O19" s="46" t="s">
        <v>95</v>
      </c>
      <c r="P19" s="51"/>
      <c r="Q19" s="51"/>
      <c r="R19" s="52">
        <f>E16/AVERAGE(D22:E22)</f>
        <v>0.12402174858567219</v>
      </c>
      <c r="S19" s="52">
        <f>F16/AVERAGE(E22:F22)</f>
        <v>0.13051083139163647</v>
      </c>
      <c r="T19" s="52">
        <f>G16/AVERAGE(F22:G22)</f>
        <v>0.13023480862492443</v>
      </c>
      <c r="U19" s="52">
        <f>H16/AVERAGE(G22:H22)</f>
        <v>0.13534764842432351</v>
      </c>
      <c r="V19" s="18"/>
      <c r="W19" s="18"/>
      <c r="X19" s="18"/>
      <c r="Y19" s="18"/>
    </row>
    <row r="20" spans="1:25" x14ac:dyDescent="0.25">
      <c r="A20" s="6" t="s">
        <v>56</v>
      </c>
      <c r="B20" s="7"/>
      <c r="C20" s="7"/>
      <c r="D20" s="88">
        <f t="shared" ref="D20:L20" si="7">D19-D71</f>
        <v>9967.11</v>
      </c>
      <c r="E20" s="89">
        <f t="shared" si="7"/>
        <v>19001.419999999998</v>
      </c>
      <c r="F20" s="89">
        <f t="shared" si="7"/>
        <v>23948.68</v>
      </c>
      <c r="G20" s="89">
        <f t="shared" si="7"/>
        <v>30193.35</v>
      </c>
      <c r="H20" s="89">
        <f t="shared" si="7"/>
        <v>38095.300000000003</v>
      </c>
      <c r="I20" s="89">
        <f t="shared" si="7"/>
        <v>0</v>
      </c>
      <c r="J20" s="89">
        <f t="shared" si="7"/>
        <v>43407.94</v>
      </c>
      <c r="K20" s="89">
        <f t="shared" si="7"/>
        <v>0</v>
      </c>
      <c r="L20" s="89">
        <f t="shared" si="7"/>
        <v>38095.300000000003</v>
      </c>
      <c r="M20" s="11"/>
      <c r="N20" s="11"/>
      <c r="O20" s="42" t="s">
        <v>31</v>
      </c>
      <c r="P20" s="43"/>
      <c r="Q20" s="43">
        <v>4.4699999999999997E-2</v>
      </c>
      <c r="R20" s="44">
        <f>E18/AVERAGE(D22:E22)</f>
        <v>9.19552865336902E-2</v>
      </c>
      <c r="S20" s="44">
        <f>F18/AVERAGE(E22:F22)</f>
        <v>9.5638387969875976E-2</v>
      </c>
      <c r="T20" s="44">
        <f>G18/AVERAGE(F22:G22)</f>
        <v>9.66265045886089E-2</v>
      </c>
      <c r="U20" s="44">
        <f>H18/AVERAGE(G22:H22)</f>
        <v>9.4460019860398634E-2</v>
      </c>
      <c r="V20" s="48"/>
      <c r="W20" s="18"/>
      <c r="X20" s="18"/>
      <c r="Y20" s="18"/>
    </row>
    <row r="21" spans="1:25" x14ac:dyDescent="0.25">
      <c r="A21" s="6" t="s">
        <v>57</v>
      </c>
      <c r="B21" s="9"/>
      <c r="C21" s="9"/>
      <c r="D21" s="85">
        <v>11464.35</v>
      </c>
      <c r="E21" s="85">
        <f>4003.68+20277.89</f>
        <v>24281.57</v>
      </c>
      <c r="F21" s="85">
        <f>4874.26+30985.29</f>
        <v>35859.550000000003</v>
      </c>
      <c r="G21" s="85">
        <f>2813.37+35857.33</f>
        <v>38670.700000000004</v>
      </c>
      <c r="H21" s="85">
        <f>732.64+58765.26</f>
        <v>59497.9</v>
      </c>
      <c r="I21" s="85"/>
      <c r="J21" s="85">
        <v>106957.15</v>
      </c>
      <c r="K21" s="85"/>
      <c r="L21" s="85">
        <f>732.64+58765.26</f>
        <v>59497.9</v>
      </c>
      <c r="M21" s="11"/>
      <c r="N21" s="11"/>
      <c r="O21" s="42" t="s">
        <v>32</v>
      </c>
      <c r="P21" s="43"/>
      <c r="Q21" s="44">
        <f>D18/AVERAGE(C19:D19)</f>
        <v>9.0761514621590406E-2</v>
      </c>
      <c r="R21" s="44">
        <f>E18/AVERAGE(D19:E19)</f>
        <v>0.206176150463969</v>
      </c>
      <c r="S21" s="44">
        <f>F18/AVERAGE(E19:F19)</f>
        <v>0.23037245547740287</v>
      </c>
      <c r="T21" s="44">
        <f>G18/AVERAGE(F19:G19)</f>
        <v>0.23067734992574163</v>
      </c>
      <c r="U21" s="44">
        <f>H18/AVERAGE(G19:H19)</f>
        <v>0.23142791664500617</v>
      </c>
      <c r="V21" s="18"/>
      <c r="W21" s="18"/>
      <c r="X21" s="18"/>
      <c r="Y21" s="18"/>
    </row>
    <row r="22" spans="1:25" x14ac:dyDescent="0.25">
      <c r="A22" s="6" t="s">
        <v>29</v>
      </c>
      <c r="B22" s="7"/>
      <c r="C22" s="7"/>
      <c r="D22" s="88">
        <v>21576.62</v>
      </c>
      <c r="E22" s="85">
        <v>43374.73</v>
      </c>
      <c r="F22" s="85">
        <v>60082.89</v>
      </c>
      <c r="G22" s="85">
        <v>69170.880000000005</v>
      </c>
      <c r="H22" s="85">
        <v>98136.94</v>
      </c>
      <c r="I22" s="85"/>
      <c r="J22" s="85">
        <v>151103.5</v>
      </c>
      <c r="K22" s="85"/>
      <c r="L22" s="85">
        <v>98136.94</v>
      </c>
      <c r="M22" s="11"/>
      <c r="N22" s="11"/>
      <c r="O22" s="40" t="s">
        <v>33</v>
      </c>
      <c r="P22" s="45"/>
      <c r="Q22" s="45"/>
      <c r="R22" s="45"/>
      <c r="S22" s="46" t="s">
        <v>5</v>
      </c>
      <c r="T22" s="18"/>
      <c r="U22" s="18"/>
      <c r="V22" s="18"/>
      <c r="W22" s="18"/>
      <c r="X22" s="18"/>
      <c r="Y22" s="18"/>
    </row>
    <row r="23" spans="1:25" x14ac:dyDescent="0.25">
      <c r="A23" s="6" t="s">
        <v>58</v>
      </c>
      <c r="B23" s="7"/>
      <c r="C23" s="7"/>
      <c r="D23" s="88">
        <v>21439.34</v>
      </c>
      <c r="E23" s="85">
        <v>42776.63</v>
      </c>
      <c r="F23" s="85">
        <v>57768.29</v>
      </c>
      <c r="G23" s="85">
        <v>67917.460000000006</v>
      </c>
      <c r="H23" s="85">
        <v>95484.98</v>
      </c>
      <c r="I23" s="85"/>
      <c r="J23" s="85">
        <v>147037.34</v>
      </c>
      <c r="K23" s="85"/>
      <c r="L23" s="85">
        <v>94403.49</v>
      </c>
      <c r="M23" s="11"/>
      <c r="N23" s="11"/>
      <c r="O23" s="42" t="s">
        <v>34</v>
      </c>
      <c r="P23" s="43"/>
      <c r="Q23" s="44">
        <f>D6/AVERAGE(C23:D23)</f>
        <v>0.1022041723299318</v>
      </c>
      <c r="R23" s="44">
        <f>E6/AVERAGE(D23:E23)</f>
        <v>0.21804513737003425</v>
      </c>
      <c r="S23" s="44">
        <f>F6/AVERAGE(E23:F23)</f>
        <v>0.21411245839173176</v>
      </c>
      <c r="T23" s="44">
        <f>G6/AVERAGE(F23:G23)</f>
        <v>0.21891901030944239</v>
      </c>
      <c r="U23" s="44">
        <f>H6/AVERAGE(G23:H23)</f>
        <v>0.19757465066005134</v>
      </c>
      <c r="V23" s="18"/>
      <c r="W23" s="18"/>
      <c r="X23" s="18"/>
      <c r="Y23" s="18"/>
    </row>
    <row r="24" spans="1:25" x14ac:dyDescent="0.25">
      <c r="A24" s="6" t="s">
        <v>59</v>
      </c>
      <c r="B24" s="10"/>
      <c r="C24" s="10"/>
      <c r="D24" s="89"/>
      <c r="E24" s="89"/>
      <c r="F24" s="89">
        <v>293.89999999999998</v>
      </c>
      <c r="G24" s="89">
        <v>1118.1300000000001</v>
      </c>
      <c r="H24" s="89">
        <v>1638.24</v>
      </c>
      <c r="I24" s="89"/>
      <c r="J24" s="89"/>
      <c r="K24" s="89"/>
      <c r="L24" s="89"/>
      <c r="M24" s="11"/>
      <c r="N24" s="11"/>
      <c r="O24" s="42" t="s">
        <v>35</v>
      </c>
      <c r="P24" s="43"/>
      <c r="Q24" s="44">
        <f>D9/AVERAGE(C21:D21)</f>
        <v>4.9963582758725957E-2</v>
      </c>
      <c r="R24" s="44">
        <f>E9/AVERAGE(D21:E21)</f>
        <v>0.12740474996866774</v>
      </c>
      <c r="S24" s="44">
        <f>F9/AVERAGE(E21:F21)</f>
        <v>9.8349348997823785E-2</v>
      </c>
      <c r="T24" s="44">
        <f>G9/AVERAGE(F21:G21)</f>
        <v>9.4073480231181297E-2</v>
      </c>
      <c r="U24" s="44">
        <f>H9/AVERAGE(G21:H21)</f>
        <v>7.3918340487691581E-2</v>
      </c>
      <c r="V24" s="18"/>
      <c r="W24" s="18"/>
      <c r="X24" s="18"/>
      <c r="Y24" s="18"/>
    </row>
    <row r="25" spans="1:25" x14ac:dyDescent="0.25">
      <c r="A25" s="6" t="s">
        <v>60</v>
      </c>
      <c r="B25" s="10"/>
      <c r="C25" s="10"/>
      <c r="D25" s="89"/>
      <c r="E25" s="89"/>
      <c r="F25" s="89">
        <v>227.99</v>
      </c>
      <c r="G25" s="89">
        <v>837.1</v>
      </c>
      <c r="H25" s="89">
        <v>1231.0899999999999</v>
      </c>
      <c r="I25" s="89"/>
      <c r="J25" s="89"/>
      <c r="K25" s="89"/>
      <c r="L25" s="89"/>
      <c r="M25" s="11"/>
      <c r="N25" s="11"/>
      <c r="O25" s="42" t="s">
        <v>36</v>
      </c>
      <c r="P25" s="43"/>
      <c r="Q25" s="48">
        <f>Q23-Q24</f>
        <v>5.2240589571205844E-2</v>
      </c>
      <c r="R25" s="48">
        <f>R23-R24</f>
        <v>9.0640387401366512E-2</v>
      </c>
      <c r="S25" s="48">
        <f>S23-S24</f>
        <v>0.11576310939390798</v>
      </c>
      <c r="T25" s="48">
        <f>T23-T24</f>
        <v>0.12484553007826109</v>
      </c>
      <c r="U25" s="48">
        <f>U23-U24</f>
        <v>0.12365631017235976</v>
      </c>
      <c r="V25" s="18"/>
      <c r="W25" s="18"/>
      <c r="X25" s="18"/>
      <c r="Y25" s="18"/>
    </row>
    <row r="27" spans="1:25" x14ac:dyDescent="0.25">
      <c r="A27" s="739" t="s">
        <v>256</v>
      </c>
      <c r="B27" s="739"/>
      <c r="C27" s="739"/>
      <c r="D27" s="739"/>
      <c r="E27" s="739"/>
      <c r="F27" s="739"/>
      <c r="G27" s="739"/>
      <c r="H27" s="739"/>
      <c r="I27" s="739"/>
      <c r="J27" s="739"/>
      <c r="K27" s="739"/>
      <c r="L27" s="739"/>
      <c r="M27" s="739"/>
      <c r="N27" s="739"/>
    </row>
    <row r="28" spans="1:25" x14ac:dyDescent="0.25">
      <c r="A28" s="739"/>
      <c r="B28" s="739"/>
      <c r="C28" s="739"/>
      <c r="D28" s="739"/>
      <c r="E28" s="739"/>
      <c r="F28" s="739"/>
      <c r="G28" s="739"/>
      <c r="H28" s="739"/>
      <c r="I28" s="739"/>
      <c r="J28" s="739"/>
      <c r="K28" s="739"/>
      <c r="L28" s="739"/>
      <c r="M28" s="739"/>
      <c r="N28" s="739"/>
    </row>
    <row r="29" spans="1:25" x14ac:dyDescent="0.25">
      <c r="A29" s="739"/>
      <c r="B29" s="739"/>
      <c r="C29" s="739"/>
      <c r="D29" s="739"/>
      <c r="E29" s="739"/>
      <c r="F29" s="739"/>
      <c r="G29" s="739"/>
      <c r="H29" s="739"/>
      <c r="I29" s="739"/>
      <c r="J29" s="739"/>
      <c r="K29" s="739"/>
      <c r="L29" s="739"/>
      <c r="M29" s="739"/>
      <c r="N29" s="739"/>
    </row>
    <row r="30" spans="1:25" x14ac:dyDescent="0.25">
      <c r="A30" s="739"/>
      <c r="B30" s="739"/>
      <c r="C30" s="739"/>
      <c r="D30" s="739"/>
      <c r="E30" s="739"/>
      <c r="F30" s="739"/>
      <c r="G30" s="739"/>
      <c r="H30" s="739"/>
      <c r="I30" s="739"/>
      <c r="J30" s="739"/>
      <c r="K30" s="739"/>
      <c r="L30" s="739"/>
      <c r="M30" s="739"/>
      <c r="N30" s="739"/>
    </row>
    <row r="31" spans="1:25" x14ac:dyDescent="0.25">
      <c r="A31" s="739"/>
      <c r="B31" s="739"/>
      <c r="C31" s="739"/>
      <c r="D31" s="739"/>
      <c r="E31" s="739"/>
      <c r="F31" s="739"/>
      <c r="G31" s="739"/>
      <c r="H31" s="739"/>
      <c r="I31" s="739"/>
      <c r="J31" s="739"/>
      <c r="K31" s="739"/>
      <c r="L31" s="739"/>
      <c r="M31" s="739"/>
      <c r="N31" s="739"/>
    </row>
    <row r="32" spans="1:25" x14ac:dyDescent="0.25">
      <c r="A32" s="739"/>
      <c r="B32" s="739"/>
      <c r="C32" s="739"/>
      <c r="D32" s="739"/>
      <c r="E32" s="739"/>
      <c r="F32" s="739"/>
      <c r="G32" s="739"/>
      <c r="H32" s="739"/>
      <c r="I32" s="739"/>
      <c r="J32" s="739"/>
      <c r="K32" s="739"/>
      <c r="L32" s="739"/>
      <c r="M32" s="739"/>
      <c r="N32" s="739"/>
    </row>
    <row r="33" spans="1:14" x14ac:dyDescent="0.25">
      <c r="A33" s="739"/>
      <c r="B33" s="739"/>
      <c r="C33" s="739"/>
      <c r="D33" s="739"/>
      <c r="E33" s="739"/>
      <c r="F33" s="739"/>
      <c r="G33" s="739"/>
      <c r="H33" s="739"/>
      <c r="I33" s="739"/>
      <c r="J33" s="739"/>
      <c r="K33" s="739"/>
      <c r="L33" s="739"/>
      <c r="M33" s="739"/>
      <c r="N33" s="739"/>
    </row>
    <row r="34" spans="1:14" x14ac:dyDescent="0.25">
      <c r="A34" s="739"/>
      <c r="B34" s="739"/>
      <c r="C34" s="739"/>
      <c r="D34" s="739"/>
      <c r="E34" s="739"/>
      <c r="F34" s="739"/>
      <c r="G34" s="739"/>
      <c r="H34" s="739"/>
      <c r="I34" s="739"/>
      <c r="J34" s="739"/>
      <c r="K34" s="739"/>
      <c r="L34" s="739"/>
      <c r="M34" s="739"/>
      <c r="N34" s="739"/>
    </row>
    <row r="35" spans="1:14" x14ac:dyDescent="0.25">
      <c r="A35" s="739"/>
      <c r="B35" s="739"/>
      <c r="C35" s="739"/>
      <c r="D35" s="739"/>
      <c r="E35" s="739"/>
      <c r="F35" s="739"/>
      <c r="G35" s="739"/>
      <c r="H35" s="739"/>
      <c r="I35" s="739"/>
      <c r="J35" s="739"/>
      <c r="K35" s="739"/>
      <c r="L35" s="739"/>
      <c r="M35" s="739"/>
      <c r="N35" s="739"/>
    </row>
    <row r="36" spans="1:14" x14ac:dyDescent="0.25">
      <c r="A36" s="739"/>
      <c r="B36" s="739"/>
      <c r="C36" s="739"/>
      <c r="D36" s="739"/>
      <c r="E36" s="739"/>
      <c r="F36" s="739"/>
      <c r="G36" s="739"/>
      <c r="H36" s="739"/>
      <c r="I36" s="739"/>
      <c r="J36" s="739"/>
      <c r="K36" s="739"/>
      <c r="L36" s="739"/>
      <c r="M36" s="739"/>
      <c r="N36" s="739"/>
    </row>
    <row r="37" spans="1:14" x14ac:dyDescent="0.25">
      <c r="A37" s="739"/>
      <c r="B37" s="739"/>
      <c r="C37" s="739"/>
      <c r="D37" s="739"/>
      <c r="E37" s="739"/>
      <c r="F37" s="739"/>
      <c r="G37" s="739"/>
      <c r="H37" s="739"/>
      <c r="I37" s="739"/>
      <c r="J37" s="739"/>
      <c r="K37" s="739"/>
      <c r="L37" s="739"/>
      <c r="M37" s="739"/>
      <c r="N37" s="739"/>
    </row>
    <row r="38" spans="1:14" x14ac:dyDescent="0.25">
      <c r="A38" s="739"/>
      <c r="B38" s="739"/>
      <c r="C38" s="739"/>
      <c r="D38" s="739"/>
      <c r="E38" s="739"/>
      <c r="F38" s="739"/>
      <c r="G38" s="739"/>
      <c r="H38" s="739"/>
      <c r="I38" s="739"/>
      <c r="J38" s="739"/>
      <c r="K38" s="739"/>
      <c r="L38" s="739"/>
      <c r="M38" s="739"/>
      <c r="N38" s="739"/>
    </row>
    <row r="39" spans="1:14" x14ac:dyDescent="0.25">
      <c r="A39" s="739"/>
      <c r="B39" s="739"/>
      <c r="C39" s="739"/>
      <c r="D39" s="739"/>
      <c r="E39" s="739"/>
      <c r="F39" s="739"/>
      <c r="G39" s="739"/>
      <c r="H39" s="739"/>
      <c r="I39" s="739"/>
      <c r="J39" s="739"/>
      <c r="K39" s="739"/>
      <c r="L39" s="739"/>
      <c r="M39" s="739"/>
      <c r="N39" s="739"/>
    </row>
  </sheetData>
  <mergeCells count="3">
    <mergeCell ref="A2:A4"/>
    <mergeCell ref="J1:L1"/>
    <mergeCell ref="A27:N39"/>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Y39"/>
  <sheetViews>
    <sheetView workbookViewId="0">
      <selection activeCell="AG6" sqref="AG6"/>
    </sheetView>
  </sheetViews>
  <sheetFormatPr defaultRowHeight="15" x14ac:dyDescent="0.25"/>
  <cols>
    <col min="1" max="1" width="30.140625" customWidth="1"/>
    <col min="4" max="4" width="12.28515625" customWidth="1"/>
    <col min="5" max="5" width="13.140625" customWidth="1"/>
    <col min="6" max="6" width="12.140625" customWidth="1"/>
    <col min="7" max="7" width="10.140625" bestFit="1" customWidth="1"/>
    <col min="8" max="8" width="10.140625" customWidth="1"/>
    <col min="9" max="9" width="10.140625" bestFit="1" customWidth="1"/>
    <col min="15" max="15" width="31.7109375" customWidth="1"/>
    <col min="17" max="18" width="13.28515625" customWidth="1"/>
    <col min="19" max="19" width="13.140625" customWidth="1"/>
    <col min="20" max="20" width="13.5703125" customWidth="1"/>
    <col min="21" max="21" width="14.5703125" customWidth="1"/>
  </cols>
  <sheetData>
    <row r="1" spans="1:25" x14ac:dyDescent="0.25">
      <c r="J1" s="772" t="s">
        <v>119</v>
      </c>
      <c r="K1" s="772"/>
      <c r="L1" s="772"/>
    </row>
    <row r="2" spans="1:25" ht="45" x14ac:dyDescent="0.25">
      <c r="A2" s="771" t="s">
        <v>4</v>
      </c>
      <c r="B2" s="1" t="s">
        <v>43</v>
      </c>
      <c r="C2" s="1" t="s">
        <v>41</v>
      </c>
      <c r="D2" s="2" t="s">
        <v>44</v>
      </c>
      <c r="E2" s="2" t="s">
        <v>0</v>
      </c>
      <c r="F2" s="3" t="s">
        <v>45</v>
      </c>
      <c r="G2" s="3" t="s">
        <v>42</v>
      </c>
      <c r="H2" s="3" t="s">
        <v>366</v>
      </c>
      <c r="I2" s="3" t="s">
        <v>362</v>
      </c>
      <c r="J2" s="3" t="s">
        <v>38</v>
      </c>
      <c r="K2" s="3" t="s">
        <v>39</v>
      </c>
      <c r="L2" s="3" t="s">
        <v>40</v>
      </c>
      <c r="M2" s="11"/>
      <c r="N2" s="11"/>
      <c r="O2" s="40" t="s">
        <v>6</v>
      </c>
      <c r="P2" s="41" t="s">
        <v>7</v>
      </c>
      <c r="Q2" s="41" t="s">
        <v>8</v>
      </c>
      <c r="R2" s="41" t="s">
        <v>9</v>
      </c>
      <c r="S2" s="40" t="s">
        <v>10</v>
      </c>
      <c r="T2" s="41" t="s">
        <v>90</v>
      </c>
      <c r="U2" s="41" t="s">
        <v>496</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t="e">
        <f>E10/AVERAGE(D23:E23)</f>
        <v>#DIV/0!</v>
      </c>
      <c r="S3" s="44">
        <f>F10/AVERAGE(E23:F23)</f>
        <v>0.38292856139875242</v>
      </c>
      <c r="T3" s="44">
        <f>G10/AVERAGE(F23:G23)</f>
        <v>0.27496192059062391</v>
      </c>
      <c r="U3" s="44">
        <f>H10/AVERAGE(G23:H23)</f>
        <v>0.25545096764216807</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F5" s="85">
        <f>232655.41+23129.49</f>
        <v>255784.9</v>
      </c>
      <c r="G5" s="90">
        <f>155339.26+25609.26</f>
        <v>180948.52000000002</v>
      </c>
      <c r="H5" s="90">
        <v>171966.19</v>
      </c>
      <c r="I5" s="85">
        <v>91846.33</v>
      </c>
      <c r="J5" s="85"/>
      <c r="K5" s="85"/>
      <c r="L5" s="85"/>
      <c r="M5" s="11"/>
      <c r="N5" s="11"/>
      <c r="O5" s="42" t="s">
        <v>13</v>
      </c>
      <c r="P5" s="46"/>
      <c r="Q5" s="47" t="e">
        <f>D21/D20</f>
        <v>#DIV/0!</v>
      </c>
      <c r="R5" s="47" t="e">
        <f>E21/E20</f>
        <v>#DIV/0!</v>
      </c>
      <c r="S5" s="47">
        <f>F21/F20</f>
        <v>2.0239812657038048</v>
      </c>
      <c r="T5" s="47">
        <f>G21/G20</f>
        <v>1.5038042203177719</v>
      </c>
      <c r="U5" s="47">
        <f>H21/H20</f>
        <v>1.6652438924114332</v>
      </c>
      <c r="V5" s="18"/>
      <c r="W5" s="18"/>
      <c r="X5" s="18"/>
      <c r="Y5" s="18"/>
    </row>
    <row r="6" spans="1:25" x14ac:dyDescent="0.25">
      <c r="A6" s="6" t="s">
        <v>50</v>
      </c>
      <c r="B6" s="7"/>
      <c r="C6" s="8"/>
      <c r="F6" s="85">
        <v>232665.41</v>
      </c>
      <c r="G6" s="85">
        <v>155339.26</v>
      </c>
      <c r="H6" s="85">
        <v>145652.62</v>
      </c>
      <c r="I6" s="85">
        <v>79195.77</v>
      </c>
      <c r="J6" s="85"/>
      <c r="K6" s="85"/>
      <c r="L6" s="85"/>
      <c r="M6" s="11"/>
      <c r="N6" s="11"/>
      <c r="O6" s="42" t="s">
        <v>14</v>
      </c>
      <c r="P6" s="43"/>
      <c r="Q6" s="43"/>
      <c r="R6" s="43"/>
      <c r="S6" s="43">
        <v>0.21099999999999999</v>
      </c>
      <c r="T6" s="48">
        <v>0.22389999999999999</v>
      </c>
      <c r="U6" s="48">
        <v>0.21859999999999999</v>
      </c>
      <c r="V6" s="48"/>
      <c r="W6" s="48">
        <v>0.23449999999999999</v>
      </c>
      <c r="X6" s="48">
        <v>0.184</v>
      </c>
      <c r="Y6" s="18"/>
    </row>
    <row r="7" spans="1:25" x14ac:dyDescent="0.25">
      <c r="A7" s="6" t="s">
        <v>51</v>
      </c>
      <c r="B7" s="7"/>
      <c r="C7" s="8"/>
      <c r="D7" s="87"/>
      <c r="E7" s="85"/>
      <c r="F7" s="85">
        <v>0</v>
      </c>
      <c r="G7" s="85">
        <v>0</v>
      </c>
      <c r="H7" s="85"/>
      <c r="I7" s="85"/>
      <c r="J7" s="85"/>
      <c r="K7" s="85"/>
      <c r="L7" s="85"/>
      <c r="M7" s="11"/>
      <c r="N7" s="11"/>
      <c r="O7" s="42" t="s">
        <v>15</v>
      </c>
      <c r="P7" s="43"/>
      <c r="Q7" s="44" t="e">
        <f>D20/D23</f>
        <v>#DIV/0!</v>
      </c>
      <c r="R7" s="44" t="e">
        <f>E20/E23</f>
        <v>#DIV/0!</v>
      </c>
      <c r="S7" s="44">
        <f>F20/F23</f>
        <v>0.43081811776905132</v>
      </c>
      <c r="T7" s="44">
        <f>G20/G23</f>
        <v>0.50974628331452576</v>
      </c>
      <c r="U7" s="44">
        <f>H20/H23</f>
        <v>0.3947438824872867</v>
      </c>
      <c r="V7" s="18"/>
      <c r="W7" s="18"/>
      <c r="X7" s="18"/>
      <c r="Y7" s="18"/>
    </row>
    <row r="8" spans="1:25" x14ac:dyDescent="0.25">
      <c r="A8" s="6" t="s">
        <v>52</v>
      </c>
      <c r="B8" s="7"/>
      <c r="C8" s="8"/>
      <c r="D8" s="85">
        <f t="shared" ref="D8:I8" si="0">D5-D6-D7</f>
        <v>0</v>
      </c>
      <c r="E8" s="85">
        <f t="shared" si="0"/>
        <v>0</v>
      </c>
      <c r="F8" s="85">
        <f t="shared" si="0"/>
        <v>23119.489999999991</v>
      </c>
      <c r="G8" s="85">
        <f t="shared" si="0"/>
        <v>25609.260000000009</v>
      </c>
      <c r="H8" s="85">
        <f t="shared" si="0"/>
        <v>26313.570000000007</v>
      </c>
      <c r="I8" s="85">
        <f t="shared" si="0"/>
        <v>12650.559999999998</v>
      </c>
      <c r="J8" s="85"/>
      <c r="K8" s="85"/>
      <c r="L8" s="85"/>
      <c r="M8" s="11"/>
      <c r="N8" s="11"/>
      <c r="O8" s="40" t="s">
        <v>16</v>
      </c>
      <c r="P8" s="45"/>
      <c r="Q8" s="45"/>
      <c r="R8" s="45"/>
      <c r="S8" s="46" t="s">
        <v>5</v>
      </c>
      <c r="T8" s="18"/>
      <c r="U8" s="18"/>
      <c r="V8" s="18"/>
      <c r="W8" s="18"/>
      <c r="X8" s="18"/>
      <c r="Y8" s="18"/>
    </row>
    <row r="9" spans="1:25" ht="33.75" x14ac:dyDescent="0.25">
      <c r="A9" s="6" t="s">
        <v>24</v>
      </c>
      <c r="B9" s="7"/>
      <c r="C9" s="7"/>
      <c r="D9" s="88"/>
      <c r="E9" s="85"/>
      <c r="F9" s="85">
        <v>64077.81</v>
      </c>
      <c r="G9" s="85">
        <v>45128.04</v>
      </c>
      <c r="H9" s="85">
        <v>37320.1</v>
      </c>
      <c r="I9" s="85">
        <v>19044.46</v>
      </c>
      <c r="J9" s="85"/>
      <c r="K9" s="85"/>
      <c r="L9" s="85"/>
      <c r="M9" s="11"/>
      <c r="N9" s="11"/>
      <c r="O9" s="49" t="s">
        <v>93</v>
      </c>
      <c r="P9" s="45"/>
      <c r="Q9" s="50" t="e">
        <f>D14/(D11-D9)</f>
        <v>#DIV/0!</v>
      </c>
      <c r="R9" s="50" t="e">
        <f>E14/(E11-E9)</f>
        <v>#DIV/0!</v>
      </c>
      <c r="S9" s="50">
        <f>F14/(F11-F9)</f>
        <v>0.53491464504520936</v>
      </c>
      <c r="T9" s="50">
        <f>G14/(G11-G9)</f>
        <v>0.65998353120236353</v>
      </c>
      <c r="U9" s="50">
        <f>H14/(H11-H9)</f>
        <v>0.61869453468719371</v>
      </c>
      <c r="V9" s="18"/>
      <c r="W9" s="18"/>
      <c r="X9" s="18"/>
      <c r="Y9" s="18"/>
    </row>
    <row r="10" spans="1:25" ht="22.5" x14ac:dyDescent="0.25">
      <c r="A10" s="6" t="s">
        <v>53</v>
      </c>
      <c r="B10" s="10">
        <f t="shared" ref="B10:I10" si="1">B6-B9</f>
        <v>0</v>
      </c>
      <c r="C10" s="10">
        <f t="shared" si="1"/>
        <v>0</v>
      </c>
      <c r="D10" s="89">
        <f t="shared" si="1"/>
        <v>0</v>
      </c>
      <c r="E10" s="89">
        <f t="shared" si="1"/>
        <v>0</v>
      </c>
      <c r="F10" s="89">
        <f t="shared" si="1"/>
        <v>168587.6</v>
      </c>
      <c r="G10" s="89">
        <f t="shared" si="1"/>
        <v>110211.22</v>
      </c>
      <c r="H10" s="89">
        <f>H6-H9</f>
        <v>108332.51999999999</v>
      </c>
      <c r="I10" s="89">
        <f t="shared" si="1"/>
        <v>60151.310000000005</v>
      </c>
      <c r="J10" s="89"/>
      <c r="K10" s="89"/>
      <c r="L10" s="89"/>
      <c r="M10" s="11"/>
      <c r="N10" s="11"/>
      <c r="O10" s="42" t="s">
        <v>92</v>
      </c>
      <c r="P10" s="43"/>
      <c r="Q10" s="44" t="e">
        <f>D14/D11</f>
        <v>#DIV/0!</v>
      </c>
      <c r="R10" s="44" t="e">
        <f>E14/E11</f>
        <v>#DIV/0!</v>
      </c>
      <c r="S10" s="44">
        <f>F14/F11</f>
        <v>0.40091080435162513</v>
      </c>
      <c r="T10" s="44">
        <f>G14/G11</f>
        <v>0.49538553838406629</v>
      </c>
      <c r="U10" s="44">
        <f>H14/H11</f>
        <v>0.48442545595735997</v>
      </c>
      <c r="V10" s="18"/>
      <c r="W10" s="18"/>
      <c r="X10" s="18"/>
      <c r="Y10" s="18"/>
    </row>
    <row r="11" spans="1:25" x14ac:dyDescent="0.25">
      <c r="A11" s="6" t="s">
        <v>1</v>
      </c>
      <c r="B11" s="10">
        <f>B5-B9</f>
        <v>0</v>
      </c>
      <c r="C11" s="10">
        <f t="shared" ref="C11:I11" si="2">SUM(C6:C8)</f>
        <v>0</v>
      </c>
      <c r="D11" s="89">
        <f t="shared" si="2"/>
        <v>0</v>
      </c>
      <c r="E11" s="89">
        <f t="shared" si="2"/>
        <v>0</v>
      </c>
      <c r="F11" s="89">
        <f>SUM(F6:F8)</f>
        <v>255784.9</v>
      </c>
      <c r="G11" s="89">
        <f>SUM(G6:G8)</f>
        <v>180948.52000000002</v>
      </c>
      <c r="H11" s="89">
        <f>SUM(H6:H8)</f>
        <v>171966.19</v>
      </c>
      <c r="I11" s="89">
        <f t="shared" si="2"/>
        <v>91846.33</v>
      </c>
      <c r="J11" s="89"/>
      <c r="K11" s="89"/>
      <c r="L11" s="89"/>
      <c r="M11" s="11"/>
      <c r="N11" s="11"/>
      <c r="O11" s="42" t="s">
        <v>17</v>
      </c>
      <c r="P11" s="43"/>
      <c r="Q11" s="44" t="e">
        <f>D14/AVERAGE(C22:D22)</f>
        <v>#DIV/0!</v>
      </c>
      <c r="R11" s="44" t="e">
        <f>E14/AVERAGE(D22:E22)</f>
        <v>#DIV/0!</v>
      </c>
      <c r="S11" s="44">
        <f>F14/AVERAGE(E22:F22)</f>
        <v>0.16652581241168732</v>
      </c>
      <c r="T11" s="44">
        <f>G14/AVERAGE(F22:G22)</f>
        <v>0.16175679832435644</v>
      </c>
      <c r="U11" s="44">
        <f>H14/AVERAGE(G22:H22)</f>
        <v>0.19552601694603566</v>
      </c>
      <c r="V11" s="18"/>
      <c r="W11" s="18"/>
      <c r="X11" s="18"/>
      <c r="Y11" s="18"/>
    </row>
    <row r="12" spans="1:25" x14ac:dyDescent="0.25">
      <c r="A12" s="6" t="s">
        <v>91</v>
      </c>
      <c r="B12" s="10"/>
      <c r="C12" s="10"/>
      <c r="D12" s="89"/>
      <c r="E12" s="89"/>
      <c r="F12" s="89">
        <v>426.73</v>
      </c>
      <c r="G12" s="89">
        <v>699.58</v>
      </c>
      <c r="H12" s="89">
        <v>1752.98</v>
      </c>
      <c r="I12" s="89">
        <v>404.67</v>
      </c>
      <c r="J12" s="89"/>
      <c r="K12" s="89"/>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I13" si="3">D11+D12</f>
        <v>0</v>
      </c>
      <c r="E13" s="88">
        <f t="shared" si="3"/>
        <v>0</v>
      </c>
      <c r="F13" s="88">
        <f t="shared" si="3"/>
        <v>256211.63</v>
      </c>
      <c r="G13" s="88">
        <f t="shared" si="3"/>
        <v>181648.1</v>
      </c>
      <c r="H13" s="88">
        <f t="shared" si="3"/>
        <v>173719.17</v>
      </c>
      <c r="I13" s="88">
        <f t="shared" si="3"/>
        <v>92251</v>
      </c>
      <c r="J13" s="88"/>
      <c r="K13" s="88"/>
      <c r="L13" s="88"/>
      <c r="M13" s="11"/>
      <c r="N13" s="11"/>
      <c r="O13" s="42" t="s">
        <v>19</v>
      </c>
      <c r="P13" s="43"/>
      <c r="Q13" s="44" t="e">
        <f>D24/D23</f>
        <v>#DIV/0!</v>
      </c>
      <c r="R13" s="44" t="e">
        <f>E24/E23</f>
        <v>#DIV/0!</v>
      </c>
      <c r="S13" s="44">
        <f>F24/F23</f>
        <v>0</v>
      </c>
      <c r="T13" s="44">
        <f>G24/G23</f>
        <v>8.6747246792807722E-2</v>
      </c>
      <c r="U13" s="44">
        <f>H24/H23</f>
        <v>8.2721516494849573E-2</v>
      </c>
      <c r="V13" s="48"/>
      <c r="W13" s="48">
        <v>5.0299999999999997E-2</v>
      </c>
      <c r="X13" s="48">
        <v>4.8800000000000003E-2</v>
      </c>
      <c r="Y13" s="18"/>
    </row>
    <row r="14" spans="1:25" x14ac:dyDescent="0.25">
      <c r="A14" s="6" t="s">
        <v>26</v>
      </c>
      <c r="B14" s="7"/>
      <c r="C14" s="7"/>
      <c r="D14" s="85"/>
      <c r="E14" s="85"/>
      <c r="F14" s="85">
        <f>56166.72+12150.26+34229.95</f>
        <v>102546.93</v>
      </c>
      <c r="G14" s="85">
        <f>37076.68+13603.76+38958.84</f>
        <v>89639.28</v>
      </c>
      <c r="H14" s="85">
        <f>28278.65+8890.67+46135.48</f>
        <v>83304.800000000003</v>
      </c>
      <c r="I14" s="85">
        <f>14875.16+4019.75+16437.58</f>
        <v>35332.490000000005</v>
      </c>
      <c r="J14" s="85"/>
      <c r="K14" s="85"/>
      <c r="L14" s="85"/>
      <c r="M14" s="11"/>
      <c r="N14" s="11"/>
      <c r="O14" s="42" t="s">
        <v>20</v>
      </c>
      <c r="P14" s="43"/>
      <c r="Q14" s="44" t="e">
        <f>D25/D23</f>
        <v>#DIV/0!</v>
      </c>
      <c r="R14" s="44" t="e">
        <f>E25/E23</f>
        <v>#DIV/0!</v>
      </c>
      <c r="S14" s="44">
        <f>F25/F23</f>
        <v>0</v>
      </c>
      <c r="T14" s="44">
        <f>G25/G23</f>
        <v>1.8268897466114931E-2</v>
      </c>
      <c r="U14" s="44">
        <f>H25/H23</f>
        <v>1.6271863058154749E-2</v>
      </c>
      <c r="V14" s="48"/>
      <c r="W14" s="48">
        <v>1.06E-2</v>
      </c>
      <c r="X14" s="154">
        <v>0.01</v>
      </c>
      <c r="Y14" s="18"/>
    </row>
    <row r="15" spans="1:25" x14ac:dyDescent="0.25">
      <c r="A15" s="6" t="s">
        <v>54</v>
      </c>
      <c r="B15" s="10"/>
      <c r="C15" s="10"/>
      <c r="D15" s="89">
        <f t="shared" ref="D15:I15" si="4">D11-D14</f>
        <v>0</v>
      </c>
      <c r="E15" s="89">
        <f t="shared" si="4"/>
        <v>0</v>
      </c>
      <c r="F15" s="89">
        <f t="shared" si="4"/>
        <v>153237.97</v>
      </c>
      <c r="G15" s="89">
        <f t="shared" si="4"/>
        <v>91309.24000000002</v>
      </c>
      <c r="H15" s="89">
        <f t="shared" si="4"/>
        <v>88661.39</v>
      </c>
      <c r="I15" s="89">
        <f t="shared" si="4"/>
        <v>56513.84</v>
      </c>
      <c r="J15" s="89"/>
      <c r="K15" s="89"/>
      <c r="L15" s="89"/>
      <c r="M15" s="11"/>
      <c r="N15" s="11"/>
      <c r="O15" s="42" t="s">
        <v>21</v>
      </c>
      <c r="P15" s="43"/>
      <c r="Q15" s="44" t="e">
        <f t="shared" ref="Q15:V15" si="5">(Q13-Q14)/Q13</f>
        <v>#DIV/0!</v>
      </c>
      <c r="R15" s="44" t="e">
        <f t="shared" si="5"/>
        <v>#DIV/0!</v>
      </c>
      <c r="S15" s="44" t="e">
        <f t="shared" si="5"/>
        <v>#DIV/0!</v>
      </c>
      <c r="T15" s="44">
        <f t="shared" si="5"/>
        <v>0.78940083816435758</v>
      </c>
      <c r="U15" s="44">
        <f t="shared" si="5"/>
        <v>0.80329346284206626</v>
      </c>
      <c r="V15" s="44" t="e">
        <f t="shared" si="5"/>
        <v>#DIV/0!</v>
      </c>
      <c r="W15" s="18"/>
      <c r="X15" s="18"/>
      <c r="Y15" s="18"/>
    </row>
    <row r="16" spans="1:25" x14ac:dyDescent="0.25">
      <c r="A16" s="6" t="s">
        <v>94</v>
      </c>
      <c r="B16" s="10"/>
      <c r="C16" s="10"/>
      <c r="D16" s="89">
        <f t="shared" ref="D16:I16" si="6">D13-D14-D9</f>
        <v>0</v>
      </c>
      <c r="E16" s="89">
        <f t="shared" si="6"/>
        <v>0</v>
      </c>
      <c r="F16" s="89">
        <f t="shared" si="6"/>
        <v>89586.890000000014</v>
      </c>
      <c r="G16" s="89">
        <f t="shared" si="6"/>
        <v>46880.780000000006</v>
      </c>
      <c r="H16" s="89">
        <f t="shared" si="6"/>
        <v>53094.270000000011</v>
      </c>
      <c r="I16" s="89">
        <f t="shared" si="6"/>
        <v>37874.049999999996</v>
      </c>
      <c r="J16" s="89"/>
      <c r="K16" s="89"/>
      <c r="L16" s="89"/>
      <c r="M16" s="11"/>
      <c r="N16" s="11"/>
      <c r="O16" s="42" t="s">
        <v>22</v>
      </c>
      <c r="P16" s="43"/>
      <c r="Q16" s="44" t="e">
        <f>D17/AVERAGE(C23:D23)</f>
        <v>#DIV/0!</v>
      </c>
      <c r="R16" s="44" t="e">
        <f>E17/AVERAGE(D23:E23)</f>
        <v>#DIV/0!</v>
      </c>
      <c r="S16" s="44">
        <f>F17/AVERAGE(E23:F23)</f>
        <v>0.57315236667029934</v>
      </c>
      <c r="T16" s="44">
        <f>G17/AVERAGE(F23:G23)</f>
        <v>0.13463397206613908</v>
      </c>
      <c r="U16" s="44">
        <f>H17/AVERAGE(G23:H23)</f>
        <v>9.7604216642093664E-2</v>
      </c>
      <c r="V16" s="18"/>
      <c r="W16" s="18"/>
      <c r="X16" s="18"/>
      <c r="Y16" s="18"/>
    </row>
    <row r="17" spans="1:25" x14ac:dyDescent="0.25">
      <c r="A17" s="6" t="s">
        <v>27</v>
      </c>
      <c r="B17" s="7"/>
      <c r="C17" s="7"/>
      <c r="D17" s="88"/>
      <c r="E17" s="85"/>
      <c r="F17" s="85">
        <v>252335.27</v>
      </c>
      <c r="G17" s="85">
        <v>53964.47</v>
      </c>
      <c r="H17" s="85">
        <v>41392.33</v>
      </c>
      <c r="I17" s="85">
        <v>28954.48</v>
      </c>
      <c r="J17" s="85"/>
      <c r="K17" s="85"/>
      <c r="L17" s="85"/>
      <c r="M17" s="11"/>
      <c r="N17" s="11"/>
      <c r="O17" s="18"/>
      <c r="P17" s="18"/>
      <c r="Q17" s="18"/>
      <c r="R17" s="18"/>
      <c r="S17" s="18"/>
      <c r="T17" s="18"/>
      <c r="U17" s="18"/>
      <c r="V17" s="18"/>
      <c r="W17" s="18"/>
      <c r="X17" s="18"/>
      <c r="Y17" s="18"/>
    </row>
    <row r="18" spans="1:25" x14ac:dyDescent="0.25">
      <c r="A18" s="6" t="s">
        <v>55</v>
      </c>
      <c r="B18" s="7"/>
      <c r="C18" s="7"/>
      <c r="D18" s="88"/>
      <c r="E18" s="85"/>
      <c r="F18" s="89">
        <v>-122130.81</v>
      </c>
      <c r="G18" s="89">
        <v>-5535.28</v>
      </c>
      <c r="H18" s="89">
        <v>7990.4</v>
      </c>
      <c r="I18" s="89">
        <v>6904.51</v>
      </c>
      <c r="J18" s="89"/>
      <c r="K18" s="89"/>
      <c r="L18" s="89"/>
      <c r="M18" s="11"/>
      <c r="N18" s="11"/>
      <c r="O18" s="40" t="s">
        <v>30</v>
      </c>
      <c r="P18" s="45"/>
      <c r="Q18" s="45"/>
      <c r="R18" s="45"/>
      <c r="S18" s="46" t="s">
        <v>5</v>
      </c>
      <c r="T18" s="18"/>
      <c r="U18" s="18"/>
      <c r="V18" s="18"/>
      <c r="W18" s="18"/>
      <c r="X18" s="18"/>
      <c r="Y18" s="18"/>
    </row>
    <row r="19" spans="1:25" ht="22.5" x14ac:dyDescent="0.25">
      <c r="A19" s="6" t="s">
        <v>28</v>
      </c>
      <c r="B19" s="7"/>
      <c r="C19" s="7"/>
      <c r="D19" s="88"/>
      <c r="E19" s="85"/>
      <c r="F19" s="85">
        <v>189671.39</v>
      </c>
      <c r="G19" s="85">
        <v>184216.46</v>
      </c>
      <c r="H19" s="85">
        <v>192152.76</v>
      </c>
      <c r="I19" s="85">
        <v>199057.28</v>
      </c>
      <c r="J19" s="85"/>
      <c r="K19" s="85"/>
      <c r="L19" s="85"/>
      <c r="M19" s="11"/>
      <c r="N19" s="11"/>
      <c r="O19" s="46" t="s">
        <v>95</v>
      </c>
      <c r="P19" s="51"/>
      <c r="Q19" s="51"/>
      <c r="R19" s="52" t="e">
        <f>E16/AVERAGE(D22:E22)</f>
        <v>#DIV/0!</v>
      </c>
      <c r="S19" s="52">
        <f>F16/AVERAGE(E22:F22)</f>
        <v>0.14548002206098679</v>
      </c>
      <c r="T19" s="52">
        <f>G16/AVERAGE(F22:G22)</f>
        <v>8.459778877907681E-2</v>
      </c>
      <c r="U19" s="52">
        <f>H16/AVERAGE(G22:H22)</f>
        <v>0.12461840297026576</v>
      </c>
      <c r="V19" s="18"/>
      <c r="W19" s="18"/>
      <c r="X19" s="18"/>
      <c r="Y19" s="18"/>
    </row>
    <row r="20" spans="1:25" x14ac:dyDescent="0.25">
      <c r="A20" s="6" t="s">
        <v>56</v>
      </c>
      <c r="B20" s="7"/>
      <c r="C20" s="7"/>
      <c r="D20" s="88">
        <f t="shared" ref="D20:I20" si="7">D19-D71</f>
        <v>0</v>
      </c>
      <c r="E20" s="89">
        <f t="shared" si="7"/>
        <v>0</v>
      </c>
      <c r="F20" s="89">
        <f t="shared" si="7"/>
        <v>189671.39</v>
      </c>
      <c r="G20" s="89">
        <f t="shared" si="7"/>
        <v>184216.46</v>
      </c>
      <c r="H20" s="89">
        <f t="shared" si="7"/>
        <v>192152.76</v>
      </c>
      <c r="I20" s="89">
        <f t="shared" si="7"/>
        <v>199057.28</v>
      </c>
      <c r="J20" s="89"/>
      <c r="K20" s="89"/>
      <c r="L20" s="89"/>
      <c r="M20" s="11"/>
      <c r="N20" s="11"/>
      <c r="O20" s="42" t="s">
        <v>31</v>
      </c>
      <c r="P20" s="43"/>
      <c r="Q20" s="43">
        <v>4.4699999999999997E-2</v>
      </c>
      <c r="R20" s="44" t="e">
        <f>E18/AVERAGE(D22:E22)</f>
        <v>#DIV/0!</v>
      </c>
      <c r="S20" s="44">
        <f>F18/AVERAGE(E22:F22)</f>
        <v>-0.19832804702927162</v>
      </c>
      <c r="T20" s="44">
        <f>G18/AVERAGE(F22:G22)</f>
        <v>-9.9885805712500546E-3</v>
      </c>
      <c r="U20" s="44">
        <f>H18/AVERAGE(G22:H22)</f>
        <v>1.8754394534355803E-2</v>
      </c>
      <c r="V20" s="48"/>
      <c r="W20" s="18"/>
      <c r="X20" s="18"/>
      <c r="Y20" s="18"/>
    </row>
    <row r="21" spans="1:25" x14ac:dyDescent="0.25">
      <c r="A21" s="6" t="s">
        <v>57</v>
      </c>
      <c r="B21" s="9"/>
      <c r="C21" s="9"/>
      <c r="D21" s="85"/>
      <c r="E21" s="85"/>
      <c r="F21" s="85">
        <f>5000+378891.34</f>
        <v>383891.34</v>
      </c>
      <c r="G21" s="85">
        <f>6000+271025.49</f>
        <v>277025.49</v>
      </c>
      <c r="H21" s="85">
        <f>1116.85+318864.36</f>
        <v>319981.20999999996</v>
      </c>
      <c r="I21" s="85">
        <f>316.03+330372.85</f>
        <v>330688.88</v>
      </c>
      <c r="J21" s="85"/>
      <c r="K21" s="85"/>
      <c r="L21" s="85"/>
      <c r="M21" s="11"/>
      <c r="N21" s="11"/>
      <c r="O21" s="42" t="s">
        <v>32</v>
      </c>
      <c r="P21" s="43"/>
      <c r="Q21" s="44" t="e">
        <f>D18/AVERAGE(C19:D19)</f>
        <v>#DIV/0!</v>
      </c>
      <c r="R21" s="44" t="e">
        <f>E18/AVERAGE(D19:E19)</f>
        <v>#DIV/0!</v>
      </c>
      <c r="S21" s="44">
        <f>F18/AVERAGE(E19:F19)</f>
        <v>-0.64390739162084476</v>
      </c>
      <c r="T21" s="44">
        <f>G18/AVERAGE(F19:G19)</f>
        <v>-2.9609306641015482E-2</v>
      </c>
      <c r="U21" s="44">
        <f>H18/AVERAGE(G19:H19)</f>
        <v>4.2460432869616704E-2</v>
      </c>
      <c r="V21" s="18"/>
      <c r="W21" s="18"/>
      <c r="X21" s="18"/>
      <c r="Y21" s="18"/>
    </row>
    <row r="22" spans="1:25" x14ac:dyDescent="0.25">
      <c r="A22" s="6" t="s">
        <v>29</v>
      </c>
      <c r="B22" s="7"/>
      <c r="C22" s="7"/>
      <c r="D22" s="88"/>
      <c r="E22" s="85"/>
      <c r="F22" s="85">
        <v>615802.01</v>
      </c>
      <c r="G22" s="85">
        <v>492519.63</v>
      </c>
      <c r="H22" s="85">
        <v>359589.99</v>
      </c>
      <c r="I22" s="85">
        <v>570099.47</v>
      </c>
      <c r="J22" s="85"/>
      <c r="K22" s="85"/>
      <c r="L22" s="85"/>
      <c r="M22" s="11"/>
      <c r="N22" s="11"/>
      <c r="O22" s="40" t="s">
        <v>33</v>
      </c>
      <c r="P22" s="45"/>
      <c r="Q22" s="45"/>
      <c r="R22" s="45"/>
      <c r="S22" s="46" t="s">
        <v>5</v>
      </c>
      <c r="T22" s="18"/>
      <c r="U22" s="18"/>
      <c r="V22" s="18"/>
      <c r="W22" s="18"/>
      <c r="X22" s="18"/>
      <c r="Y22" s="18"/>
    </row>
    <row r="23" spans="1:25" x14ac:dyDescent="0.25">
      <c r="A23" s="6" t="s">
        <v>58</v>
      </c>
      <c r="B23" s="7"/>
      <c r="C23" s="7"/>
      <c r="D23" s="88"/>
      <c r="E23" s="85"/>
      <c r="F23" s="85">
        <v>440258.62</v>
      </c>
      <c r="G23" s="85">
        <v>361388.53</v>
      </c>
      <c r="H23" s="85">
        <v>486778.31</v>
      </c>
      <c r="I23" s="85">
        <v>491647.28</v>
      </c>
      <c r="J23" s="85"/>
      <c r="K23" s="85"/>
      <c r="L23" s="85"/>
      <c r="M23" s="11"/>
      <c r="N23" s="11"/>
      <c r="O23" s="42" t="s">
        <v>34</v>
      </c>
      <c r="P23" s="43"/>
      <c r="Q23" s="44" t="e">
        <f>D6/AVERAGE(C23:D23)</f>
        <v>#DIV/0!</v>
      </c>
      <c r="R23" s="44" t="e">
        <f>E6/AVERAGE(D23:E23)</f>
        <v>#DIV/0!</v>
      </c>
      <c r="S23" s="44">
        <f>F6/AVERAGE(E23:F23)</f>
        <v>0.52847439988795675</v>
      </c>
      <c r="T23" s="44">
        <f>G6/AVERAGE(F23:G23)</f>
        <v>0.38755020834290999</v>
      </c>
      <c r="U23" s="44">
        <f>H6/AVERAGE(G23:H23)</f>
        <v>0.34345275747870546</v>
      </c>
      <c r="V23" s="18"/>
      <c r="W23" s="18"/>
      <c r="X23" s="18"/>
      <c r="Y23" s="18"/>
    </row>
    <row r="24" spans="1:25" x14ac:dyDescent="0.25">
      <c r="A24" s="6" t="s">
        <v>59</v>
      </c>
      <c r="B24" s="10"/>
      <c r="C24" s="10"/>
      <c r="D24" s="89"/>
      <c r="E24" s="89"/>
      <c r="F24" s="89"/>
      <c r="G24" s="89">
        <v>31349.46</v>
      </c>
      <c r="H24" s="89">
        <v>40267.040000000001</v>
      </c>
      <c r="I24" s="89"/>
      <c r="J24" s="89"/>
      <c r="K24" s="89"/>
      <c r="L24" s="89"/>
      <c r="M24" s="11"/>
      <c r="N24" s="11"/>
      <c r="O24" s="42" t="s">
        <v>35</v>
      </c>
      <c r="P24" s="43"/>
      <c r="Q24" s="44" t="e">
        <f>D9/AVERAGE(C21:D21)</f>
        <v>#DIV/0!</v>
      </c>
      <c r="R24" s="44" t="e">
        <f>E9/AVERAGE(D21:E21)</f>
        <v>#DIV/0!</v>
      </c>
      <c r="S24" s="44">
        <f>F9/AVERAGE(E21:F21)</f>
        <v>0.16691652903657581</v>
      </c>
      <c r="T24" s="44">
        <f>G9/AVERAGE(F21:G21)</f>
        <v>0.13656193321631707</v>
      </c>
      <c r="U24" s="44">
        <f>H9/AVERAGE(G21:H21)</f>
        <v>0.12502405751895249</v>
      </c>
      <c r="V24" s="18"/>
      <c r="W24" s="18"/>
      <c r="X24" s="18"/>
      <c r="Y24" s="18"/>
    </row>
    <row r="25" spans="1:25" x14ac:dyDescent="0.25">
      <c r="A25" s="6" t="s">
        <v>60</v>
      </c>
      <c r="B25" s="10"/>
      <c r="C25" s="10"/>
      <c r="D25" s="89"/>
      <c r="E25" s="89"/>
      <c r="F25" s="89"/>
      <c r="G25" s="89">
        <v>6602.17</v>
      </c>
      <c r="H25" s="89">
        <v>7920.79</v>
      </c>
      <c r="I25" s="89"/>
      <c r="J25" s="89"/>
      <c r="K25" s="89"/>
      <c r="L25" s="89"/>
      <c r="M25" s="11"/>
      <c r="N25" s="11"/>
      <c r="O25" s="42" t="s">
        <v>36</v>
      </c>
      <c r="P25" s="43"/>
      <c r="Q25" s="48" t="e">
        <f>Q23-Q24</f>
        <v>#DIV/0!</v>
      </c>
      <c r="R25" s="48" t="e">
        <f>R23-R24</f>
        <v>#DIV/0!</v>
      </c>
      <c r="S25" s="48">
        <f>S23-S24</f>
        <v>0.36155787085138091</v>
      </c>
      <c r="T25" s="48">
        <f>T23-T24</f>
        <v>0.25098827512659294</v>
      </c>
      <c r="U25" s="48">
        <f>U23-U24</f>
        <v>0.21842869995975298</v>
      </c>
      <c r="V25" s="18"/>
      <c r="W25" s="18"/>
      <c r="X25" s="18"/>
      <c r="Y25" s="18"/>
    </row>
    <row r="27" spans="1:25" x14ac:dyDescent="0.25">
      <c r="A27" s="732" t="s">
        <v>254</v>
      </c>
      <c r="B27" s="732"/>
      <c r="C27" s="732"/>
      <c r="D27" s="732"/>
      <c r="E27" s="732"/>
      <c r="F27" s="732"/>
      <c r="G27" s="732"/>
      <c r="H27" s="732"/>
      <c r="I27" s="732"/>
      <c r="J27" s="732"/>
      <c r="K27" s="732"/>
      <c r="L27" s="732"/>
      <c r="M27" s="732"/>
    </row>
    <row r="28" spans="1:25" x14ac:dyDescent="0.25">
      <c r="A28" s="732"/>
      <c r="B28" s="732"/>
      <c r="C28" s="732"/>
      <c r="D28" s="732"/>
      <c r="E28" s="732"/>
      <c r="F28" s="732"/>
      <c r="G28" s="732"/>
      <c r="H28" s="732"/>
      <c r="I28" s="732"/>
      <c r="J28" s="732"/>
      <c r="K28" s="732"/>
      <c r="L28" s="732"/>
      <c r="M28" s="732"/>
    </row>
    <row r="29" spans="1:25" x14ac:dyDescent="0.25">
      <c r="A29" s="732"/>
      <c r="B29" s="732"/>
      <c r="C29" s="732"/>
      <c r="D29" s="732"/>
      <c r="E29" s="732"/>
      <c r="F29" s="732"/>
      <c r="G29" s="732"/>
      <c r="H29" s="732"/>
      <c r="I29" s="732"/>
      <c r="J29" s="732"/>
      <c r="K29" s="732"/>
      <c r="L29" s="732"/>
      <c r="M29" s="732"/>
    </row>
    <row r="30" spans="1:25" x14ac:dyDescent="0.25">
      <c r="A30" s="732"/>
      <c r="B30" s="732"/>
      <c r="C30" s="732"/>
      <c r="D30" s="732"/>
      <c r="E30" s="732"/>
      <c r="F30" s="732"/>
      <c r="G30" s="732"/>
      <c r="H30" s="732"/>
      <c r="I30" s="732"/>
      <c r="J30" s="732"/>
      <c r="K30" s="732"/>
      <c r="L30" s="732"/>
      <c r="M30" s="732"/>
    </row>
    <row r="31" spans="1:25" x14ac:dyDescent="0.25">
      <c r="A31" s="732"/>
      <c r="B31" s="732"/>
      <c r="C31" s="732"/>
      <c r="D31" s="732"/>
      <c r="E31" s="732"/>
      <c r="F31" s="732"/>
      <c r="G31" s="732"/>
      <c r="H31" s="732"/>
      <c r="I31" s="732"/>
      <c r="J31" s="732"/>
      <c r="K31" s="732"/>
      <c r="L31" s="732"/>
      <c r="M31" s="732"/>
    </row>
    <row r="32" spans="1:25" x14ac:dyDescent="0.25">
      <c r="A32" s="739" t="s">
        <v>287</v>
      </c>
      <c r="B32" s="739"/>
      <c r="C32" s="739"/>
      <c r="D32" s="739"/>
      <c r="E32" s="739"/>
      <c r="F32" s="739"/>
      <c r="G32" s="739"/>
      <c r="H32" s="739"/>
      <c r="I32" s="739"/>
      <c r="J32" s="739"/>
      <c r="K32" s="739"/>
      <c r="L32" s="739"/>
      <c r="M32" s="739"/>
      <c r="N32" s="739"/>
      <c r="O32" s="739"/>
    </row>
    <row r="33" spans="1:15" x14ac:dyDescent="0.25">
      <c r="A33" s="739"/>
      <c r="B33" s="739"/>
      <c r="C33" s="739"/>
      <c r="D33" s="739"/>
      <c r="E33" s="739"/>
      <c r="F33" s="739"/>
      <c r="G33" s="739"/>
      <c r="H33" s="739"/>
      <c r="I33" s="739"/>
      <c r="J33" s="739"/>
      <c r="K33" s="739"/>
      <c r="L33" s="739"/>
      <c r="M33" s="739"/>
      <c r="N33" s="739"/>
      <c r="O33" s="739"/>
    </row>
    <row r="34" spans="1:15" x14ac:dyDescent="0.25">
      <c r="A34" s="739"/>
      <c r="B34" s="739"/>
      <c r="C34" s="739"/>
      <c r="D34" s="739"/>
      <c r="E34" s="739"/>
      <c r="F34" s="739"/>
      <c r="G34" s="739"/>
      <c r="H34" s="739"/>
      <c r="I34" s="739"/>
      <c r="J34" s="739"/>
      <c r="K34" s="739"/>
      <c r="L34" s="739"/>
      <c r="M34" s="739"/>
      <c r="N34" s="739"/>
      <c r="O34" s="739"/>
    </row>
    <row r="35" spans="1:15" x14ac:dyDescent="0.25">
      <c r="A35" s="739"/>
      <c r="B35" s="739"/>
      <c r="C35" s="739"/>
      <c r="D35" s="739"/>
      <c r="E35" s="739"/>
      <c r="F35" s="739"/>
      <c r="G35" s="739"/>
      <c r="H35" s="739"/>
      <c r="I35" s="739"/>
      <c r="J35" s="739"/>
      <c r="K35" s="739"/>
      <c r="L35" s="739"/>
      <c r="M35" s="739"/>
      <c r="N35" s="739"/>
      <c r="O35" s="739"/>
    </row>
    <row r="36" spans="1:15" x14ac:dyDescent="0.25">
      <c r="A36" s="739"/>
      <c r="B36" s="739"/>
      <c r="C36" s="739"/>
      <c r="D36" s="739"/>
      <c r="E36" s="739"/>
      <c r="F36" s="739"/>
      <c r="G36" s="739"/>
      <c r="H36" s="739"/>
      <c r="I36" s="739"/>
      <c r="J36" s="739"/>
      <c r="K36" s="739"/>
      <c r="L36" s="739"/>
      <c r="M36" s="739"/>
      <c r="N36" s="739"/>
      <c r="O36" s="739"/>
    </row>
    <row r="37" spans="1:15" x14ac:dyDescent="0.25">
      <c r="A37" s="739"/>
      <c r="B37" s="739"/>
      <c r="C37" s="739"/>
      <c r="D37" s="739"/>
      <c r="E37" s="739"/>
      <c r="F37" s="739"/>
      <c r="G37" s="739"/>
      <c r="H37" s="739"/>
      <c r="I37" s="739"/>
      <c r="J37" s="739"/>
      <c r="K37" s="739"/>
      <c r="L37" s="739"/>
      <c r="M37" s="739"/>
      <c r="N37" s="739"/>
      <c r="O37" s="739"/>
    </row>
    <row r="38" spans="1:15" x14ac:dyDescent="0.25">
      <c r="A38" s="739"/>
      <c r="B38" s="739"/>
      <c r="C38" s="739"/>
      <c r="D38" s="739"/>
      <c r="E38" s="739"/>
      <c r="F38" s="739"/>
      <c r="G38" s="739"/>
      <c r="H38" s="739"/>
      <c r="I38" s="739"/>
      <c r="J38" s="739"/>
      <c r="K38" s="739"/>
      <c r="L38" s="739"/>
      <c r="M38" s="739"/>
      <c r="N38" s="739"/>
      <c r="O38" s="739"/>
    </row>
    <row r="39" spans="1:15" x14ac:dyDescent="0.25">
      <c r="A39" s="739"/>
      <c r="B39" s="739"/>
      <c r="C39" s="739"/>
      <c r="D39" s="739"/>
      <c r="E39" s="739"/>
      <c r="F39" s="739"/>
      <c r="G39" s="739"/>
      <c r="H39" s="739"/>
      <c r="I39" s="739"/>
      <c r="J39" s="739"/>
      <c r="K39" s="739"/>
      <c r="L39" s="739"/>
      <c r="M39" s="739"/>
      <c r="N39" s="739"/>
      <c r="O39" s="739"/>
    </row>
  </sheetData>
  <mergeCells count="4">
    <mergeCell ref="A2:A4"/>
    <mergeCell ref="J1:L1"/>
    <mergeCell ref="A27:M31"/>
    <mergeCell ref="A32:O39"/>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W35"/>
  <sheetViews>
    <sheetView workbookViewId="0">
      <selection activeCell="AG6" sqref="AG6"/>
    </sheetView>
  </sheetViews>
  <sheetFormatPr defaultRowHeight="15" x14ac:dyDescent="0.25"/>
  <cols>
    <col min="1" max="1" width="34.7109375" customWidth="1"/>
    <col min="4" max="4" width="11.5703125" customWidth="1"/>
    <col min="5" max="5" width="12.5703125" customWidth="1"/>
    <col min="6" max="6" width="11.7109375" customWidth="1"/>
    <col min="7" max="8" width="10.28515625" customWidth="1"/>
    <col min="9" max="9" width="11" customWidth="1"/>
    <col min="10" max="10" width="10.140625" bestFit="1" customWidth="1"/>
    <col min="11" max="11" width="11.5703125" customWidth="1"/>
    <col min="12" max="12" width="10.140625" bestFit="1" customWidth="1"/>
    <col min="15" max="15" width="29.85546875" customWidth="1"/>
    <col min="17" max="17" width="12.7109375" customWidth="1"/>
    <col min="18" max="18" width="13.5703125" customWidth="1"/>
    <col min="19" max="19" width="12" customWidth="1"/>
    <col min="20" max="20" width="14" customWidth="1"/>
  </cols>
  <sheetData>
    <row r="1" spans="1:23" x14ac:dyDescent="0.25">
      <c r="J1" s="772" t="s">
        <v>119</v>
      </c>
      <c r="K1" s="772"/>
      <c r="L1" s="772"/>
    </row>
    <row r="2" spans="1:23" ht="45" x14ac:dyDescent="0.25">
      <c r="A2" s="771" t="s">
        <v>4</v>
      </c>
      <c r="B2" s="1" t="s">
        <v>41</v>
      </c>
      <c r="C2" s="1" t="s">
        <v>215</v>
      </c>
      <c r="D2" s="2" t="s">
        <v>85</v>
      </c>
      <c r="E2" s="2" t="s">
        <v>216</v>
      </c>
      <c r="F2" s="3" t="s">
        <v>42</v>
      </c>
      <c r="G2" s="3" t="s">
        <v>366</v>
      </c>
      <c r="H2" s="3" t="s">
        <v>37</v>
      </c>
      <c r="I2" s="3" t="s">
        <v>38</v>
      </c>
      <c r="J2" s="3" t="s">
        <v>39</v>
      </c>
      <c r="K2" s="3" t="s">
        <v>40</v>
      </c>
      <c r="L2" s="11"/>
      <c r="M2" s="11"/>
      <c r="N2" s="40" t="s">
        <v>6</v>
      </c>
      <c r="O2" s="41" t="s">
        <v>7</v>
      </c>
      <c r="P2" s="41" t="s">
        <v>8</v>
      </c>
      <c r="Q2" s="41" t="s">
        <v>9</v>
      </c>
      <c r="R2" s="40" t="s">
        <v>90</v>
      </c>
      <c r="S2" s="41" t="s">
        <v>492</v>
      </c>
      <c r="T2" s="40" t="s">
        <v>37</v>
      </c>
      <c r="U2" s="41" t="s">
        <v>38</v>
      </c>
      <c r="V2" s="41" t="s">
        <v>39</v>
      </c>
      <c r="W2" s="41" t="s">
        <v>40</v>
      </c>
    </row>
    <row r="3" spans="1:23" ht="33.75"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7.6988485528225431E-2</v>
      </c>
      <c r="S3" s="44">
        <f>G10/AVERAGE(F23:G23)</f>
        <v>8.7783375508355133E-2</v>
      </c>
      <c r="T3" s="18"/>
      <c r="U3" s="18"/>
      <c r="V3" s="18"/>
      <c r="W3" s="18"/>
    </row>
    <row r="4" spans="1:23" ht="22.5"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ht="45" x14ac:dyDescent="0.25">
      <c r="A5" s="6" t="s">
        <v>23</v>
      </c>
      <c r="B5" s="7"/>
      <c r="C5" s="8"/>
      <c r="F5" s="85">
        <v>20345.189999999999</v>
      </c>
      <c r="G5" s="90">
        <v>24466.49</v>
      </c>
      <c r="H5" s="85">
        <v>5165.8</v>
      </c>
      <c r="I5" s="85">
        <v>5188.8999999999996</v>
      </c>
      <c r="J5" s="85">
        <v>6841.7</v>
      </c>
      <c r="K5" s="85">
        <v>6271.71</v>
      </c>
      <c r="L5" s="11"/>
      <c r="M5" s="11"/>
      <c r="N5" s="42" t="s">
        <v>13</v>
      </c>
      <c r="O5" s="46"/>
      <c r="P5" s="47" t="e">
        <f>D21/D20</f>
        <v>#DIV/0!</v>
      </c>
      <c r="Q5" s="47" t="e">
        <f>E21/E20</f>
        <v>#DIV/0!</v>
      </c>
      <c r="R5" s="47">
        <f>F21/F20</f>
        <v>1.3538922306192485</v>
      </c>
      <c r="S5" s="47">
        <f>G21/G20</f>
        <v>1.0345351811210968</v>
      </c>
      <c r="T5" s="18"/>
      <c r="U5" s="18"/>
      <c r="V5" s="18"/>
      <c r="W5" s="18"/>
    </row>
    <row r="6" spans="1:23" x14ac:dyDescent="0.25">
      <c r="A6" s="6" t="s">
        <v>50</v>
      </c>
      <c r="B6" s="7"/>
      <c r="C6" s="8"/>
      <c r="F6" s="85">
        <v>18551.169999999998</v>
      </c>
      <c r="G6" s="85">
        <v>20445.89</v>
      </c>
      <c r="H6" s="85">
        <v>4559</v>
      </c>
      <c r="I6" s="85">
        <v>4573.3</v>
      </c>
      <c r="J6" s="85">
        <v>5058.5</v>
      </c>
      <c r="K6" s="85">
        <v>5455.53</v>
      </c>
      <c r="L6" s="11"/>
      <c r="M6" s="11"/>
      <c r="N6" s="42" t="s">
        <v>14</v>
      </c>
      <c r="O6" s="43"/>
      <c r="P6" s="43"/>
      <c r="Q6" s="43"/>
      <c r="R6" s="43">
        <v>0.51619999999999999</v>
      </c>
      <c r="S6" s="48">
        <v>0.41889999999999999</v>
      </c>
      <c r="T6" s="48"/>
      <c r="U6" s="48">
        <v>0.52139999999999997</v>
      </c>
      <c r="V6" s="48">
        <v>0.46010000000000001</v>
      </c>
      <c r="W6" s="48">
        <v>0.48099999999999998</v>
      </c>
    </row>
    <row r="7" spans="1:23" ht="22.5"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0.53798989770932026</v>
      </c>
      <c r="S7" s="44">
        <f>G20/G23</f>
        <v>0.57281817409498292</v>
      </c>
      <c r="T7" s="18"/>
      <c r="U7" s="18"/>
      <c r="V7" s="18"/>
      <c r="W7" s="18"/>
    </row>
    <row r="8" spans="1:23" ht="45" x14ac:dyDescent="0.25">
      <c r="A8" s="6" t="s">
        <v>52</v>
      </c>
      <c r="B8" s="7"/>
      <c r="C8" s="8"/>
      <c r="D8" s="85">
        <f t="shared" ref="D8:K8" si="0">D5-D6-D7</f>
        <v>0</v>
      </c>
      <c r="E8" s="85">
        <f t="shared" si="0"/>
        <v>0</v>
      </c>
      <c r="F8" s="85">
        <f t="shared" si="0"/>
        <v>1794.0200000000004</v>
      </c>
      <c r="G8" s="85">
        <f t="shared" si="0"/>
        <v>4020.6000000000022</v>
      </c>
      <c r="H8" s="85">
        <f t="shared" si="0"/>
        <v>606.80000000000018</v>
      </c>
      <c r="I8" s="85">
        <f t="shared" si="0"/>
        <v>615.59999999999945</v>
      </c>
      <c r="J8" s="85">
        <f t="shared" si="0"/>
        <v>1783.1999999999998</v>
      </c>
      <c r="K8" s="85">
        <f t="shared" si="0"/>
        <v>816.18000000000029</v>
      </c>
      <c r="L8" s="11"/>
      <c r="M8" s="11"/>
      <c r="N8" s="40" t="s">
        <v>16</v>
      </c>
      <c r="O8" s="45"/>
      <c r="P8" s="45"/>
      <c r="Q8" s="45"/>
      <c r="R8" s="46" t="s">
        <v>5</v>
      </c>
      <c r="S8" s="18"/>
      <c r="T8" s="18"/>
      <c r="U8" s="18"/>
      <c r="V8" s="18"/>
      <c r="W8" s="18"/>
    </row>
    <row r="9" spans="1:23" ht="112.5" x14ac:dyDescent="0.25">
      <c r="A9" s="6" t="s">
        <v>24</v>
      </c>
      <c r="B9" s="7"/>
      <c r="C9" s="7"/>
      <c r="D9" s="88"/>
      <c r="E9" s="85"/>
      <c r="F9" s="85">
        <v>8245.74</v>
      </c>
      <c r="G9" s="85">
        <v>8732.6</v>
      </c>
      <c r="H9" s="85">
        <v>1925.8</v>
      </c>
      <c r="I9" s="85">
        <v>1881.3</v>
      </c>
      <c r="J9" s="85">
        <v>2086.3000000000002</v>
      </c>
      <c r="K9" s="85">
        <v>1997.71</v>
      </c>
      <c r="L9" s="11"/>
      <c r="M9" s="11"/>
      <c r="N9" s="49" t="s">
        <v>93</v>
      </c>
      <c r="O9" s="45"/>
      <c r="P9" s="50" t="e">
        <f>D14/(D11-D9)</f>
        <v>#DIV/0!</v>
      </c>
      <c r="Q9" s="50" t="e">
        <f>E14/(E11-E9)</f>
        <v>#DIV/0!</v>
      </c>
      <c r="R9" s="50">
        <f>F14/(F11-F9)</f>
        <v>0.35882457467074952</v>
      </c>
      <c r="S9" s="50">
        <f>G14/(G11-G9)</f>
        <v>0.27258230482099471</v>
      </c>
      <c r="T9" s="18"/>
      <c r="U9" s="18"/>
      <c r="V9" s="18"/>
      <c r="W9" s="18"/>
    </row>
    <row r="10" spans="1:23" ht="67.5" x14ac:dyDescent="0.25">
      <c r="A10" s="6" t="s">
        <v>53</v>
      </c>
      <c r="B10" s="10">
        <f t="shared" ref="B10:H10" si="1">B6-B9</f>
        <v>0</v>
      </c>
      <c r="C10" s="10">
        <f t="shared" si="1"/>
        <v>0</v>
      </c>
      <c r="D10" s="89">
        <f t="shared" si="1"/>
        <v>0</v>
      </c>
      <c r="E10" s="89">
        <f t="shared" si="1"/>
        <v>0</v>
      </c>
      <c r="F10" s="89">
        <f t="shared" si="1"/>
        <v>10305.429999999998</v>
      </c>
      <c r="G10" s="89">
        <f t="shared" si="1"/>
        <v>11713.289999999999</v>
      </c>
      <c r="H10" s="89">
        <f t="shared" si="1"/>
        <v>2633.2</v>
      </c>
      <c r="I10" s="89">
        <f>I6-I9</f>
        <v>2692</v>
      </c>
      <c r="J10" s="89">
        <f>J6-J9</f>
        <v>2972.2</v>
      </c>
      <c r="K10" s="89">
        <f>K6-K9</f>
        <v>3457.8199999999997</v>
      </c>
      <c r="L10" s="11"/>
      <c r="M10" s="11"/>
      <c r="N10" s="42" t="s">
        <v>92</v>
      </c>
      <c r="O10" s="43"/>
      <c r="P10" s="44" t="e">
        <f>D14/D11</f>
        <v>#DIV/0!</v>
      </c>
      <c r="Q10" s="44" t="e">
        <f>E14/E11</f>
        <v>#DIV/0!</v>
      </c>
      <c r="R10" s="44">
        <f>F14/F11</f>
        <v>0.21339589357484498</v>
      </c>
      <c r="S10" s="44">
        <f>G14/G11</f>
        <v>0.17529200142725829</v>
      </c>
      <c r="T10" s="18"/>
      <c r="U10" s="18"/>
      <c r="V10" s="18"/>
      <c r="W10" s="18"/>
    </row>
    <row r="11" spans="1:23" ht="56.25" x14ac:dyDescent="0.25">
      <c r="A11" s="6" t="s">
        <v>1</v>
      </c>
      <c r="B11" s="10">
        <f>B5-B9</f>
        <v>0</v>
      </c>
      <c r="C11" s="10">
        <f t="shared" ref="C11:H11" si="2">SUM(C6:C8)</f>
        <v>0</v>
      </c>
      <c r="D11" s="89">
        <f t="shared" si="2"/>
        <v>0</v>
      </c>
      <c r="E11" s="89">
        <f t="shared" si="2"/>
        <v>0</v>
      </c>
      <c r="F11" s="89">
        <f>SUM(F6:F8)</f>
        <v>20345.189999999999</v>
      </c>
      <c r="G11" s="89">
        <f>SUM(G6:G8)</f>
        <v>24466.49</v>
      </c>
      <c r="H11" s="89">
        <f t="shared" si="2"/>
        <v>5165.8</v>
      </c>
      <c r="I11" s="89">
        <f>SUM(I6:I8)</f>
        <v>5188.8999999999996</v>
      </c>
      <c r="J11" s="89">
        <f>SUM(J6:J8)</f>
        <v>6841.7</v>
      </c>
      <c r="K11" s="89">
        <f>SUM(K6:K8)</f>
        <v>6271.71</v>
      </c>
      <c r="L11" s="11"/>
      <c r="M11" s="11"/>
      <c r="N11" s="42" t="s">
        <v>17</v>
      </c>
      <c r="O11" s="43"/>
      <c r="P11" s="44" t="e">
        <f>D14/AVERAGE(C22:D22)</f>
        <v>#DIV/0!</v>
      </c>
      <c r="Q11" s="44" t="e">
        <f>E14/AVERAGE(D22:E22)</f>
        <v>#DIV/0!</v>
      </c>
      <c r="R11" s="44">
        <f>F14/AVERAGE(E22:F22)</f>
        <v>2.5323548080141207E-2</v>
      </c>
      <c r="S11" s="44">
        <f>G14/AVERAGE(F22:G22)</f>
        <v>2.6063695184125234E-2</v>
      </c>
      <c r="T11" s="18"/>
      <c r="U11" s="18"/>
      <c r="V11" s="18"/>
      <c r="W11" s="18"/>
    </row>
    <row r="12" spans="1:23" ht="45" x14ac:dyDescent="0.25">
      <c r="A12" s="6" t="s">
        <v>91</v>
      </c>
      <c r="B12" s="10"/>
      <c r="C12" s="10"/>
      <c r="D12" s="89"/>
      <c r="E12" s="89"/>
      <c r="F12" s="89">
        <v>18.23</v>
      </c>
      <c r="G12" s="89">
        <v>11.48</v>
      </c>
      <c r="H12" s="89"/>
      <c r="I12" s="89">
        <v>0.05</v>
      </c>
      <c r="J12" s="89">
        <v>30.6</v>
      </c>
      <c r="K12" s="89">
        <v>0.15</v>
      </c>
      <c r="L12" s="11"/>
      <c r="M12" s="11"/>
      <c r="N12" s="40" t="s">
        <v>18</v>
      </c>
      <c r="O12" s="45"/>
      <c r="P12" s="45"/>
      <c r="Q12" s="45"/>
      <c r="R12" s="46" t="s">
        <v>5</v>
      </c>
      <c r="S12" s="18"/>
      <c r="T12" s="18"/>
      <c r="U12" s="18"/>
      <c r="V12" s="53"/>
      <c r="W12" s="54"/>
    </row>
    <row r="13" spans="1:23" ht="22.5" x14ac:dyDescent="0.25">
      <c r="A13" s="6" t="s">
        <v>25</v>
      </c>
      <c r="B13" s="7"/>
      <c r="C13" s="7"/>
      <c r="D13" s="88">
        <f t="shared" ref="D13:K13" si="3">D11+D12</f>
        <v>0</v>
      </c>
      <c r="E13" s="88">
        <f t="shared" si="3"/>
        <v>0</v>
      </c>
      <c r="F13" s="88">
        <f t="shared" si="3"/>
        <v>20363.419999999998</v>
      </c>
      <c r="G13" s="88">
        <f t="shared" si="3"/>
        <v>24477.97</v>
      </c>
      <c r="H13" s="88">
        <f t="shared" si="3"/>
        <v>5165.8</v>
      </c>
      <c r="I13" s="88">
        <f t="shared" si="3"/>
        <v>5188.95</v>
      </c>
      <c r="J13" s="88">
        <f t="shared" si="3"/>
        <v>6872.3</v>
      </c>
      <c r="K13" s="88">
        <f t="shared" si="3"/>
        <v>6271.86</v>
      </c>
      <c r="L13" s="11"/>
      <c r="M13" s="11"/>
      <c r="N13" s="42" t="s">
        <v>19</v>
      </c>
      <c r="O13" s="43"/>
      <c r="P13" s="44" t="e">
        <f>D24/D23</f>
        <v>#DIV/0!</v>
      </c>
      <c r="Q13" s="44" t="e">
        <f>E24/E23</f>
        <v>#DIV/0!</v>
      </c>
      <c r="R13" s="44">
        <f>F24/F23</f>
        <v>4.1127990762066052E-2</v>
      </c>
      <c r="S13" s="44">
        <f>G24/G23</f>
        <v>6.2719483231875789E-2</v>
      </c>
      <c r="T13" s="48"/>
      <c r="U13" s="18">
        <v>0</v>
      </c>
      <c r="V13" s="48">
        <v>5.9900000000000002E-2</v>
      </c>
      <c r="W13" s="48">
        <v>6.2700000000000006E-2</v>
      </c>
    </row>
    <row r="14" spans="1:23" ht="22.5" x14ac:dyDescent="0.25">
      <c r="A14" s="6" t="s">
        <v>26</v>
      </c>
      <c r="B14" s="7"/>
      <c r="C14" s="7"/>
      <c r="D14" s="85"/>
      <c r="E14" s="85"/>
      <c r="F14" s="85">
        <f>2699.11+13.98+1628.49</f>
        <v>4341.58</v>
      </c>
      <c r="G14" s="85">
        <f>2771.82+10.28+1506.68</f>
        <v>4288.7800000000007</v>
      </c>
      <c r="H14" s="85">
        <f>643+4.3+376.9</f>
        <v>1024.1999999999998</v>
      </c>
      <c r="I14" s="85">
        <f>637.5+4.1+416</f>
        <v>1057.5999999999999</v>
      </c>
      <c r="J14" s="85">
        <f>597.3+2.4+415</f>
        <v>1014.6999999999999</v>
      </c>
      <c r="K14" s="85">
        <f>738.7+3.8+461.71</f>
        <v>1204.21</v>
      </c>
      <c r="L14" s="11"/>
      <c r="M14" s="11"/>
      <c r="N14" s="42" t="s">
        <v>20</v>
      </c>
      <c r="O14" s="43"/>
      <c r="P14" s="44" t="e">
        <f>D25/D23</f>
        <v>#DIV/0!</v>
      </c>
      <c r="Q14" s="44" t="e">
        <f>E25/E23</f>
        <v>#DIV/0!</v>
      </c>
      <c r="R14" s="44">
        <f>F25/F23</f>
        <v>2.2778825456493536E-3</v>
      </c>
      <c r="S14" s="44">
        <f>G25/G23</f>
        <v>0</v>
      </c>
      <c r="T14" s="48"/>
      <c r="U14" s="18">
        <v>0</v>
      </c>
      <c r="V14" s="48">
        <v>1.7000000000000001E-2</v>
      </c>
      <c r="W14" s="48">
        <v>0</v>
      </c>
    </row>
    <row r="15" spans="1:23" ht="33.75" x14ac:dyDescent="0.25">
      <c r="A15" s="6" t="s">
        <v>54</v>
      </c>
      <c r="B15" s="10"/>
      <c r="C15" s="10"/>
      <c r="D15" s="89">
        <f t="shared" ref="D15:I15" si="4">D11-D14</f>
        <v>0</v>
      </c>
      <c r="E15" s="89">
        <f t="shared" si="4"/>
        <v>0</v>
      </c>
      <c r="F15" s="89">
        <f t="shared" si="4"/>
        <v>16003.609999999999</v>
      </c>
      <c r="G15" s="89">
        <f t="shared" si="4"/>
        <v>20177.71</v>
      </c>
      <c r="H15" s="89">
        <f t="shared" si="4"/>
        <v>4141.6000000000004</v>
      </c>
      <c r="I15" s="89">
        <f t="shared" si="4"/>
        <v>4131.2999999999993</v>
      </c>
      <c r="J15" s="89">
        <f>J11-J14</f>
        <v>5827</v>
      </c>
      <c r="K15" s="89">
        <f>K11-K14</f>
        <v>5067.5</v>
      </c>
      <c r="L15" s="11"/>
      <c r="M15" s="11"/>
      <c r="N15" s="42" t="s">
        <v>21</v>
      </c>
      <c r="O15" s="43"/>
      <c r="P15" s="44" t="e">
        <f>(P13-P14)/P13</f>
        <v>#DIV/0!</v>
      </c>
      <c r="Q15" s="44" t="e">
        <f>(Q13-Q14)/Q13</f>
        <v>#DIV/0!</v>
      </c>
      <c r="R15" s="44">
        <f>(R13-R14)/R13</f>
        <v>0.94461478658591969</v>
      </c>
      <c r="S15" s="44">
        <f>(S13-S14)/S13</f>
        <v>1</v>
      </c>
      <c r="T15" s="44" t="e">
        <f>(T13-T14)/T13</f>
        <v>#DIV/0!</v>
      </c>
      <c r="U15" s="18"/>
      <c r="V15" s="18"/>
      <c r="W15" s="18"/>
    </row>
    <row r="16" spans="1:23" ht="22.5" x14ac:dyDescent="0.25">
      <c r="A16" s="6" t="s">
        <v>94</v>
      </c>
      <c r="B16" s="10"/>
      <c r="C16" s="10"/>
      <c r="D16" s="89">
        <f t="shared" ref="D16:I16" si="5">D13-D14-D9</f>
        <v>0</v>
      </c>
      <c r="E16" s="89">
        <f t="shared" si="5"/>
        <v>0</v>
      </c>
      <c r="F16" s="89">
        <f t="shared" si="5"/>
        <v>7776.0999999999985</v>
      </c>
      <c r="G16" s="89">
        <f t="shared" si="5"/>
        <v>11456.590000000002</v>
      </c>
      <c r="H16" s="89">
        <f t="shared" si="5"/>
        <v>2215.8000000000002</v>
      </c>
      <c r="I16" s="89">
        <f t="shared" si="5"/>
        <v>2250.0500000000002</v>
      </c>
      <c r="J16" s="89">
        <f>J13-J14-J9</f>
        <v>3771.3</v>
      </c>
      <c r="K16" s="89">
        <f>K13-K14-K9</f>
        <v>3069.9399999999996</v>
      </c>
      <c r="L16" s="11"/>
      <c r="M16" s="11"/>
      <c r="N16" s="42" t="s">
        <v>22</v>
      </c>
      <c r="O16" s="43"/>
      <c r="P16" s="44" t="e">
        <f>D17/AVERAGE(C23:D23)</f>
        <v>#DIV/0!</v>
      </c>
      <c r="Q16" s="44" t="e">
        <f>E17/AVERAGE(D23:E23)</f>
        <v>#DIV/0!</v>
      </c>
      <c r="R16" s="44">
        <f>F17/AVERAGE(E23:F23)</f>
        <v>3.2410389104712452E-2</v>
      </c>
      <c r="S16" s="44">
        <f>G17/AVERAGE(F23:G23)</f>
        <v>4.3854178583447631E-2</v>
      </c>
      <c r="T16" s="18"/>
      <c r="U16" s="18"/>
      <c r="V16" s="18"/>
      <c r="W16" s="18"/>
    </row>
    <row r="17" spans="1:23" x14ac:dyDescent="0.25">
      <c r="A17" s="6" t="s">
        <v>27</v>
      </c>
      <c r="B17" s="7"/>
      <c r="C17" s="7"/>
      <c r="D17" s="88"/>
      <c r="E17" s="85"/>
      <c r="F17" s="85">
        <v>4338.3500000000004</v>
      </c>
      <c r="G17" s="85">
        <v>5851.64</v>
      </c>
      <c r="H17" s="85">
        <v>-41.6</v>
      </c>
      <c r="I17" s="85">
        <v>-188</v>
      </c>
      <c r="J17" s="85">
        <v>2168.6999999999998</v>
      </c>
      <c r="K17" s="85">
        <v>3013.84</v>
      </c>
      <c r="L17" s="11"/>
      <c r="M17" s="11"/>
      <c r="N17" s="18"/>
      <c r="O17" s="18"/>
      <c r="P17" s="18"/>
      <c r="Q17" s="18"/>
      <c r="R17" s="18"/>
      <c r="S17" s="18"/>
      <c r="T17" s="18"/>
      <c r="U17" s="18"/>
      <c r="V17" s="18"/>
      <c r="W17" s="18"/>
    </row>
    <row r="18" spans="1:23" ht="33.75" x14ac:dyDescent="0.25">
      <c r="A18" s="6" t="s">
        <v>55</v>
      </c>
      <c r="B18" s="7"/>
      <c r="C18" s="7"/>
      <c r="D18" s="88"/>
      <c r="E18" s="85"/>
      <c r="F18" s="89">
        <v>2505.17</v>
      </c>
      <c r="G18" s="89">
        <v>4157.8100000000004</v>
      </c>
      <c r="H18" s="89">
        <v>1690.6</v>
      </c>
      <c r="I18" s="89">
        <v>1806.4</v>
      </c>
      <c r="J18" s="89">
        <v>1185.5999999999999</v>
      </c>
      <c r="K18" s="89">
        <v>38.51</v>
      </c>
      <c r="L18" s="11"/>
      <c r="M18" s="11"/>
      <c r="N18" s="40" t="s">
        <v>30</v>
      </c>
      <c r="O18" s="45"/>
      <c r="P18" s="45"/>
      <c r="Q18" s="45"/>
      <c r="R18" s="46" t="s">
        <v>5</v>
      </c>
      <c r="S18" s="18"/>
      <c r="T18" s="18"/>
      <c r="U18" s="18"/>
      <c r="V18" s="18"/>
      <c r="W18" s="18"/>
    </row>
    <row r="19" spans="1:23" ht="78.75" x14ac:dyDescent="0.25">
      <c r="A19" s="6" t="s">
        <v>28</v>
      </c>
      <c r="B19" s="7"/>
      <c r="C19" s="7"/>
      <c r="D19" s="88"/>
      <c r="E19" s="85"/>
      <c r="F19" s="85">
        <v>72013.59</v>
      </c>
      <c r="G19" s="85">
        <v>76191.289999999994</v>
      </c>
      <c r="H19" s="85"/>
      <c r="I19" s="85">
        <v>79690.3</v>
      </c>
      <c r="J19" s="85">
        <v>76147.899999999994</v>
      </c>
      <c r="K19" s="85">
        <v>76191.289999999994</v>
      </c>
      <c r="L19" s="11"/>
      <c r="M19" s="11"/>
      <c r="N19" s="46" t="s">
        <v>95</v>
      </c>
      <c r="O19" s="51"/>
      <c r="P19" s="51"/>
      <c r="Q19" s="52" t="e">
        <f>E16/AVERAGE(D22:E22)</f>
        <v>#DIV/0!</v>
      </c>
      <c r="R19" s="52">
        <f>F16/AVERAGE(E22:F22)</f>
        <v>4.5356400717247183E-2</v>
      </c>
      <c r="S19" s="52">
        <f>G16/AVERAGE(F22:G22)</f>
        <v>6.9623778699186567E-2</v>
      </c>
      <c r="T19" s="18"/>
      <c r="U19" s="18"/>
      <c r="V19" s="18"/>
      <c r="W19" s="18"/>
    </row>
    <row r="20" spans="1:23" x14ac:dyDescent="0.25">
      <c r="A20" s="6" t="s">
        <v>56</v>
      </c>
      <c r="B20" s="7"/>
      <c r="C20" s="7"/>
      <c r="D20" s="88">
        <f>D19-D71</f>
        <v>0</v>
      </c>
      <c r="E20" s="89">
        <f>E19-E71</f>
        <v>0</v>
      </c>
      <c r="F20" s="89">
        <f>F19-F71</f>
        <v>72013.59</v>
      </c>
      <c r="G20" s="89">
        <f>G19-G71</f>
        <v>76191.289999999994</v>
      </c>
      <c r="H20" s="89">
        <f>H19-I71</f>
        <v>0</v>
      </c>
      <c r="I20" s="89">
        <f>I19-J71</f>
        <v>79690.3</v>
      </c>
      <c r="J20" s="89">
        <f>J19-K71</f>
        <v>76147.899999999994</v>
      </c>
      <c r="K20" s="89">
        <f>K19-L71</f>
        <v>76191.289999999994</v>
      </c>
      <c r="L20" s="11"/>
      <c r="M20" s="11"/>
      <c r="N20" s="42" t="s">
        <v>31</v>
      </c>
      <c r="O20" s="43"/>
      <c r="P20" s="43">
        <v>4.4699999999999997E-2</v>
      </c>
      <c r="Q20" s="44" t="e">
        <f>E18/AVERAGE(D22:E22)</f>
        <v>#DIV/0!</v>
      </c>
      <c r="R20" s="44">
        <f>F18/AVERAGE(E22:F22)</f>
        <v>1.4612144183437217E-2</v>
      </c>
      <c r="S20" s="44">
        <f>G18/AVERAGE(F22:G22)</f>
        <v>2.5267766701371423E-2</v>
      </c>
      <c r="T20" s="48"/>
      <c r="U20" s="18"/>
      <c r="V20" s="18"/>
      <c r="W20" s="18"/>
    </row>
    <row r="21" spans="1:23" x14ac:dyDescent="0.25">
      <c r="A21" s="6" t="s">
        <v>57</v>
      </c>
      <c r="B21" s="9"/>
      <c r="C21" s="9"/>
      <c r="D21" s="85"/>
      <c r="E21" s="85"/>
      <c r="F21" s="85">
        <f>68932.27+28566.37</f>
        <v>97498.64</v>
      </c>
      <c r="G21" s="85">
        <f>63142+15680.57</f>
        <v>78822.570000000007</v>
      </c>
      <c r="H21" s="85"/>
      <c r="I21" s="85">
        <f>50318.7+19087.5</f>
        <v>69406.2</v>
      </c>
      <c r="J21" s="85"/>
      <c r="K21" s="85">
        <f>63142+15680.57</f>
        <v>78822.570000000007</v>
      </c>
      <c r="L21" s="11"/>
      <c r="M21" s="11"/>
      <c r="N21" s="42" t="s">
        <v>32</v>
      </c>
      <c r="O21" s="43"/>
      <c r="P21" s="44" t="e">
        <f>D18/AVERAGE(C19:D19)</f>
        <v>#DIV/0!</v>
      </c>
      <c r="Q21" s="44" t="e">
        <f>E18/AVERAGE(D19:E19)</f>
        <v>#DIV/0!</v>
      </c>
      <c r="R21" s="44">
        <f>F18/AVERAGE(E19:F19)</f>
        <v>3.4787461644392399E-2</v>
      </c>
      <c r="S21" s="44">
        <f>G18/AVERAGE(F19:G19)</f>
        <v>5.6108948639208102E-2</v>
      </c>
      <c r="T21" s="18"/>
      <c r="U21" s="18"/>
      <c r="V21" s="18"/>
      <c r="W21" s="18"/>
    </row>
    <row r="22" spans="1:23" x14ac:dyDescent="0.25">
      <c r="A22" s="6" t="s">
        <v>29</v>
      </c>
      <c r="B22" s="7"/>
      <c r="C22" s="7"/>
      <c r="D22" s="88"/>
      <c r="E22" s="85"/>
      <c r="F22" s="85">
        <v>171444.38</v>
      </c>
      <c r="G22" s="85">
        <v>157655.54</v>
      </c>
      <c r="H22" s="85"/>
      <c r="I22" s="85">
        <v>150869.4</v>
      </c>
      <c r="J22" s="85"/>
      <c r="K22" s="85">
        <v>157655.54</v>
      </c>
      <c r="L22" s="11"/>
      <c r="M22" s="11"/>
      <c r="N22" s="40" t="s">
        <v>33</v>
      </c>
      <c r="O22" s="45"/>
      <c r="P22" s="45"/>
      <c r="Q22" s="45"/>
      <c r="R22" s="46" t="s">
        <v>5</v>
      </c>
      <c r="S22" s="18"/>
      <c r="T22" s="18"/>
      <c r="U22" s="18"/>
      <c r="V22" s="18"/>
      <c r="W22" s="18"/>
    </row>
    <row r="23" spans="1:23" ht="22.5" x14ac:dyDescent="0.25">
      <c r="A23" s="6" t="s">
        <v>58</v>
      </c>
      <c r="B23" s="7"/>
      <c r="C23" s="7"/>
      <c r="D23" s="88"/>
      <c r="E23" s="85"/>
      <c r="F23" s="85">
        <v>133856.76999999999</v>
      </c>
      <c r="G23" s="85">
        <v>133011.29999999999</v>
      </c>
      <c r="H23" s="85"/>
      <c r="I23" s="85">
        <v>107930.1</v>
      </c>
      <c r="J23" s="85"/>
      <c r="K23" s="85">
        <v>122799.51</v>
      </c>
      <c r="L23" s="11"/>
      <c r="M23" s="11"/>
      <c r="N23" s="42" t="s">
        <v>34</v>
      </c>
      <c r="O23" s="43"/>
      <c r="P23" s="44" t="e">
        <f>D6/AVERAGE(C23:D23)</f>
        <v>#DIV/0!</v>
      </c>
      <c r="Q23" s="44" t="e">
        <f>E6/AVERAGE(D23:E23)</f>
        <v>#DIV/0!</v>
      </c>
      <c r="R23" s="44">
        <f>F6/AVERAGE(E23:F23)</f>
        <v>0.13858970300867113</v>
      </c>
      <c r="S23" s="44">
        <f>G6/AVERAGE(F23:G23)</f>
        <v>0.15322844729982124</v>
      </c>
      <c r="T23" s="18"/>
      <c r="U23" s="18"/>
      <c r="V23" s="18"/>
      <c r="W23" s="18"/>
    </row>
    <row r="24" spans="1:23" ht="45" x14ac:dyDescent="0.25">
      <c r="A24" s="6" t="s">
        <v>59</v>
      </c>
      <c r="B24" s="10"/>
      <c r="C24" s="10"/>
      <c r="D24" s="89"/>
      <c r="E24" s="89"/>
      <c r="F24" s="89">
        <v>5505.26</v>
      </c>
      <c r="G24" s="89">
        <v>8342.4</v>
      </c>
      <c r="H24" s="89"/>
      <c r="I24" s="89"/>
      <c r="J24" s="89"/>
      <c r="K24" s="89"/>
      <c r="L24" s="11"/>
      <c r="M24" s="11"/>
      <c r="N24" s="42" t="s">
        <v>35</v>
      </c>
      <c r="O24" s="43"/>
      <c r="P24" s="44" t="e">
        <f>D9/AVERAGE(C21:D21)</f>
        <v>#DIV/0!</v>
      </c>
      <c r="Q24" s="44" t="e">
        <f>E9/AVERAGE(D21:E21)</f>
        <v>#DIV/0!</v>
      </c>
      <c r="R24" s="44">
        <f>F9/AVERAGE(E21:F21)</f>
        <v>8.4572871990829815E-2</v>
      </c>
      <c r="S24" s="44">
        <f>G9/AVERAGE(F21:G21)</f>
        <v>9.9053312984864375E-2</v>
      </c>
      <c r="T24" s="18"/>
      <c r="U24" s="18"/>
      <c r="V24" s="18"/>
      <c r="W24" s="18"/>
    </row>
    <row r="25" spans="1:23" ht="22.5" x14ac:dyDescent="0.25">
      <c r="A25" s="6" t="s">
        <v>60</v>
      </c>
      <c r="B25" s="10"/>
      <c r="C25" s="10"/>
      <c r="D25" s="89"/>
      <c r="E25" s="89"/>
      <c r="F25" s="89">
        <v>304.91000000000003</v>
      </c>
      <c r="G25" s="89">
        <v>0</v>
      </c>
      <c r="H25" s="89"/>
      <c r="I25" s="89"/>
      <c r="J25" s="89"/>
      <c r="K25" s="89"/>
      <c r="L25" s="11"/>
      <c r="M25" s="11"/>
      <c r="N25" s="42" t="s">
        <v>36</v>
      </c>
      <c r="O25" s="43"/>
      <c r="P25" s="48" t="e">
        <f>P23-P24</f>
        <v>#DIV/0!</v>
      </c>
      <c r="Q25" s="48" t="e">
        <f>Q23-Q24</f>
        <v>#DIV/0!</v>
      </c>
      <c r="R25" s="48">
        <f>R23-R24</f>
        <v>5.4016831017841313E-2</v>
      </c>
      <c r="S25" s="48">
        <f>S23-S24</f>
        <v>5.4175134314956866E-2</v>
      </c>
      <c r="T25" s="18"/>
      <c r="U25" s="18"/>
      <c r="V25" s="18"/>
      <c r="W25" s="18"/>
    </row>
    <row r="27" spans="1:23" ht="15" customHeight="1" x14ac:dyDescent="0.25">
      <c r="A27" s="732" t="s">
        <v>255</v>
      </c>
      <c r="B27" s="732"/>
      <c r="C27" s="732"/>
      <c r="D27" s="732"/>
      <c r="E27" s="732"/>
      <c r="F27" s="732"/>
      <c r="G27" s="732"/>
      <c r="H27" s="732"/>
      <c r="I27" s="732"/>
      <c r="J27" s="732"/>
      <c r="K27" s="732"/>
      <c r="L27" s="732"/>
      <c r="M27" s="732"/>
    </row>
    <row r="28" spans="1:23" x14ac:dyDescent="0.25">
      <c r="A28" s="732"/>
      <c r="B28" s="732"/>
      <c r="C28" s="732"/>
      <c r="D28" s="732"/>
      <c r="E28" s="732"/>
      <c r="F28" s="732"/>
      <c r="G28" s="732"/>
      <c r="H28" s="732"/>
      <c r="I28" s="732"/>
      <c r="J28" s="732"/>
      <c r="K28" s="732"/>
      <c r="L28" s="732"/>
      <c r="M28" s="732"/>
    </row>
    <row r="29" spans="1:23" x14ac:dyDescent="0.25">
      <c r="A29" s="732"/>
      <c r="B29" s="732"/>
      <c r="C29" s="732"/>
      <c r="D29" s="732"/>
      <c r="E29" s="732"/>
      <c r="F29" s="732"/>
      <c r="G29" s="732"/>
      <c r="H29" s="732"/>
      <c r="I29" s="732"/>
      <c r="J29" s="732"/>
      <c r="K29" s="732"/>
      <c r="L29" s="732"/>
      <c r="M29" s="732"/>
    </row>
    <row r="30" spans="1:23" x14ac:dyDescent="0.25">
      <c r="A30" s="732"/>
      <c r="B30" s="732"/>
      <c r="C30" s="732"/>
      <c r="D30" s="732"/>
      <c r="E30" s="732"/>
      <c r="F30" s="732"/>
      <c r="G30" s="732"/>
      <c r="H30" s="732"/>
      <c r="I30" s="732"/>
      <c r="J30" s="732"/>
      <c r="K30" s="732"/>
      <c r="L30" s="732"/>
      <c r="M30" s="732"/>
    </row>
    <row r="31" spans="1:23" x14ac:dyDescent="0.25">
      <c r="A31" s="732"/>
      <c r="B31" s="732"/>
      <c r="C31" s="732"/>
      <c r="D31" s="732"/>
      <c r="E31" s="732"/>
      <c r="F31" s="732"/>
      <c r="G31" s="732"/>
      <c r="H31" s="732"/>
      <c r="I31" s="732"/>
      <c r="J31" s="732"/>
      <c r="K31" s="732"/>
      <c r="L31" s="732"/>
      <c r="M31" s="732"/>
    </row>
    <row r="32" spans="1:23" x14ac:dyDescent="0.25">
      <c r="A32" s="732"/>
      <c r="B32" s="732"/>
      <c r="C32" s="732"/>
      <c r="D32" s="732"/>
      <c r="E32" s="732"/>
      <c r="F32" s="732"/>
      <c r="G32" s="732"/>
      <c r="H32" s="732"/>
      <c r="I32" s="732"/>
      <c r="J32" s="732"/>
      <c r="K32" s="732"/>
      <c r="L32" s="732"/>
      <c r="M32" s="732"/>
    </row>
    <row r="33" spans="1:13" x14ac:dyDescent="0.25">
      <c r="A33" s="732"/>
      <c r="B33" s="732"/>
      <c r="C33" s="732"/>
      <c r="D33" s="732"/>
      <c r="E33" s="732"/>
      <c r="F33" s="732"/>
      <c r="G33" s="732"/>
      <c r="H33" s="732"/>
      <c r="I33" s="732"/>
      <c r="J33" s="732"/>
      <c r="K33" s="732"/>
      <c r="L33" s="732"/>
      <c r="M33" s="732"/>
    </row>
    <row r="34" spans="1:13" x14ac:dyDescent="0.25">
      <c r="A34" s="732"/>
      <c r="B34" s="732"/>
      <c r="C34" s="732"/>
      <c r="D34" s="732"/>
      <c r="E34" s="732"/>
      <c r="F34" s="732"/>
      <c r="G34" s="732"/>
      <c r="H34" s="732"/>
      <c r="I34" s="732"/>
      <c r="J34" s="732"/>
      <c r="K34" s="732"/>
      <c r="L34" s="732"/>
      <c r="M34" s="732"/>
    </row>
    <row r="35" spans="1:13" x14ac:dyDescent="0.25">
      <c r="A35" s="732"/>
      <c r="B35" s="732"/>
      <c r="C35" s="732"/>
      <c r="D35" s="732"/>
      <c r="E35" s="732"/>
      <c r="F35" s="732"/>
      <c r="G35" s="732"/>
      <c r="H35" s="732"/>
      <c r="I35" s="732"/>
      <c r="J35" s="732"/>
      <c r="K35" s="732"/>
      <c r="L35" s="732"/>
      <c r="M35" s="732"/>
    </row>
  </sheetData>
  <mergeCells count="3">
    <mergeCell ref="A2:A4"/>
    <mergeCell ref="J1:L1"/>
    <mergeCell ref="A27:M3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W31"/>
  <sheetViews>
    <sheetView topLeftCell="B2" workbookViewId="0">
      <selection activeCell="AG6" sqref="AG6"/>
    </sheetView>
  </sheetViews>
  <sheetFormatPr defaultRowHeight="15" x14ac:dyDescent="0.25"/>
  <cols>
    <col min="1" max="1" width="30.5703125" customWidth="1"/>
    <col min="4" max="4" width="12.140625" customWidth="1"/>
    <col min="5" max="5" width="13.85546875" customWidth="1"/>
    <col min="6" max="6" width="12.5703125" customWidth="1"/>
    <col min="7" max="7" width="11.5703125" customWidth="1"/>
    <col min="8" max="9" width="10.140625" bestFit="1" customWidth="1"/>
    <col min="14" max="14" width="31.5703125" customWidth="1"/>
    <col min="16" max="16" width="14.28515625" customWidth="1"/>
    <col min="17" max="17" width="14.42578125" customWidth="1"/>
    <col min="18" max="18" width="12.28515625" customWidth="1"/>
    <col min="19" max="19" width="13.85546875" customWidth="1"/>
  </cols>
  <sheetData>
    <row r="1" spans="1:23" x14ac:dyDescent="0.25">
      <c r="I1" s="772" t="s">
        <v>112</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f>E10/AVERAGE(D23:E23)</f>
        <v>4.8476579794323356E-2</v>
      </c>
      <c r="R3" s="44">
        <f>F10/AVERAGE(E23:F23)</f>
        <v>5.7537018956960395E-2</v>
      </c>
      <c r="S3" s="44">
        <f>G10/AVERAGE(F23:G23)</f>
        <v>6.6586576503531447E-2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E5">
        <v>2847.54</v>
      </c>
      <c r="F5" s="85">
        <v>2366.77</v>
      </c>
      <c r="G5" s="90">
        <v>2046.45</v>
      </c>
      <c r="H5" s="85">
        <v>346.9</v>
      </c>
      <c r="I5" s="85">
        <v>347.5</v>
      </c>
      <c r="J5" s="85">
        <v>359.18</v>
      </c>
      <c r="K5" s="85">
        <v>354.33</v>
      </c>
      <c r="L5" s="11"/>
      <c r="M5" s="11"/>
      <c r="N5" s="42" t="s">
        <v>13</v>
      </c>
      <c r="O5" s="46"/>
      <c r="P5" s="47" t="e">
        <f>D21/D20</f>
        <v>#DIV/0!</v>
      </c>
      <c r="Q5" s="47">
        <f>E21/E20</f>
        <v>0.6661518057299799</v>
      </c>
      <c r="R5" s="47">
        <f>F21/F20</f>
        <v>0.70392719629598388</v>
      </c>
      <c r="S5" s="47">
        <f>G21/G20</f>
        <v>1.7094095858422282</v>
      </c>
      <c r="T5" s="47"/>
      <c r="U5" s="47">
        <f>I21/I20</f>
        <v>1.5406226440196904</v>
      </c>
      <c r="V5" s="47">
        <f>J21/J20</f>
        <v>1.471477565018577</v>
      </c>
      <c r="W5" s="47">
        <f>K21/K20</f>
        <v>1.4431467187797153</v>
      </c>
    </row>
    <row r="6" spans="1:23" x14ac:dyDescent="0.25">
      <c r="A6" s="6" t="s">
        <v>50</v>
      </c>
      <c r="B6" s="7"/>
      <c r="C6" s="8"/>
      <c r="E6">
        <v>2259.75</v>
      </c>
      <c r="F6" s="85">
        <v>2129.8200000000002</v>
      </c>
      <c r="G6" s="85">
        <v>1626.25</v>
      </c>
      <c r="H6" s="85">
        <v>340.1</v>
      </c>
      <c r="I6" s="85">
        <v>319.10000000000002</v>
      </c>
      <c r="J6" s="85">
        <v>349.02</v>
      </c>
      <c r="K6" s="85">
        <v>341.23</v>
      </c>
      <c r="L6" s="11"/>
      <c r="M6" s="11"/>
      <c r="N6" s="42" t="s">
        <v>14</v>
      </c>
      <c r="O6" s="43"/>
      <c r="P6" s="43"/>
      <c r="Q6" s="43">
        <v>0.51259999999999994</v>
      </c>
      <c r="R6" s="43">
        <v>0.4975</v>
      </c>
      <c r="S6" s="48">
        <v>0.60340000000000005</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f>E20/E23</f>
        <v>0.24430982710407928</v>
      </c>
      <c r="R7" s="44">
        <f>F20/F23</f>
        <v>0.31270512721808286</v>
      </c>
      <c r="S7" s="44">
        <f>G20/G23</f>
        <v>0.42365828812394873</v>
      </c>
      <c r="T7" s="18"/>
      <c r="U7" s="18"/>
      <c r="V7" s="18"/>
      <c r="W7" s="18"/>
    </row>
    <row r="8" spans="1:23" x14ac:dyDescent="0.25">
      <c r="A8" s="6" t="s">
        <v>52</v>
      </c>
      <c r="B8" s="7"/>
      <c r="C8" s="8"/>
      <c r="D8" s="85">
        <f t="shared" ref="D8:K8" si="0">D5-D6-D7</f>
        <v>0</v>
      </c>
      <c r="E8" s="85">
        <f t="shared" si="0"/>
        <v>587.79</v>
      </c>
      <c r="F8" s="85">
        <f t="shared" si="0"/>
        <v>236.94999999999982</v>
      </c>
      <c r="G8" s="85">
        <f t="shared" si="0"/>
        <v>420.20000000000005</v>
      </c>
      <c r="H8" s="85">
        <f t="shared" si="0"/>
        <v>6.7999999999999545</v>
      </c>
      <c r="I8" s="85">
        <f t="shared" si="0"/>
        <v>28.399999999999977</v>
      </c>
      <c r="J8" s="85">
        <f t="shared" si="0"/>
        <v>10.160000000000025</v>
      </c>
      <c r="K8" s="85">
        <f t="shared" si="0"/>
        <v>13.099999999999966</v>
      </c>
      <c r="L8" s="11"/>
      <c r="M8" s="11"/>
      <c r="N8" s="40" t="s">
        <v>16</v>
      </c>
      <c r="O8" s="45"/>
      <c r="P8" s="45"/>
      <c r="Q8" s="45"/>
      <c r="R8" s="46" t="s">
        <v>5</v>
      </c>
      <c r="S8" s="18"/>
      <c r="T8" s="18"/>
      <c r="U8" s="18"/>
      <c r="V8" s="18"/>
      <c r="W8" s="18"/>
    </row>
    <row r="9" spans="1:23" ht="33.75" x14ac:dyDescent="0.25">
      <c r="A9" s="6" t="s">
        <v>24</v>
      </c>
      <c r="B9" s="7"/>
      <c r="C9" s="7"/>
      <c r="D9" s="88"/>
      <c r="E9" s="85">
        <v>1414.46</v>
      </c>
      <c r="F9" s="85">
        <v>1224.6199999999999</v>
      </c>
      <c r="G9" s="85">
        <v>807.88</v>
      </c>
      <c r="H9" s="85">
        <v>157.56399999999999</v>
      </c>
      <c r="I9" s="85">
        <v>143.55699999999999</v>
      </c>
      <c r="J9" s="85">
        <v>146.91999999999999</v>
      </c>
      <c r="K9" s="85">
        <v>141.15</v>
      </c>
      <c r="L9" s="11"/>
      <c r="M9" s="11"/>
      <c r="N9" s="49" t="s">
        <v>93</v>
      </c>
      <c r="O9" s="45"/>
      <c r="P9" s="50" t="e">
        <f>D14/(D11-D9)</f>
        <v>#DIV/0!</v>
      </c>
      <c r="Q9" s="50">
        <f>E14/(E11-E9)</f>
        <v>0.47558405671700116</v>
      </c>
      <c r="R9" s="50">
        <f>F14/(F11-F9)</f>
        <v>0.44497657925841611</v>
      </c>
      <c r="S9" s="50">
        <f>G14/(G11-G9)</f>
        <v>0.39485858691878534</v>
      </c>
      <c r="T9" s="18"/>
      <c r="U9" s="18"/>
      <c r="V9" s="18"/>
      <c r="W9" s="18"/>
    </row>
    <row r="10" spans="1:23" ht="22.5" x14ac:dyDescent="0.25">
      <c r="A10" s="6" t="s">
        <v>53</v>
      </c>
      <c r="B10" s="10">
        <f t="shared" ref="B10:H10" si="1">B6-B9</f>
        <v>0</v>
      </c>
      <c r="C10" s="10">
        <f t="shared" si="1"/>
        <v>0</v>
      </c>
      <c r="D10" s="89">
        <f t="shared" si="1"/>
        <v>0</v>
      </c>
      <c r="E10" s="89">
        <f t="shared" si="1"/>
        <v>845.29</v>
      </c>
      <c r="F10" s="89">
        <f t="shared" si="1"/>
        <v>905.20000000000027</v>
      </c>
      <c r="G10" s="89">
        <f t="shared" si="1"/>
        <v>818.37</v>
      </c>
      <c r="H10" s="89">
        <f t="shared" si="1"/>
        <v>182.53600000000003</v>
      </c>
      <c r="I10" s="89">
        <f>I6-I9</f>
        <v>175.54300000000003</v>
      </c>
      <c r="J10" s="89">
        <f>J6-J9</f>
        <v>202.1</v>
      </c>
      <c r="K10" s="89">
        <f>K6-K9</f>
        <v>200.08</v>
      </c>
      <c r="L10" s="11"/>
      <c r="M10" s="11"/>
      <c r="N10" s="42" t="s">
        <v>92</v>
      </c>
      <c r="O10" s="43"/>
      <c r="P10" s="44" t="e">
        <f>D14/D11</f>
        <v>#DIV/0!</v>
      </c>
      <c r="Q10" s="44">
        <f>E14/E11</f>
        <v>0.23934694508242202</v>
      </c>
      <c r="R10" s="44">
        <f>F14/F11</f>
        <v>0.2147356946386848</v>
      </c>
      <c r="S10" s="44">
        <f>G14/G11</f>
        <v>0.23897969654768011</v>
      </c>
      <c r="T10" s="18"/>
      <c r="U10" s="18"/>
      <c r="V10" s="18"/>
      <c r="W10" s="18"/>
    </row>
    <row r="11" spans="1:23" ht="22.5" x14ac:dyDescent="0.25">
      <c r="A11" s="6" t="s">
        <v>1</v>
      </c>
      <c r="B11" s="10">
        <f>B5-B9</f>
        <v>0</v>
      </c>
      <c r="C11" s="10">
        <f t="shared" ref="C11:H11" si="2">SUM(C6:C8)</f>
        <v>0</v>
      </c>
      <c r="D11" s="89">
        <f t="shared" si="2"/>
        <v>0</v>
      </c>
      <c r="E11" s="89">
        <f t="shared" si="2"/>
        <v>2847.54</v>
      </c>
      <c r="F11" s="89">
        <f>SUM(F6:F8)</f>
        <v>2366.77</v>
      </c>
      <c r="G11" s="89">
        <f>SUM(G6:G8)</f>
        <v>2046.45</v>
      </c>
      <c r="H11" s="89">
        <f t="shared" si="2"/>
        <v>346.9</v>
      </c>
      <c r="I11" s="89">
        <f>SUM(I6:I8)</f>
        <v>347.5</v>
      </c>
      <c r="J11" s="89">
        <f>SUM(J6:J8)</f>
        <v>359.18</v>
      </c>
      <c r="K11" s="89">
        <f>SUM(K6:K8)</f>
        <v>354.33</v>
      </c>
      <c r="L11" s="11"/>
      <c r="M11" s="11"/>
      <c r="N11" s="42" t="s">
        <v>17</v>
      </c>
      <c r="O11" s="43"/>
      <c r="P11" s="44" t="e">
        <f>D14/AVERAGE(C22:D22)</f>
        <v>#DIV/0!</v>
      </c>
      <c r="Q11" s="44">
        <f>E14/AVERAGE(D22:E22)</f>
        <v>3.6157400211039747E-2</v>
      </c>
      <c r="R11" s="44">
        <f>F14/AVERAGE(E22:F22)</f>
        <v>2.8525428480583002E-2</v>
      </c>
      <c r="S11" s="44">
        <f>G14/AVERAGE(F22:G22)</f>
        <v>3.3033535056337562E-2</v>
      </c>
      <c r="T11" s="18"/>
      <c r="U11" s="18"/>
      <c r="V11" s="18"/>
      <c r="W11" s="18"/>
    </row>
    <row r="12" spans="1:23" x14ac:dyDescent="0.25">
      <c r="A12" s="6" t="s">
        <v>91</v>
      </c>
      <c r="B12" s="10"/>
      <c r="C12" s="10"/>
      <c r="D12" s="89"/>
      <c r="E12" s="89">
        <v>28.46</v>
      </c>
      <c r="F12" s="89">
        <v>41.88</v>
      </c>
      <c r="G12" s="89">
        <v>90.4</v>
      </c>
      <c r="H12" s="89">
        <v>35.551000000000002</v>
      </c>
      <c r="I12" s="89">
        <v>39.804000000000002</v>
      </c>
      <c r="J12" s="89">
        <v>46.72</v>
      </c>
      <c r="K12" s="89">
        <v>37.590000000000003</v>
      </c>
      <c r="L12" s="11"/>
      <c r="M12" s="11"/>
      <c r="N12" s="40" t="s">
        <v>18</v>
      </c>
      <c r="O12" s="45"/>
      <c r="P12" s="45"/>
      <c r="Q12" s="45"/>
      <c r="R12" s="46" t="s">
        <v>5</v>
      </c>
      <c r="S12" s="18"/>
      <c r="T12" s="18"/>
      <c r="U12" s="18"/>
      <c r="V12" s="53"/>
      <c r="W12" s="54"/>
    </row>
    <row r="13" spans="1:23" x14ac:dyDescent="0.25">
      <c r="A13" s="6" t="s">
        <v>25</v>
      </c>
      <c r="B13" s="7"/>
      <c r="C13" s="7"/>
      <c r="D13" s="88">
        <f t="shared" ref="D13:K13" si="3">D11+D12</f>
        <v>0</v>
      </c>
      <c r="E13" s="88">
        <f t="shared" si="3"/>
        <v>2876</v>
      </c>
      <c r="F13" s="88">
        <f t="shared" si="3"/>
        <v>2408.65</v>
      </c>
      <c r="G13" s="88">
        <f t="shared" si="3"/>
        <v>2136.85</v>
      </c>
      <c r="H13" s="88">
        <f t="shared" si="3"/>
        <v>382.45099999999996</v>
      </c>
      <c r="I13" s="88">
        <f t="shared" si="3"/>
        <v>387.30399999999997</v>
      </c>
      <c r="J13" s="88">
        <f t="shared" si="3"/>
        <v>405.9</v>
      </c>
      <c r="K13" s="88">
        <f t="shared" si="3"/>
        <v>391.91999999999996</v>
      </c>
      <c r="L13" s="11"/>
      <c r="M13" s="11"/>
      <c r="N13" s="42" t="s">
        <v>19</v>
      </c>
      <c r="O13" s="43"/>
      <c r="P13" s="44" t="e">
        <f>D24/D23</f>
        <v>#DIV/0!</v>
      </c>
      <c r="Q13" s="44">
        <f>E24/E23</f>
        <v>1.9383979427748221E-3</v>
      </c>
      <c r="R13" s="44">
        <f>F24/F23</f>
        <v>4.8539052230272862E-3</v>
      </c>
      <c r="S13" s="44">
        <f>G24/G23</f>
        <v>2.9300419321977686E-3</v>
      </c>
      <c r="T13" s="48"/>
      <c r="U13" s="48">
        <v>4.3299999999999998E-2</v>
      </c>
      <c r="V13" s="48">
        <v>4.36E-2</v>
      </c>
      <c r="W13" s="48">
        <v>4.0099999999999997E-2</v>
      </c>
    </row>
    <row r="14" spans="1:23" x14ac:dyDescent="0.25">
      <c r="A14" s="6" t="s">
        <v>26</v>
      </c>
      <c r="B14" s="7"/>
      <c r="C14" s="7"/>
      <c r="D14" s="85"/>
      <c r="E14" s="85">
        <f>432.68+36.4+212.47</f>
        <v>681.55</v>
      </c>
      <c r="F14" s="85">
        <f>343.62+27.92+136.69</f>
        <v>508.23</v>
      </c>
      <c r="G14" s="85">
        <f>283.61+16.51+188.94</f>
        <v>489.06</v>
      </c>
      <c r="H14" s="85">
        <v>134.30000000000001</v>
      </c>
      <c r="I14" s="85">
        <v>147.9</v>
      </c>
      <c r="J14" s="85">
        <f>93.77+2.83+47.92</f>
        <v>144.51999999999998</v>
      </c>
      <c r="K14" s="85">
        <f>102.02+9.6+60.1</f>
        <v>171.72</v>
      </c>
      <c r="L14" s="11"/>
      <c r="M14" s="11"/>
      <c r="N14" s="42" t="s">
        <v>20</v>
      </c>
      <c r="O14" s="43"/>
      <c r="P14" s="44" t="e">
        <f>D25/D23</f>
        <v>#DIV/0!</v>
      </c>
      <c r="Q14" s="44">
        <f>E25/E23</f>
        <v>1.304690923021515E-3</v>
      </c>
      <c r="R14" s="44">
        <f>F25/F23</f>
        <v>3.3782724117970785E-3</v>
      </c>
      <c r="S14" s="44">
        <f>G25/G23</f>
        <v>1.2470682997322972E-3</v>
      </c>
      <c r="T14" s="48"/>
      <c r="U14" s="48">
        <v>1.46E-2</v>
      </c>
      <c r="V14" s="48">
        <v>1.7399999999999999E-2</v>
      </c>
      <c r="W14" s="48">
        <v>1.3899999999999999E-2</v>
      </c>
    </row>
    <row r="15" spans="1:23" x14ac:dyDescent="0.25">
      <c r="A15" s="6" t="s">
        <v>54</v>
      </c>
      <c r="B15" s="10"/>
      <c r="C15" s="10"/>
      <c r="D15" s="89">
        <f t="shared" ref="D15:I15" si="4">D11-D14</f>
        <v>0</v>
      </c>
      <c r="E15" s="89">
        <f t="shared" si="4"/>
        <v>2165.9899999999998</v>
      </c>
      <c r="F15" s="89">
        <f t="shared" si="4"/>
        <v>1858.54</v>
      </c>
      <c r="G15" s="89">
        <f t="shared" si="4"/>
        <v>1557.39</v>
      </c>
      <c r="H15" s="89">
        <f t="shared" si="4"/>
        <v>212.59999999999997</v>
      </c>
      <c r="I15" s="89">
        <f t="shared" si="4"/>
        <v>199.6</v>
      </c>
      <c r="J15" s="89">
        <f>J11-J14</f>
        <v>214.66000000000003</v>
      </c>
      <c r="K15" s="89">
        <f>K11-K14</f>
        <v>182.60999999999999</v>
      </c>
      <c r="L15" s="11"/>
      <c r="M15" s="11"/>
      <c r="N15" s="42" t="s">
        <v>21</v>
      </c>
      <c r="O15" s="43"/>
      <c r="P15" s="44" t="e">
        <f>(P13-P14)/P13</f>
        <v>#DIV/0!</v>
      </c>
      <c r="Q15" s="44">
        <f>(Q13-Q14)/Q13</f>
        <v>0.32692307692307687</v>
      </c>
      <c r="R15" s="44">
        <f>(R13-R14)/R13</f>
        <v>0.30400939932442361</v>
      </c>
      <c r="S15" s="44">
        <f>(S13-S14)/S13</f>
        <v>0.57438551099611912</v>
      </c>
      <c r="T15" s="44" t="e">
        <f>(T13-T14)/T13</f>
        <v>#DIV/0!</v>
      </c>
      <c r="U15" s="18"/>
      <c r="V15" s="18"/>
      <c r="W15" s="18"/>
    </row>
    <row r="16" spans="1:23" x14ac:dyDescent="0.25">
      <c r="A16" s="6" t="s">
        <v>94</v>
      </c>
      <c r="B16" s="10"/>
      <c r="C16" s="10"/>
      <c r="D16" s="89">
        <f t="shared" ref="D16:I16" si="5">D13-D14-D9</f>
        <v>0</v>
      </c>
      <c r="E16" s="89">
        <f t="shared" si="5"/>
        <v>779.98999999999978</v>
      </c>
      <c r="F16" s="89">
        <f t="shared" si="5"/>
        <v>675.80000000000018</v>
      </c>
      <c r="G16" s="89">
        <f t="shared" si="5"/>
        <v>839.91</v>
      </c>
      <c r="H16" s="89">
        <f t="shared" si="5"/>
        <v>90.586999999999961</v>
      </c>
      <c r="I16" s="89">
        <f t="shared" si="5"/>
        <v>95.84699999999998</v>
      </c>
      <c r="J16" s="89">
        <f>J13-J14-J9</f>
        <v>114.46000000000001</v>
      </c>
      <c r="K16" s="89">
        <f>K13-K14-K9</f>
        <v>79.049999999999955</v>
      </c>
      <c r="L16" s="11"/>
      <c r="M16" s="11"/>
      <c r="N16" s="42" t="s">
        <v>22</v>
      </c>
      <c r="O16" s="43"/>
      <c r="P16" s="44" t="e">
        <f>D17/AVERAGE(C23:D23)</f>
        <v>#DIV/0!</v>
      </c>
      <c r="Q16" s="44">
        <f>E17/AVERAGE(D23:E23)</f>
        <v>2.0394469716259831E-2</v>
      </c>
      <c r="R16" s="44">
        <f>F17/AVERAGE(E23:F23)</f>
        <v>3.2235222927345215E-2</v>
      </c>
      <c r="S16" s="44">
        <f>G17/AVERAGE(F23:G23)</f>
        <v>5.726053400584119E-2</v>
      </c>
      <c r="T16" s="18"/>
      <c r="U16" s="18"/>
      <c r="V16" s="18"/>
      <c r="W16" s="18"/>
    </row>
    <row r="17" spans="1:23" x14ac:dyDescent="0.25">
      <c r="A17" s="6" t="s">
        <v>27</v>
      </c>
      <c r="B17" s="7"/>
      <c r="C17" s="7"/>
      <c r="D17" s="88"/>
      <c r="E17" s="85">
        <v>355.62</v>
      </c>
      <c r="F17" s="85">
        <v>507.14</v>
      </c>
      <c r="G17" s="85">
        <v>703.75</v>
      </c>
      <c r="H17" s="85">
        <v>51.423999999999999</v>
      </c>
      <c r="I17" s="85">
        <v>63.018999999999998</v>
      </c>
      <c r="J17" s="85">
        <v>61.96</v>
      </c>
      <c r="K17" s="85">
        <v>43.44</v>
      </c>
      <c r="L17" s="11"/>
      <c r="M17" s="11"/>
      <c r="N17" s="18"/>
      <c r="O17" s="18"/>
      <c r="P17" s="18"/>
      <c r="Q17" s="18"/>
      <c r="R17" s="18"/>
      <c r="S17" s="18"/>
      <c r="T17" s="18"/>
      <c r="U17" s="18"/>
      <c r="V17" s="18"/>
      <c r="W17" s="18"/>
    </row>
    <row r="18" spans="1:23" x14ac:dyDescent="0.25">
      <c r="A18" s="6" t="s">
        <v>55</v>
      </c>
      <c r="B18" s="7"/>
      <c r="C18" s="7"/>
      <c r="D18" s="88"/>
      <c r="E18" s="85">
        <v>317.77</v>
      </c>
      <c r="F18" s="89">
        <v>125.5</v>
      </c>
      <c r="G18" s="89">
        <v>84.04</v>
      </c>
      <c r="H18" s="89">
        <v>14.478999999999999</v>
      </c>
      <c r="I18" s="89">
        <v>24.48</v>
      </c>
      <c r="J18" s="89">
        <v>38.89</v>
      </c>
      <c r="K18" s="89">
        <v>26.13</v>
      </c>
      <c r="L18" s="11"/>
      <c r="M18" s="11"/>
      <c r="N18" s="40" t="s">
        <v>30</v>
      </c>
      <c r="O18" s="45"/>
      <c r="P18" s="45"/>
      <c r="Q18" s="45"/>
      <c r="R18" s="46" t="s">
        <v>5</v>
      </c>
      <c r="S18" s="18"/>
      <c r="T18" s="18"/>
      <c r="U18" s="18"/>
      <c r="V18" s="18"/>
      <c r="W18" s="18"/>
    </row>
    <row r="19" spans="1:23" ht="22.5" x14ac:dyDescent="0.25">
      <c r="A19" s="6" t="s">
        <v>28</v>
      </c>
      <c r="B19" s="7"/>
      <c r="C19" s="7"/>
      <c r="D19" s="88"/>
      <c r="E19" s="85">
        <f>1191.56+3068.49</f>
        <v>4260.0499999999993</v>
      </c>
      <c r="F19" s="85">
        <f>1191.56+3195.03</f>
        <v>4386.59</v>
      </c>
      <c r="G19" s="85">
        <f>1191.56+3279.2</f>
        <v>4470.76</v>
      </c>
      <c r="H19" s="85"/>
      <c r="I19" s="85">
        <v>4509.8</v>
      </c>
      <c r="J19" s="85">
        <f>3357.15+1191.55</f>
        <v>4548.7</v>
      </c>
      <c r="K19" s="85">
        <f>1191.55+3383.12</f>
        <v>4574.67</v>
      </c>
      <c r="L19" s="11"/>
      <c r="M19" s="11"/>
      <c r="N19" s="46" t="s">
        <v>95</v>
      </c>
      <c r="O19" s="51"/>
      <c r="P19" s="51"/>
      <c r="Q19" s="52">
        <f>E16/AVERAGE(D22:E22)</f>
        <v>4.1379811592119266E-2</v>
      </c>
      <c r="R19" s="52">
        <f>F16/AVERAGE(E22:F22)</f>
        <v>3.7930630948936499E-2</v>
      </c>
      <c r="S19" s="52">
        <f>G16/AVERAGE(F22:G22)</f>
        <v>5.6731682061850246E-2</v>
      </c>
      <c r="T19" s="18"/>
      <c r="U19" s="48"/>
      <c r="V19" s="18"/>
      <c r="W19" s="18"/>
    </row>
    <row r="20" spans="1:23" x14ac:dyDescent="0.25">
      <c r="A20" s="6" t="s">
        <v>56</v>
      </c>
      <c r="B20" s="7"/>
      <c r="C20" s="7"/>
      <c r="D20" s="88">
        <f t="shared" ref="D20:K20" si="6">D19-D71</f>
        <v>0</v>
      </c>
      <c r="E20" s="89">
        <f t="shared" si="6"/>
        <v>4260.0499999999993</v>
      </c>
      <c r="F20" s="89">
        <f t="shared" si="6"/>
        <v>4386.59</v>
      </c>
      <c r="G20" s="89">
        <f t="shared" si="6"/>
        <v>4470.76</v>
      </c>
      <c r="H20" s="89">
        <f t="shared" si="6"/>
        <v>0</v>
      </c>
      <c r="I20" s="89">
        <f t="shared" si="6"/>
        <v>4509.8</v>
      </c>
      <c r="J20" s="89">
        <f t="shared" si="6"/>
        <v>4548.7</v>
      </c>
      <c r="K20" s="89">
        <f t="shared" si="6"/>
        <v>4574.67</v>
      </c>
      <c r="L20" s="11"/>
      <c r="M20" s="11"/>
      <c r="N20" s="42" t="s">
        <v>31</v>
      </c>
      <c r="O20" s="43"/>
      <c r="P20" s="43">
        <v>4.4699999999999997E-2</v>
      </c>
      <c r="Q20" s="44">
        <f>E18/AVERAGE(D22:E22)</f>
        <v>1.6858245271898026E-2</v>
      </c>
      <c r="R20" s="44">
        <f>F18/AVERAGE(E22:F22)</f>
        <v>7.0439393076228611E-3</v>
      </c>
      <c r="S20" s="44">
        <f>G18/AVERAGE(F22:G22)</f>
        <v>5.6764779089163069E-3</v>
      </c>
      <c r="T20" s="48"/>
      <c r="U20" s="18"/>
      <c r="V20" s="18"/>
      <c r="W20" s="18"/>
    </row>
    <row r="21" spans="1:23" x14ac:dyDescent="0.25">
      <c r="A21" s="6" t="s">
        <v>57</v>
      </c>
      <c r="B21" s="9"/>
      <c r="C21" s="9"/>
      <c r="D21" s="85"/>
      <c r="E21" s="85">
        <f>2837.84</f>
        <v>2837.84</v>
      </c>
      <c r="F21" s="85">
        <v>3087.84</v>
      </c>
      <c r="G21" s="85">
        <f>2420.69+5221.67</f>
        <v>7642.3600000000006</v>
      </c>
      <c r="H21" s="85"/>
      <c r="I21" s="85">
        <v>6947.9</v>
      </c>
      <c r="J21" s="85">
        <f>1900.22+4793.09</f>
        <v>6693.31</v>
      </c>
      <c r="K21" s="85">
        <f>1900.22+4701.7</f>
        <v>6601.92</v>
      </c>
      <c r="L21" s="11"/>
      <c r="M21" s="11"/>
      <c r="N21" s="42" t="s">
        <v>32</v>
      </c>
      <c r="O21" s="43"/>
      <c r="P21" s="44" t="e">
        <f>D18/AVERAGE(C19:D19)</f>
        <v>#DIV/0!</v>
      </c>
      <c r="Q21" s="44">
        <f>E18/AVERAGE(D19:E19)</f>
        <v>7.459302120867127E-2</v>
      </c>
      <c r="R21" s="44">
        <f>F18/AVERAGE(E19:F19)</f>
        <v>2.9028616896274163E-2</v>
      </c>
      <c r="S21" s="44">
        <f>G18/AVERAGE(F19:G19)</f>
        <v>1.8976330392273085E-2</v>
      </c>
      <c r="T21" s="18"/>
      <c r="U21" s="18"/>
      <c r="V21" s="18"/>
      <c r="W21" s="18"/>
    </row>
    <row r="22" spans="1:23" x14ac:dyDescent="0.25">
      <c r="A22" s="6" t="s">
        <v>29</v>
      </c>
      <c r="B22" s="7"/>
      <c r="C22" s="7"/>
      <c r="D22" s="88"/>
      <c r="E22" s="85">
        <v>18849.53</v>
      </c>
      <c r="F22" s="85">
        <v>16783.939999999999</v>
      </c>
      <c r="G22" s="85">
        <v>12825.97</v>
      </c>
      <c r="H22" s="85"/>
      <c r="I22" s="85">
        <v>11991</v>
      </c>
      <c r="J22" s="85">
        <v>11883.62</v>
      </c>
      <c r="K22" s="85">
        <v>12110.6</v>
      </c>
      <c r="L22" s="11"/>
      <c r="M22" s="11"/>
      <c r="N22" s="40" t="s">
        <v>33</v>
      </c>
      <c r="O22" s="45"/>
      <c r="P22" s="45"/>
      <c r="Q22" s="45"/>
      <c r="R22" s="46" t="s">
        <v>5</v>
      </c>
      <c r="S22" s="18"/>
      <c r="T22" s="18"/>
      <c r="U22" s="18"/>
      <c r="V22" s="18"/>
      <c r="W22" s="18"/>
    </row>
    <row r="23" spans="1:23" x14ac:dyDescent="0.25">
      <c r="A23" s="6" t="s">
        <v>58</v>
      </c>
      <c r="B23" s="7"/>
      <c r="C23" s="7"/>
      <c r="D23" s="88"/>
      <c r="E23" s="85">
        <v>17437.080000000002</v>
      </c>
      <c r="F23" s="85">
        <v>14027.88</v>
      </c>
      <c r="G23" s="85">
        <v>10552.75</v>
      </c>
      <c r="H23" s="85"/>
      <c r="I23" s="85">
        <v>10004</v>
      </c>
      <c r="J23" s="85">
        <v>10096.14</v>
      </c>
      <c r="K23" s="85">
        <v>10506.91</v>
      </c>
      <c r="L23" s="11"/>
      <c r="M23" s="11"/>
      <c r="N23" s="42" t="s">
        <v>34</v>
      </c>
      <c r="O23" s="43"/>
      <c r="P23" s="44" t="e">
        <f>D6/AVERAGE(C23:D23)</f>
        <v>#DIV/0!</v>
      </c>
      <c r="Q23" s="44">
        <f>E6/AVERAGE(D23:E23)</f>
        <v>0.12959451926584037</v>
      </c>
      <c r="R23" s="44">
        <f>F6/AVERAGE(E23:F23)</f>
        <v>0.13537725774957288</v>
      </c>
      <c r="S23" s="44">
        <f>G6/AVERAGE(F23:G23)</f>
        <v>0.13231963542024758</v>
      </c>
      <c r="T23" s="18"/>
      <c r="U23" s="18"/>
      <c r="V23" s="18"/>
      <c r="W23" s="18"/>
    </row>
    <row r="24" spans="1:23" x14ac:dyDescent="0.25">
      <c r="A24" s="6" t="s">
        <v>59</v>
      </c>
      <c r="B24" s="10"/>
      <c r="C24" s="10"/>
      <c r="D24" s="89"/>
      <c r="E24" s="89">
        <v>33.799999999999997</v>
      </c>
      <c r="F24" s="89">
        <v>68.09</v>
      </c>
      <c r="G24" s="89">
        <v>30.92</v>
      </c>
      <c r="H24" s="89"/>
      <c r="I24" s="89"/>
      <c r="J24" s="89"/>
      <c r="K24" s="89"/>
      <c r="L24" s="11"/>
      <c r="M24" s="11"/>
      <c r="N24" s="42" t="s">
        <v>35</v>
      </c>
      <c r="O24" s="43"/>
      <c r="P24" s="44" t="e">
        <f>D9/AVERAGE(C21:D21)</f>
        <v>#DIV/0!</v>
      </c>
      <c r="Q24" s="44">
        <f>E9/AVERAGE(D21:E21)</f>
        <v>0.49842838214980406</v>
      </c>
      <c r="R24" s="44">
        <f>F9/AVERAGE(E21:F21)</f>
        <v>0.41332640304572632</v>
      </c>
      <c r="S24" s="44">
        <f>G9/AVERAGE(F21:G21)</f>
        <v>0.15058060427578235</v>
      </c>
      <c r="T24" s="18"/>
      <c r="U24" s="18"/>
      <c r="V24" s="18"/>
      <c r="W24" s="18"/>
    </row>
    <row r="25" spans="1:23" x14ac:dyDescent="0.25">
      <c r="A25" s="6" t="s">
        <v>60</v>
      </c>
      <c r="B25" s="10"/>
      <c r="C25" s="10"/>
      <c r="D25" s="89"/>
      <c r="E25" s="89">
        <v>22.75</v>
      </c>
      <c r="F25" s="89">
        <v>47.39</v>
      </c>
      <c r="G25" s="89">
        <v>13.16</v>
      </c>
      <c r="H25" s="89"/>
      <c r="I25" s="89"/>
      <c r="J25" s="89"/>
      <c r="K25" s="89"/>
      <c r="L25" s="11"/>
      <c r="M25" s="11"/>
      <c r="N25" s="42" t="s">
        <v>36</v>
      </c>
      <c r="O25" s="43"/>
      <c r="P25" s="48" t="e">
        <f>P23-P24</f>
        <v>#DIV/0!</v>
      </c>
      <c r="Q25" s="48">
        <f>Q23-Q24</f>
        <v>-0.36883386288396369</v>
      </c>
      <c r="R25" s="48">
        <f>R23-R24</f>
        <v>-0.27794914529615344</v>
      </c>
      <c r="S25" s="48">
        <f>S23-S24</f>
        <v>-1.826096885553477E-2</v>
      </c>
      <c r="T25" s="18"/>
      <c r="U25" s="18"/>
      <c r="V25" s="18"/>
      <c r="W25" s="18"/>
    </row>
    <row r="27" spans="1:23" x14ac:dyDescent="0.25">
      <c r="A27" s="732" t="s">
        <v>257</v>
      </c>
      <c r="B27" s="732"/>
      <c r="C27" s="732"/>
      <c r="D27" s="732"/>
      <c r="E27" s="732"/>
      <c r="F27" s="732"/>
      <c r="G27" s="732"/>
      <c r="H27" s="732"/>
      <c r="I27" s="732"/>
      <c r="J27" s="732"/>
      <c r="K27" s="732"/>
      <c r="L27" s="732"/>
    </row>
    <row r="28" spans="1:23" x14ac:dyDescent="0.25">
      <c r="A28" s="732"/>
      <c r="B28" s="732"/>
      <c r="C28" s="732"/>
      <c r="D28" s="732"/>
      <c r="E28" s="732"/>
      <c r="F28" s="732"/>
      <c r="G28" s="732"/>
      <c r="H28" s="732"/>
      <c r="I28" s="732"/>
      <c r="J28" s="732"/>
      <c r="K28" s="732"/>
      <c r="L28" s="732"/>
    </row>
    <row r="29" spans="1:23" x14ac:dyDescent="0.25">
      <c r="A29" s="732"/>
      <c r="B29" s="732"/>
      <c r="C29" s="732"/>
      <c r="D29" s="732"/>
      <c r="E29" s="732"/>
      <c r="F29" s="732"/>
      <c r="G29" s="732"/>
      <c r="H29" s="732"/>
      <c r="I29" s="732"/>
      <c r="J29" s="732"/>
      <c r="K29" s="732"/>
      <c r="L29" s="732"/>
    </row>
    <row r="30" spans="1:23" x14ac:dyDescent="0.25">
      <c r="A30" s="732"/>
      <c r="B30" s="732"/>
      <c r="C30" s="732"/>
      <c r="D30" s="732"/>
      <c r="E30" s="732"/>
      <c r="F30" s="732"/>
      <c r="G30" s="732"/>
      <c r="H30" s="732"/>
      <c r="I30" s="732"/>
      <c r="J30" s="732"/>
      <c r="K30" s="732"/>
      <c r="L30" s="732"/>
    </row>
    <row r="31" spans="1:23" x14ac:dyDescent="0.25">
      <c r="A31" s="732"/>
      <c r="B31" s="732"/>
      <c r="C31" s="732"/>
      <c r="D31" s="732"/>
      <c r="E31" s="732"/>
      <c r="F31" s="732"/>
      <c r="G31" s="732"/>
      <c r="H31" s="732"/>
      <c r="I31" s="732"/>
      <c r="J31" s="732"/>
      <c r="K31" s="732"/>
      <c r="L31" s="732"/>
    </row>
  </sheetData>
  <mergeCells count="3">
    <mergeCell ref="A2:A4"/>
    <mergeCell ref="I1:K1"/>
    <mergeCell ref="A27:L31"/>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Y32"/>
  <sheetViews>
    <sheetView topLeftCell="A3" workbookViewId="0">
      <selection activeCell="AG6" sqref="AG6"/>
    </sheetView>
  </sheetViews>
  <sheetFormatPr defaultRowHeight="15" x14ac:dyDescent="0.25"/>
  <cols>
    <col min="1" max="1" width="31.85546875" customWidth="1"/>
    <col min="4" max="4" width="12.140625" customWidth="1"/>
    <col min="5" max="5" width="11.5703125" customWidth="1"/>
    <col min="6" max="6" width="12.42578125" customWidth="1"/>
    <col min="7" max="8" width="11.7109375" customWidth="1"/>
    <col min="9" max="10" width="11.28515625" customWidth="1"/>
    <col min="11" max="11" width="10.140625" bestFit="1" customWidth="1"/>
    <col min="12" max="12" width="11.28515625" bestFit="1" customWidth="1"/>
    <col min="15" max="15" width="30.28515625" customWidth="1"/>
    <col min="17" max="17" width="13.28515625" customWidth="1"/>
    <col min="18" max="18" width="13.7109375" customWidth="1"/>
    <col min="19" max="19" width="13.42578125" customWidth="1"/>
    <col min="20" max="20" width="14" customWidth="1"/>
    <col min="21" max="21" width="12.28515625" customWidth="1"/>
  </cols>
  <sheetData>
    <row r="1" spans="1:25" x14ac:dyDescent="0.25">
      <c r="J1" s="772" t="s">
        <v>119</v>
      </c>
      <c r="K1" s="772"/>
      <c r="L1" s="772"/>
    </row>
    <row r="2" spans="1:25" ht="4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771"/>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f>E10/AVERAGE(D23:E23)</f>
        <v>0.10550019605066802</v>
      </c>
      <c r="S3" s="44">
        <f>F10/AVERAGE(E23:F23)</f>
        <v>3.0523406523348267E-2</v>
      </c>
      <c r="T3" s="44">
        <f>G10/AVERAGE(F23:G23)</f>
        <v>1.3177138949138998E-2</v>
      </c>
      <c r="U3" s="44">
        <f>H10/AVERAGE(G23:H23)</f>
        <v>1.0306422794024802E-2</v>
      </c>
      <c r="V3" s="18"/>
      <c r="W3" s="18"/>
      <c r="X3" s="18"/>
      <c r="Y3" s="18"/>
    </row>
    <row r="4" spans="1:25"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E5">
        <v>381309.05</v>
      </c>
      <c r="F5" s="85">
        <v>334556.28000000003</v>
      </c>
      <c r="G5" s="90">
        <v>361755.65</v>
      </c>
      <c r="H5" s="90">
        <v>407491.75</v>
      </c>
      <c r="I5" s="85">
        <v>115563.76</v>
      </c>
      <c r="J5" s="85">
        <v>120916.48</v>
      </c>
      <c r="K5" s="85">
        <v>109671.6</v>
      </c>
      <c r="L5" s="85">
        <v>106362.55</v>
      </c>
      <c r="M5" s="11"/>
      <c r="N5" s="11"/>
      <c r="O5" s="42" t="s">
        <v>13</v>
      </c>
      <c r="P5" s="46"/>
      <c r="Q5" s="47" t="e">
        <f>D21/D20</f>
        <v>#DIV/0!</v>
      </c>
      <c r="R5" s="47">
        <f>E21/E20</f>
        <v>3.5395306503319093</v>
      </c>
      <c r="S5" s="47">
        <f>F21/F20</f>
        <v>3.7261945712743505</v>
      </c>
      <c r="T5" s="47">
        <f>G21/G20</f>
        <v>3.4767495667672739</v>
      </c>
      <c r="U5" s="47">
        <f>H21/H20</f>
        <v>3.3429880962836149</v>
      </c>
      <c r="V5" s="18"/>
      <c r="W5" s="18"/>
      <c r="X5" s="18"/>
      <c r="Y5" s="18"/>
    </row>
    <row r="6" spans="1:25" x14ac:dyDescent="0.25">
      <c r="A6" s="6" t="s">
        <v>50</v>
      </c>
      <c r="B6" s="7"/>
      <c r="C6" s="8"/>
      <c r="E6">
        <v>376751.98</v>
      </c>
      <c r="F6" s="85">
        <v>330269.23</v>
      </c>
      <c r="G6" s="85">
        <f>356567.15-33720.18-38178.49</f>
        <v>284668.48000000004</v>
      </c>
      <c r="H6" s="85">
        <f>403135.8-33718.8-57762.79</f>
        <v>311654.21000000002</v>
      </c>
      <c r="I6" s="85">
        <v>112544.71</v>
      </c>
      <c r="J6" s="85">
        <v>119052.15</v>
      </c>
      <c r="K6" s="85">
        <v>109032.3</v>
      </c>
      <c r="L6" s="85">
        <v>104756.43</v>
      </c>
      <c r="M6" s="11"/>
      <c r="N6" s="11"/>
      <c r="O6" s="42" t="s">
        <v>14</v>
      </c>
      <c r="P6" s="43"/>
      <c r="Q6" s="43"/>
      <c r="R6" s="43">
        <v>0.3085</v>
      </c>
      <c r="S6" s="43">
        <v>0.30859999999999999</v>
      </c>
      <c r="T6" s="48">
        <v>0.2903</v>
      </c>
      <c r="U6" s="48">
        <v>0.27650000000000002</v>
      </c>
      <c r="V6" s="48"/>
      <c r="W6" s="48">
        <v>0.27760000000000001</v>
      </c>
      <c r="X6" s="48">
        <v>0.2999</v>
      </c>
      <c r="Y6" s="48">
        <v>0.27650000000000002</v>
      </c>
    </row>
    <row r="7" spans="1:25" x14ac:dyDescent="0.25">
      <c r="A7" s="6" t="s">
        <v>51</v>
      </c>
      <c r="B7" s="7"/>
      <c r="C7" s="8"/>
      <c r="D7" s="87"/>
      <c r="E7" s="85"/>
      <c r="F7" s="85">
        <v>0</v>
      </c>
      <c r="G7" s="85">
        <v>0</v>
      </c>
      <c r="H7" s="85"/>
      <c r="I7" s="85"/>
      <c r="J7" s="85"/>
      <c r="K7" s="85"/>
      <c r="L7" s="85"/>
      <c r="M7" s="11"/>
      <c r="N7" s="11"/>
      <c r="O7" s="42" t="s">
        <v>15</v>
      </c>
      <c r="P7" s="43"/>
      <c r="Q7" s="44" t="e">
        <f>D20/D23</f>
        <v>#DIV/0!</v>
      </c>
      <c r="R7" s="44">
        <f>E20/E23</f>
        <v>0.30638020151889594</v>
      </c>
      <c r="S7" s="44">
        <f>F20/F23</f>
        <v>0.29029199724429333</v>
      </c>
      <c r="T7" s="44">
        <f>G20/G23</f>
        <v>0.29814795994450161</v>
      </c>
      <c r="U7" s="44">
        <f>H20/H23</f>
        <v>0.30454707033900663</v>
      </c>
      <c r="V7" s="18"/>
      <c r="W7" s="18"/>
      <c r="X7" s="18"/>
      <c r="Y7" s="18"/>
    </row>
    <row r="8" spans="1:25" x14ac:dyDescent="0.25">
      <c r="A8" s="6" t="s">
        <v>52</v>
      </c>
      <c r="B8" s="7"/>
      <c r="C8" s="8"/>
      <c r="D8" s="85">
        <f t="shared" ref="D8:L8" si="0">D5-D6-D7</f>
        <v>0</v>
      </c>
      <c r="E8" s="85">
        <f t="shared" si="0"/>
        <v>4557.070000000007</v>
      </c>
      <c r="F8" s="85">
        <f t="shared" si="0"/>
        <v>4287.0500000000466</v>
      </c>
      <c r="G8" s="85">
        <f t="shared" si="0"/>
        <v>77087.169999999984</v>
      </c>
      <c r="H8" s="85">
        <f t="shared" si="0"/>
        <v>95837.539999999979</v>
      </c>
      <c r="I8" s="85">
        <f t="shared" si="0"/>
        <v>3019.0499999999884</v>
      </c>
      <c r="J8" s="85">
        <f t="shared" si="0"/>
        <v>1864.3300000000017</v>
      </c>
      <c r="K8" s="85">
        <f t="shared" si="0"/>
        <v>639.30000000000291</v>
      </c>
      <c r="L8" s="85">
        <f t="shared" si="0"/>
        <v>1606.1200000000099</v>
      </c>
      <c r="M8" s="11"/>
      <c r="N8" s="11"/>
      <c r="O8" s="40" t="s">
        <v>16</v>
      </c>
      <c r="P8" s="45"/>
      <c r="Q8" s="45"/>
      <c r="R8" s="45"/>
      <c r="S8" s="46" t="s">
        <v>5</v>
      </c>
      <c r="T8" s="18"/>
      <c r="U8" s="18"/>
      <c r="V8" s="18"/>
      <c r="W8" s="18"/>
      <c r="X8" s="18"/>
      <c r="Y8" s="18"/>
    </row>
    <row r="9" spans="1:25" ht="33.75" x14ac:dyDescent="0.25">
      <c r="A9" s="6" t="s">
        <v>24</v>
      </c>
      <c r="B9" s="7"/>
      <c r="C9" s="7"/>
      <c r="D9" s="88"/>
      <c r="E9" s="85">
        <v>21878.62</v>
      </c>
      <c r="F9" s="85">
        <v>222918.68</v>
      </c>
      <c r="G9" s="85">
        <v>234549.93</v>
      </c>
      <c r="H9" s="85">
        <v>269577.03000000003</v>
      </c>
      <c r="I9" s="85">
        <v>75626.75</v>
      </c>
      <c r="J9" s="85">
        <v>79356.55</v>
      </c>
      <c r="K9" s="85">
        <v>58133.2</v>
      </c>
      <c r="L9" s="85">
        <v>73051.5</v>
      </c>
      <c r="M9" s="11"/>
      <c r="N9" s="11"/>
      <c r="O9" s="49" t="s">
        <v>93</v>
      </c>
      <c r="P9" s="45"/>
      <c r="Q9" s="93" t="e">
        <f>D14/(D11-D9)</f>
        <v>#DIV/0!</v>
      </c>
      <c r="R9" s="93">
        <f>E14/(E11-E9)</f>
        <v>0.5916615351682939</v>
      </c>
      <c r="S9" s="93">
        <f>F14/(F11-F9)</f>
        <v>1.7171684092098001</v>
      </c>
      <c r="T9" s="93">
        <f>G14/(G11-G9)</f>
        <v>1.6122061963880234</v>
      </c>
      <c r="U9" s="93">
        <f>H14/(H11-H9)</f>
        <v>1.0315576176350141</v>
      </c>
      <c r="V9" s="18"/>
      <c r="W9" s="18"/>
      <c r="X9" s="18"/>
      <c r="Y9" s="18"/>
    </row>
    <row r="10" spans="1:25" ht="22.5" x14ac:dyDescent="0.25">
      <c r="A10" s="6" t="s">
        <v>53</v>
      </c>
      <c r="B10" s="10">
        <f t="shared" ref="B10:I10" si="1">B6-B9</f>
        <v>0</v>
      </c>
      <c r="C10" s="10">
        <f t="shared" si="1"/>
        <v>0</v>
      </c>
      <c r="D10" s="89">
        <f t="shared" si="1"/>
        <v>0</v>
      </c>
      <c r="E10" s="89">
        <f t="shared" si="1"/>
        <v>354873.36</v>
      </c>
      <c r="F10" s="89">
        <f t="shared" si="1"/>
        <v>107350.54999999999</v>
      </c>
      <c r="G10" s="89">
        <f t="shared" si="1"/>
        <v>50118.550000000047</v>
      </c>
      <c r="H10" s="89">
        <f>H6-H9</f>
        <v>42077.179999999993</v>
      </c>
      <c r="I10" s="89">
        <f t="shared" si="1"/>
        <v>36917.960000000006</v>
      </c>
      <c r="J10" s="89">
        <f>J6-J9</f>
        <v>39695.599999999991</v>
      </c>
      <c r="K10" s="89">
        <f>K6-K9</f>
        <v>50899.100000000006</v>
      </c>
      <c r="L10" s="89">
        <f>L6-L9</f>
        <v>31704.929999999993</v>
      </c>
      <c r="M10" s="11"/>
      <c r="N10" s="11"/>
      <c r="O10" s="42" t="s">
        <v>92</v>
      </c>
      <c r="P10" s="43"/>
      <c r="Q10" s="44" t="e">
        <f>D14/D11</f>
        <v>#DIV/0!</v>
      </c>
      <c r="R10" s="44">
        <f>E14/E11</f>
        <v>0.55771338236005674</v>
      </c>
      <c r="S10" s="44">
        <f>F14/F11</f>
        <v>0.57299943674648701</v>
      </c>
      <c r="T10" s="44">
        <f>G14/G11</f>
        <v>0.56690710981293579</v>
      </c>
      <c r="U10" s="44">
        <f>H14/H11</f>
        <v>0.34912849155841807</v>
      </c>
      <c r="V10" s="18"/>
      <c r="W10" s="18"/>
      <c r="X10" s="18"/>
      <c r="Y10" s="18"/>
    </row>
    <row r="11" spans="1:25" ht="22.5" x14ac:dyDescent="0.25">
      <c r="A11" s="6" t="s">
        <v>1</v>
      </c>
      <c r="B11" s="10">
        <f>B5-B9</f>
        <v>0</v>
      </c>
      <c r="C11" s="10">
        <f t="shared" ref="C11:I11" si="2">SUM(C6:C8)</f>
        <v>0</v>
      </c>
      <c r="D11" s="89">
        <f t="shared" si="2"/>
        <v>0</v>
      </c>
      <c r="E11" s="89">
        <f t="shared" si="2"/>
        <v>381309.05</v>
      </c>
      <c r="F11" s="89">
        <f>SUM(F6:F8)</f>
        <v>334556.28000000003</v>
      </c>
      <c r="G11" s="89">
        <f>SUM(G6:G8)</f>
        <v>361755.65</v>
      </c>
      <c r="H11" s="89">
        <f>SUM(H6:H8)</f>
        <v>407491.75</v>
      </c>
      <c r="I11" s="89">
        <f t="shared" si="2"/>
        <v>115563.76</v>
      </c>
      <c r="J11" s="89">
        <f>SUM(J6:J8)</f>
        <v>120916.48</v>
      </c>
      <c r="K11" s="89">
        <f>SUM(K6:K8)</f>
        <v>109671.6</v>
      </c>
      <c r="L11" s="89">
        <f>SUM(L6:L8)</f>
        <v>106362.55</v>
      </c>
      <c r="M11" s="11"/>
      <c r="N11" s="11"/>
      <c r="O11" s="42" t="s">
        <v>17</v>
      </c>
      <c r="P11" s="43"/>
      <c r="Q11" s="44" t="e">
        <f>D14/AVERAGE(C22:D22)</f>
        <v>#DIV/0!</v>
      </c>
      <c r="R11" s="44">
        <f>E14/AVERAGE(D22:E22)</f>
        <v>4.0780961782038459E-2</v>
      </c>
      <c r="S11" s="44">
        <f>F14/AVERAGE(E22:F22)</f>
        <v>3.5608329054348166E-2</v>
      </c>
      <c r="T11" s="44">
        <f>G14/AVERAGE(F22:G22)</f>
        <v>3.6462614948154552E-2</v>
      </c>
      <c r="U11" s="44">
        <f>H14/AVERAGE(G22:H22)</f>
        <v>4.0739473887163917E-2</v>
      </c>
      <c r="V11" s="18"/>
      <c r="W11" s="18"/>
      <c r="X11" s="18"/>
      <c r="Y11" s="18"/>
    </row>
    <row r="12" spans="1:25" x14ac:dyDescent="0.25">
      <c r="A12" s="6" t="s">
        <v>91</v>
      </c>
      <c r="B12" s="10"/>
      <c r="C12" s="10"/>
      <c r="D12" s="89"/>
      <c r="E12" s="89">
        <v>40007.22</v>
      </c>
      <c r="F12" s="89">
        <v>66770.899999999994</v>
      </c>
      <c r="G12" s="89">
        <v>59463.49</v>
      </c>
      <c r="H12" s="89">
        <v>57767.05</v>
      </c>
      <c r="I12" s="89">
        <v>31909.31</v>
      </c>
      <c r="J12" s="89">
        <v>2683.98</v>
      </c>
      <c r="K12" s="89">
        <v>-2234.1799999999998</v>
      </c>
      <c r="L12" s="89">
        <v>29018.16</v>
      </c>
      <c r="M12" s="11"/>
      <c r="N12" s="11"/>
      <c r="O12" s="40" t="s">
        <v>18</v>
      </c>
      <c r="P12" s="45"/>
      <c r="Q12" s="45"/>
      <c r="R12" s="45"/>
      <c r="S12" s="46" t="s">
        <v>5</v>
      </c>
      <c r="T12" s="18"/>
      <c r="U12" s="18"/>
      <c r="V12" s="18"/>
      <c r="W12" s="18"/>
      <c r="X12" s="53"/>
      <c r="Y12" s="54"/>
    </row>
    <row r="13" spans="1:25" x14ac:dyDescent="0.25">
      <c r="A13" s="6" t="s">
        <v>25</v>
      </c>
      <c r="B13" s="7"/>
      <c r="C13" s="7"/>
      <c r="D13" s="88">
        <f>D11+D12</f>
        <v>0</v>
      </c>
      <c r="E13" s="88">
        <f t="shared" ref="E13:L13" si="3">E11+E12</f>
        <v>421316.27</v>
      </c>
      <c r="F13" s="88">
        <f t="shared" si="3"/>
        <v>401327.18000000005</v>
      </c>
      <c r="G13" s="88">
        <f t="shared" si="3"/>
        <v>421219.14</v>
      </c>
      <c r="H13" s="88">
        <f t="shared" si="3"/>
        <v>465258.8</v>
      </c>
      <c r="I13" s="88">
        <f t="shared" si="3"/>
        <v>147473.07</v>
      </c>
      <c r="J13" s="88">
        <f t="shared" si="3"/>
        <v>123600.45999999999</v>
      </c>
      <c r="K13" s="88">
        <f t="shared" si="3"/>
        <v>107437.42000000001</v>
      </c>
      <c r="L13" s="88">
        <f t="shared" si="3"/>
        <v>135380.71</v>
      </c>
      <c r="M13" s="11"/>
      <c r="N13" s="11"/>
      <c r="O13" s="42" t="s">
        <v>19</v>
      </c>
      <c r="P13" s="43"/>
      <c r="Q13" s="44" t="e">
        <f>D24/D23</f>
        <v>#DIV/0!</v>
      </c>
      <c r="R13" s="44">
        <f>E24/E23</f>
        <v>0.19689713801223807</v>
      </c>
      <c r="S13" s="44">
        <f>F24/F23</f>
        <v>0.13896668976566615</v>
      </c>
      <c r="T13" s="44">
        <f>G24/G23</f>
        <v>9.2255864431270693E-2</v>
      </c>
      <c r="U13" s="44">
        <f>H24/H23</f>
        <v>4.7616261940014143E-2</v>
      </c>
      <c r="V13" s="48"/>
      <c r="W13" s="48">
        <v>3.7699999999999997E-2</v>
      </c>
      <c r="X13" s="48">
        <v>7.5300000000000006E-2</v>
      </c>
      <c r="Y13" s="48">
        <v>4.7600000000000003E-2</v>
      </c>
    </row>
    <row r="14" spans="1:25" x14ac:dyDescent="0.25">
      <c r="A14" s="6" t="s">
        <v>26</v>
      </c>
      <c r="B14" s="7"/>
      <c r="C14" s="7"/>
      <c r="D14" s="85"/>
      <c r="E14" s="85">
        <f>4683.36+2315.22+2834.82+1766.84+201060.92</f>
        <v>212661.16</v>
      </c>
      <c r="F14" s="85">
        <f>179639.16+1449.42+3140.16+2537.32+4934.5</f>
        <v>191700.56000000003</v>
      </c>
      <c r="G14" s="85">
        <f>4974.07+3860.52+1315.24+194932.02</f>
        <v>205081.84999999998</v>
      </c>
      <c r="H14" s="85">
        <f>5031.61+1185.46+136049.91</f>
        <v>142266.98000000001</v>
      </c>
      <c r="I14" s="85">
        <f>1291.01+1202.93+274.51+12110.93</f>
        <v>14879.380000000001</v>
      </c>
      <c r="J14" s="85">
        <f>1273.68+1019.02+279.14-969.18</f>
        <v>1602.6599999999999</v>
      </c>
      <c r="K14" s="85">
        <f>1250.9+1217.64+300.12+74585.5</f>
        <v>77354.16</v>
      </c>
      <c r="L14" s="85"/>
      <c r="M14" s="11"/>
      <c r="N14" s="11"/>
      <c r="O14" s="42" t="s">
        <v>20</v>
      </c>
      <c r="P14" s="43"/>
      <c r="Q14" s="44" t="e">
        <f>D25/D23</f>
        <v>#DIV/0!</v>
      </c>
      <c r="R14" s="44">
        <f>E25/E23</f>
        <v>9.7461339763162624E-2</v>
      </c>
      <c r="S14" s="44">
        <f>F25/F23</f>
        <v>5.3870352802637161E-2</v>
      </c>
      <c r="T14" s="44">
        <f>G25/G23</f>
        <v>3.4366427575102429E-2</v>
      </c>
      <c r="U14" s="44">
        <f>H25/H23</f>
        <v>1.4056830319833572E-2</v>
      </c>
      <c r="V14" s="48"/>
      <c r="W14" s="48">
        <v>8.3000000000000001E-3</v>
      </c>
      <c r="X14" s="48">
        <v>1.7899999999999999E-2</v>
      </c>
      <c r="Y14" s="48">
        <v>1.41E-2</v>
      </c>
    </row>
    <row r="15" spans="1:25" x14ac:dyDescent="0.25">
      <c r="A15" s="6" t="s">
        <v>54</v>
      </c>
      <c r="B15" s="10"/>
      <c r="C15" s="10"/>
      <c r="D15" s="89">
        <f t="shared" ref="D15:K15" si="4">D11-D14</f>
        <v>0</v>
      </c>
      <c r="E15" s="89">
        <f t="shared" si="4"/>
        <v>168647.88999999998</v>
      </c>
      <c r="F15" s="89">
        <f t="shared" si="4"/>
        <v>142855.72</v>
      </c>
      <c r="G15" s="89">
        <f t="shared" si="4"/>
        <v>156673.80000000005</v>
      </c>
      <c r="H15" s="89">
        <f>H11-H14</f>
        <v>265224.77</v>
      </c>
      <c r="I15" s="89">
        <f t="shared" si="4"/>
        <v>100684.37999999999</v>
      </c>
      <c r="J15" s="89">
        <f t="shared" si="4"/>
        <v>119313.81999999999</v>
      </c>
      <c r="K15" s="89">
        <f t="shared" si="4"/>
        <v>32317.440000000002</v>
      </c>
      <c r="L15" s="89">
        <f>L11-L14</f>
        <v>106362.55</v>
      </c>
      <c r="M15" s="11"/>
      <c r="N15" s="11"/>
      <c r="O15" s="42" t="s">
        <v>21</v>
      </c>
      <c r="P15" s="43"/>
      <c r="Q15" s="44" t="e">
        <f t="shared" ref="Q15:V15" si="5">(Q13-Q14)/Q13</f>
        <v>#DIV/0!</v>
      </c>
      <c r="R15" s="44">
        <f t="shared" si="5"/>
        <v>0.50501393393993899</v>
      </c>
      <c r="S15" s="44">
        <f t="shared" si="5"/>
        <v>0.61235060795161389</v>
      </c>
      <c r="T15" s="44">
        <f t="shared" si="5"/>
        <v>0.62748788072215256</v>
      </c>
      <c r="U15" s="44">
        <f t="shared" si="5"/>
        <v>0.70478929367571874</v>
      </c>
      <c r="V15" s="44" t="e">
        <f t="shared" si="5"/>
        <v>#DIV/0!</v>
      </c>
      <c r="W15" s="18"/>
      <c r="X15" s="18"/>
      <c r="Y15" s="18"/>
    </row>
    <row r="16" spans="1:25" x14ac:dyDescent="0.25">
      <c r="A16" s="6" t="s">
        <v>94</v>
      </c>
      <c r="B16" s="10"/>
      <c r="C16" s="10"/>
      <c r="D16" s="89">
        <f t="shared" ref="D16:K16" si="6">D13-D14-D9</f>
        <v>0</v>
      </c>
      <c r="E16" s="89">
        <f t="shared" si="6"/>
        <v>186776.49000000002</v>
      </c>
      <c r="F16" s="89">
        <f t="shared" si="6"/>
        <v>-13292.059999999969</v>
      </c>
      <c r="G16" s="89">
        <f t="shared" si="6"/>
        <v>-18412.639999999956</v>
      </c>
      <c r="H16" s="89">
        <f>H13-H14-H9</f>
        <v>53414.789999999921</v>
      </c>
      <c r="I16" s="89">
        <f t="shared" si="6"/>
        <v>56966.94</v>
      </c>
      <c r="J16" s="89">
        <f t="shared" si="6"/>
        <v>42641.249999999985</v>
      </c>
      <c r="K16" s="89">
        <f t="shared" si="6"/>
        <v>-28049.939999999988</v>
      </c>
      <c r="L16" s="89">
        <f>L13-L14-L9</f>
        <v>62329.209999999992</v>
      </c>
      <c r="M16" s="11"/>
      <c r="N16" s="11"/>
      <c r="O16" s="42" t="s">
        <v>22</v>
      </c>
      <c r="P16" s="43"/>
      <c r="Q16" s="44" t="e">
        <f>D17/AVERAGE(C23:D23)</f>
        <v>#DIV/0!</v>
      </c>
      <c r="R16" s="44">
        <f>E17/AVERAGE(D23:E23)</f>
        <v>5.6261957512140394E-3</v>
      </c>
      <c r="S16" s="44">
        <f>F17/AVERAGE(E23:F23)</f>
        <v>-1.2748002011594498E-2</v>
      </c>
      <c r="T16" s="44">
        <f>G17/AVERAGE(F23:G23)</f>
        <v>-2.0034534305056428E-2</v>
      </c>
      <c r="U16" s="44">
        <f>H17/AVERAGE(G23:H23)</f>
        <v>-2.0070708072490655E-2</v>
      </c>
      <c r="V16" s="18"/>
      <c r="W16" s="18"/>
      <c r="X16" s="18"/>
      <c r="Y16" s="18"/>
    </row>
    <row r="17" spans="1:25" x14ac:dyDescent="0.25">
      <c r="A17" s="6" t="s">
        <v>27</v>
      </c>
      <c r="B17" s="7"/>
      <c r="C17" s="7"/>
      <c r="D17" s="88"/>
      <c r="E17" s="85">
        <v>18924.96</v>
      </c>
      <c r="F17" s="85">
        <v>-44834.61</v>
      </c>
      <c r="G17" s="85">
        <v>-76200.289999999994</v>
      </c>
      <c r="H17" s="85">
        <v>-81941.02</v>
      </c>
      <c r="I17" s="85">
        <v>-19769.91</v>
      </c>
      <c r="J17" s="85">
        <v>472.69</v>
      </c>
      <c r="K17" s="85">
        <v>-35861.47</v>
      </c>
      <c r="L17" s="85">
        <v>-53261.66</v>
      </c>
      <c r="M17" s="11"/>
      <c r="N17" s="11"/>
      <c r="O17" s="18"/>
      <c r="P17" s="18"/>
      <c r="Q17" s="18"/>
      <c r="R17" s="18"/>
      <c r="S17" s="18"/>
      <c r="T17" s="18"/>
      <c r="U17" s="18"/>
      <c r="V17" s="18"/>
      <c r="W17" s="18"/>
      <c r="X17" s="18"/>
      <c r="Y17" s="18"/>
    </row>
    <row r="18" spans="1:25" x14ac:dyDescent="0.25">
      <c r="A18" s="6" t="s">
        <v>55</v>
      </c>
      <c r="B18" s="7"/>
      <c r="C18" s="7"/>
      <c r="D18" s="88"/>
      <c r="E18" s="85">
        <v>5091.8</v>
      </c>
      <c r="F18" s="89">
        <v>28527.45</v>
      </c>
      <c r="G18" s="89">
        <v>51425.55</v>
      </c>
      <c r="H18" s="89">
        <v>107559.5</v>
      </c>
      <c r="I18" s="89">
        <v>57394.58</v>
      </c>
      <c r="J18" s="89">
        <v>31988.959999999999</v>
      </c>
      <c r="K18" s="89">
        <v>7242.59</v>
      </c>
      <c r="L18" s="89">
        <v>46533.66</v>
      </c>
      <c r="M18" s="11"/>
      <c r="N18" s="11"/>
      <c r="O18" s="40" t="s">
        <v>30</v>
      </c>
      <c r="P18" s="45"/>
      <c r="Q18" s="45"/>
      <c r="R18" s="45"/>
      <c r="S18" s="46" t="s">
        <v>5</v>
      </c>
      <c r="T18" s="18"/>
      <c r="U18" s="18"/>
      <c r="V18" s="18"/>
      <c r="W18" s="18"/>
      <c r="X18" s="18"/>
      <c r="Y18" s="18"/>
    </row>
    <row r="19" spans="1:25" ht="22.5" x14ac:dyDescent="0.25">
      <c r="A19" s="6" t="s">
        <v>28</v>
      </c>
      <c r="B19" s="7"/>
      <c r="C19" s="7"/>
      <c r="D19" s="88"/>
      <c r="E19" s="85">
        <v>1030577.91</v>
      </c>
      <c r="F19" s="85">
        <v>1065447.1000000001</v>
      </c>
      <c r="G19" s="85">
        <v>1173699.42</v>
      </c>
      <c r="H19" s="85">
        <v>1287807.8999999999</v>
      </c>
      <c r="I19" s="85"/>
      <c r="J19" s="85">
        <v>1370656.08</v>
      </c>
      <c r="K19" s="85"/>
      <c r="L19" s="85">
        <v>1287807.8999999999</v>
      </c>
      <c r="M19" s="11"/>
      <c r="N19" s="11"/>
      <c r="O19" s="46" t="s">
        <v>95</v>
      </c>
      <c r="P19" s="51"/>
      <c r="Q19" s="51"/>
      <c r="R19" s="52">
        <f>E16/AVERAGE(D22:E22)</f>
        <v>3.5817188716892587E-2</v>
      </c>
      <c r="S19" s="52">
        <f>F16/AVERAGE(E22:F22)</f>
        <v>-2.4689966805007658E-3</v>
      </c>
      <c r="T19" s="52">
        <f>G16/AVERAGE(F22:G22)</f>
        <v>-3.2736831781992747E-3</v>
      </c>
      <c r="U19" s="52">
        <f>H16/AVERAGE(G22:H22)</f>
        <v>1.5295822280007216E-2</v>
      </c>
      <c r="V19" s="18"/>
      <c r="W19" s="18"/>
      <c r="X19" s="18"/>
      <c r="Y19" s="18"/>
    </row>
    <row r="20" spans="1:25" x14ac:dyDescent="0.25">
      <c r="A20" s="6" t="s">
        <v>56</v>
      </c>
      <c r="B20" s="7"/>
      <c r="C20" s="7"/>
      <c r="D20" s="88">
        <f t="shared" ref="D20:L20" si="7">D19-D71</f>
        <v>0</v>
      </c>
      <c r="E20" s="89">
        <f t="shared" si="7"/>
        <v>1030577.91</v>
      </c>
      <c r="F20" s="89">
        <f t="shared" si="7"/>
        <v>1065447.1000000001</v>
      </c>
      <c r="G20" s="89">
        <f t="shared" si="7"/>
        <v>1173699.42</v>
      </c>
      <c r="H20" s="89">
        <f t="shared" si="7"/>
        <v>1287807.8999999999</v>
      </c>
      <c r="I20" s="89">
        <f t="shared" si="7"/>
        <v>0</v>
      </c>
      <c r="J20" s="89">
        <f t="shared" si="7"/>
        <v>1370656.08</v>
      </c>
      <c r="K20" s="89">
        <f t="shared" si="7"/>
        <v>0</v>
      </c>
      <c r="L20" s="89">
        <f t="shared" si="7"/>
        <v>1287807.8999999999</v>
      </c>
      <c r="M20" s="11"/>
      <c r="N20" s="11"/>
      <c r="O20" s="42" t="s">
        <v>31</v>
      </c>
      <c r="P20" s="43"/>
      <c r="Q20" s="43">
        <v>4.4699999999999997E-2</v>
      </c>
      <c r="R20" s="44">
        <f>E18/AVERAGE(D22:E22)</f>
        <v>9.7642889374713955E-4</v>
      </c>
      <c r="S20" s="44">
        <f>F18/AVERAGE(E22:F22)</f>
        <v>5.2989664019837211E-3</v>
      </c>
      <c r="T20" s="44">
        <f>G18/AVERAGE(F22:G22)</f>
        <v>9.1432275852157061E-3</v>
      </c>
      <c r="U20" s="44">
        <f>H18/AVERAGE(G22:H22)</f>
        <v>3.0800663945817975E-2</v>
      </c>
      <c r="V20" s="48"/>
      <c r="W20" s="18"/>
      <c r="X20" s="18"/>
      <c r="Y20" s="18"/>
    </row>
    <row r="21" spans="1:25" x14ac:dyDescent="0.25">
      <c r="A21" s="6" t="s">
        <v>57</v>
      </c>
      <c r="B21" s="9"/>
      <c r="C21" s="9"/>
      <c r="D21" s="85"/>
      <c r="E21" s="85">
        <f>1854385.35+1793376.75</f>
        <v>3647762.1</v>
      </c>
      <c r="F21" s="85">
        <f>1848997.24+2121065.96</f>
        <v>3970063.2</v>
      </c>
      <c r="G21" s="85">
        <f>1998997.24+2081661.71</f>
        <v>4080658.95</v>
      </c>
      <c r="H21" s="85">
        <f>1834690.95+2470435.53</f>
        <v>4305126.4799999995</v>
      </c>
      <c r="I21" s="85"/>
      <c r="J21" s="85">
        <f>2083190.95+2424535.3</f>
        <v>4507726.25</v>
      </c>
      <c r="K21" s="85"/>
      <c r="L21" s="85">
        <f>1834690.95+2470435.53</f>
        <v>4305126.4799999995</v>
      </c>
      <c r="M21" s="11"/>
      <c r="N21" s="11"/>
      <c r="O21" s="42" t="s">
        <v>32</v>
      </c>
      <c r="P21" s="43"/>
      <c r="Q21" s="44" t="e">
        <f>D18/AVERAGE(C19:D19)</f>
        <v>#DIV/0!</v>
      </c>
      <c r="R21" s="44">
        <f>E18/AVERAGE(D19:E19)</f>
        <v>4.9407230162734619E-3</v>
      </c>
      <c r="S21" s="44">
        <f>F18/AVERAGE(E19:F19)</f>
        <v>2.7220524434486588E-2</v>
      </c>
      <c r="T21" s="44">
        <f>G18/AVERAGE(F19:G19)</f>
        <v>4.5933171001243812E-2</v>
      </c>
      <c r="U21" s="44">
        <f>H18/AVERAGE(G19:H19)</f>
        <v>8.7393199383213702E-2</v>
      </c>
      <c r="V21" s="18"/>
      <c r="W21" s="18"/>
      <c r="X21" s="18"/>
      <c r="Y21" s="18"/>
    </row>
    <row r="22" spans="1:25" x14ac:dyDescent="0.25">
      <c r="A22" s="6" t="s">
        <v>29</v>
      </c>
      <c r="B22" s="7"/>
      <c r="C22" s="7"/>
      <c r="D22" s="88"/>
      <c r="E22" s="85">
        <v>5214716.6399999997</v>
      </c>
      <c r="F22" s="85">
        <v>5552458.6299999999</v>
      </c>
      <c r="G22" s="85">
        <v>5696424.6600000001</v>
      </c>
      <c r="H22" s="85">
        <v>1287807.8999999999</v>
      </c>
      <c r="I22" s="85"/>
      <c r="J22" s="85">
        <v>6252936.8499999996</v>
      </c>
      <c r="K22" s="85"/>
      <c r="L22" s="85">
        <v>5948542.4699999997</v>
      </c>
      <c r="M22" s="11"/>
      <c r="N22" s="11"/>
      <c r="O22" s="40" t="s">
        <v>33</v>
      </c>
      <c r="P22" s="45"/>
      <c r="Q22" s="45"/>
      <c r="R22" s="45"/>
      <c r="S22" s="46" t="s">
        <v>5</v>
      </c>
      <c r="T22" s="18"/>
      <c r="U22" s="18"/>
      <c r="V22" s="18"/>
      <c r="W22" s="18"/>
      <c r="X22" s="18"/>
      <c r="Y22" s="18"/>
    </row>
    <row r="23" spans="1:25" x14ac:dyDescent="0.25">
      <c r="A23" s="6" t="s">
        <v>58</v>
      </c>
      <c r="B23" s="7"/>
      <c r="C23" s="7"/>
      <c r="D23" s="88"/>
      <c r="E23" s="85">
        <v>3363722.28</v>
      </c>
      <c r="F23" s="85">
        <v>3670259.98</v>
      </c>
      <c r="G23" s="85">
        <v>3936634.08</v>
      </c>
      <c r="H23" s="85">
        <v>4228600.5199999996</v>
      </c>
      <c r="I23" s="85"/>
      <c r="J23" s="85">
        <v>4677673.03</v>
      </c>
      <c r="K23" s="85"/>
      <c r="L23" s="85">
        <v>4231598.7300000004</v>
      </c>
      <c r="M23" s="11"/>
      <c r="N23" s="11"/>
      <c r="O23" s="42" t="s">
        <v>34</v>
      </c>
      <c r="P23" s="43"/>
      <c r="Q23" s="44" t="e">
        <f>D6/AVERAGE(C23:D23)</f>
        <v>#DIV/0!</v>
      </c>
      <c r="R23" s="44">
        <f>E6/AVERAGE(D23:E23)</f>
        <v>0.11200448450815624</v>
      </c>
      <c r="S23" s="44">
        <f>F6/AVERAGE(E23:F23)</f>
        <v>9.3906756597364513E-2</v>
      </c>
      <c r="T23" s="44">
        <f>G6/AVERAGE(F23:G23)</f>
        <v>7.4844865132774052E-2</v>
      </c>
      <c r="U23" s="44">
        <f>H6/AVERAGE(G23:H23)</f>
        <v>7.6336866058937247E-2</v>
      </c>
      <c r="V23" s="18"/>
      <c r="W23" s="18"/>
      <c r="X23" s="18"/>
      <c r="Y23" s="18"/>
    </row>
    <row r="24" spans="1:25" x14ac:dyDescent="0.25">
      <c r="A24" s="6" t="s">
        <v>59</v>
      </c>
      <c r="B24" s="10"/>
      <c r="C24" s="10"/>
      <c r="D24" s="89"/>
      <c r="E24" s="89">
        <v>662307.29</v>
      </c>
      <c r="F24" s="89">
        <v>510043.88</v>
      </c>
      <c r="G24" s="89">
        <v>363177.58</v>
      </c>
      <c r="H24" s="89">
        <v>201350.15</v>
      </c>
      <c r="I24" s="89"/>
      <c r="J24" s="89"/>
      <c r="K24" s="89"/>
      <c r="L24" s="89"/>
      <c r="M24" s="11"/>
      <c r="N24" s="11"/>
      <c r="O24" s="42" t="s">
        <v>35</v>
      </c>
      <c r="P24" s="43"/>
      <c r="Q24" s="44" t="e">
        <f>D9/AVERAGE(C21:D21)</f>
        <v>#DIV/0!</v>
      </c>
      <c r="R24" s="44">
        <f>E9/AVERAGE(D21:E21)</f>
        <v>5.9978198687902365E-3</v>
      </c>
      <c r="S24" s="44">
        <f>F9/AVERAGE(E21:F21)</f>
        <v>5.8525542716239491E-2</v>
      </c>
      <c r="T24" s="44">
        <f>G9/AVERAGE(F21:G21)</f>
        <v>5.8268047419820591E-2</v>
      </c>
      <c r="U24" s="44">
        <f>H9/AVERAGE(G21:H21)</f>
        <v>6.4293805809910884E-2</v>
      </c>
      <c r="V24" s="18"/>
      <c r="W24" s="18"/>
      <c r="X24" s="18"/>
      <c r="Y24" s="18"/>
    </row>
    <row r="25" spans="1:25" x14ac:dyDescent="0.25">
      <c r="A25" s="6" t="s">
        <v>60</v>
      </c>
      <c r="B25" s="10"/>
      <c r="C25" s="10"/>
      <c r="D25" s="89"/>
      <c r="E25" s="89">
        <v>327832.88</v>
      </c>
      <c r="F25" s="89">
        <v>197718.2</v>
      </c>
      <c r="G25" s="89">
        <v>135288.04999999999</v>
      </c>
      <c r="H25" s="89">
        <v>59440.72</v>
      </c>
      <c r="I25" s="89"/>
      <c r="J25" s="89"/>
      <c r="K25" s="89"/>
      <c r="L25" s="89"/>
      <c r="M25" s="11"/>
      <c r="N25" s="11"/>
      <c r="O25" s="42" t="s">
        <v>36</v>
      </c>
      <c r="P25" s="43"/>
      <c r="Q25" s="48" t="e">
        <f>Q23-Q24</f>
        <v>#DIV/0!</v>
      </c>
      <c r="R25" s="48">
        <f>R23-R24</f>
        <v>0.10600666463936601</v>
      </c>
      <c r="S25" s="48">
        <f>S23-S24</f>
        <v>3.5381213881125022E-2</v>
      </c>
      <c r="T25" s="48">
        <f>T23-T24</f>
        <v>1.6576817712953461E-2</v>
      </c>
      <c r="U25" s="48">
        <f>U23-U24</f>
        <v>1.2043060249026363E-2</v>
      </c>
      <c r="V25" s="18"/>
      <c r="W25" s="18"/>
      <c r="X25" s="18"/>
      <c r="Y25" s="18"/>
    </row>
    <row r="27" spans="1:25" ht="15" customHeight="1" x14ac:dyDescent="0.25">
      <c r="A27" s="733" t="s">
        <v>259</v>
      </c>
      <c r="B27" s="733"/>
      <c r="C27" s="733"/>
      <c r="D27" s="733"/>
      <c r="E27" s="733"/>
      <c r="F27" s="733"/>
      <c r="G27" s="733"/>
      <c r="H27" s="733"/>
      <c r="I27" s="733"/>
      <c r="J27" s="733"/>
      <c r="K27" s="733"/>
      <c r="L27" s="733"/>
      <c r="M27" s="733"/>
      <c r="N27" s="129"/>
    </row>
    <row r="28" spans="1:25" x14ac:dyDescent="0.25">
      <c r="A28" s="733"/>
      <c r="B28" s="733"/>
      <c r="C28" s="733"/>
      <c r="D28" s="733"/>
      <c r="E28" s="733"/>
      <c r="F28" s="733"/>
      <c r="G28" s="733"/>
      <c r="H28" s="733"/>
      <c r="I28" s="733"/>
      <c r="J28" s="733"/>
      <c r="K28" s="733"/>
      <c r="L28" s="733"/>
      <c r="M28" s="733"/>
      <c r="N28" s="129"/>
    </row>
    <row r="29" spans="1:25" x14ac:dyDescent="0.25">
      <c r="A29" s="733"/>
      <c r="B29" s="733"/>
      <c r="C29" s="733"/>
      <c r="D29" s="733"/>
      <c r="E29" s="733"/>
      <c r="F29" s="733"/>
      <c r="G29" s="733"/>
      <c r="H29" s="733"/>
      <c r="I29" s="733"/>
      <c r="J29" s="733"/>
      <c r="K29" s="733"/>
      <c r="L29" s="733"/>
      <c r="M29" s="733"/>
      <c r="N29" s="129"/>
    </row>
    <row r="30" spans="1:25" x14ac:dyDescent="0.25">
      <c r="A30" s="733"/>
      <c r="B30" s="733"/>
      <c r="C30" s="733"/>
      <c r="D30" s="733"/>
      <c r="E30" s="733"/>
      <c r="F30" s="733"/>
      <c r="G30" s="733"/>
      <c r="H30" s="733"/>
      <c r="I30" s="733"/>
      <c r="J30" s="733"/>
      <c r="K30" s="733"/>
      <c r="L30" s="733"/>
      <c r="M30" s="733"/>
      <c r="N30" s="129"/>
    </row>
    <row r="31" spans="1:25" x14ac:dyDescent="0.25">
      <c r="A31" s="129"/>
      <c r="B31" s="129"/>
      <c r="C31" s="129"/>
      <c r="D31" s="129"/>
      <c r="E31" s="129"/>
      <c r="F31" s="129"/>
      <c r="G31" s="129"/>
      <c r="H31" s="129"/>
      <c r="I31" s="129"/>
      <c r="J31" s="129"/>
      <c r="K31" s="129"/>
      <c r="L31" s="129"/>
      <c r="M31" s="129"/>
      <c r="N31" s="129"/>
    </row>
    <row r="32" spans="1:25" x14ac:dyDescent="0.25">
      <c r="A32" s="129"/>
      <c r="B32" s="129"/>
      <c r="C32" s="129"/>
      <c r="D32" s="129"/>
      <c r="E32" s="129"/>
      <c r="F32" s="129"/>
      <c r="G32" s="129"/>
      <c r="H32" s="129"/>
      <c r="I32" s="129"/>
      <c r="J32" s="129"/>
      <c r="K32" s="129"/>
      <c r="L32" s="129"/>
      <c r="M32" s="129"/>
      <c r="N32" s="129"/>
    </row>
  </sheetData>
  <mergeCells count="3">
    <mergeCell ref="A2:A4"/>
    <mergeCell ref="J1:L1"/>
    <mergeCell ref="A27:M30"/>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D76"/>
  <sheetViews>
    <sheetView topLeftCell="R2" workbookViewId="0">
      <selection activeCell="AD12" sqref="AD12"/>
    </sheetView>
  </sheetViews>
  <sheetFormatPr defaultRowHeight="15" x14ac:dyDescent="0.25"/>
  <cols>
    <col min="1" max="1" width="29.85546875" customWidth="1"/>
    <col min="4" max="4" width="13.28515625" customWidth="1"/>
    <col min="5" max="5" width="12.28515625" customWidth="1"/>
    <col min="6" max="6" width="13.85546875" customWidth="1"/>
    <col min="7" max="8" width="11.85546875" customWidth="1"/>
    <col min="9" max="10" width="10.140625" bestFit="1" customWidth="1"/>
    <col min="11" max="11" width="10.85546875" customWidth="1"/>
    <col min="12" max="12" width="10.140625" bestFit="1" customWidth="1"/>
    <col min="17" max="17" width="30.85546875" customWidth="1"/>
    <col min="19" max="19" width="13.85546875" customWidth="1"/>
    <col min="20" max="20" width="12.7109375" customWidth="1"/>
    <col min="21" max="21" width="13" customWidth="1"/>
    <col min="22" max="23" width="14.140625" customWidth="1"/>
  </cols>
  <sheetData>
    <row r="1" spans="1:30" x14ac:dyDescent="0.25">
      <c r="J1" s="772" t="s">
        <v>113</v>
      </c>
      <c r="K1" s="772"/>
      <c r="L1" s="772"/>
    </row>
    <row r="2" spans="1:30" ht="45" x14ac:dyDescent="0.25">
      <c r="A2" s="771" t="s">
        <v>4</v>
      </c>
      <c r="B2" s="1" t="s">
        <v>43</v>
      </c>
      <c r="C2" s="1" t="s">
        <v>41</v>
      </c>
      <c r="D2" s="2" t="s">
        <v>44</v>
      </c>
      <c r="E2" s="2" t="s">
        <v>0</v>
      </c>
      <c r="F2" s="3" t="s">
        <v>42</v>
      </c>
      <c r="G2" s="3" t="s">
        <v>366</v>
      </c>
      <c r="H2" s="3" t="s">
        <v>367</v>
      </c>
      <c r="I2" s="3" t="s">
        <v>37</v>
      </c>
      <c r="J2" s="3" t="s">
        <v>38</v>
      </c>
      <c r="K2" s="3" t="s">
        <v>39</v>
      </c>
      <c r="L2" s="3" t="s">
        <v>40</v>
      </c>
      <c r="M2" s="11"/>
      <c r="N2" s="11"/>
      <c r="O2" s="11"/>
      <c r="P2" s="11"/>
      <c r="Q2" s="40" t="s">
        <v>6</v>
      </c>
      <c r="R2" s="41" t="s">
        <v>7</v>
      </c>
      <c r="S2" s="41" t="s">
        <v>8</v>
      </c>
      <c r="T2" s="41" t="s">
        <v>9</v>
      </c>
      <c r="U2" s="40" t="s">
        <v>544</v>
      </c>
      <c r="V2" s="41" t="s">
        <v>492</v>
      </c>
      <c r="W2" s="41" t="s">
        <v>623</v>
      </c>
      <c r="X2" s="40" t="s">
        <v>37</v>
      </c>
      <c r="Y2" s="41" t="s">
        <v>38</v>
      </c>
      <c r="Z2" s="41" t="s">
        <v>39</v>
      </c>
      <c r="AA2" s="41" t="s">
        <v>40</v>
      </c>
    </row>
    <row r="3" spans="1:30" x14ac:dyDescent="0.25">
      <c r="A3" s="771"/>
      <c r="B3" s="1" t="s">
        <v>46</v>
      </c>
      <c r="C3" s="4" t="s">
        <v>47</v>
      </c>
      <c r="D3" s="5" t="s">
        <v>47</v>
      </c>
      <c r="E3" s="5" t="s">
        <v>47</v>
      </c>
      <c r="F3" s="1" t="s">
        <v>46</v>
      </c>
      <c r="G3" s="1" t="s">
        <v>46</v>
      </c>
      <c r="H3" s="1" t="s">
        <v>46</v>
      </c>
      <c r="I3" s="1" t="s">
        <v>96</v>
      </c>
      <c r="J3" s="1"/>
      <c r="K3" s="1"/>
      <c r="L3" s="1"/>
      <c r="M3" s="11"/>
      <c r="N3" s="11"/>
      <c r="O3" s="11"/>
      <c r="P3" s="11"/>
      <c r="Q3" s="42" t="s">
        <v>11</v>
      </c>
      <c r="R3" s="43"/>
      <c r="S3" s="44" t="e">
        <f>D10/AVERAGE(C23:D23)</f>
        <v>#DIV/0!</v>
      </c>
      <c r="T3" s="44" t="e">
        <f>E10/AVERAGE(D23:E23)</f>
        <v>#DIV/0!</v>
      </c>
      <c r="U3" s="44">
        <f>F10/AVERAGE(E23:F23)</f>
        <v>7.3615890759243435E-2</v>
      </c>
      <c r="V3" s="44">
        <f>G10/AVERAGE(F23:G23)</f>
        <v>9.0085564217031622E-2</v>
      </c>
      <c r="W3" s="44">
        <f>H10/AVERAGE(G23:H23)</f>
        <v>8.591273008186058E-2</v>
      </c>
      <c r="X3" s="18"/>
      <c r="Y3" s="18"/>
      <c r="Z3" s="18"/>
      <c r="AA3" s="18"/>
    </row>
    <row r="4" spans="1:30" x14ac:dyDescent="0.25">
      <c r="A4" s="771"/>
      <c r="B4" s="1" t="s">
        <v>48</v>
      </c>
      <c r="C4" s="1" t="s">
        <v>48</v>
      </c>
      <c r="D4" s="5" t="s">
        <v>49</v>
      </c>
      <c r="E4" s="5" t="s">
        <v>49</v>
      </c>
      <c r="F4" s="5" t="s">
        <v>49</v>
      </c>
      <c r="G4" s="5" t="s">
        <v>49</v>
      </c>
      <c r="H4" s="5" t="s">
        <v>49</v>
      </c>
      <c r="I4" s="5"/>
      <c r="J4" s="5"/>
      <c r="K4" s="5"/>
      <c r="L4" s="5"/>
      <c r="M4" s="11"/>
      <c r="N4" s="11"/>
      <c r="O4" s="11"/>
      <c r="P4" s="11"/>
      <c r="Q4" s="40" t="s">
        <v>12</v>
      </c>
      <c r="R4" s="45"/>
      <c r="S4" s="45"/>
      <c r="T4" s="45"/>
      <c r="U4" s="46" t="s">
        <v>5</v>
      </c>
      <c r="V4" s="18"/>
      <c r="W4" s="18"/>
      <c r="X4" s="18"/>
      <c r="Y4" s="18"/>
      <c r="Z4" s="18"/>
      <c r="AA4" s="18"/>
    </row>
    <row r="5" spans="1:30" x14ac:dyDescent="0.25">
      <c r="A5" s="6" t="s">
        <v>23</v>
      </c>
      <c r="B5" s="7"/>
      <c r="C5" s="8"/>
      <c r="F5" s="85">
        <v>36017.040000000001</v>
      </c>
      <c r="G5" s="90">
        <v>52154.11</v>
      </c>
      <c r="H5" s="90">
        <v>76994.03</v>
      </c>
      <c r="I5" s="85">
        <v>15903.51</v>
      </c>
      <c r="J5" s="85">
        <v>18652.21</v>
      </c>
      <c r="K5" s="85">
        <v>20413.34</v>
      </c>
      <c r="L5" s="85">
        <v>22024.97</v>
      </c>
      <c r="M5" s="11">
        <v>20910.189999999999</v>
      </c>
      <c r="N5" s="11">
        <v>23107.52</v>
      </c>
      <c r="O5" s="11">
        <v>26306.29</v>
      </c>
      <c r="P5" s="11"/>
      <c r="Q5" s="42" t="s">
        <v>13</v>
      </c>
      <c r="R5" s="46"/>
      <c r="S5" s="47" t="e">
        <f>D21/D20</f>
        <v>#DIV/0!</v>
      </c>
      <c r="T5" s="47" t="e">
        <f>E21/E20</f>
        <v>#DIV/0!</v>
      </c>
      <c r="U5" s="47">
        <f>F21/F20</f>
        <v>2.8854691661167089</v>
      </c>
      <c r="V5" s="47">
        <f>G21/G20</f>
        <v>2.3323247132253369</v>
      </c>
      <c r="W5" s="47">
        <f>H21/H20</f>
        <v>3.081436631631715</v>
      </c>
      <c r="X5" s="47"/>
      <c r="Y5" s="47">
        <f>J21/J20</f>
        <v>2.5730049519893674</v>
      </c>
      <c r="Z5" s="47"/>
      <c r="AA5" s="47">
        <f t="shared" ref="AA5" si="0">L21/L20</f>
        <v>3.0814247156961008</v>
      </c>
      <c r="AB5" s="47" t="e">
        <f t="shared" ref="AB5" si="1">M21/M20</f>
        <v>#DIV/0!</v>
      </c>
      <c r="AC5" s="47">
        <f t="shared" ref="AC5" si="2">N21/N20</f>
        <v>2.0561672294965652</v>
      </c>
    </row>
    <row r="6" spans="1:30" x14ac:dyDescent="0.25">
      <c r="A6" s="6" t="s">
        <v>50</v>
      </c>
      <c r="B6" s="7"/>
      <c r="C6" s="8"/>
      <c r="F6" s="85">
        <v>28417.26</v>
      </c>
      <c r="G6" s="85">
        <v>40477.75</v>
      </c>
      <c r="H6" s="85">
        <v>59306.14</v>
      </c>
      <c r="I6" s="85">
        <v>14526.58</v>
      </c>
      <c r="J6" s="85">
        <v>17108.53</v>
      </c>
      <c r="K6" s="85">
        <v>18854.29</v>
      </c>
      <c r="L6" s="85">
        <v>20313.71</v>
      </c>
      <c r="M6" s="11">
        <v>19336.439999999999</v>
      </c>
      <c r="N6" s="11">
        <v>19792.740000000002</v>
      </c>
      <c r="O6" s="11">
        <v>21928.29</v>
      </c>
      <c r="P6" s="11"/>
      <c r="Q6" s="42" t="s">
        <v>14</v>
      </c>
      <c r="R6" s="43"/>
      <c r="S6" s="43"/>
      <c r="T6" s="43">
        <v>0.189</v>
      </c>
      <c r="U6" s="43">
        <v>0.28460000000000002</v>
      </c>
      <c r="V6" s="48">
        <v>0.34089999999999998</v>
      </c>
      <c r="W6" s="48">
        <v>0.27100000000000002</v>
      </c>
      <c r="X6" s="48"/>
      <c r="Y6" s="48">
        <v>0.31119999999999998</v>
      </c>
      <c r="Z6" s="48">
        <v>0.28539999999999999</v>
      </c>
      <c r="AA6" s="48">
        <v>0.27100000000000002</v>
      </c>
      <c r="AB6" s="80">
        <v>0.40610000000000002</v>
      </c>
      <c r="AC6" s="80">
        <v>0.38240000000000002</v>
      </c>
      <c r="AD6" s="80">
        <v>0.36059999999999998</v>
      </c>
    </row>
    <row r="7" spans="1:30" x14ac:dyDescent="0.25">
      <c r="A7" s="6" t="s">
        <v>51</v>
      </c>
      <c r="B7" s="7"/>
      <c r="C7" s="8"/>
      <c r="D7" s="87"/>
      <c r="E7" s="85"/>
      <c r="F7" s="85">
        <v>0</v>
      </c>
      <c r="G7" s="85">
        <v>0</v>
      </c>
      <c r="H7" s="85"/>
      <c r="I7" s="85"/>
      <c r="J7" s="85"/>
      <c r="K7" s="85"/>
      <c r="L7" s="85"/>
      <c r="M7" s="11"/>
      <c r="N7" s="11"/>
      <c r="O7" s="11"/>
      <c r="P7" s="11"/>
      <c r="Q7" s="42" t="s">
        <v>15</v>
      </c>
      <c r="R7" s="43"/>
      <c r="S7" s="44" t="e">
        <f>D20/D23</f>
        <v>#DIV/0!</v>
      </c>
      <c r="T7" s="44" t="e">
        <f>E20/E23</f>
        <v>#DIV/0!</v>
      </c>
      <c r="U7" s="44">
        <f>F20/F23</f>
        <v>0.34717420352126038</v>
      </c>
      <c r="V7" s="44">
        <f>G20/G23</f>
        <v>0.39277082195394208</v>
      </c>
      <c r="W7" s="44">
        <f>H20/H23</f>
        <v>0.31108024729395495</v>
      </c>
      <c r="X7" s="18"/>
      <c r="Y7" s="18"/>
      <c r="Z7" s="18"/>
      <c r="AA7" s="18"/>
    </row>
    <row r="8" spans="1:30" x14ac:dyDescent="0.25">
      <c r="A8" s="6" t="s">
        <v>52</v>
      </c>
      <c r="B8" s="7"/>
      <c r="C8" s="8"/>
      <c r="D8" s="85">
        <f t="shared" ref="D8:O8" si="3">D5-D6-D7</f>
        <v>0</v>
      </c>
      <c r="E8" s="85">
        <f t="shared" si="3"/>
        <v>0</v>
      </c>
      <c r="F8" s="85">
        <f t="shared" si="3"/>
        <v>7599.7800000000025</v>
      </c>
      <c r="G8" s="85">
        <f t="shared" si="3"/>
        <v>11676.36</v>
      </c>
      <c r="H8" s="85">
        <f t="shared" si="3"/>
        <v>17687.89</v>
      </c>
      <c r="I8" s="85">
        <f t="shared" si="3"/>
        <v>1376.9300000000003</v>
      </c>
      <c r="J8" s="85">
        <f t="shared" si="3"/>
        <v>1543.6800000000003</v>
      </c>
      <c r="K8" s="85">
        <f t="shared" si="3"/>
        <v>1559.0499999999993</v>
      </c>
      <c r="L8" s="85">
        <f t="shared" si="3"/>
        <v>1711.260000000002</v>
      </c>
      <c r="M8" s="85">
        <f t="shared" si="3"/>
        <v>1573.75</v>
      </c>
      <c r="N8" s="85">
        <f t="shared" si="3"/>
        <v>3314.7799999999988</v>
      </c>
      <c r="O8" s="85">
        <f t="shared" si="3"/>
        <v>4378</v>
      </c>
      <c r="P8" s="11"/>
      <c r="Q8" s="40" t="s">
        <v>16</v>
      </c>
      <c r="R8" s="45"/>
      <c r="S8" s="45"/>
      <c r="T8" s="45"/>
      <c r="U8" s="46" t="s">
        <v>5</v>
      </c>
      <c r="V8" s="18"/>
      <c r="W8" s="18"/>
      <c r="X8" s="18"/>
      <c r="Y8" s="18"/>
      <c r="Z8" s="18"/>
      <c r="AA8" s="18"/>
    </row>
    <row r="9" spans="1:30" ht="33.75" x14ac:dyDescent="0.25">
      <c r="A9" s="6" t="s">
        <v>24</v>
      </c>
      <c r="B9" s="7"/>
      <c r="C9" s="7"/>
      <c r="D9" s="88"/>
      <c r="E9" s="85"/>
      <c r="F9" s="85">
        <v>14614.12</v>
      </c>
      <c r="G9" s="85">
        <v>19018.47</v>
      </c>
      <c r="H9" s="85">
        <v>29397.84</v>
      </c>
      <c r="I9" s="85">
        <v>6302.99</v>
      </c>
      <c r="J9" s="85">
        <v>6721.92</v>
      </c>
      <c r="K9" s="85">
        <v>7840.56</v>
      </c>
      <c r="L9" s="85">
        <v>8532.3700000000008</v>
      </c>
      <c r="M9" s="11">
        <v>8967.69</v>
      </c>
      <c r="N9" s="11">
        <v>9011.9500000000007</v>
      </c>
      <c r="O9" s="11">
        <v>9519.27</v>
      </c>
      <c r="P9" s="11"/>
      <c r="Q9" s="49" t="s">
        <v>93</v>
      </c>
      <c r="R9" s="45"/>
      <c r="S9" s="93" t="e">
        <f>D14/(D11-D9)</f>
        <v>#DIV/0!</v>
      </c>
      <c r="T9" s="93" t="e">
        <f>E14/(E11-E9)</f>
        <v>#DIV/0!</v>
      </c>
      <c r="U9" s="93">
        <f>F14/(F11-F9)</f>
        <v>0.58894487294257059</v>
      </c>
      <c r="V9" s="93">
        <f>G14/(G11-G9)</f>
        <v>0.55455757003637174</v>
      </c>
      <c r="W9" s="93">
        <f>H14/(H11-H9)</f>
        <v>0.50461644093781455</v>
      </c>
      <c r="X9" s="18"/>
      <c r="Y9" s="18"/>
      <c r="Z9" s="18"/>
      <c r="AA9" s="18"/>
    </row>
    <row r="10" spans="1:30" ht="22.5" x14ac:dyDescent="0.25">
      <c r="A10" s="6" t="s">
        <v>53</v>
      </c>
      <c r="B10" s="10">
        <f t="shared" ref="B10:I10" si="4">B6-B9</f>
        <v>0</v>
      </c>
      <c r="C10" s="10">
        <f t="shared" si="4"/>
        <v>0</v>
      </c>
      <c r="D10" s="89">
        <f t="shared" si="4"/>
        <v>0</v>
      </c>
      <c r="E10" s="89">
        <f t="shared" si="4"/>
        <v>0</v>
      </c>
      <c r="F10" s="89">
        <f t="shared" si="4"/>
        <v>13803.139999999998</v>
      </c>
      <c r="G10" s="89">
        <f t="shared" si="4"/>
        <v>21459.279999999999</v>
      </c>
      <c r="H10" s="89">
        <f t="shared" ref="H10" si="5">H6-H9</f>
        <v>29908.3</v>
      </c>
      <c r="I10" s="89">
        <f t="shared" si="4"/>
        <v>8223.59</v>
      </c>
      <c r="J10" s="89">
        <f t="shared" ref="J10:O10" si="6">J6-J9</f>
        <v>10386.609999999999</v>
      </c>
      <c r="K10" s="89">
        <f t="shared" si="6"/>
        <v>11013.73</v>
      </c>
      <c r="L10" s="89">
        <f t="shared" si="6"/>
        <v>11781.339999999998</v>
      </c>
      <c r="M10" s="89">
        <f t="shared" si="6"/>
        <v>10368.749999999998</v>
      </c>
      <c r="N10" s="89">
        <f t="shared" si="6"/>
        <v>10780.79</v>
      </c>
      <c r="O10" s="89">
        <f t="shared" si="6"/>
        <v>12409.02</v>
      </c>
      <c r="P10" s="11"/>
      <c r="Q10" s="42" t="s">
        <v>92</v>
      </c>
      <c r="R10" s="43"/>
      <c r="S10" s="44" t="e">
        <f>D14/D11</f>
        <v>#DIV/0!</v>
      </c>
      <c r="T10" s="44" t="e">
        <f>E14/E11</f>
        <v>#DIV/0!</v>
      </c>
      <c r="U10" s="44">
        <f>F14/F11</f>
        <v>0.34997712194005953</v>
      </c>
      <c r="V10" s="44">
        <f>G14/G11</f>
        <v>0.35233311430297631</v>
      </c>
      <c r="W10" s="44">
        <f>H14/H11</f>
        <v>0.31194392604205806</v>
      </c>
      <c r="X10" s="18"/>
      <c r="Y10" s="18"/>
      <c r="Z10" s="18"/>
      <c r="AA10" s="18"/>
    </row>
    <row r="11" spans="1:30" ht="22.5" x14ac:dyDescent="0.25">
      <c r="A11" s="6" t="s">
        <v>1</v>
      </c>
      <c r="B11" s="10">
        <f>B5-B9</f>
        <v>0</v>
      </c>
      <c r="C11" s="10">
        <f t="shared" ref="C11:I11" si="7">SUM(C6:C8)</f>
        <v>0</v>
      </c>
      <c r="D11" s="89">
        <f t="shared" si="7"/>
        <v>0</v>
      </c>
      <c r="E11" s="89">
        <f t="shared" si="7"/>
        <v>0</v>
      </c>
      <c r="F11" s="89">
        <f>SUM(F6:F8)</f>
        <v>36017.040000000001</v>
      </c>
      <c r="G11" s="89">
        <f>SUM(G6:G8)</f>
        <v>52154.11</v>
      </c>
      <c r="H11" s="89">
        <f>SUM(H6:H8)</f>
        <v>76994.03</v>
      </c>
      <c r="I11" s="89">
        <f t="shared" si="7"/>
        <v>15903.51</v>
      </c>
      <c r="J11" s="89">
        <f t="shared" ref="J11:O11" si="8">SUM(J6:J8)</f>
        <v>18652.21</v>
      </c>
      <c r="K11" s="89">
        <f t="shared" si="8"/>
        <v>20413.34</v>
      </c>
      <c r="L11" s="89">
        <f t="shared" si="8"/>
        <v>22024.97</v>
      </c>
      <c r="M11" s="89">
        <f t="shared" si="8"/>
        <v>20910.189999999999</v>
      </c>
      <c r="N11" s="89">
        <f t="shared" si="8"/>
        <v>23107.52</v>
      </c>
      <c r="O11" s="89">
        <f t="shared" si="8"/>
        <v>26306.29</v>
      </c>
      <c r="P11" s="11"/>
      <c r="Q11" s="42" t="s">
        <v>17</v>
      </c>
      <c r="R11" s="43"/>
      <c r="S11" s="44" t="e">
        <f>D14/AVERAGE(C22:D22)</f>
        <v>#DIV/0!</v>
      </c>
      <c r="T11" s="44" t="e">
        <f>E14/AVERAGE(D22:E22)</f>
        <v>#DIV/0!</v>
      </c>
      <c r="U11" s="44">
        <f>F14/AVERAGE(E22:F22)</f>
        <v>4.8908419274553222E-2</v>
      </c>
      <c r="V11" s="44">
        <f>G14/AVERAGE(F22:G22)</f>
        <v>5.7141219705116784E-2</v>
      </c>
      <c r="W11" s="44">
        <f>H14/AVERAGE(G22:H22)</f>
        <v>5.2592393262841597E-2</v>
      </c>
      <c r="X11" s="18"/>
      <c r="Y11" s="18"/>
      <c r="Z11" s="18"/>
      <c r="AA11" s="18"/>
    </row>
    <row r="12" spans="1:30" x14ac:dyDescent="0.25">
      <c r="A12" s="6" t="s">
        <v>91</v>
      </c>
      <c r="B12" s="10"/>
      <c r="C12" s="10"/>
      <c r="D12" s="89"/>
      <c r="E12" s="89"/>
      <c r="F12" s="89">
        <v>12.92</v>
      </c>
      <c r="G12" s="89">
        <v>33.840000000000003</v>
      </c>
      <c r="H12" s="89">
        <v>38.25</v>
      </c>
      <c r="I12" s="89">
        <v>10.18</v>
      </c>
      <c r="J12" s="89">
        <v>9.3800000000000008</v>
      </c>
      <c r="K12" s="89">
        <v>1.54</v>
      </c>
      <c r="L12" s="89">
        <v>17.149999999999999</v>
      </c>
      <c r="M12" s="11">
        <v>4.4400000000000004</v>
      </c>
      <c r="N12" s="11">
        <v>5.16</v>
      </c>
      <c r="O12" s="11">
        <v>4.72</v>
      </c>
      <c r="P12" s="11"/>
      <c r="Q12" s="40" t="s">
        <v>18</v>
      </c>
      <c r="R12" s="45"/>
      <c r="S12" s="45"/>
      <c r="T12" s="45"/>
      <c r="U12" s="46" t="s">
        <v>5</v>
      </c>
      <c r="V12" s="18"/>
      <c r="W12" s="18"/>
      <c r="X12" s="18"/>
      <c r="Y12" s="18"/>
      <c r="Z12" s="53"/>
      <c r="AA12" s="54"/>
    </row>
    <row r="13" spans="1:30" x14ac:dyDescent="0.25">
      <c r="A13" s="6" t="s">
        <v>25</v>
      </c>
      <c r="B13" s="7"/>
      <c r="C13" s="7"/>
      <c r="D13" s="88">
        <f t="shared" ref="D13:O13" si="9">D11+D12</f>
        <v>0</v>
      </c>
      <c r="E13" s="88">
        <f t="shared" si="9"/>
        <v>0</v>
      </c>
      <c r="F13" s="88">
        <f t="shared" si="9"/>
        <v>36029.96</v>
      </c>
      <c r="G13" s="88">
        <f t="shared" si="9"/>
        <v>52187.95</v>
      </c>
      <c r="H13" s="88">
        <f t="shared" si="9"/>
        <v>77032.28</v>
      </c>
      <c r="I13" s="88">
        <f t="shared" si="9"/>
        <v>15913.69</v>
      </c>
      <c r="J13" s="88">
        <f t="shared" si="9"/>
        <v>18661.59</v>
      </c>
      <c r="K13" s="88">
        <f t="shared" si="9"/>
        <v>20414.88</v>
      </c>
      <c r="L13" s="88">
        <f t="shared" si="9"/>
        <v>22042.120000000003</v>
      </c>
      <c r="M13" s="88">
        <f t="shared" si="9"/>
        <v>20914.629999999997</v>
      </c>
      <c r="N13" s="88">
        <f t="shared" si="9"/>
        <v>23112.68</v>
      </c>
      <c r="O13" s="88">
        <f t="shared" si="9"/>
        <v>26311.010000000002</v>
      </c>
      <c r="P13" s="11"/>
      <c r="Q13" s="42" t="s">
        <v>19</v>
      </c>
      <c r="R13" s="43"/>
      <c r="S13" s="44" t="e">
        <f>D24/D23</f>
        <v>#DIV/0!</v>
      </c>
      <c r="T13" s="44" t="e">
        <f>E24/E23</f>
        <v>#DIV/0!</v>
      </c>
      <c r="U13" s="44">
        <f>F24/F23</f>
        <v>3.6142779779947093E-2</v>
      </c>
      <c r="V13" s="44">
        <f>G24/G23</f>
        <v>3.3217063803309847E-2</v>
      </c>
      <c r="W13" s="44">
        <f>H24/H23</f>
        <v>2.6315208024380785E-2</v>
      </c>
      <c r="X13" s="48"/>
      <c r="Y13" s="48">
        <v>3.04E-2</v>
      </c>
      <c r="Z13" s="48">
        <v>3.1099999999999999E-2</v>
      </c>
      <c r="AA13" s="48">
        <v>2.63E-2</v>
      </c>
      <c r="AB13" s="80">
        <v>3.5000000000000003E-2</v>
      </c>
      <c r="AC13" s="80">
        <v>3.8300000000000001E-2</v>
      </c>
      <c r="AD13" s="80">
        <v>3.6900000000000002E-2</v>
      </c>
    </row>
    <row r="14" spans="1:30" x14ac:dyDescent="0.25">
      <c r="A14" s="6" t="s">
        <v>26</v>
      </c>
      <c r="B14" s="7"/>
      <c r="C14" s="7"/>
      <c r="D14" s="85"/>
      <c r="E14" s="85"/>
      <c r="F14" s="85">
        <f>10141.83+596.61+1866.7</f>
        <v>12605.140000000001</v>
      </c>
      <c r="G14" s="85">
        <f>14905.05+879.11+2591.46</f>
        <v>18375.62</v>
      </c>
      <c r="H14" s="85">
        <f>19599.07+1304.5+3114.25</f>
        <v>24017.82</v>
      </c>
      <c r="I14" s="85">
        <f>4500.78+272.46+726.74</f>
        <v>5499.98</v>
      </c>
      <c r="J14" s="85">
        <f>4874.52+312.97+809.13</f>
        <v>5996.6200000000008</v>
      </c>
      <c r="K14" s="85">
        <f>5142.25+352.38+776.64</f>
        <v>6271.27</v>
      </c>
      <c r="L14" s="85">
        <f>5081.52+366.69+801.74</f>
        <v>6249.95</v>
      </c>
      <c r="M14" s="11">
        <f>5855.27+347.16+859.91</f>
        <v>7062.34</v>
      </c>
      <c r="N14" s="11">
        <f>6682.39+392.86+1038.17</f>
        <v>8113.42</v>
      </c>
      <c r="O14" s="11">
        <f>7239.56+448.4+1242.5</f>
        <v>8930.4599999999991</v>
      </c>
      <c r="P14" s="11"/>
      <c r="Q14" s="42" t="s">
        <v>20</v>
      </c>
      <c r="R14" s="43"/>
      <c r="S14" s="44" t="e">
        <f>D25/D23</f>
        <v>#DIV/0!</v>
      </c>
      <c r="T14" s="44" t="e">
        <f>E25/E23</f>
        <v>#DIV/0!</v>
      </c>
      <c r="U14" s="44">
        <f>F25/F23</f>
        <v>2.493197679088318E-2</v>
      </c>
      <c r="V14" s="44">
        <f>G25/G23</f>
        <v>1.7783018330786646E-2</v>
      </c>
      <c r="W14" s="44">
        <f>H25/H23</f>
        <v>1.28358383663865E-2</v>
      </c>
      <c r="X14" s="48"/>
      <c r="Y14" s="48">
        <v>1.9099999999999999E-2</v>
      </c>
      <c r="Z14" s="48">
        <v>2.01E-2</v>
      </c>
      <c r="AA14" s="48">
        <v>1.7100000000000001E-2</v>
      </c>
      <c r="AB14" s="80">
        <v>2.7699999999999999E-2</v>
      </c>
      <c r="AC14" s="80">
        <v>2.53E-2</v>
      </c>
      <c r="AD14" s="80">
        <v>2.4500000000000001E-2</v>
      </c>
    </row>
    <row r="15" spans="1:30" x14ac:dyDescent="0.25">
      <c r="A15" s="6" t="s">
        <v>54</v>
      </c>
      <c r="B15" s="10"/>
      <c r="C15" s="10"/>
      <c r="D15" s="89">
        <f t="shared" ref="D15:J15" si="10">D11-D14</f>
        <v>0</v>
      </c>
      <c r="E15" s="89">
        <f t="shared" si="10"/>
        <v>0</v>
      </c>
      <c r="F15" s="89">
        <f t="shared" si="10"/>
        <v>23411.9</v>
      </c>
      <c r="G15" s="89">
        <f t="shared" si="10"/>
        <v>33778.490000000005</v>
      </c>
      <c r="H15" s="89">
        <f t="shared" ref="H15" si="11">H11-H14</f>
        <v>52976.21</v>
      </c>
      <c r="I15" s="89">
        <f t="shared" si="10"/>
        <v>10403.530000000001</v>
      </c>
      <c r="J15" s="89">
        <f t="shared" si="10"/>
        <v>12655.589999999998</v>
      </c>
      <c r="K15" s="89">
        <f>K11-K14</f>
        <v>14142.07</v>
      </c>
      <c r="L15" s="89">
        <f>L11-L14</f>
        <v>15775.02</v>
      </c>
      <c r="M15" s="89">
        <f>M11-M14</f>
        <v>13847.849999999999</v>
      </c>
      <c r="N15" s="89">
        <f>N11-N14</f>
        <v>14994.1</v>
      </c>
      <c r="O15" s="89">
        <f>O11-O14</f>
        <v>17375.830000000002</v>
      </c>
      <c r="P15" s="11"/>
      <c r="Q15" s="42" t="s">
        <v>21</v>
      </c>
      <c r="R15" s="43"/>
      <c r="S15" s="44" t="e">
        <f t="shared" ref="S15:X15" si="12">(S13-S14)/S13</f>
        <v>#DIV/0!</v>
      </c>
      <c r="T15" s="44" t="e">
        <f t="shared" si="12"/>
        <v>#DIV/0!</v>
      </c>
      <c r="U15" s="44">
        <f t="shared" si="12"/>
        <v>0.31018098379040404</v>
      </c>
      <c r="V15" s="44">
        <f t="shared" si="12"/>
        <v>0.46464207564864018</v>
      </c>
      <c r="W15" s="44">
        <f t="shared" si="12"/>
        <v>0.51222736470507013</v>
      </c>
      <c r="X15" s="44" t="e">
        <f t="shared" si="12"/>
        <v>#DIV/0!</v>
      </c>
      <c r="Y15" s="18"/>
      <c r="Z15" s="18"/>
      <c r="AA15" s="18"/>
    </row>
    <row r="16" spans="1:30" x14ac:dyDescent="0.25">
      <c r="A16" s="6" t="s">
        <v>94</v>
      </c>
      <c r="B16" s="10"/>
      <c r="C16" s="10"/>
      <c r="D16" s="89">
        <f t="shared" ref="D16:J16" si="13">D13-D14-D9</f>
        <v>0</v>
      </c>
      <c r="E16" s="89">
        <f t="shared" si="13"/>
        <v>0</v>
      </c>
      <c r="F16" s="89">
        <f t="shared" si="13"/>
        <v>8810.6999999999989</v>
      </c>
      <c r="G16" s="89">
        <f t="shared" si="13"/>
        <v>14793.86</v>
      </c>
      <c r="H16" s="89">
        <f t="shared" ref="H16" si="14">H13-H14-H9</f>
        <v>23616.62</v>
      </c>
      <c r="I16" s="89">
        <f t="shared" si="13"/>
        <v>4110.7200000000012</v>
      </c>
      <c r="J16" s="89">
        <f t="shared" si="13"/>
        <v>5943.0499999999993</v>
      </c>
      <c r="K16" s="89">
        <f>K13-K14-K9</f>
        <v>6303.05</v>
      </c>
      <c r="L16" s="89">
        <f>L13-L14-L9</f>
        <v>7259.8000000000011</v>
      </c>
      <c r="M16" s="89">
        <f>M13-M14-M9</f>
        <v>4884.5999999999967</v>
      </c>
      <c r="N16" s="89">
        <f>N13-N14-N9</f>
        <v>5987.3099999999995</v>
      </c>
      <c r="O16" s="89">
        <f>O13-O14-O9</f>
        <v>7861.2800000000025</v>
      </c>
      <c r="P16" s="11"/>
      <c r="Q16" s="42" t="s">
        <v>22</v>
      </c>
      <c r="R16" s="43"/>
      <c r="S16" s="44" t="e">
        <f>D17/AVERAGE(C23:D23)</f>
        <v>#DIV/0!</v>
      </c>
      <c r="T16" s="44" t="e">
        <f>E17/AVERAGE(D23:E23)</f>
        <v>#DIV/0!</v>
      </c>
      <c r="U16" s="44">
        <f>F17/AVERAGE(E23:F23)</f>
        <v>9.5741286847971594E-3</v>
      </c>
      <c r="V16" s="44">
        <f>G17/AVERAGE(F23:G23)</f>
        <v>1.3697831083689925E-2</v>
      </c>
      <c r="W16" s="44">
        <f>H17/AVERAGE(G23:H23)</f>
        <v>1.3553323979679148E-2</v>
      </c>
      <c r="X16" s="18"/>
      <c r="Y16" s="18"/>
      <c r="Z16" s="18"/>
      <c r="AA16" s="18"/>
    </row>
    <row r="17" spans="1:30" x14ac:dyDescent="0.25">
      <c r="A17" s="6" t="s">
        <v>27</v>
      </c>
      <c r="B17" s="7"/>
      <c r="C17" s="7"/>
      <c r="D17" s="88"/>
      <c r="E17" s="85"/>
      <c r="F17" s="85">
        <v>1795.17</v>
      </c>
      <c r="G17" s="85">
        <v>3262.96</v>
      </c>
      <c r="H17" s="85">
        <v>4718.24</v>
      </c>
      <c r="I17" s="85">
        <v>1408.99</v>
      </c>
      <c r="J17" s="85">
        <v>1300.9100000000001</v>
      </c>
      <c r="K17" s="85">
        <v>1167.31</v>
      </c>
      <c r="L17" s="85">
        <v>841.03</v>
      </c>
      <c r="M17" s="11">
        <v>1690.06</v>
      </c>
      <c r="N17" s="11">
        <v>2013.64</v>
      </c>
      <c r="O17" s="11">
        <v>2140.79</v>
      </c>
      <c r="P17" s="11"/>
      <c r="Q17" s="18"/>
      <c r="R17" s="18"/>
      <c r="S17" s="18"/>
      <c r="T17" s="18"/>
      <c r="U17" s="18"/>
      <c r="V17" s="18"/>
      <c r="W17" s="18"/>
      <c r="X17" s="18"/>
      <c r="Y17" s="18"/>
      <c r="Z17" s="18"/>
      <c r="AA17" s="18"/>
    </row>
    <row r="18" spans="1:30" x14ac:dyDescent="0.25">
      <c r="A18" s="6" t="s">
        <v>55</v>
      </c>
      <c r="B18" s="7"/>
      <c r="C18" s="7"/>
      <c r="D18" s="88"/>
      <c r="E18" s="85"/>
      <c r="F18" s="89">
        <v>5212.99</v>
      </c>
      <c r="G18" s="89">
        <v>8547.6200000000008</v>
      </c>
      <c r="H18" s="89">
        <v>14092.95</v>
      </c>
      <c r="I18" s="89">
        <v>2010.76</v>
      </c>
      <c r="J18" s="89">
        <v>3461.54</v>
      </c>
      <c r="K18" s="89">
        <v>3834.52</v>
      </c>
      <c r="L18" s="89">
        <v>4786.13</v>
      </c>
      <c r="M18" s="11">
        <v>2370.2399999999998</v>
      </c>
      <c r="N18" s="11">
        <v>2958.55</v>
      </c>
      <c r="O18" s="11">
        <v>4247.67</v>
      </c>
      <c r="P18" s="11"/>
      <c r="Q18" s="40" t="s">
        <v>30</v>
      </c>
      <c r="R18" s="45"/>
      <c r="S18" s="45"/>
      <c r="T18" s="45"/>
      <c r="U18" s="46" t="s">
        <v>5</v>
      </c>
      <c r="V18" s="18"/>
      <c r="W18" s="18"/>
      <c r="X18" s="18"/>
      <c r="Y18" s="18"/>
      <c r="Z18" s="18"/>
      <c r="AA18" s="18"/>
    </row>
    <row r="19" spans="1:30" ht="22.5" x14ac:dyDescent="0.25">
      <c r="A19" s="6" t="s">
        <v>28</v>
      </c>
      <c r="B19" s="7"/>
      <c r="C19" s="7"/>
      <c r="D19" s="88"/>
      <c r="E19" s="85"/>
      <c r="F19" s="85">
        <v>65095.92</v>
      </c>
      <c r="G19" s="85">
        <v>113478.47</v>
      </c>
      <c r="H19" s="85">
        <f>128033.26-1020.05-300.7</f>
        <v>126712.51</v>
      </c>
      <c r="I19" s="85"/>
      <c r="J19" s="85">
        <v>118998.64</v>
      </c>
      <c r="K19" s="85"/>
      <c r="L19" s="85">
        <f>128033.26-300.07-1020.05</f>
        <v>126713.13999999998</v>
      </c>
      <c r="M19" s="11"/>
      <c r="N19" s="11">
        <f>194266.39-907.2</f>
        <v>193359.19</v>
      </c>
      <c r="O19" s="11"/>
      <c r="P19" s="11"/>
      <c r="Q19" s="46" t="s">
        <v>95</v>
      </c>
      <c r="R19" s="51"/>
      <c r="S19" s="51"/>
      <c r="T19" s="52" t="e">
        <f>E16/AVERAGE(D22:E22)</f>
        <v>#DIV/0!</v>
      </c>
      <c r="U19" s="52">
        <f>F16/AVERAGE(E22:F22)</f>
        <v>3.4185848765051874E-2</v>
      </c>
      <c r="V19" s="52">
        <f>G16/AVERAGE(F22:G22)</f>
        <v>4.6003302448937182E-2</v>
      </c>
      <c r="W19" s="52">
        <f>H16/AVERAGE(G22:H22)</f>
        <v>5.1713876054491632E-2</v>
      </c>
      <c r="X19" s="18"/>
      <c r="Y19" s="18"/>
      <c r="Z19" s="18"/>
      <c r="AA19" s="18"/>
    </row>
    <row r="20" spans="1:30" x14ac:dyDescent="0.25">
      <c r="A20" s="6" t="s">
        <v>56</v>
      </c>
      <c r="B20" s="7"/>
      <c r="C20" s="7"/>
      <c r="D20" s="88"/>
      <c r="E20" s="89"/>
      <c r="F20" s="85">
        <v>65095.92</v>
      </c>
      <c r="G20" s="85">
        <v>113478.47</v>
      </c>
      <c r="H20" s="85">
        <f>128033.26-1020.05-300.7</f>
        <v>126712.51</v>
      </c>
      <c r="I20" s="89"/>
      <c r="J20" s="89">
        <v>118998.64</v>
      </c>
      <c r="K20" s="89"/>
      <c r="L20" s="89">
        <v>126713</v>
      </c>
      <c r="M20" s="11"/>
      <c r="N20" s="11">
        <f>194266.39-907.2</f>
        <v>193359.19</v>
      </c>
      <c r="O20" s="11"/>
      <c r="P20" s="11"/>
      <c r="Q20" s="42" t="s">
        <v>31</v>
      </c>
      <c r="R20" s="43"/>
      <c r="S20" s="43">
        <v>4.4699999999999997E-2</v>
      </c>
      <c r="T20" s="44" t="e">
        <f>E18/AVERAGE(D22:E22)</f>
        <v>#DIV/0!</v>
      </c>
      <c r="U20" s="44">
        <f>F18/AVERAGE(E22:F22)</f>
        <v>2.0226598085705764E-2</v>
      </c>
      <c r="V20" s="44">
        <f>G18/AVERAGE(F22:G22)</f>
        <v>2.6579861380233723E-2</v>
      </c>
      <c r="W20" s="44">
        <f>H18/AVERAGE(G22:H22)</f>
        <v>3.085966872237212E-2</v>
      </c>
      <c r="X20" s="48"/>
      <c r="Y20" s="18"/>
      <c r="Z20" s="18"/>
      <c r="AA20" s="18"/>
    </row>
    <row r="21" spans="1:30" x14ac:dyDescent="0.25">
      <c r="A21" s="6" t="s">
        <v>57</v>
      </c>
      <c r="B21" s="9"/>
      <c r="C21" s="9"/>
      <c r="D21" s="85"/>
      <c r="E21" s="85"/>
      <c r="F21" s="85">
        <f>47936.87+139895.4</f>
        <v>187832.27</v>
      </c>
      <c r="G21" s="85">
        <f>55307.29+209361.35</f>
        <v>264668.64</v>
      </c>
      <c r="H21" s="85">
        <f>45526.33+344930.24</f>
        <v>390456.57</v>
      </c>
      <c r="I21" s="85"/>
      <c r="J21" s="85">
        <f>41870.31+264313.78</f>
        <v>306184.09000000003</v>
      </c>
      <c r="K21" s="85"/>
      <c r="L21" s="85">
        <f>45526.33+344930.24</f>
        <v>390456.57</v>
      </c>
      <c r="M21" s="11"/>
      <c r="N21" s="11">
        <f>38827.48+358751.35</f>
        <v>397578.82999999996</v>
      </c>
      <c r="O21" s="11"/>
      <c r="P21" s="11"/>
      <c r="Q21" s="42" t="s">
        <v>32</v>
      </c>
      <c r="R21" s="43"/>
      <c r="S21" s="44" t="e">
        <f>D18/AVERAGE(C19:D19)</f>
        <v>#DIV/0!</v>
      </c>
      <c r="T21" s="44" t="e">
        <f>E18/AVERAGE(D19:E19)</f>
        <v>#DIV/0!</v>
      </c>
      <c r="U21" s="44">
        <f>F18/AVERAGE(E19:F19)</f>
        <v>8.0081670249072451E-2</v>
      </c>
      <c r="V21" s="44">
        <f>G18/AVERAGE(F19:G19)</f>
        <v>9.5731756384552114E-2</v>
      </c>
      <c r="W21" s="44">
        <f>H18/AVERAGE(G19:H19)</f>
        <v>0.11734787043210367</v>
      </c>
      <c r="X21" s="18"/>
      <c r="Y21" s="18"/>
      <c r="Z21" s="18"/>
      <c r="AA21" s="18"/>
    </row>
    <row r="22" spans="1:30" x14ac:dyDescent="0.25">
      <c r="A22" s="6" t="s">
        <v>29</v>
      </c>
      <c r="B22" s="7"/>
      <c r="C22" s="7"/>
      <c r="D22" s="88"/>
      <c r="E22" s="85"/>
      <c r="F22" s="85">
        <v>257729.45</v>
      </c>
      <c r="G22" s="85">
        <v>385435.68</v>
      </c>
      <c r="H22" s="85">
        <v>527921.5</v>
      </c>
      <c r="I22" s="85"/>
      <c r="J22" s="85">
        <v>433665.43</v>
      </c>
      <c r="K22" s="85"/>
      <c r="L22" s="85">
        <v>527921.5</v>
      </c>
      <c r="M22" s="11"/>
      <c r="N22" s="11">
        <v>602227.46</v>
      </c>
      <c r="O22" s="11"/>
      <c r="P22" s="11"/>
      <c r="Q22" s="40" t="s">
        <v>33</v>
      </c>
      <c r="R22" s="45"/>
      <c r="S22" s="45"/>
      <c r="T22" s="45"/>
      <c r="U22" s="46" t="s">
        <v>5</v>
      </c>
      <c r="V22" s="18"/>
      <c r="W22" s="18"/>
      <c r="X22" s="18"/>
      <c r="Y22" s="18"/>
      <c r="Z22" s="18"/>
      <c r="AA22" s="18"/>
    </row>
    <row r="23" spans="1:30" x14ac:dyDescent="0.25">
      <c r="A23" s="6" t="s">
        <v>58</v>
      </c>
      <c r="B23" s="7"/>
      <c r="C23" s="7"/>
      <c r="D23" s="88"/>
      <c r="E23" s="85"/>
      <c r="F23" s="85">
        <v>187502.18</v>
      </c>
      <c r="G23" s="85">
        <v>288917.77</v>
      </c>
      <c r="H23" s="85">
        <v>407330.62</v>
      </c>
      <c r="I23" s="85"/>
      <c r="J23" s="85">
        <v>325011.53000000003</v>
      </c>
      <c r="K23" s="85"/>
      <c r="L23" s="85">
        <v>400189.55</v>
      </c>
      <c r="M23" s="11"/>
      <c r="N23" s="11">
        <v>439449.18</v>
      </c>
      <c r="O23" s="11"/>
      <c r="P23" s="11"/>
      <c r="Q23" s="42" t="s">
        <v>34</v>
      </c>
      <c r="R23" s="43"/>
      <c r="S23" s="44" t="e">
        <f>D6/AVERAGE(C23:D23)</f>
        <v>#DIV/0!</v>
      </c>
      <c r="T23" s="44" t="e">
        <f>E6/AVERAGE(D23:E23)</f>
        <v>#DIV/0!</v>
      </c>
      <c r="U23" s="44">
        <f>F6/AVERAGE(E23:F23)</f>
        <v>0.15155695789776952</v>
      </c>
      <c r="V23" s="44">
        <f>G6/AVERAGE(F23:G23)</f>
        <v>0.16992466415396751</v>
      </c>
      <c r="W23" s="44">
        <f>H6/AVERAGE(G23:H23)</f>
        <v>0.17035914438523872</v>
      </c>
      <c r="X23" s="18"/>
      <c r="Y23" s="18"/>
      <c r="Z23" s="18"/>
      <c r="AA23" s="18"/>
    </row>
    <row r="24" spans="1:30" x14ac:dyDescent="0.25">
      <c r="A24" s="6" t="s">
        <v>59</v>
      </c>
      <c r="B24" s="10"/>
      <c r="C24" s="10"/>
      <c r="D24" s="89"/>
      <c r="E24" s="89"/>
      <c r="F24" s="89">
        <v>6776.85</v>
      </c>
      <c r="G24" s="89">
        <v>9597</v>
      </c>
      <c r="H24" s="89">
        <v>10718.99</v>
      </c>
      <c r="I24" s="89"/>
      <c r="J24" s="89"/>
      <c r="K24" s="89"/>
      <c r="L24" s="89"/>
      <c r="M24" s="11"/>
      <c r="N24" s="11"/>
      <c r="O24" s="11"/>
      <c r="P24" s="11"/>
      <c r="Q24" s="42" t="s">
        <v>35</v>
      </c>
      <c r="R24" s="43"/>
      <c r="S24" s="44" t="e">
        <f>D9/AVERAGE(C21:D21)</f>
        <v>#DIV/0!</v>
      </c>
      <c r="T24" s="44" t="e">
        <f>E9/AVERAGE(D21:E21)</f>
        <v>#DIV/0!</v>
      </c>
      <c r="U24" s="44">
        <f>F9/AVERAGE(E21:F21)</f>
        <v>7.780409617580622E-2</v>
      </c>
      <c r="V24" s="44">
        <f>G9/AVERAGE(F21:G21)</f>
        <v>8.4059366864035701E-2</v>
      </c>
      <c r="W24" s="44">
        <f>H9/AVERAGE(G21:H21)</f>
        <v>8.9747240836602835E-2</v>
      </c>
      <c r="X24" s="18"/>
      <c r="Y24" s="18"/>
      <c r="Z24" s="18"/>
      <c r="AA24" s="18"/>
    </row>
    <row r="25" spans="1:30" x14ac:dyDescent="0.25">
      <c r="A25" s="6" t="s">
        <v>60</v>
      </c>
      <c r="B25" s="10"/>
      <c r="C25" s="10"/>
      <c r="D25" s="89"/>
      <c r="E25" s="89"/>
      <c r="F25" s="89">
        <v>4674.8</v>
      </c>
      <c r="G25" s="89">
        <v>5137.83</v>
      </c>
      <c r="H25" s="89">
        <v>5228.43</v>
      </c>
      <c r="I25" s="89"/>
      <c r="J25" s="89"/>
      <c r="K25" s="89"/>
      <c r="L25" s="89"/>
      <c r="M25" s="11"/>
      <c r="N25" s="11"/>
      <c r="O25" s="11"/>
      <c r="P25" s="11"/>
      <c r="Q25" s="42" t="s">
        <v>36</v>
      </c>
      <c r="R25" s="43"/>
      <c r="S25" s="48" t="e">
        <f>S23-S24</f>
        <v>#DIV/0!</v>
      </c>
      <c r="T25" s="48" t="e">
        <f>T23-T24</f>
        <v>#DIV/0!</v>
      </c>
      <c r="U25" s="48">
        <f>U23-U24</f>
        <v>7.3752861721963298E-2</v>
      </c>
      <c r="V25" s="48">
        <f>V23-V24</f>
        <v>8.5865297289931808E-2</v>
      </c>
      <c r="W25" s="48">
        <f>W23-W24</f>
        <v>8.0611903548635885E-2</v>
      </c>
      <c r="X25" s="18"/>
      <c r="Y25" s="18"/>
      <c r="Z25" s="18"/>
      <c r="AA25" s="18"/>
    </row>
    <row r="26" spans="1:30" x14ac:dyDescent="0.25">
      <c r="AD26" s="80">
        <v>1.7803</v>
      </c>
    </row>
    <row r="28" spans="1:30" ht="15" customHeight="1" x14ac:dyDescent="0.25">
      <c r="A28" s="162" t="s">
        <v>408</v>
      </c>
      <c r="B28" s="164"/>
      <c r="C28" s="164"/>
      <c r="D28" s="164"/>
      <c r="E28" s="164"/>
      <c r="F28" s="164"/>
    </row>
    <row r="29" spans="1:30" x14ac:dyDescent="0.25">
      <c r="A29" s="783" t="s">
        <v>409</v>
      </c>
      <c r="B29" s="777" t="s">
        <v>410</v>
      </c>
      <c r="C29" s="777" t="s">
        <v>37</v>
      </c>
      <c r="D29" s="777" t="s">
        <v>38</v>
      </c>
      <c r="E29" s="777" t="s">
        <v>39</v>
      </c>
      <c r="F29" s="779" t="s">
        <v>411</v>
      </c>
    </row>
    <row r="30" spans="1:30" x14ac:dyDescent="0.25">
      <c r="A30" s="784"/>
      <c r="B30" s="778"/>
      <c r="C30" s="778"/>
      <c r="D30" s="778"/>
      <c r="E30" s="778"/>
      <c r="F30" s="780"/>
    </row>
    <row r="31" spans="1:30" x14ac:dyDescent="0.25">
      <c r="A31" s="165" t="s">
        <v>3</v>
      </c>
      <c r="B31" s="166">
        <v>2183.31</v>
      </c>
      <c r="C31" s="166">
        <v>2341.7399999999998</v>
      </c>
      <c r="D31" s="166">
        <v>2614.98</v>
      </c>
      <c r="E31" s="166">
        <v>2971.43</v>
      </c>
      <c r="F31" s="166">
        <v>2971.43</v>
      </c>
    </row>
    <row r="32" spans="1:30" x14ac:dyDescent="0.25">
      <c r="A32" s="165" t="s">
        <v>412</v>
      </c>
      <c r="B32" s="166">
        <v>1876.34</v>
      </c>
      <c r="C32" s="166">
        <v>1966.72</v>
      </c>
      <c r="D32" s="166">
        <v>2198.94</v>
      </c>
      <c r="E32" s="166">
        <v>2623.25</v>
      </c>
      <c r="F32" s="166">
        <v>2623.25</v>
      </c>
    </row>
    <row r="33" spans="1:6" x14ac:dyDescent="0.25">
      <c r="A33" s="165" t="s">
        <v>413</v>
      </c>
      <c r="B33" s="166">
        <v>1389.32</v>
      </c>
      <c r="C33" s="165">
        <v>396.54</v>
      </c>
      <c r="D33" s="165">
        <v>546.76</v>
      </c>
      <c r="E33" s="165">
        <v>677.14</v>
      </c>
      <c r="F33" s="166">
        <v>1620.44</v>
      </c>
    </row>
    <row r="34" spans="1:6" x14ac:dyDescent="0.25">
      <c r="A34" s="165" t="s">
        <v>414</v>
      </c>
      <c r="B34" s="167">
        <v>3.61E-2</v>
      </c>
      <c r="C34" s="167">
        <v>4.9399999999999999E-2</v>
      </c>
      <c r="D34" s="167">
        <v>4.3099999999999999E-2</v>
      </c>
      <c r="E34" s="167">
        <v>4.19E-2</v>
      </c>
      <c r="F34" s="167">
        <v>4.19E-2</v>
      </c>
    </row>
    <row r="35" spans="1:6" x14ac:dyDescent="0.25">
      <c r="A35" s="165" t="s">
        <v>415</v>
      </c>
      <c r="B35" s="167">
        <v>2.52E-2</v>
      </c>
      <c r="C35" s="167">
        <v>3.5099999999999999E-2</v>
      </c>
      <c r="D35" s="167">
        <v>2.9700000000000001E-2</v>
      </c>
      <c r="E35" s="167">
        <v>2.7199999999999998E-2</v>
      </c>
      <c r="F35" s="167">
        <v>2.7199999999999998E-2</v>
      </c>
    </row>
    <row r="36" spans="1:6" x14ac:dyDescent="0.25">
      <c r="A36" s="165" t="s">
        <v>416</v>
      </c>
      <c r="B36" s="167">
        <v>0.31019999999999998</v>
      </c>
      <c r="C36" s="167">
        <v>0.29870000000000002</v>
      </c>
      <c r="D36" s="167">
        <v>0.3201</v>
      </c>
      <c r="E36" s="167">
        <v>0.36130000000000001</v>
      </c>
      <c r="F36" s="167">
        <v>0.36130000000000001</v>
      </c>
    </row>
    <row r="37" spans="1:6" x14ac:dyDescent="0.25">
      <c r="A37" s="165" t="s">
        <v>417</v>
      </c>
      <c r="B37" s="167">
        <v>0.28460000000000002</v>
      </c>
      <c r="C37" s="167">
        <v>0.4173</v>
      </c>
      <c r="D37" s="167">
        <v>0.4239</v>
      </c>
      <c r="E37" s="167">
        <v>0.3735</v>
      </c>
      <c r="F37" s="167">
        <v>0.3735</v>
      </c>
    </row>
    <row r="38" spans="1:6" x14ac:dyDescent="0.25">
      <c r="A38" s="165" t="s">
        <v>418</v>
      </c>
      <c r="B38" s="167">
        <v>0.28460000000000002</v>
      </c>
      <c r="C38" s="167">
        <v>0.4168</v>
      </c>
      <c r="D38" s="167">
        <v>0.42230000000000001</v>
      </c>
      <c r="E38" s="167">
        <v>0.37219999999999998</v>
      </c>
      <c r="F38" s="167">
        <v>0.37219999999999998</v>
      </c>
    </row>
    <row r="39" spans="1:6" x14ac:dyDescent="0.25">
      <c r="A39" s="165" t="s">
        <v>419</v>
      </c>
      <c r="B39" s="166">
        <v>1878.32</v>
      </c>
      <c r="C39" s="166">
        <v>1790.77</v>
      </c>
      <c r="D39" s="166">
        <v>1920.61</v>
      </c>
      <c r="E39" s="166">
        <v>2230.08</v>
      </c>
      <c r="F39" s="166">
        <v>2230.08</v>
      </c>
    </row>
    <row r="40" spans="1:6" x14ac:dyDescent="0.25">
      <c r="A40" s="165" t="s">
        <v>420</v>
      </c>
      <c r="B40" s="165">
        <v>2.89</v>
      </c>
      <c r="C40" s="165">
        <v>1.7</v>
      </c>
      <c r="D40" s="165">
        <v>1.78</v>
      </c>
      <c r="E40" s="165">
        <v>2.04</v>
      </c>
      <c r="F40" s="165">
        <v>2.04</v>
      </c>
    </row>
    <row r="41" spans="1:6" x14ac:dyDescent="0.25">
      <c r="A41" s="165" t="s">
        <v>421</v>
      </c>
      <c r="B41" s="165">
        <v>139.88</v>
      </c>
      <c r="C41" s="165" t="s">
        <v>398</v>
      </c>
      <c r="D41" s="165" t="s">
        <v>398</v>
      </c>
      <c r="E41" s="168">
        <v>81</v>
      </c>
      <c r="F41" s="164">
        <v>81</v>
      </c>
    </row>
    <row r="42" spans="1:6" x14ac:dyDescent="0.25">
      <c r="A42" s="165" t="s">
        <v>422</v>
      </c>
      <c r="B42" s="165">
        <v>257.77999999999997</v>
      </c>
      <c r="C42" s="165">
        <v>117.12</v>
      </c>
      <c r="D42" s="165">
        <v>102.63</v>
      </c>
      <c r="E42" s="165" t="s">
        <v>398</v>
      </c>
      <c r="F42" s="165">
        <v>219.74</v>
      </c>
    </row>
    <row r="43" spans="1:6" x14ac:dyDescent="0.25">
      <c r="A43" s="169" t="s">
        <v>423</v>
      </c>
      <c r="B43" s="165"/>
      <c r="C43" s="165"/>
      <c r="D43" s="165"/>
      <c r="E43" s="165"/>
      <c r="F43" s="165"/>
    </row>
    <row r="44" spans="1:6" x14ac:dyDescent="0.25">
      <c r="A44" s="165" t="s">
        <v>50</v>
      </c>
      <c r="B44" s="165">
        <v>327.45</v>
      </c>
      <c r="C44" s="165">
        <v>100.07</v>
      </c>
      <c r="D44" s="165">
        <v>105.19</v>
      </c>
      <c r="E44" s="165">
        <v>110.83</v>
      </c>
      <c r="F44" s="165">
        <v>316.10000000000002</v>
      </c>
    </row>
    <row r="45" spans="1:6" x14ac:dyDescent="0.25">
      <c r="A45" s="165" t="s">
        <v>424</v>
      </c>
      <c r="B45" s="165">
        <v>32.85</v>
      </c>
      <c r="C45" s="165">
        <v>12.26</v>
      </c>
      <c r="D45" s="165">
        <v>14.61</v>
      </c>
      <c r="E45" s="165">
        <v>14.79</v>
      </c>
      <c r="F45" s="165">
        <v>41.65</v>
      </c>
    </row>
    <row r="46" spans="1:6" x14ac:dyDescent="0.25">
      <c r="A46" s="165" t="s">
        <v>425</v>
      </c>
      <c r="B46" s="165">
        <v>146.13999999999999</v>
      </c>
      <c r="C46" s="165">
        <v>45.91</v>
      </c>
      <c r="D46" s="165">
        <v>42.65</v>
      </c>
      <c r="E46" s="165">
        <v>47.5</v>
      </c>
      <c r="F46" s="165">
        <v>136.06</v>
      </c>
    </row>
    <row r="47" spans="1:6" x14ac:dyDescent="0.25">
      <c r="A47" s="165" t="s">
        <v>426</v>
      </c>
      <c r="B47" s="165">
        <v>128.97999999999999</v>
      </c>
      <c r="C47" s="165">
        <v>44.01</v>
      </c>
      <c r="D47" s="165">
        <v>48.16</v>
      </c>
      <c r="E47" s="165">
        <v>48.28</v>
      </c>
      <c r="F47" s="165">
        <v>140.44</v>
      </c>
    </row>
    <row r="48" spans="1:6" x14ac:dyDescent="0.25">
      <c r="A48" s="165" t="s">
        <v>388</v>
      </c>
      <c r="B48" s="165">
        <v>7.18</v>
      </c>
      <c r="C48" s="165">
        <v>6.09</v>
      </c>
      <c r="D48" s="165">
        <v>2.38</v>
      </c>
      <c r="E48" s="165">
        <v>3.95</v>
      </c>
      <c r="F48" s="165">
        <v>12.42</v>
      </c>
    </row>
    <row r="49" spans="1:6" x14ac:dyDescent="0.25">
      <c r="A49" s="165" t="s">
        <v>427</v>
      </c>
      <c r="B49" s="165">
        <v>7.84</v>
      </c>
      <c r="C49" s="165">
        <v>4.37</v>
      </c>
      <c r="D49" s="165">
        <v>0.93</v>
      </c>
      <c r="E49" s="165">
        <v>0.67</v>
      </c>
      <c r="F49" s="165">
        <v>5.97</v>
      </c>
    </row>
    <row r="50" spans="1:6" x14ac:dyDescent="0.25">
      <c r="A50" s="165" t="s">
        <v>428</v>
      </c>
      <c r="B50" s="165" t="s">
        <v>429</v>
      </c>
      <c r="C50" s="165" t="s">
        <v>398</v>
      </c>
      <c r="D50" s="165"/>
      <c r="E50" s="165" t="s">
        <v>398</v>
      </c>
      <c r="F50" s="165" t="s">
        <v>398</v>
      </c>
    </row>
    <row r="51" spans="1:6" x14ac:dyDescent="0.25">
      <c r="A51" s="165" t="s">
        <v>2</v>
      </c>
      <c r="B51" s="165">
        <v>51.86</v>
      </c>
      <c r="C51" s="165">
        <v>8.82</v>
      </c>
      <c r="D51" s="165">
        <v>18.98</v>
      </c>
      <c r="E51" s="165">
        <v>18.79</v>
      </c>
      <c r="F51" s="165">
        <v>46.59</v>
      </c>
    </row>
    <row r="52" spans="1:6" x14ac:dyDescent="0.25">
      <c r="A52" s="165" t="s">
        <v>430</v>
      </c>
      <c r="B52" s="167">
        <v>0.17680000000000001</v>
      </c>
      <c r="C52" s="167">
        <v>0.17549999999999999</v>
      </c>
      <c r="D52" s="167">
        <v>0.17430000000000001</v>
      </c>
      <c r="E52" s="167">
        <v>0.16839999999999999</v>
      </c>
      <c r="F52" s="167">
        <v>0.16839999999999999</v>
      </c>
    </row>
    <row r="53" spans="1:6" x14ac:dyDescent="0.25">
      <c r="A53" s="165" t="s">
        <v>431</v>
      </c>
      <c r="B53" s="167">
        <v>9.4100000000000003E-2</v>
      </c>
      <c r="C53" s="167">
        <v>0.10009999999999999</v>
      </c>
      <c r="D53" s="167">
        <v>9.3200000000000005E-2</v>
      </c>
      <c r="E53" s="167">
        <v>8.8300000000000003E-2</v>
      </c>
      <c r="F53" s="167">
        <v>8.8300000000000003E-2</v>
      </c>
    </row>
    <row r="54" spans="1:6" x14ac:dyDescent="0.25">
      <c r="A54" s="165" t="s">
        <v>432</v>
      </c>
      <c r="B54" s="167">
        <v>9.0300000000000005E-2</v>
      </c>
      <c r="C54" s="167">
        <v>8.4500000000000006E-2</v>
      </c>
      <c r="D54" s="167">
        <v>9.1600000000000001E-2</v>
      </c>
      <c r="E54" s="167">
        <v>9.1499999999999998E-2</v>
      </c>
      <c r="F54" s="167">
        <v>9.1499999999999998E-2</v>
      </c>
    </row>
    <row r="55" spans="1:6" x14ac:dyDescent="0.25">
      <c r="A55" s="165" t="s">
        <v>433</v>
      </c>
      <c r="B55" s="167">
        <v>8.2699999999999996E-2</v>
      </c>
      <c r="C55" s="167">
        <v>7.5399999999999995E-2</v>
      </c>
      <c r="D55" s="167">
        <v>8.1100000000000005E-2</v>
      </c>
      <c r="E55" s="167">
        <v>8.0100000000000005E-2</v>
      </c>
      <c r="F55" s="167">
        <v>8.0100000000000005E-2</v>
      </c>
    </row>
    <row r="56" spans="1:6" x14ac:dyDescent="0.25">
      <c r="A56" s="165" t="s">
        <v>434</v>
      </c>
      <c r="B56" s="165" t="s">
        <v>435</v>
      </c>
      <c r="C56" s="165" t="s">
        <v>436</v>
      </c>
      <c r="D56" s="165" t="s">
        <v>436</v>
      </c>
      <c r="E56" s="165" t="s">
        <v>436</v>
      </c>
      <c r="F56" s="165" t="s">
        <v>436</v>
      </c>
    </row>
    <row r="57" spans="1:6" x14ac:dyDescent="0.25">
      <c r="A57" s="170"/>
      <c r="B57" s="170"/>
      <c r="C57" s="170"/>
      <c r="D57" s="170"/>
      <c r="E57" s="170"/>
      <c r="F57" s="170"/>
    </row>
    <row r="58" spans="1:6" x14ac:dyDescent="0.25">
      <c r="A58" s="171" t="s">
        <v>437</v>
      </c>
      <c r="B58" s="172"/>
      <c r="C58" s="172"/>
      <c r="D58" s="172"/>
      <c r="E58" s="172"/>
      <c r="F58" s="172"/>
    </row>
    <row r="59" spans="1:6" x14ac:dyDescent="0.25">
      <c r="A59" s="172"/>
      <c r="B59" s="172"/>
      <c r="C59" s="172"/>
      <c r="D59" s="172"/>
      <c r="E59" s="172"/>
      <c r="F59" s="172"/>
    </row>
    <row r="60" spans="1:6" x14ac:dyDescent="0.25">
      <c r="A60" s="781" t="s">
        <v>438</v>
      </c>
      <c r="B60" s="782"/>
      <c r="C60" s="172"/>
      <c r="D60" s="172"/>
      <c r="E60" s="172"/>
      <c r="F60" s="172"/>
    </row>
    <row r="61" spans="1:6" x14ac:dyDescent="0.25">
      <c r="A61" s="173" t="s">
        <v>439</v>
      </c>
      <c r="B61" s="174">
        <v>44896</v>
      </c>
      <c r="C61" s="172"/>
      <c r="D61" s="172"/>
      <c r="E61" s="172"/>
      <c r="F61" s="172"/>
    </row>
    <row r="62" spans="1:6" x14ac:dyDescent="0.25">
      <c r="A62" s="175" t="s">
        <v>440</v>
      </c>
      <c r="B62" s="176">
        <v>2528.06</v>
      </c>
      <c r="C62" s="172"/>
      <c r="D62" s="172"/>
      <c r="E62" s="172"/>
      <c r="F62" s="172"/>
    </row>
    <row r="63" spans="1:6" x14ac:dyDescent="0.25">
      <c r="A63" s="175" t="s">
        <v>441</v>
      </c>
      <c r="B63" s="177">
        <v>215.41</v>
      </c>
      <c r="C63" s="172"/>
      <c r="D63" s="172"/>
      <c r="E63" s="172"/>
      <c r="F63" s="172"/>
    </row>
    <row r="64" spans="1:6" x14ac:dyDescent="0.25">
      <c r="A64" s="175" t="s">
        <v>442</v>
      </c>
      <c r="B64" s="177">
        <v>103.53</v>
      </c>
      <c r="C64" s="172"/>
      <c r="D64" s="172"/>
      <c r="E64" s="172"/>
      <c r="F64" s="172"/>
    </row>
    <row r="65" spans="1:6" x14ac:dyDescent="0.25">
      <c r="A65" s="175" t="s">
        <v>443</v>
      </c>
      <c r="B65" s="177">
        <v>16.149999999999999</v>
      </c>
      <c r="C65" s="172"/>
      <c r="D65" s="172"/>
      <c r="E65" s="172"/>
      <c r="F65" s="172"/>
    </row>
    <row r="66" spans="1:6" x14ac:dyDescent="0.25">
      <c r="A66" s="175" t="s">
        <v>444</v>
      </c>
      <c r="B66" s="177">
        <v>76.819999999999993</v>
      </c>
      <c r="C66" s="172"/>
      <c r="D66" s="172"/>
      <c r="E66" s="172"/>
      <c r="F66" s="172"/>
    </row>
    <row r="67" spans="1:6" x14ac:dyDescent="0.25">
      <c r="A67" s="173" t="s">
        <v>68</v>
      </c>
      <c r="B67" s="178">
        <v>2939.98</v>
      </c>
      <c r="C67" s="172"/>
      <c r="D67" s="172"/>
      <c r="E67" s="172"/>
      <c r="F67" s="172"/>
    </row>
    <row r="68" spans="1:6" x14ac:dyDescent="0.25">
      <c r="A68" s="179" t="s">
        <v>445</v>
      </c>
      <c r="B68" s="180"/>
      <c r="C68" s="163"/>
      <c r="D68" s="163"/>
      <c r="E68" s="172"/>
      <c r="F68" s="172"/>
    </row>
    <row r="69" spans="1:6" x14ac:dyDescent="0.25">
      <c r="A69" s="179"/>
      <c r="B69" s="180"/>
      <c r="C69" s="163"/>
      <c r="D69" s="163"/>
      <c r="E69" s="172"/>
      <c r="F69" s="172"/>
    </row>
    <row r="70" spans="1:6" ht="30" x14ac:dyDescent="0.25">
      <c r="A70" s="181" t="s">
        <v>446</v>
      </c>
      <c r="B70" s="164"/>
      <c r="C70" s="163"/>
      <c r="D70" s="163"/>
      <c r="E70" s="163"/>
      <c r="F70" s="163"/>
    </row>
    <row r="71" spans="1:6" ht="60" x14ac:dyDescent="0.25">
      <c r="A71" s="173" t="s">
        <v>447</v>
      </c>
      <c r="B71" s="173" t="s">
        <v>448</v>
      </c>
      <c r="C71" s="163"/>
      <c r="D71" s="163"/>
      <c r="E71" s="163"/>
      <c r="F71" s="163"/>
    </row>
    <row r="72" spans="1:6" x14ac:dyDescent="0.25">
      <c r="A72" s="182">
        <v>44835</v>
      </c>
      <c r="B72" s="183">
        <v>0.96330000000000005</v>
      </c>
      <c r="C72" s="163"/>
      <c r="D72" s="163"/>
      <c r="E72" s="163"/>
      <c r="F72" s="163"/>
    </row>
    <row r="73" spans="1:6" x14ac:dyDescent="0.25">
      <c r="A73" s="182">
        <v>44866</v>
      </c>
      <c r="B73" s="183">
        <v>0.96819999999999995</v>
      </c>
      <c r="C73" s="163"/>
      <c r="D73" s="163"/>
      <c r="E73" s="163"/>
      <c r="F73" s="163"/>
    </row>
    <row r="74" spans="1:6" x14ac:dyDescent="0.25">
      <c r="A74" s="182">
        <v>44896</v>
      </c>
      <c r="B74" s="183">
        <v>0.98780000000000001</v>
      </c>
      <c r="C74" s="163"/>
      <c r="D74" s="163"/>
      <c r="E74" s="163"/>
      <c r="F74" s="163"/>
    </row>
    <row r="75" spans="1:6" x14ac:dyDescent="0.25">
      <c r="A75" s="163"/>
      <c r="B75" s="163"/>
      <c r="C75" s="163"/>
      <c r="D75" s="163"/>
      <c r="E75" s="163"/>
      <c r="F75" s="163"/>
    </row>
    <row r="76" spans="1:6" x14ac:dyDescent="0.25">
      <c r="A76" s="163"/>
      <c r="B76" s="163"/>
      <c r="C76" s="163"/>
      <c r="D76" s="163"/>
      <c r="E76" s="163"/>
      <c r="F76" s="163"/>
    </row>
  </sheetData>
  <mergeCells count="9">
    <mergeCell ref="J1:L1"/>
    <mergeCell ref="A2:A4"/>
    <mergeCell ref="E29:E30"/>
    <mergeCell ref="F29:F30"/>
    <mergeCell ref="A60:B60"/>
    <mergeCell ref="A29:A30"/>
    <mergeCell ref="B29:B30"/>
    <mergeCell ref="C29:C30"/>
    <mergeCell ref="D29:D30"/>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W31"/>
  <sheetViews>
    <sheetView workbookViewId="0">
      <selection activeCell="AG6" sqref="AG6"/>
    </sheetView>
  </sheetViews>
  <sheetFormatPr defaultRowHeight="15" x14ac:dyDescent="0.25"/>
  <cols>
    <col min="1" max="1" width="29.85546875" customWidth="1"/>
    <col min="4" max="4" width="13.28515625" customWidth="1"/>
    <col min="5" max="5" width="12.28515625" customWidth="1"/>
    <col min="6" max="6" width="13.85546875" customWidth="1"/>
    <col min="7" max="7" width="11.85546875" customWidth="1"/>
    <col min="8" max="8" width="10.140625" bestFit="1" customWidth="1"/>
    <col min="14" max="14" width="30.85546875" customWidth="1"/>
    <col min="16" max="16" width="13.85546875" customWidth="1"/>
    <col min="17" max="17" width="12.7109375" customWidth="1"/>
    <col min="18" max="18" width="13" customWidth="1"/>
    <col min="19" max="19" width="14.140625" customWidth="1"/>
  </cols>
  <sheetData>
    <row r="1" spans="1:23" x14ac:dyDescent="0.25">
      <c r="I1" s="772" t="s">
        <v>113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f>E10/AVERAGE(D23:E23)</f>
        <v>4.3428548249777377E-2</v>
      </c>
      <c r="R3" s="44">
        <f>F10/AVERAGE(E23:F23)</f>
        <v>5.0447610696971838E-2</v>
      </c>
      <c r="S3" s="44">
        <f>G10/AVERAGE(F23:G23)</f>
        <v>5.7733753111384206E-2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E5">
        <v>90666.96</v>
      </c>
      <c r="F5" s="85">
        <v>82826.240000000005</v>
      </c>
      <c r="G5" s="90">
        <v>69766.73</v>
      </c>
      <c r="H5" s="85">
        <v>13478</v>
      </c>
      <c r="I5" s="85"/>
      <c r="J5" s="85"/>
      <c r="K5" s="85"/>
      <c r="L5" s="11"/>
      <c r="M5" s="11"/>
      <c r="N5" s="42" t="s">
        <v>13</v>
      </c>
      <c r="O5" s="46"/>
      <c r="P5" s="47" t="e">
        <f>D21/D20</f>
        <v>#DIV/0!</v>
      </c>
      <c r="Q5" s="47">
        <f>E21/E20</f>
        <v>3.8437031330426548</v>
      </c>
      <c r="R5" s="47">
        <f>F21/F20</f>
        <v>3.1262689784815385</v>
      </c>
      <c r="S5" s="47">
        <f>G21/G20</f>
        <v>2.0832766026394709</v>
      </c>
      <c r="T5" s="18"/>
      <c r="U5" s="18"/>
      <c r="V5" s="18"/>
      <c r="W5" s="18"/>
    </row>
    <row r="6" spans="1:23" x14ac:dyDescent="0.25">
      <c r="A6" s="6" t="s">
        <v>50</v>
      </c>
      <c r="B6" s="7"/>
      <c r="C6" s="8"/>
      <c r="E6">
        <v>84884.75</v>
      </c>
      <c r="F6" s="85">
        <v>77889.84</v>
      </c>
      <c r="G6" s="85">
        <v>64136.25</v>
      </c>
      <c r="H6" s="85">
        <v>12728</v>
      </c>
      <c r="I6" s="85"/>
      <c r="J6" s="85"/>
      <c r="K6" s="85"/>
      <c r="L6" s="11"/>
      <c r="M6" s="11"/>
      <c r="N6" s="42" t="s">
        <v>14</v>
      </c>
      <c r="O6" s="43"/>
      <c r="P6" s="43"/>
      <c r="Q6" s="43">
        <v>0.189</v>
      </c>
      <c r="R6" s="43">
        <v>0.1948</v>
      </c>
      <c r="S6" s="48">
        <v>0.28399999999999997</v>
      </c>
      <c r="T6" s="48">
        <v>0.29659999999999997</v>
      </c>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f>E20/E23</f>
        <v>0.19227029862273159</v>
      </c>
      <c r="R7" s="44">
        <f>F20/F23</f>
        <v>0.2037214271908955</v>
      </c>
      <c r="S7" s="44">
        <f>G20/G23</f>
        <v>0.28040962976752759</v>
      </c>
      <c r="T7" s="18"/>
      <c r="U7" s="18"/>
      <c r="V7" s="18"/>
      <c r="W7" s="18"/>
    </row>
    <row r="8" spans="1:23" x14ac:dyDescent="0.25">
      <c r="A8" s="6" t="s">
        <v>52</v>
      </c>
      <c r="B8" s="7"/>
      <c r="C8" s="8"/>
      <c r="D8" s="85">
        <f>D5-D6-D7</f>
        <v>0</v>
      </c>
      <c r="E8" s="85">
        <f>E5-E6-E7</f>
        <v>5782.2100000000064</v>
      </c>
      <c r="F8" s="85">
        <f>F5-F6-F7</f>
        <v>4936.4000000000087</v>
      </c>
      <c r="G8" s="85">
        <f>G5-G6-G7</f>
        <v>5630.4799999999959</v>
      </c>
      <c r="H8" s="85">
        <f>H5-H6-H7</f>
        <v>750</v>
      </c>
      <c r="I8" s="85"/>
      <c r="J8" s="85"/>
      <c r="K8" s="85"/>
      <c r="L8" s="11"/>
      <c r="M8" s="11"/>
      <c r="N8" s="40" t="s">
        <v>16</v>
      </c>
      <c r="O8" s="45"/>
      <c r="P8" s="45"/>
      <c r="Q8" s="45"/>
      <c r="R8" s="46" t="s">
        <v>5</v>
      </c>
      <c r="S8" s="18"/>
      <c r="T8" s="18"/>
      <c r="U8" s="18"/>
      <c r="V8" s="18"/>
      <c r="W8" s="18"/>
    </row>
    <row r="9" spans="1:23" ht="33.75" x14ac:dyDescent="0.25">
      <c r="A9" s="6" t="s">
        <v>24</v>
      </c>
      <c r="B9" s="7"/>
      <c r="C9" s="7"/>
      <c r="D9" s="88"/>
      <c r="E9" s="85">
        <v>48397.09</v>
      </c>
      <c r="F9" s="85">
        <v>37721.58</v>
      </c>
      <c r="G9" s="85">
        <v>24483.64</v>
      </c>
      <c r="H9" s="85">
        <v>4682</v>
      </c>
      <c r="I9" s="85"/>
      <c r="J9" s="85"/>
      <c r="K9" s="85"/>
      <c r="L9" s="11"/>
      <c r="M9" s="11"/>
      <c r="N9" s="49" t="s">
        <v>93</v>
      </c>
      <c r="O9" s="45"/>
      <c r="P9" s="93" t="e">
        <f>D14/(D11-D9)</f>
        <v>#DIV/0!</v>
      </c>
      <c r="Q9" s="93">
        <f>E14/(E11-E9)</f>
        <v>0.36250336232403829</v>
      </c>
      <c r="R9" s="93">
        <f>F14/(F11-F9)</f>
        <v>0.29275489494877027</v>
      </c>
      <c r="S9" s="93">
        <f>G14/(G11-G9)</f>
        <v>0.27035125032324431</v>
      </c>
      <c r="T9" s="18"/>
      <c r="U9" s="18"/>
      <c r="V9" s="18"/>
      <c r="W9" s="18"/>
    </row>
    <row r="10" spans="1:23" ht="22.5" x14ac:dyDescent="0.25">
      <c r="A10" s="6" t="s">
        <v>53</v>
      </c>
      <c r="B10" s="10">
        <f t="shared" ref="B10:H10" si="0">B6-B9</f>
        <v>0</v>
      </c>
      <c r="C10" s="10">
        <f t="shared" si="0"/>
        <v>0</v>
      </c>
      <c r="D10" s="89">
        <f t="shared" si="0"/>
        <v>0</v>
      </c>
      <c r="E10" s="89">
        <f t="shared" si="0"/>
        <v>36487.660000000003</v>
      </c>
      <c r="F10" s="89">
        <f t="shared" si="0"/>
        <v>40168.259999999995</v>
      </c>
      <c r="G10" s="89">
        <f t="shared" si="0"/>
        <v>39652.61</v>
      </c>
      <c r="H10" s="89">
        <f t="shared" si="0"/>
        <v>8046</v>
      </c>
      <c r="I10" s="89"/>
      <c r="J10" s="89"/>
      <c r="K10" s="89"/>
      <c r="L10" s="11"/>
      <c r="M10" s="11"/>
      <c r="N10" s="42" t="s">
        <v>92</v>
      </c>
      <c r="O10" s="43"/>
      <c r="P10" s="44" t="e">
        <f>D14/D11</f>
        <v>#DIV/0!</v>
      </c>
      <c r="Q10" s="44">
        <f>E14/E11</f>
        <v>0.16900279881447441</v>
      </c>
      <c r="R10" s="44">
        <f>F14/F11</f>
        <v>0.1594254429514125</v>
      </c>
      <c r="S10" s="44">
        <f>G14/G11</f>
        <v>0.1754753304332882</v>
      </c>
      <c r="T10" s="18"/>
      <c r="U10" s="18"/>
      <c r="V10" s="18"/>
      <c r="W10" s="18"/>
    </row>
    <row r="11" spans="1:23" ht="22.5" x14ac:dyDescent="0.25">
      <c r="A11" s="6" t="s">
        <v>1</v>
      </c>
      <c r="B11" s="10">
        <f>B5-B9</f>
        <v>0</v>
      </c>
      <c r="C11" s="10">
        <f t="shared" ref="C11:H11" si="1">SUM(C6:C8)</f>
        <v>0</v>
      </c>
      <c r="D11" s="89">
        <f t="shared" si="1"/>
        <v>0</v>
      </c>
      <c r="E11" s="89">
        <f t="shared" si="1"/>
        <v>90666.96</v>
      </c>
      <c r="F11" s="89">
        <f>SUM(F6:F8)</f>
        <v>82826.240000000005</v>
      </c>
      <c r="G11" s="89">
        <f>SUM(G6:G8)</f>
        <v>69766.73</v>
      </c>
      <c r="H11" s="89">
        <f t="shared" si="1"/>
        <v>13478</v>
      </c>
      <c r="I11" s="89"/>
      <c r="J11" s="89"/>
      <c r="K11" s="89"/>
      <c r="L11" s="11"/>
      <c r="M11" s="11"/>
      <c r="N11" s="42" t="s">
        <v>17</v>
      </c>
      <c r="O11" s="43"/>
      <c r="P11" s="44" t="e">
        <f>D14/AVERAGE(C22:D22)</f>
        <v>#DIV/0!</v>
      </c>
      <c r="Q11" s="44">
        <f>E14/AVERAGE(D22:E22)</f>
        <v>1.8294714591327237E-2</v>
      </c>
      <c r="R11" s="44">
        <f>F14/AVERAGE(E22:F22)</f>
        <v>1.6880752161544763E-2</v>
      </c>
      <c r="S11" s="44">
        <f>G14/AVERAGE(F22:G22)</f>
        <v>1.8663297426768335E-2</v>
      </c>
      <c r="T11" s="18"/>
      <c r="U11" s="18"/>
      <c r="V11" s="18"/>
      <c r="W11" s="18"/>
    </row>
    <row r="12" spans="1:23" x14ac:dyDescent="0.25">
      <c r="A12" s="6" t="s">
        <v>91</v>
      </c>
      <c r="B12" s="10"/>
      <c r="C12" s="10"/>
      <c r="D12" s="89"/>
      <c r="E12" s="89">
        <v>261.37</v>
      </c>
      <c r="F12" s="89">
        <v>553.12</v>
      </c>
      <c r="G12" s="89">
        <v>1444.88</v>
      </c>
      <c r="H12" s="89">
        <v>620</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90928.33</v>
      </c>
      <c r="F13" s="88">
        <f>F11+F12</f>
        <v>83379.360000000001</v>
      </c>
      <c r="G13" s="88">
        <f>G11+G12</f>
        <v>71211.61</v>
      </c>
      <c r="H13" s="88">
        <f>H11+H12</f>
        <v>14098</v>
      </c>
      <c r="I13" s="88"/>
      <c r="J13" s="88"/>
      <c r="K13" s="88"/>
      <c r="L13" s="11"/>
      <c r="M13" s="11"/>
      <c r="N13" s="42" t="s">
        <v>19</v>
      </c>
      <c r="O13" s="43"/>
      <c r="P13" s="44" t="e">
        <f>D24/D23</f>
        <v>#DIV/0!</v>
      </c>
      <c r="Q13" s="44">
        <f>E24/E23</f>
        <v>0.18704813604536086</v>
      </c>
      <c r="R13" s="44">
        <f>F24/F23</f>
        <v>0.25534601076648678</v>
      </c>
      <c r="S13" s="44">
        <f>G24/G23</f>
        <v>0.14158149357321675</v>
      </c>
      <c r="T13" s="48"/>
      <c r="U13" s="18"/>
      <c r="V13" s="18"/>
      <c r="W13" s="18"/>
    </row>
    <row r="14" spans="1:23" x14ac:dyDescent="0.25">
      <c r="A14" s="6" t="s">
        <v>26</v>
      </c>
      <c r="B14" s="7"/>
      <c r="C14" s="7"/>
      <c r="D14" s="85"/>
      <c r="E14" s="85">
        <f>5592.55+1747.14+7983.28</f>
        <v>15322.970000000001</v>
      </c>
      <c r="F14" s="85">
        <f>5166.01+1071.83+6966.77</f>
        <v>13204.61</v>
      </c>
      <c r="G14" s="85">
        <f>4517.36+678.04+7046.94</f>
        <v>12242.34</v>
      </c>
      <c r="H14" s="85">
        <f>2319+132+3965</f>
        <v>6416</v>
      </c>
      <c r="I14" s="85"/>
      <c r="J14" s="85"/>
      <c r="K14" s="85"/>
      <c r="L14" s="11"/>
      <c r="M14" s="11"/>
      <c r="N14" s="42" t="s">
        <v>20</v>
      </c>
      <c r="O14" s="43"/>
      <c r="P14" s="44" t="e">
        <f>D25/D23</f>
        <v>#DIV/0!</v>
      </c>
      <c r="Q14" s="44">
        <f>E25/E23</f>
        <v>0.14508801676904134</v>
      </c>
      <c r="R14" s="44">
        <f>F25/F23</f>
        <v>0.15519331849345749</v>
      </c>
      <c r="S14" s="44">
        <f>G25/G23</f>
        <v>3.3426357608200771E-2</v>
      </c>
      <c r="T14" s="48"/>
      <c r="U14" s="18"/>
      <c r="V14" s="18"/>
      <c r="W14" s="18"/>
    </row>
    <row r="15" spans="1:23" x14ac:dyDescent="0.25">
      <c r="A15" s="6" t="s">
        <v>54</v>
      </c>
      <c r="B15" s="10"/>
      <c r="C15" s="10"/>
      <c r="D15" s="89">
        <f>D11-D14</f>
        <v>0</v>
      </c>
      <c r="E15" s="89">
        <f>E11-E14</f>
        <v>75343.990000000005</v>
      </c>
      <c r="F15" s="89">
        <f>F11-F14</f>
        <v>69621.63</v>
      </c>
      <c r="G15" s="89">
        <f>G11-G14</f>
        <v>57524.39</v>
      </c>
      <c r="H15" s="89">
        <f>H11-H14</f>
        <v>7062</v>
      </c>
      <c r="I15" s="89"/>
      <c r="J15" s="89"/>
      <c r="K15" s="89"/>
      <c r="L15" s="11"/>
      <c r="M15" s="11"/>
      <c r="N15" s="42" t="s">
        <v>21</v>
      </c>
      <c r="O15" s="43"/>
      <c r="P15" s="44" t="e">
        <f>(P13-P14)/P13</f>
        <v>#DIV/0!</v>
      </c>
      <c r="Q15" s="44">
        <f>(Q13-Q14)/Q13</f>
        <v>0.2243279198791043</v>
      </c>
      <c r="R15" s="44">
        <f>(R13-R14)/R13</f>
        <v>0.39222344603072201</v>
      </c>
      <c r="S15" s="44">
        <f>(S13-S14)/S13</f>
        <v>0.76390729632390242</v>
      </c>
      <c r="T15" s="44" t="e">
        <f>(T13-T14)/T13</f>
        <v>#DIV/0!</v>
      </c>
      <c r="U15" s="18"/>
      <c r="V15" s="18"/>
      <c r="W15" s="18"/>
    </row>
    <row r="16" spans="1:23" x14ac:dyDescent="0.25">
      <c r="A16" s="6" t="s">
        <v>94</v>
      </c>
      <c r="B16" s="10"/>
      <c r="C16" s="10"/>
      <c r="D16" s="89">
        <f>D13-D14-D9</f>
        <v>0</v>
      </c>
      <c r="E16" s="89">
        <f>E13-E14-E9</f>
        <v>27208.270000000004</v>
      </c>
      <c r="F16" s="89">
        <f>F13-F14-F9</f>
        <v>32453.17</v>
      </c>
      <c r="G16" s="89">
        <f>G13-G14-G9</f>
        <v>34485.630000000005</v>
      </c>
      <c r="H16" s="89">
        <f>H13-H14-H9</f>
        <v>3000</v>
      </c>
      <c r="I16" s="89"/>
      <c r="J16" s="89"/>
      <c r="K16" s="89"/>
      <c r="L16" s="11"/>
      <c r="M16" s="11"/>
      <c r="N16" s="42" t="s">
        <v>22</v>
      </c>
      <c r="O16" s="43"/>
      <c r="P16" s="44" t="e">
        <f>D17/AVERAGE(C23:D23)</f>
        <v>#DIV/0!</v>
      </c>
      <c r="Q16" s="44">
        <f>E17/AVERAGE(D23:E23)</f>
        <v>4.7622974796865086E-2</v>
      </c>
      <c r="R16" s="44">
        <f>F17/AVERAGE(E23:F23)</f>
        <v>6.3957995728445793E-2</v>
      </c>
      <c r="S16" s="44">
        <f>G17/AVERAGE(F23:G23)</f>
        <v>8.9366258412038567E-3</v>
      </c>
      <c r="T16" s="18"/>
      <c r="U16" s="18"/>
      <c r="V16" s="18"/>
      <c r="W16" s="18"/>
    </row>
    <row r="17" spans="1:23" x14ac:dyDescent="0.25">
      <c r="A17" s="6" t="s">
        <v>27</v>
      </c>
      <c r="B17" s="7"/>
      <c r="C17" s="7"/>
      <c r="D17" s="88"/>
      <c r="E17" s="85">
        <v>40011.72</v>
      </c>
      <c r="F17" s="85">
        <v>50925.73</v>
      </c>
      <c r="G17" s="85">
        <v>6137.84</v>
      </c>
      <c r="H17" s="85">
        <v>-4097</v>
      </c>
      <c r="I17" s="85"/>
      <c r="J17" s="85"/>
      <c r="K17" s="85"/>
      <c r="L17" s="11"/>
      <c r="M17" s="11"/>
      <c r="N17" s="18"/>
      <c r="O17" s="18"/>
      <c r="P17" s="18"/>
      <c r="Q17" s="18"/>
      <c r="R17" s="18"/>
      <c r="S17" s="18"/>
      <c r="T17" s="18"/>
      <c r="U17" s="18"/>
      <c r="V17" s="18"/>
      <c r="W17" s="18"/>
    </row>
    <row r="18" spans="1:23" x14ac:dyDescent="0.25">
      <c r="A18" s="6" t="s">
        <v>55</v>
      </c>
      <c r="B18" s="7"/>
      <c r="C18" s="7"/>
      <c r="D18" s="88"/>
      <c r="E18" s="85">
        <v>-11671.97</v>
      </c>
      <c r="F18" s="89">
        <v>-13967.56</v>
      </c>
      <c r="G18" s="89">
        <v>21356.43</v>
      </c>
      <c r="H18" s="89">
        <v>4700</v>
      </c>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v>161541.04999999999</v>
      </c>
      <c r="F19" s="85">
        <v>153259.1</v>
      </c>
      <c r="G19" s="85">
        <v>174229.61</v>
      </c>
      <c r="H19" s="85">
        <v>178425</v>
      </c>
      <c r="I19" s="85"/>
      <c r="J19" s="85"/>
      <c r="K19" s="85"/>
      <c r="L19" s="11"/>
      <c r="M19" s="11"/>
      <c r="N19" s="46" t="s">
        <v>95</v>
      </c>
      <c r="O19" s="51"/>
      <c r="P19" s="51"/>
      <c r="Q19" s="52">
        <f>E16/AVERAGE(D22:E22)</f>
        <v>3.2485055715293525E-2</v>
      </c>
      <c r="R19" s="52">
        <f>F16/AVERAGE(E22:F22)</f>
        <v>4.1488080270941703E-2</v>
      </c>
      <c r="S19" s="52">
        <f>G16/AVERAGE(F22:G22)</f>
        <v>5.2572920670352637E-2</v>
      </c>
      <c r="T19" s="18"/>
      <c r="U19" s="18"/>
      <c r="V19" s="18"/>
      <c r="W19" s="18"/>
    </row>
    <row r="20" spans="1:23" x14ac:dyDescent="0.25">
      <c r="A20" s="6" t="s">
        <v>56</v>
      </c>
      <c r="B20" s="7"/>
      <c r="C20" s="7"/>
      <c r="D20" s="88">
        <f>D19-D71</f>
        <v>0</v>
      </c>
      <c r="E20" s="89">
        <f>E19-E71</f>
        <v>161541.04999999999</v>
      </c>
      <c r="F20" s="89">
        <f>F19-F71</f>
        <v>153259.1</v>
      </c>
      <c r="G20" s="89">
        <f>G19-G71</f>
        <v>174229.61</v>
      </c>
      <c r="H20" s="89">
        <f>H19-H71</f>
        <v>178425</v>
      </c>
      <c r="I20" s="89"/>
      <c r="J20" s="89"/>
      <c r="K20" s="89"/>
      <c r="L20" s="11"/>
      <c r="M20" s="11"/>
      <c r="N20" s="42" t="s">
        <v>31</v>
      </c>
      <c r="O20" s="43"/>
      <c r="P20" s="43">
        <v>4.4699999999999997E-2</v>
      </c>
      <c r="Q20" s="44">
        <f>E18/AVERAGE(D22:E22)</f>
        <v>-1.3935637795318647E-2</v>
      </c>
      <c r="R20" s="44">
        <f>F18/AVERAGE(E22:F22)</f>
        <v>-1.7856106213020008E-2</v>
      </c>
      <c r="S20" s="44">
        <f>G18/AVERAGE(F22:G22)</f>
        <v>3.2557616032879176E-2</v>
      </c>
      <c r="T20" s="48"/>
      <c r="U20" s="18"/>
      <c r="V20" s="18"/>
      <c r="W20" s="18"/>
    </row>
    <row r="21" spans="1:23" x14ac:dyDescent="0.25">
      <c r="A21" s="6" t="s">
        <v>57</v>
      </c>
      <c r="B21" s="9"/>
      <c r="C21" s="9"/>
      <c r="D21" s="85"/>
      <c r="E21" s="85">
        <f>178532.26+442383.58</f>
        <v>620915.84000000008</v>
      </c>
      <c r="F21" s="85">
        <f>112273.24+366855.93</f>
        <v>479129.17</v>
      </c>
      <c r="G21" s="85">
        <f>41859.35+321109.12</f>
        <v>362968.47</v>
      </c>
      <c r="H21" s="85"/>
      <c r="I21" s="85"/>
      <c r="J21" s="85"/>
      <c r="K21" s="85"/>
      <c r="L21" s="11"/>
      <c r="M21" s="11"/>
      <c r="N21" s="42" t="s">
        <v>32</v>
      </c>
      <c r="O21" s="43"/>
      <c r="P21" s="44" t="e">
        <f>D18/AVERAGE(C19:D19)</f>
        <v>#DIV/0!</v>
      </c>
      <c r="Q21" s="44">
        <f>E18/AVERAGE(D19:E19)</f>
        <v>-7.2253894598307986E-2</v>
      </c>
      <c r="R21" s="44">
        <f>F18/AVERAGE(E19:F19)</f>
        <v>-8.8739220740523775E-2</v>
      </c>
      <c r="S21" s="44">
        <f>G18/AVERAGE(F19:G19)</f>
        <v>0.13042544275801143</v>
      </c>
      <c r="T21" s="18"/>
      <c r="U21" s="18"/>
      <c r="V21" s="18"/>
      <c r="W21" s="18"/>
    </row>
    <row r="22" spans="1:23" x14ac:dyDescent="0.25">
      <c r="A22" s="6" t="s">
        <v>29</v>
      </c>
      <c r="B22" s="7"/>
      <c r="C22" s="7"/>
      <c r="D22" s="88"/>
      <c r="E22" s="85">
        <v>837562.67</v>
      </c>
      <c r="F22" s="85">
        <v>726894.87</v>
      </c>
      <c r="G22" s="85">
        <v>585021.21</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v>840176.83</v>
      </c>
      <c r="F23" s="85">
        <v>752297.4</v>
      </c>
      <c r="G23" s="85">
        <v>621339.61</v>
      </c>
      <c r="H23" s="85"/>
      <c r="I23" s="85"/>
      <c r="J23" s="85"/>
      <c r="K23" s="85"/>
      <c r="L23" s="11"/>
      <c r="M23" s="11"/>
      <c r="N23" s="42" t="s">
        <v>34</v>
      </c>
      <c r="O23" s="43"/>
      <c r="P23" s="44" t="e">
        <f>D6/AVERAGE(C23:D23)</f>
        <v>#DIV/0!</v>
      </c>
      <c r="Q23" s="44">
        <f>E6/AVERAGE(D23:E23)</f>
        <v>0.10103200536963154</v>
      </c>
      <c r="R23" s="44">
        <f>F6/AVERAGE(E23:F23)</f>
        <v>9.7822418137340911E-2</v>
      </c>
      <c r="S23" s="44">
        <f>G6/AVERAGE(F23:G23)</f>
        <v>9.33816569196836E-2</v>
      </c>
      <c r="T23" s="18"/>
      <c r="U23" s="18"/>
      <c r="V23" s="18"/>
      <c r="W23" s="18"/>
    </row>
    <row r="24" spans="1:23" x14ac:dyDescent="0.25">
      <c r="A24" s="6" t="s">
        <v>59</v>
      </c>
      <c r="B24" s="10"/>
      <c r="C24" s="10"/>
      <c r="D24" s="89"/>
      <c r="E24" s="89">
        <v>157153.51</v>
      </c>
      <c r="F24" s="89">
        <v>192096.14</v>
      </c>
      <c r="G24" s="89">
        <v>87970.19</v>
      </c>
      <c r="H24" s="89"/>
      <c r="I24" s="89"/>
      <c r="J24" s="89"/>
      <c r="K24" s="89"/>
      <c r="L24" s="11"/>
      <c r="M24" s="11"/>
      <c r="N24" s="42" t="s">
        <v>35</v>
      </c>
      <c r="O24" s="43"/>
      <c r="P24" s="44" t="e">
        <f>D9/AVERAGE(C21:D21)</f>
        <v>#DIV/0!</v>
      </c>
      <c r="Q24" s="44">
        <f>E9/AVERAGE(D21:E21)</f>
        <v>7.7944685708130734E-2</v>
      </c>
      <c r="R24" s="44">
        <f>F9/AVERAGE(E21:F21)</f>
        <v>6.8581884663064835E-2</v>
      </c>
      <c r="S24" s="44">
        <f>G9/AVERAGE(F21:G21)</f>
        <v>5.8149171395374059E-2</v>
      </c>
      <c r="T24" s="18"/>
      <c r="U24" s="18"/>
      <c r="V24" s="18"/>
      <c r="W24" s="18"/>
    </row>
    <row r="25" spans="1:23" x14ac:dyDescent="0.25">
      <c r="A25" s="6" t="s">
        <v>60</v>
      </c>
      <c r="B25" s="10"/>
      <c r="C25" s="10"/>
      <c r="D25" s="89"/>
      <c r="E25" s="89">
        <v>121899.59</v>
      </c>
      <c r="F25" s="89">
        <v>116751.53</v>
      </c>
      <c r="G25" s="89">
        <v>20769.12</v>
      </c>
      <c r="H25" s="89"/>
      <c r="I25" s="89"/>
      <c r="J25" s="89"/>
      <c r="K25" s="89"/>
      <c r="L25" s="11"/>
      <c r="M25" s="11"/>
      <c r="N25" s="42" t="s">
        <v>36</v>
      </c>
      <c r="O25" s="43"/>
      <c r="P25" s="48" t="e">
        <f>P23-P24</f>
        <v>#DIV/0!</v>
      </c>
      <c r="Q25" s="48">
        <f>Q23-Q24</f>
        <v>2.3087319661500807E-2</v>
      </c>
      <c r="R25" s="48">
        <f>R23-R24</f>
        <v>2.9240533474276076E-2</v>
      </c>
      <c r="S25" s="48">
        <f>S23-S24</f>
        <v>3.5232485524309541E-2</v>
      </c>
      <c r="T25" s="18"/>
      <c r="U25" s="18"/>
      <c r="V25" s="18"/>
      <c r="W25" s="18"/>
    </row>
    <row r="27" spans="1:23" x14ac:dyDescent="0.25">
      <c r="A27" s="732" t="s">
        <v>260</v>
      </c>
      <c r="B27" s="732"/>
      <c r="C27" s="732"/>
      <c r="D27" s="732"/>
      <c r="E27" s="732"/>
      <c r="F27" s="732"/>
      <c r="G27" s="732"/>
      <c r="H27" s="732"/>
      <c r="I27" s="732"/>
      <c r="J27" s="732"/>
    </row>
    <row r="28" spans="1:23" ht="15" customHeight="1" x14ac:dyDescent="0.25">
      <c r="A28" s="732"/>
      <c r="B28" s="732"/>
      <c r="C28" s="732"/>
      <c r="D28" s="732"/>
      <c r="E28" s="732"/>
      <c r="F28" s="732"/>
      <c r="G28" s="732"/>
      <c r="H28" s="732"/>
      <c r="I28" s="732"/>
      <c r="J28" s="732"/>
    </row>
    <row r="29" spans="1:23" x14ac:dyDescent="0.25">
      <c r="A29" s="732"/>
      <c r="B29" s="732"/>
      <c r="C29" s="732"/>
      <c r="D29" s="732"/>
      <c r="E29" s="732"/>
      <c r="F29" s="732"/>
      <c r="G29" s="732"/>
      <c r="H29" s="732"/>
      <c r="I29" s="732"/>
      <c r="J29" s="732"/>
    </row>
    <row r="30" spans="1:23" x14ac:dyDescent="0.25">
      <c r="A30" s="732"/>
      <c r="B30" s="732"/>
      <c r="C30" s="732"/>
      <c r="D30" s="732"/>
      <c r="E30" s="732"/>
      <c r="F30" s="732"/>
      <c r="G30" s="732"/>
      <c r="H30" s="732"/>
      <c r="I30" s="732"/>
      <c r="J30" s="732"/>
    </row>
    <row r="31" spans="1:23" x14ac:dyDescent="0.25">
      <c r="A31" s="732"/>
      <c r="B31" s="732"/>
      <c r="C31" s="732"/>
      <c r="D31" s="732"/>
      <c r="E31" s="732"/>
      <c r="F31" s="732"/>
      <c r="G31" s="732"/>
      <c r="H31" s="732"/>
      <c r="I31" s="732"/>
      <c r="J31" s="732"/>
    </row>
  </sheetData>
  <mergeCells count="3">
    <mergeCell ref="A2:A4"/>
    <mergeCell ref="I1:K1"/>
    <mergeCell ref="A27:J31"/>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D30"/>
  <sheetViews>
    <sheetView topLeftCell="Q4" workbookViewId="0">
      <selection activeCell="AD14" sqref="AD14"/>
    </sheetView>
  </sheetViews>
  <sheetFormatPr defaultRowHeight="15" x14ac:dyDescent="0.25"/>
  <cols>
    <col min="1" max="1" width="32.140625" customWidth="1"/>
    <col min="4" max="4" width="12.28515625" customWidth="1"/>
    <col min="5" max="5" width="12" customWidth="1"/>
    <col min="6" max="6" width="11.5703125" customWidth="1"/>
    <col min="7" max="9" width="13" customWidth="1"/>
    <col min="17" max="17" width="29.5703125" customWidth="1"/>
    <col min="19" max="19" width="13.42578125" customWidth="1"/>
    <col min="20" max="20" width="14" customWidth="1"/>
    <col min="21" max="21" width="12.42578125" customWidth="1"/>
    <col min="22" max="24" width="12.28515625" customWidth="1"/>
  </cols>
  <sheetData>
    <row r="1" spans="1:30" x14ac:dyDescent="0.25">
      <c r="K1" t="s">
        <v>114</v>
      </c>
    </row>
    <row r="2" spans="1:30" ht="45" x14ac:dyDescent="0.25">
      <c r="A2" s="771" t="s">
        <v>4</v>
      </c>
      <c r="B2" s="1" t="s">
        <v>43</v>
      </c>
      <c r="C2" s="1" t="s">
        <v>41</v>
      </c>
      <c r="D2" s="2" t="s">
        <v>44</v>
      </c>
      <c r="E2" s="2" t="s">
        <v>0</v>
      </c>
      <c r="F2" s="3" t="s">
        <v>45</v>
      </c>
      <c r="G2" s="3" t="s">
        <v>42</v>
      </c>
      <c r="H2" s="3" t="s">
        <v>366</v>
      </c>
      <c r="I2" s="3" t="s">
        <v>556</v>
      </c>
      <c r="J2" s="3" t="s">
        <v>37</v>
      </c>
      <c r="K2" s="3" t="s">
        <v>38</v>
      </c>
      <c r="L2" s="3" t="s">
        <v>39</v>
      </c>
      <c r="M2" s="3" t="s">
        <v>40</v>
      </c>
      <c r="N2" s="11"/>
      <c r="O2" s="11"/>
      <c r="P2" s="11"/>
      <c r="Q2" s="40" t="s">
        <v>6</v>
      </c>
      <c r="R2" s="41" t="s">
        <v>7</v>
      </c>
      <c r="S2" s="41" t="s">
        <v>8</v>
      </c>
      <c r="T2" s="41" t="s">
        <v>9</v>
      </c>
      <c r="U2" s="40" t="s">
        <v>10</v>
      </c>
      <c r="V2" s="41" t="s">
        <v>90</v>
      </c>
      <c r="W2" s="41" t="s">
        <v>492</v>
      </c>
      <c r="X2" s="41" t="s">
        <v>623</v>
      </c>
      <c r="Y2" s="40" t="s">
        <v>37</v>
      </c>
      <c r="Z2" s="41" t="s">
        <v>38</v>
      </c>
      <c r="AA2" s="41" t="s">
        <v>39</v>
      </c>
      <c r="AB2" s="41" t="s">
        <v>40</v>
      </c>
    </row>
    <row r="3" spans="1:30" x14ac:dyDescent="0.25">
      <c r="A3" s="771"/>
      <c r="B3" s="1" t="s">
        <v>46</v>
      </c>
      <c r="C3" s="4" t="s">
        <v>47</v>
      </c>
      <c r="D3" s="5" t="s">
        <v>47</v>
      </c>
      <c r="E3" s="5" t="s">
        <v>47</v>
      </c>
      <c r="F3" s="1" t="s">
        <v>46</v>
      </c>
      <c r="G3" s="1" t="s">
        <v>46</v>
      </c>
      <c r="H3" s="1" t="s">
        <v>46</v>
      </c>
      <c r="I3" s="1" t="s">
        <v>46</v>
      </c>
      <c r="J3" s="1" t="s">
        <v>96</v>
      </c>
      <c r="K3" s="1"/>
      <c r="L3" s="1"/>
      <c r="M3" s="1"/>
      <c r="N3" s="11"/>
      <c r="O3" s="11"/>
      <c r="P3" s="11"/>
      <c r="Q3" s="42" t="s">
        <v>11</v>
      </c>
      <c r="R3" s="43"/>
      <c r="S3" s="44">
        <f t="shared" ref="S3:X3" si="0">D10/AVERAGE(C23:D23)</f>
        <v>6.149380883471417E-2</v>
      </c>
      <c r="T3" s="44">
        <f t="shared" si="0"/>
        <v>7.3137296010017991E-2</v>
      </c>
      <c r="U3" s="44">
        <f t="shared" si="0"/>
        <v>7.5777779726184796E-2</v>
      </c>
      <c r="V3" s="44">
        <f t="shared" si="0"/>
        <v>8.1012417966639078E-2</v>
      </c>
      <c r="W3" s="44">
        <f t="shared" si="0"/>
        <v>8.1330407769603791E-2</v>
      </c>
      <c r="X3" s="44">
        <f t="shared" si="0"/>
        <v>7.7121158539701723E-2</v>
      </c>
      <c r="Y3" s="18"/>
      <c r="Z3" s="18"/>
      <c r="AA3" s="18"/>
      <c r="AB3" s="18"/>
    </row>
    <row r="4" spans="1:30" x14ac:dyDescent="0.25">
      <c r="A4" s="771"/>
      <c r="B4" s="1" t="s">
        <v>48</v>
      </c>
      <c r="C4" s="1" t="s">
        <v>48</v>
      </c>
      <c r="D4" s="5" t="s">
        <v>49</v>
      </c>
      <c r="E4" s="5" t="s">
        <v>49</v>
      </c>
      <c r="F4" s="5" t="s">
        <v>49</v>
      </c>
      <c r="G4" s="5" t="s">
        <v>49</v>
      </c>
      <c r="H4" s="5" t="s">
        <v>49</v>
      </c>
      <c r="I4" s="5" t="s">
        <v>49</v>
      </c>
      <c r="J4" s="5"/>
      <c r="K4" s="5"/>
      <c r="L4" s="5"/>
      <c r="M4" s="5"/>
      <c r="N4" s="11"/>
      <c r="O4" s="11"/>
      <c r="P4" s="11"/>
      <c r="Q4" s="40" t="s">
        <v>12</v>
      </c>
      <c r="R4" s="45"/>
      <c r="S4" s="45"/>
      <c r="T4" s="45"/>
      <c r="U4" s="46" t="s">
        <v>5</v>
      </c>
      <c r="V4" s="18"/>
      <c r="W4" s="18"/>
      <c r="X4" s="18"/>
      <c r="Y4" s="18"/>
      <c r="Z4" s="18"/>
      <c r="AA4" s="18"/>
      <c r="AB4" s="18"/>
    </row>
    <row r="5" spans="1:30" x14ac:dyDescent="0.25">
      <c r="A5" s="6" t="s">
        <v>23</v>
      </c>
      <c r="B5" s="7"/>
      <c r="C5" s="8"/>
      <c r="D5">
        <v>8724.81</v>
      </c>
      <c r="E5">
        <v>10756.47</v>
      </c>
      <c r="F5" s="85">
        <v>10944.78</v>
      </c>
      <c r="G5" s="90">
        <v>11306.29</v>
      </c>
      <c r="H5" s="90">
        <v>12402.88</v>
      </c>
      <c r="I5" s="90">
        <v>14171.12</v>
      </c>
      <c r="J5" s="85">
        <v>3386.8</v>
      </c>
      <c r="K5" s="85">
        <v>3515.7</v>
      </c>
      <c r="L5" s="85">
        <v>3601.8</v>
      </c>
      <c r="M5" s="85">
        <v>3666.8</v>
      </c>
      <c r="N5" s="11">
        <v>3883.8</v>
      </c>
      <c r="O5" s="11">
        <v>4006.8</v>
      </c>
      <c r="P5" s="11"/>
      <c r="Q5" s="42" t="s">
        <v>13</v>
      </c>
      <c r="R5" s="46"/>
      <c r="S5" s="47">
        <f t="shared" ref="S5:X5" si="1">D21/D20</f>
        <v>6.2833775395348317</v>
      </c>
      <c r="T5" s="47">
        <f t="shared" si="1"/>
        <v>6.2116902392177407</v>
      </c>
      <c r="U5" s="47">
        <f t="shared" si="1"/>
        <v>5.9622684176627709</v>
      </c>
      <c r="V5" s="47">
        <f t="shared" si="1"/>
        <v>5.133591831215349</v>
      </c>
      <c r="W5" s="47">
        <f t="shared" si="1"/>
        <v>5.2675636467675213</v>
      </c>
      <c r="X5" s="47">
        <f t="shared" si="1"/>
        <v>5.3739610237696018</v>
      </c>
      <c r="Y5" s="18"/>
      <c r="Z5" s="18"/>
      <c r="AA5" s="18"/>
      <c r="AB5" s="18"/>
    </row>
    <row r="6" spans="1:30" x14ac:dyDescent="0.25">
      <c r="A6" s="6" t="s">
        <v>50</v>
      </c>
      <c r="B6" s="7"/>
      <c r="C6" s="8"/>
      <c r="D6">
        <v>6697.62</v>
      </c>
      <c r="E6">
        <v>8218.81</v>
      </c>
      <c r="F6" s="85">
        <v>8420.35</v>
      </c>
      <c r="G6" s="85">
        <v>8293.64</v>
      </c>
      <c r="H6" s="85">
        <v>8853.58</v>
      </c>
      <c r="I6" s="85">
        <v>11043.6</v>
      </c>
      <c r="J6" s="85">
        <v>2573.1999999999998</v>
      </c>
      <c r="K6" s="85">
        <v>2670.6</v>
      </c>
      <c r="L6" s="85">
        <v>2854.8</v>
      </c>
      <c r="M6" s="85">
        <v>3058.1</v>
      </c>
      <c r="N6" s="11">
        <v>3264.6</v>
      </c>
      <c r="O6" s="11">
        <v>3431</v>
      </c>
      <c r="P6" s="11"/>
      <c r="Q6" s="42" t="s">
        <v>14</v>
      </c>
      <c r="R6" s="43"/>
      <c r="S6" s="43">
        <v>0.17910000000000001</v>
      </c>
      <c r="T6" s="43">
        <v>0.19359999999999999</v>
      </c>
      <c r="U6" s="43">
        <v>0.18890000000000001</v>
      </c>
      <c r="V6" s="48">
        <v>0.20219999999999999</v>
      </c>
      <c r="W6" s="48">
        <v>0.20050000000000001</v>
      </c>
      <c r="X6" s="48">
        <v>0.1925</v>
      </c>
      <c r="Y6" s="48">
        <v>0.19769999999999999</v>
      </c>
      <c r="Z6" s="48">
        <v>0.19420000000000001</v>
      </c>
      <c r="AA6" s="48">
        <v>0.1799</v>
      </c>
      <c r="AB6" s="48">
        <v>0.1925</v>
      </c>
      <c r="AC6" s="80">
        <v>0.18840000000000001</v>
      </c>
      <c r="AD6" s="80">
        <v>0.193</v>
      </c>
    </row>
    <row r="7" spans="1:30" x14ac:dyDescent="0.25">
      <c r="A7" s="6" t="s">
        <v>51</v>
      </c>
      <c r="B7" s="7"/>
      <c r="C7" s="8"/>
      <c r="D7" s="87"/>
      <c r="E7" s="85"/>
      <c r="F7" s="85">
        <v>0</v>
      </c>
      <c r="G7" s="85">
        <v>0</v>
      </c>
      <c r="H7" s="85"/>
      <c r="I7" s="85"/>
      <c r="J7" s="85"/>
      <c r="K7" s="85"/>
      <c r="L7" s="85"/>
      <c r="M7" s="85"/>
      <c r="N7" s="11"/>
      <c r="O7" s="11"/>
      <c r="P7" s="11"/>
      <c r="Q7" s="42" t="s">
        <v>15</v>
      </c>
      <c r="R7" s="43"/>
      <c r="S7" s="44">
        <f t="shared" ref="S7:X7" si="2">D20/D23</f>
        <v>0.13121106588427839</v>
      </c>
      <c r="T7" s="44">
        <f t="shared" si="2"/>
        <v>0.13721837485099936</v>
      </c>
      <c r="U7" s="44">
        <f t="shared" si="2"/>
        <v>0.13772914798206279</v>
      </c>
      <c r="V7" s="44">
        <f t="shared" si="2"/>
        <v>0.15555686367615079</v>
      </c>
      <c r="W7" s="44">
        <f t="shared" si="2"/>
        <v>0.14873034254976744</v>
      </c>
      <c r="X7" s="44">
        <f t="shared" si="2"/>
        <v>0.14166374688490413</v>
      </c>
      <c r="Y7" s="18"/>
      <c r="Z7" s="18"/>
      <c r="AA7" s="18"/>
      <c r="AB7" s="18"/>
    </row>
    <row r="8" spans="1:30" x14ac:dyDescent="0.25">
      <c r="A8" s="6" t="s">
        <v>52</v>
      </c>
      <c r="B8" s="7"/>
      <c r="C8" s="8"/>
      <c r="D8" s="85">
        <f t="shared" ref="D8:O8" si="3">D5-D6-D7</f>
        <v>2027.1899999999996</v>
      </c>
      <c r="E8" s="85">
        <f t="shared" si="3"/>
        <v>2537.66</v>
      </c>
      <c r="F8" s="85">
        <f t="shared" si="3"/>
        <v>2524.4300000000003</v>
      </c>
      <c r="G8" s="85">
        <f t="shared" si="3"/>
        <v>3012.6500000000015</v>
      </c>
      <c r="H8" s="85">
        <f t="shared" si="3"/>
        <v>3549.2999999999993</v>
      </c>
      <c r="I8" s="85">
        <f t="shared" si="3"/>
        <v>3127.5200000000004</v>
      </c>
      <c r="J8" s="85">
        <f t="shared" si="3"/>
        <v>813.60000000000036</v>
      </c>
      <c r="K8" s="85">
        <f t="shared" si="3"/>
        <v>845.09999999999991</v>
      </c>
      <c r="L8" s="85">
        <f t="shared" si="3"/>
        <v>747</v>
      </c>
      <c r="M8" s="85">
        <f t="shared" si="3"/>
        <v>608.70000000000027</v>
      </c>
      <c r="N8" s="85">
        <f t="shared" si="3"/>
        <v>619.20000000000027</v>
      </c>
      <c r="O8" s="85">
        <f t="shared" si="3"/>
        <v>575.80000000000018</v>
      </c>
      <c r="P8" s="11"/>
      <c r="Q8" s="40" t="s">
        <v>16</v>
      </c>
      <c r="R8" s="45"/>
      <c r="S8" s="45"/>
      <c r="T8" s="45"/>
      <c r="U8" s="46" t="s">
        <v>5</v>
      </c>
      <c r="V8" s="18"/>
      <c r="W8" s="18"/>
      <c r="X8" s="18"/>
      <c r="Y8" s="18"/>
      <c r="Z8" s="18"/>
      <c r="AA8" s="18"/>
      <c r="AB8" s="18"/>
    </row>
    <row r="9" spans="1:30" ht="33.75" x14ac:dyDescent="0.25">
      <c r="A9" s="6" t="s">
        <v>24</v>
      </c>
      <c r="B9" s="7"/>
      <c r="C9" s="7"/>
      <c r="D9" s="88">
        <v>3333.33</v>
      </c>
      <c r="E9" s="85">
        <v>4081.42</v>
      </c>
      <c r="F9" s="85">
        <v>3882.93</v>
      </c>
      <c r="G9" s="85">
        <v>3325.5</v>
      </c>
      <c r="H9" s="85">
        <v>3511.92</v>
      </c>
      <c r="I9" s="85">
        <v>4864.32</v>
      </c>
      <c r="J9" s="85">
        <v>1072.5</v>
      </c>
      <c r="K9" s="85">
        <v>1159.0999999999999</v>
      </c>
      <c r="L9" s="85">
        <v>1255.8</v>
      </c>
      <c r="M9" s="85">
        <v>1376.9</v>
      </c>
      <c r="N9" s="11">
        <v>1496.4</v>
      </c>
      <c r="O9" s="11">
        <v>1598.5</v>
      </c>
      <c r="P9" s="11"/>
      <c r="Q9" s="49" t="s">
        <v>93</v>
      </c>
      <c r="R9" s="45"/>
      <c r="S9" s="50">
        <f t="shared" ref="S9:X9" si="4">D14/(D11-D9)</f>
        <v>0.56208684813817367</v>
      </c>
      <c r="T9" s="50">
        <f t="shared" si="4"/>
        <v>0.56463996524370608</v>
      </c>
      <c r="U9" s="50">
        <f t="shared" si="4"/>
        <v>0.49454038247767934</v>
      </c>
      <c r="V9" s="50">
        <f t="shared" si="4"/>
        <v>0.52219141212837317</v>
      </c>
      <c r="W9" s="50">
        <f t="shared" si="4"/>
        <v>0.55485121966581785</v>
      </c>
      <c r="X9" s="50">
        <f t="shared" si="4"/>
        <v>0.53022950960587945</v>
      </c>
      <c r="Y9" s="18"/>
      <c r="Z9" s="18"/>
      <c r="AA9" s="18"/>
      <c r="AB9" s="18"/>
    </row>
    <row r="10" spans="1:30" ht="22.5" x14ac:dyDescent="0.25">
      <c r="A10" s="6" t="s">
        <v>53</v>
      </c>
      <c r="B10" s="10">
        <f t="shared" ref="B10:J10" si="5">B6-B9</f>
        <v>0</v>
      </c>
      <c r="C10" s="10">
        <f t="shared" si="5"/>
        <v>0</v>
      </c>
      <c r="D10" s="89">
        <f t="shared" si="5"/>
        <v>3364.29</v>
      </c>
      <c r="E10" s="89">
        <f t="shared" si="5"/>
        <v>4137.3899999999994</v>
      </c>
      <c r="F10" s="89">
        <f t="shared" si="5"/>
        <v>4537.42</v>
      </c>
      <c r="G10" s="89">
        <f t="shared" si="5"/>
        <v>4968.1399999999994</v>
      </c>
      <c r="H10" s="89">
        <f>H6-H9</f>
        <v>5341.66</v>
      </c>
      <c r="I10" s="89">
        <f>I6-I9</f>
        <v>6179.2800000000007</v>
      </c>
      <c r="J10" s="89">
        <f t="shared" si="5"/>
        <v>1500.6999999999998</v>
      </c>
      <c r="K10" s="89">
        <f>K6-K9</f>
        <v>1511.5</v>
      </c>
      <c r="L10" s="89">
        <f>L6-L9</f>
        <v>1599.0000000000002</v>
      </c>
      <c r="M10" s="89">
        <f>M6-M9</f>
        <v>1681.1999999999998</v>
      </c>
      <c r="N10" s="89">
        <f>N6-N9</f>
        <v>1768.1999999999998</v>
      </c>
      <c r="O10" s="89">
        <f>O6-O9</f>
        <v>1832.5</v>
      </c>
      <c r="P10" s="11"/>
      <c r="Q10" s="42" t="s">
        <v>92</v>
      </c>
      <c r="R10" s="43"/>
      <c r="S10" s="44">
        <f t="shared" ref="S10:X10" si="6">D14/D11</f>
        <v>0.34734051515161934</v>
      </c>
      <c r="T10" s="44">
        <f t="shared" si="6"/>
        <v>0.35039376300961189</v>
      </c>
      <c r="U10" s="44">
        <f t="shared" si="6"/>
        <v>0.31909001368689</v>
      </c>
      <c r="V10" s="44">
        <f t="shared" si="6"/>
        <v>0.36860013320019208</v>
      </c>
      <c r="W10" s="44">
        <f t="shared" si="6"/>
        <v>0.39774310482726594</v>
      </c>
      <c r="X10" s="44">
        <f t="shared" si="6"/>
        <v>0.34822512264379946</v>
      </c>
      <c r="Y10" s="18"/>
      <c r="Z10" s="18"/>
      <c r="AA10" s="18"/>
      <c r="AB10" s="18"/>
    </row>
    <row r="11" spans="1:30" ht="22.5" x14ac:dyDescent="0.25">
      <c r="A11" s="6" t="s">
        <v>1</v>
      </c>
      <c r="B11" s="10">
        <f>B5-B9</f>
        <v>0</v>
      </c>
      <c r="C11" s="10">
        <f t="shared" ref="C11:J11" si="7">SUM(C6:C8)</f>
        <v>0</v>
      </c>
      <c r="D11" s="89">
        <f t="shared" si="7"/>
        <v>8724.81</v>
      </c>
      <c r="E11" s="89">
        <f t="shared" si="7"/>
        <v>10756.47</v>
      </c>
      <c r="F11" s="89">
        <f>SUM(F6:F8)</f>
        <v>10944.78</v>
      </c>
      <c r="G11" s="89">
        <f>SUM(G6:G8)</f>
        <v>11306.29</v>
      </c>
      <c r="H11" s="89">
        <f>SUM(H6:H8)</f>
        <v>12402.88</v>
      </c>
      <c r="I11" s="89">
        <f>SUM(I6:I8)</f>
        <v>14171.12</v>
      </c>
      <c r="J11" s="89">
        <f t="shared" si="7"/>
        <v>3386.8</v>
      </c>
      <c r="K11" s="89">
        <f>SUM(K6:K8)</f>
        <v>3515.7</v>
      </c>
      <c r="L11" s="89">
        <f>SUM(L6:L8)</f>
        <v>3601.8</v>
      </c>
      <c r="M11" s="89">
        <f>SUM(M6:M8)</f>
        <v>3666.8</v>
      </c>
      <c r="N11" s="89">
        <f>SUM(N6:N8)</f>
        <v>3883.8</v>
      </c>
      <c r="O11" s="89">
        <f>SUM(O6:O8)</f>
        <v>4006.8</v>
      </c>
      <c r="P11" s="11"/>
      <c r="Q11" s="42" t="s">
        <v>17</v>
      </c>
      <c r="R11" s="43"/>
      <c r="S11" s="44">
        <f t="shared" ref="S11:X11" si="8">D14/AVERAGE(C22:D22)</f>
        <v>5.4400364191345502E-2</v>
      </c>
      <c r="T11" s="44">
        <f t="shared" si="8"/>
        <v>6.4747524167369855E-2</v>
      </c>
      <c r="U11" s="44">
        <f t="shared" si="8"/>
        <v>5.6622841037028582E-2</v>
      </c>
      <c r="V11" s="44">
        <f t="shared" si="8"/>
        <v>6.6858110005053456E-2</v>
      </c>
      <c r="W11" s="44">
        <f t="shared" si="8"/>
        <v>7.47016516888378E-2</v>
      </c>
      <c r="X11" s="44">
        <f t="shared" si="8"/>
        <v>6.0695333346862897E-2</v>
      </c>
      <c r="Y11" s="18"/>
      <c r="Z11" s="18"/>
      <c r="AA11" s="18"/>
      <c r="AB11" s="18"/>
    </row>
    <row r="12" spans="1:30" x14ac:dyDescent="0.25">
      <c r="A12" s="6" t="s">
        <v>91</v>
      </c>
      <c r="B12" s="10"/>
      <c r="C12" s="10"/>
      <c r="D12" s="89">
        <v>0</v>
      </c>
      <c r="E12" s="89">
        <v>0</v>
      </c>
      <c r="F12" s="89">
        <v>0</v>
      </c>
      <c r="G12" s="89">
        <v>0</v>
      </c>
      <c r="H12" s="89">
        <v>0</v>
      </c>
      <c r="I12" s="89">
        <v>0</v>
      </c>
      <c r="J12" s="89">
        <v>0</v>
      </c>
      <c r="K12" s="89">
        <v>0</v>
      </c>
      <c r="L12" s="89">
        <v>0</v>
      </c>
      <c r="M12" s="89">
        <v>0</v>
      </c>
      <c r="N12" s="11">
        <v>0</v>
      </c>
      <c r="O12" s="11">
        <v>0</v>
      </c>
      <c r="P12" s="11"/>
      <c r="Q12" s="40" t="s">
        <v>18</v>
      </c>
      <c r="R12" s="45"/>
      <c r="S12" s="45"/>
      <c r="T12" s="45"/>
      <c r="U12" s="46" t="s">
        <v>5</v>
      </c>
      <c r="V12" s="18"/>
      <c r="W12" s="18"/>
      <c r="X12" s="18"/>
      <c r="Y12" s="18"/>
      <c r="Z12" s="18"/>
      <c r="AA12" s="53"/>
      <c r="AB12" s="54"/>
    </row>
    <row r="13" spans="1:30" x14ac:dyDescent="0.25">
      <c r="A13" s="6" t="s">
        <v>25</v>
      </c>
      <c r="B13" s="7"/>
      <c r="C13" s="7"/>
      <c r="D13" s="88">
        <f t="shared" ref="D13:O13" si="9">D11+D12</f>
        <v>8724.81</v>
      </c>
      <c r="E13" s="88">
        <f t="shared" si="9"/>
        <v>10756.47</v>
      </c>
      <c r="F13" s="88">
        <f t="shared" si="9"/>
        <v>10944.78</v>
      </c>
      <c r="G13" s="88">
        <f t="shared" si="9"/>
        <v>11306.29</v>
      </c>
      <c r="H13" s="88">
        <f t="shared" si="9"/>
        <v>12402.88</v>
      </c>
      <c r="I13" s="88">
        <f t="shared" si="9"/>
        <v>14171.12</v>
      </c>
      <c r="J13" s="88">
        <f t="shared" si="9"/>
        <v>3386.8</v>
      </c>
      <c r="K13" s="88">
        <f t="shared" si="9"/>
        <v>3515.7</v>
      </c>
      <c r="L13" s="88">
        <f t="shared" si="9"/>
        <v>3601.8</v>
      </c>
      <c r="M13" s="88">
        <f t="shared" si="9"/>
        <v>3666.8</v>
      </c>
      <c r="N13" s="88">
        <f t="shared" si="9"/>
        <v>3883.8</v>
      </c>
      <c r="O13" s="88">
        <f t="shared" si="9"/>
        <v>4006.8</v>
      </c>
      <c r="P13" s="11"/>
      <c r="Q13" s="42" t="s">
        <v>19</v>
      </c>
      <c r="R13" s="43"/>
      <c r="S13" s="44">
        <f t="shared" ref="S13:X13" si="10">D24/D23</f>
        <v>1.8285337019719277E-2</v>
      </c>
      <c r="T13" s="44">
        <f t="shared" si="10"/>
        <v>3.8663242682174435E-2</v>
      </c>
      <c r="U13" s="44">
        <f t="shared" si="10"/>
        <v>4.502013860578883E-2</v>
      </c>
      <c r="V13" s="44">
        <f t="shared" si="10"/>
        <v>4.9876790259060062E-2</v>
      </c>
      <c r="W13" s="44">
        <f t="shared" si="10"/>
        <v>2.7343008137859538E-2</v>
      </c>
      <c r="X13" s="44">
        <f t="shared" si="10"/>
        <v>1.8974277064437193E-2</v>
      </c>
      <c r="Y13" s="48">
        <v>2.3800000000000002E-2</v>
      </c>
      <c r="Z13" s="48">
        <v>2.46E-2</v>
      </c>
      <c r="AA13" s="48">
        <v>2.2499999999999999E-2</v>
      </c>
      <c r="AB13" s="48">
        <v>2.7300000000000001E-2</v>
      </c>
      <c r="AC13" s="80">
        <v>1.9300000000000001E-2</v>
      </c>
      <c r="AD13" s="80">
        <v>2.1000000000000001E-2</v>
      </c>
    </row>
    <row r="14" spans="1:30" x14ac:dyDescent="0.25">
      <c r="A14" s="6" t="s">
        <v>26</v>
      </c>
      <c r="B14" s="7"/>
      <c r="C14" s="7"/>
      <c r="D14" s="85">
        <f>2551.74+61.92+416.82</f>
        <v>3030.48</v>
      </c>
      <c r="E14" s="85">
        <f>3195.57+109.66+463.77</f>
        <v>3769</v>
      </c>
      <c r="F14" s="85">
        <f>2955.59+107.79+428.99</f>
        <v>3492.37</v>
      </c>
      <c r="G14" s="85">
        <f>3500.41+98.94+568.15</f>
        <v>4167.5</v>
      </c>
      <c r="H14" s="85">
        <f>4057.57+111.84+763.75</f>
        <v>4933.16</v>
      </c>
      <c r="I14" s="85">
        <f>3850.75+145.14+938.85</f>
        <v>4934.74</v>
      </c>
      <c r="J14" s="85">
        <f>1028.8+31.4+22.7</f>
        <v>1082.9000000000001</v>
      </c>
      <c r="K14" s="85">
        <f>1016.6+35.4+221.3</f>
        <v>1273.3</v>
      </c>
      <c r="L14" s="85">
        <f>928.6+37.9+241.2</f>
        <v>1207.7</v>
      </c>
      <c r="M14" s="85">
        <f>876.8+40.4+249.3</f>
        <v>1166.5</v>
      </c>
      <c r="N14" s="11">
        <f>905.5+43.8+241.9</f>
        <v>1191.2</v>
      </c>
      <c r="O14" s="11">
        <f>879.8+48.2+250.2</f>
        <v>1178.2</v>
      </c>
      <c r="P14" s="11"/>
      <c r="Q14" s="42" t="s">
        <v>20</v>
      </c>
      <c r="R14" s="43"/>
      <c r="S14" s="44">
        <f t="shared" ref="S14:X14" si="11">D25/D23</f>
        <v>1.2405544128514637E-2</v>
      </c>
      <c r="T14" s="44">
        <f t="shared" si="11"/>
        <v>3.1156946789329971E-2</v>
      </c>
      <c r="U14" s="44">
        <f t="shared" si="11"/>
        <v>3.0756135344476149E-2</v>
      </c>
      <c r="V14" s="44">
        <f t="shared" si="11"/>
        <v>2.2876800695035997E-2</v>
      </c>
      <c r="W14" s="44">
        <f t="shared" si="11"/>
        <v>9.5422436160141205E-3</v>
      </c>
      <c r="X14" s="44">
        <f t="shared" si="11"/>
        <v>6.2957551785991989E-3</v>
      </c>
      <c r="Y14" s="48"/>
      <c r="Z14" s="18"/>
      <c r="AA14" s="18"/>
      <c r="AB14" s="18"/>
      <c r="AC14" s="80">
        <v>7.7000000000000002E-3</v>
      </c>
      <c r="AD14" s="80">
        <v>8.3000000000000001E-3</v>
      </c>
    </row>
    <row r="15" spans="1:30" x14ac:dyDescent="0.25">
      <c r="A15" s="6" t="s">
        <v>54</v>
      </c>
      <c r="B15" s="10"/>
      <c r="C15" s="10"/>
      <c r="D15" s="89">
        <f t="shared" ref="D15:K15" si="12">D11-D14</f>
        <v>5694.33</v>
      </c>
      <c r="E15" s="89">
        <f t="shared" si="12"/>
        <v>6987.4699999999993</v>
      </c>
      <c r="F15" s="89">
        <f t="shared" si="12"/>
        <v>7452.4100000000008</v>
      </c>
      <c r="G15" s="89">
        <f t="shared" si="12"/>
        <v>7138.7900000000009</v>
      </c>
      <c r="H15" s="89">
        <f>H11-H14</f>
        <v>7469.7199999999993</v>
      </c>
      <c r="I15" s="89">
        <f>I11-I14</f>
        <v>9236.380000000001</v>
      </c>
      <c r="J15" s="89">
        <f t="shared" si="12"/>
        <v>2303.9</v>
      </c>
      <c r="K15" s="89">
        <f t="shared" si="12"/>
        <v>2242.3999999999996</v>
      </c>
      <c r="L15" s="89">
        <f>L11-L14</f>
        <v>2394.1000000000004</v>
      </c>
      <c r="M15" s="89">
        <f>M11-M14</f>
        <v>2500.3000000000002</v>
      </c>
      <c r="N15" s="89">
        <f>N11-N14</f>
        <v>2692.6000000000004</v>
      </c>
      <c r="O15" s="89">
        <f>O11-O14</f>
        <v>2828.6000000000004</v>
      </c>
      <c r="P15" s="11"/>
      <c r="Q15" s="42" t="s">
        <v>21</v>
      </c>
      <c r="R15" s="43"/>
      <c r="S15" s="44">
        <f t="shared" ref="S15:X15" si="13">(S13-S14)/S13</f>
        <v>0.32155780803294748</v>
      </c>
      <c r="T15" s="44">
        <f t="shared" si="13"/>
        <v>0.19414553390021833</v>
      </c>
      <c r="U15" s="44">
        <f t="shared" si="13"/>
        <v>0.31683605832965095</v>
      </c>
      <c r="V15" s="44">
        <f t="shared" si="13"/>
        <v>0.54133374308543336</v>
      </c>
      <c r="W15" s="44">
        <f t="shared" si="13"/>
        <v>0.65101705094393814</v>
      </c>
      <c r="X15" s="44">
        <f t="shared" si="13"/>
        <v>0.66819525417392023</v>
      </c>
      <c r="Y15" s="44"/>
      <c r="Z15" s="18"/>
      <c r="AA15" s="18"/>
      <c r="AB15" s="18"/>
    </row>
    <row r="16" spans="1:30" x14ac:dyDescent="0.25">
      <c r="A16" s="6" t="s">
        <v>94</v>
      </c>
      <c r="B16" s="10"/>
      <c r="C16" s="10"/>
      <c r="D16" s="89">
        <f t="shared" ref="D16:K16" si="14">D13-D14-D9</f>
        <v>2361</v>
      </c>
      <c r="E16" s="89">
        <f t="shared" si="14"/>
        <v>2906.0499999999993</v>
      </c>
      <c r="F16" s="89">
        <f t="shared" si="14"/>
        <v>3569.4800000000009</v>
      </c>
      <c r="G16" s="89">
        <f t="shared" si="14"/>
        <v>3813.2900000000009</v>
      </c>
      <c r="H16" s="89">
        <f>H13-H14-H9</f>
        <v>3957.7999999999993</v>
      </c>
      <c r="I16" s="89">
        <f>I13-I14-I9</f>
        <v>4372.0600000000013</v>
      </c>
      <c r="J16" s="89">
        <f t="shared" si="14"/>
        <v>1231.4000000000001</v>
      </c>
      <c r="K16" s="89">
        <f t="shared" si="14"/>
        <v>1083.2999999999997</v>
      </c>
      <c r="L16" s="89">
        <f>L13-L14-L9</f>
        <v>1138.3000000000004</v>
      </c>
      <c r="M16" s="89">
        <f>M13-M14-M9</f>
        <v>1123.4000000000001</v>
      </c>
      <c r="N16" s="89">
        <f>N13-N14-N9</f>
        <v>1196.2000000000003</v>
      </c>
      <c r="O16" s="89">
        <f>O13-O14-O9</f>
        <v>1230.1000000000004</v>
      </c>
      <c r="P16" s="11"/>
      <c r="Q16" s="42" t="s">
        <v>22</v>
      </c>
      <c r="R16" s="43"/>
      <c r="S16" s="44">
        <f t="shared" ref="S16:X16" si="15">D17/AVERAGE(C23:D23)</f>
        <v>1.1642238510705928E-2</v>
      </c>
      <c r="T16" s="44">
        <f t="shared" si="15"/>
        <v>2.5482860404545293E-2</v>
      </c>
      <c r="U16" s="44">
        <f t="shared" si="15"/>
        <v>5.1250397161894667E-2</v>
      </c>
      <c r="V16" s="44">
        <f t="shared" si="15"/>
        <v>4.020714982928842E-2</v>
      </c>
      <c r="W16" s="44">
        <f t="shared" si="15"/>
        <v>2.0256245155378834E-2</v>
      </c>
      <c r="X16" s="44">
        <f t="shared" si="15"/>
        <v>1.3321673951284327E-2</v>
      </c>
      <c r="Y16" s="18"/>
      <c r="Z16" s="18"/>
      <c r="AA16" s="18"/>
      <c r="AB16" s="18"/>
    </row>
    <row r="17" spans="1:28" x14ac:dyDescent="0.25">
      <c r="A17" s="6" t="s">
        <v>27</v>
      </c>
      <c r="B17" s="7"/>
      <c r="C17" s="7"/>
      <c r="D17" s="88">
        <v>636.94000000000005</v>
      </c>
      <c r="E17" s="85">
        <v>1441.57</v>
      </c>
      <c r="F17" s="85">
        <v>3068.77</v>
      </c>
      <c r="G17" s="85">
        <v>2465.73</v>
      </c>
      <c r="H17" s="85">
        <v>1330.4</v>
      </c>
      <c r="I17" s="85">
        <v>1067.3900000000001</v>
      </c>
      <c r="J17" s="85">
        <v>266.60000000000002</v>
      </c>
      <c r="K17" s="85">
        <v>276.5</v>
      </c>
      <c r="L17" s="85">
        <v>282.7</v>
      </c>
      <c r="M17" s="85">
        <v>241.6</v>
      </c>
      <c r="N17" s="11">
        <v>412.5</v>
      </c>
      <c r="O17" s="11">
        <v>431</v>
      </c>
      <c r="P17" s="11"/>
      <c r="Q17" s="18"/>
      <c r="R17" s="18"/>
      <c r="S17" s="18"/>
      <c r="T17" s="18"/>
      <c r="U17" s="18"/>
      <c r="V17" s="18"/>
      <c r="W17" s="18"/>
      <c r="X17" s="18"/>
      <c r="Y17" s="18"/>
      <c r="Z17" s="18"/>
      <c r="AA17" s="18"/>
      <c r="AB17" s="18"/>
    </row>
    <row r="18" spans="1:28" x14ac:dyDescent="0.25">
      <c r="A18" s="6" t="s">
        <v>55</v>
      </c>
      <c r="B18" s="7"/>
      <c r="C18" s="7"/>
      <c r="D18" s="88">
        <v>1153.24</v>
      </c>
      <c r="E18" s="85">
        <v>1004.85</v>
      </c>
      <c r="F18" s="89">
        <v>391.47</v>
      </c>
      <c r="G18" s="89">
        <v>1011.4</v>
      </c>
      <c r="H18" s="89">
        <v>1959.35</v>
      </c>
      <c r="I18" s="89">
        <v>2460.84</v>
      </c>
      <c r="J18" s="89">
        <v>567</v>
      </c>
      <c r="K18" s="89">
        <v>600.79999999999995</v>
      </c>
      <c r="L18" s="89">
        <v>636.79999999999995</v>
      </c>
      <c r="M18" s="89">
        <v>656.2</v>
      </c>
      <c r="N18" s="11">
        <v>581.70000000000005</v>
      </c>
      <c r="O18" s="11">
        <v>591</v>
      </c>
      <c r="P18" s="11"/>
      <c r="Q18" s="40" t="s">
        <v>30</v>
      </c>
      <c r="R18" s="45"/>
      <c r="S18" s="45"/>
      <c r="T18" s="45"/>
      <c r="U18" s="46" t="s">
        <v>5</v>
      </c>
      <c r="V18" s="18"/>
      <c r="W18" s="18"/>
      <c r="X18" s="18"/>
      <c r="Y18" s="18"/>
      <c r="Z18" s="18"/>
      <c r="AA18" s="18"/>
      <c r="AB18" s="18"/>
    </row>
    <row r="19" spans="1:28" ht="22.5" x14ac:dyDescent="0.25">
      <c r="A19" s="6" t="s">
        <v>28</v>
      </c>
      <c r="B19" s="7"/>
      <c r="C19" s="7"/>
      <c r="D19" s="88">
        <v>7178.48</v>
      </c>
      <c r="E19" s="85">
        <v>8017.8</v>
      </c>
      <c r="F19" s="85">
        <v>8446.24</v>
      </c>
      <c r="G19" s="85">
        <v>9539.73</v>
      </c>
      <c r="H19" s="85">
        <f>11436.97-1000.87-20.41</f>
        <v>10415.689999999999</v>
      </c>
      <c r="I19" s="85">
        <f>13742.71-939.95-22.15</f>
        <v>12780.609999999999</v>
      </c>
      <c r="J19" s="85"/>
      <c r="K19" s="85">
        <v>78463.8</v>
      </c>
      <c r="L19" s="85"/>
      <c r="M19" s="85">
        <v>12780.609999999999</v>
      </c>
      <c r="N19" s="11"/>
      <c r="O19" s="11">
        <f>14879.4-943.6</f>
        <v>13935.8</v>
      </c>
      <c r="P19" s="11"/>
      <c r="Q19" s="46" t="s">
        <v>95</v>
      </c>
      <c r="R19" s="51"/>
      <c r="S19" s="51"/>
      <c r="T19" s="52">
        <f>E16/AVERAGE(D22:E22)</f>
        <v>4.9922935156960765E-2</v>
      </c>
      <c r="U19" s="52">
        <f>F16/AVERAGE(E22:F22)</f>
        <v>5.7873048567263163E-2</v>
      </c>
      <c r="V19" s="52">
        <f>G16/AVERAGE(F22:G22)</f>
        <v>6.1175611829914905E-2</v>
      </c>
      <c r="W19" s="52">
        <f>H16/AVERAGE(G22:H22)</f>
        <v>5.9932010527548707E-2</v>
      </c>
      <c r="X19" s="52">
        <f>I16/AVERAGE(H22:I22)</f>
        <v>5.3774593821049432E-2</v>
      </c>
      <c r="Y19" s="18"/>
      <c r="Z19" s="18"/>
      <c r="AA19" s="18"/>
      <c r="AB19" s="18"/>
    </row>
    <row r="20" spans="1:28" x14ac:dyDescent="0.25">
      <c r="A20" s="6" t="s">
        <v>56</v>
      </c>
      <c r="B20" s="7"/>
      <c r="C20" s="7"/>
      <c r="D20" s="88">
        <f t="shared" ref="D20:O20" si="16">D19-D71</f>
        <v>7178.48</v>
      </c>
      <c r="E20" s="89">
        <f t="shared" si="16"/>
        <v>8017.8</v>
      </c>
      <c r="F20" s="89">
        <f t="shared" si="16"/>
        <v>8446.24</v>
      </c>
      <c r="G20" s="89">
        <f t="shared" si="16"/>
        <v>9539.73</v>
      </c>
      <c r="H20" s="89">
        <f t="shared" si="16"/>
        <v>10415.689999999999</v>
      </c>
      <c r="I20" s="89">
        <f t="shared" si="16"/>
        <v>12780.609999999999</v>
      </c>
      <c r="J20" s="89">
        <f t="shared" si="16"/>
        <v>0</v>
      </c>
      <c r="K20" s="89">
        <f t="shared" si="16"/>
        <v>78463.8</v>
      </c>
      <c r="L20" s="89">
        <f t="shared" si="16"/>
        <v>0</v>
      </c>
      <c r="M20" s="89">
        <f t="shared" si="16"/>
        <v>12780.609999999999</v>
      </c>
      <c r="N20" s="89"/>
      <c r="O20" s="89">
        <f t="shared" si="16"/>
        <v>13935.8</v>
      </c>
      <c r="P20" s="11"/>
      <c r="Q20" s="42" t="s">
        <v>31</v>
      </c>
      <c r="R20" s="43"/>
      <c r="S20" s="43">
        <v>4.4699999999999997E-2</v>
      </c>
      <c r="T20" s="44">
        <f>E18/AVERAGE(D22:E22)</f>
        <v>1.7262284335256461E-2</v>
      </c>
      <c r="U20" s="44">
        <f>F18/AVERAGE(E22:F22)</f>
        <v>6.3470203846572905E-3</v>
      </c>
      <c r="V20" s="44">
        <f>G18/AVERAGE(F22:G22)</f>
        <v>1.622562506517362E-2</v>
      </c>
      <c r="W20" s="44">
        <f>H18/AVERAGE(G22:H22)</f>
        <v>2.9669964330474655E-2</v>
      </c>
      <c r="X20" s="44">
        <f>I18/AVERAGE(H22:I22)</f>
        <v>3.026735027849372E-2</v>
      </c>
      <c r="Y20" s="48"/>
      <c r="Z20" s="18"/>
      <c r="AA20" s="18"/>
      <c r="AB20" s="18"/>
    </row>
    <row r="21" spans="1:28" x14ac:dyDescent="0.25">
      <c r="A21" s="6" t="s">
        <v>57</v>
      </c>
      <c r="B21" s="9"/>
      <c r="C21" s="9"/>
      <c r="D21" s="85">
        <f>24119.67+18095.65+2889.78</f>
        <v>45105.1</v>
      </c>
      <c r="E21" s="85">
        <f>22593.38+23580.16+3630.55</f>
        <v>49804.090000000004</v>
      </c>
      <c r="F21" s="85">
        <f>23802.07+22569.07+3987.61</f>
        <v>50358.75</v>
      </c>
      <c r="G21" s="85">
        <f>25332.31+19501.72+4139.05</f>
        <v>48973.08</v>
      </c>
      <c r="H21" s="85">
        <f>27096.41+24227.8+3541.1</f>
        <v>54865.31</v>
      </c>
      <c r="I21" s="85">
        <f>34851.12+33831.38</f>
        <v>68682.5</v>
      </c>
      <c r="J21" s="85"/>
      <c r="K21" s="85">
        <f>23517.9+3542+34831.7</f>
        <v>61891.6</v>
      </c>
      <c r="L21" s="85"/>
      <c r="M21" s="85">
        <v>68682.5</v>
      </c>
      <c r="N21" s="11"/>
      <c r="O21" s="11">
        <f>39493.1+37241.7</f>
        <v>76734.799999999988</v>
      </c>
      <c r="P21" s="11"/>
      <c r="Q21" s="42" t="s">
        <v>32</v>
      </c>
      <c r="R21" s="43"/>
      <c r="S21" s="44">
        <f t="shared" ref="S21:X21" si="17">D18/AVERAGE(C19:D19)</f>
        <v>0.16065239437875428</v>
      </c>
      <c r="T21" s="44">
        <f t="shared" si="17"/>
        <v>0.13224947158120279</v>
      </c>
      <c r="U21" s="44">
        <f t="shared" si="17"/>
        <v>4.7554549187198279E-2</v>
      </c>
      <c r="V21" s="44">
        <f t="shared" si="17"/>
        <v>0.11246543833888302</v>
      </c>
      <c r="W21" s="44">
        <f t="shared" si="17"/>
        <v>0.1963727147812474</v>
      </c>
      <c r="X21" s="44">
        <f t="shared" si="17"/>
        <v>0.21217521759935856</v>
      </c>
      <c r="Y21" s="18"/>
      <c r="Z21" s="18"/>
      <c r="AA21" s="18"/>
      <c r="AB21" s="18"/>
    </row>
    <row r="22" spans="1:28" x14ac:dyDescent="0.25">
      <c r="A22" s="6" t="s">
        <v>29</v>
      </c>
      <c r="B22" s="7"/>
      <c r="C22" s="7"/>
      <c r="D22" s="88">
        <v>55706.98</v>
      </c>
      <c r="E22" s="85">
        <v>60714.46</v>
      </c>
      <c r="F22" s="85">
        <v>62641.06</v>
      </c>
      <c r="G22" s="85">
        <v>62025.94</v>
      </c>
      <c r="H22" s="85">
        <v>70050.39</v>
      </c>
      <c r="I22" s="85">
        <v>92556.51</v>
      </c>
      <c r="J22" s="85"/>
      <c r="K22" s="85">
        <v>78463.8</v>
      </c>
      <c r="L22" s="85"/>
      <c r="M22" s="85">
        <v>92556.51</v>
      </c>
      <c r="N22" s="11"/>
      <c r="O22" s="11">
        <v>101960.4</v>
      </c>
      <c r="P22" s="11"/>
      <c r="Q22" s="40" t="s">
        <v>33</v>
      </c>
      <c r="R22" s="45"/>
      <c r="S22" s="45"/>
      <c r="T22" s="45"/>
      <c r="U22" s="46" t="s">
        <v>5</v>
      </c>
      <c r="V22" s="18"/>
      <c r="W22" s="18"/>
      <c r="X22" s="18"/>
      <c r="Y22" s="18"/>
      <c r="Z22" s="18"/>
      <c r="AA22" s="18"/>
      <c r="AB22" s="18"/>
    </row>
    <row r="23" spans="1:28" x14ac:dyDescent="0.25">
      <c r="A23" s="6" t="s">
        <v>58</v>
      </c>
      <c r="B23" s="7"/>
      <c r="C23" s="7"/>
      <c r="D23" s="88">
        <v>54709.41</v>
      </c>
      <c r="E23" s="85">
        <v>58430.95</v>
      </c>
      <c r="F23" s="85">
        <v>61325</v>
      </c>
      <c r="G23" s="85">
        <v>61326.32</v>
      </c>
      <c r="H23" s="85">
        <v>70030.7</v>
      </c>
      <c r="I23" s="85">
        <v>90217.93</v>
      </c>
      <c r="J23" s="85"/>
      <c r="K23" s="85">
        <v>74246.600000000006</v>
      </c>
      <c r="L23" s="85"/>
      <c r="M23" s="85">
        <v>90217.93</v>
      </c>
      <c r="N23" s="11"/>
      <c r="O23" s="11">
        <v>95200.1</v>
      </c>
      <c r="P23" s="11"/>
      <c r="Q23" s="42" t="s">
        <v>34</v>
      </c>
      <c r="R23" s="43"/>
      <c r="S23" s="44">
        <f t="shared" ref="S23:X23" si="18">D6/AVERAGE(C23:D23)</f>
        <v>0.12242171867691498</v>
      </c>
      <c r="T23" s="44">
        <f t="shared" si="18"/>
        <v>0.14528520149661889</v>
      </c>
      <c r="U23" s="44">
        <f t="shared" si="18"/>
        <v>0.14062516309210524</v>
      </c>
      <c r="V23" s="44">
        <f t="shared" si="18"/>
        <v>0.13523931091813768</v>
      </c>
      <c r="W23" s="44">
        <f t="shared" si="18"/>
        <v>0.13480177915120184</v>
      </c>
      <c r="X23" s="44">
        <f t="shared" si="18"/>
        <v>0.13783081952089077</v>
      </c>
      <c r="Y23" s="18"/>
      <c r="Z23" s="18"/>
      <c r="AA23" s="18"/>
      <c r="AB23" s="18"/>
    </row>
    <row r="24" spans="1:28" x14ac:dyDescent="0.25">
      <c r="A24" s="6" t="s">
        <v>59</v>
      </c>
      <c r="B24" s="10"/>
      <c r="C24" s="10"/>
      <c r="D24" s="89">
        <v>1000.38</v>
      </c>
      <c r="E24" s="89">
        <v>2259.13</v>
      </c>
      <c r="F24" s="89">
        <v>2760.86</v>
      </c>
      <c r="G24" s="89">
        <v>3058.76</v>
      </c>
      <c r="H24" s="89">
        <v>1914.85</v>
      </c>
      <c r="I24" s="89">
        <v>1711.82</v>
      </c>
      <c r="J24" s="89"/>
      <c r="K24" s="89"/>
      <c r="L24" s="89"/>
      <c r="M24" s="89">
        <v>1711.82</v>
      </c>
      <c r="N24" s="11"/>
      <c r="O24" s="11"/>
      <c r="P24" s="11"/>
      <c r="Q24" s="42" t="s">
        <v>35</v>
      </c>
      <c r="R24" s="43"/>
      <c r="S24" s="44">
        <f t="shared" ref="S24:X24" si="19">D9/AVERAGE(C21:D21)</f>
        <v>7.3901399176589791E-2</v>
      </c>
      <c r="T24" s="44">
        <f t="shared" si="19"/>
        <v>8.6006845069481683E-2</v>
      </c>
      <c r="U24" s="44">
        <f t="shared" si="19"/>
        <v>7.7532346327240723E-2</v>
      </c>
      <c r="V24" s="44">
        <f t="shared" si="19"/>
        <v>6.6957389187333002E-2</v>
      </c>
      <c r="W24" s="44">
        <f t="shared" si="19"/>
        <v>6.7642034896727501E-2</v>
      </c>
      <c r="X24" s="44">
        <f t="shared" si="19"/>
        <v>7.8743929172034696E-2</v>
      </c>
      <c r="Y24" s="18"/>
      <c r="Z24" s="18"/>
      <c r="AA24" s="18"/>
      <c r="AB24" s="18"/>
    </row>
    <row r="25" spans="1:28" x14ac:dyDescent="0.25">
      <c r="A25" s="6" t="s">
        <v>60</v>
      </c>
      <c r="B25" s="10"/>
      <c r="C25" s="10"/>
      <c r="D25" s="89">
        <v>678.7</v>
      </c>
      <c r="E25" s="89">
        <v>1820.53</v>
      </c>
      <c r="F25" s="89">
        <v>1886.12</v>
      </c>
      <c r="G25" s="89">
        <v>1402.95</v>
      </c>
      <c r="H25" s="89">
        <v>668.25</v>
      </c>
      <c r="I25" s="89">
        <v>567.99</v>
      </c>
      <c r="J25" s="89"/>
      <c r="K25" s="89"/>
      <c r="L25" s="89"/>
      <c r="M25" s="89">
        <v>567.99</v>
      </c>
      <c r="N25" s="11"/>
      <c r="O25" s="11"/>
      <c r="P25" s="11"/>
      <c r="Q25" s="42" t="s">
        <v>36</v>
      </c>
      <c r="R25" s="43"/>
      <c r="S25" s="48">
        <f t="shared" ref="S25:X25" si="20">S23-S24</f>
        <v>4.852031950032519E-2</v>
      </c>
      <c r="T25" s="48">
        <f t="shared" si="20"/>
        <v>5.9278356427137205E-2</v>
      </c>
      <c r="U25" s="48">
        <f t="shared" si="20"/>
        <v>6.3092816764864515E-2</v>
      </c>
      <c r="V25" s="48">
        <f t="shared" si="20"/>
        <v>6.8281921730804676E-2</v>
      </c>
      <c r="W25" s="48">
        <f t="shared" si="20"/>
        <v>6.7159744254474338E-2</v>
      </c>
      <c r="X25" s="48">
        <f t="shared" si="20"/>
        <v>5.9086890348856072E-2</v>
      </c>
      <c r="Y25" s="18"/>
      <c r="Z25" s="18"/>
      <c r="AA25" s="18"/>
      <c r="AB25" s="18"/>
    </row>
    <row r="27" spans="1:28" x14ac:dyDescent="0.25">
      <c r="A27" s="739" t="s">
        <v>262</v>
      </c>
      <c r="B27" s="739"/>
      <c r="C27" s="739"/>
      <c r="D27" s="739"/>
      <c r="E27" s="739"/>
      <c r="F27" s="739"/>
      <c r="G27" s="739"/>
      <c r="H27" s="739"/>
      <c r="I27" s="739"/>
      <c r="J27" s="739"/>
      <c r="K27" s="739"/>
      <c r="L27" s="739"/>
      <c r="M27" s="739"/>
      <c r="N27" s="739"/>
      <c r="O27" s="739"/>
      <c r="P27" s="739"/>
      <c r="Q27" s="739"/>
    </row>
    <row r="28" spans="1:28" x14ac:dyDescent="0.25">
      <c r="A28" s="739"/>
      <c r="B28" s="739"/>
      <c r="C28" s="739"/>
      <c r="D28" s="739"/>
      <c r="E28" s="739"/>
      <c r="F28" s="739"/>
      <c r="G28" s="739"/>
      <c r="H28" s="739"/>
      <c r="I28" s="739"/>
      <c r="J28" s="739"/>
      <c r="K28" s="739"/>
      <c r="L28" s="739"/>
      <c r="M28" s="739"/>
      <c r="N28" s="739"/>
      <c r="O28" s="739"/>
      <c r="P28" s="739"/>
      <c r="Q28" s="739"/>
    </row>
    <row r="29" spans="1:28" x14ac:dyDescent="0.25">
      <c r="A29" s="739"/>
      <c r="B29" s="739"/>
      <c r="C29" s="739"/>
      <c r="D29" s="739"/>
      <c r="E29" s="739"/>
      <c r="F29" s="739"/>
      <c r="G29" s="739"/>
      <c r="H29" s="739"/>
      <c r="I29" s="739"/>
      <c r="J29" s="739"/>
      <c r="K29" s="739"/>
      <c r="L29" s="739"/>
      <c r="M29" s="739"/>
      <c r="N29" s="739"/>
      <c r="O29" s="739"/>
      <c r="P29" s="739"/>
      <c r="Q29" s="739"/>
    </row>
    <row r="30" spans="1:28" x14ac:dyDescent="0.25">
      <c r="A30" s="739"/>
      <c r="B30" s="739"/>
      <c r="C30" s="739"/>
      <c r="D30" s="739"/>
      <c r="E30" s="739"/>
      <c r="F30" s="739"/>
      <c r="G30" s="739"/>
      <c r="H30" s="739"/>
      <c r="I30" s="739"/>
      <c r="J30" s="739"/>
      <c r="K30" s="739"/>
      <c r="L30" s="739"/>
      <c r="M30" s="739"/>
      <c r="N30" s="739"/>
      <c r="O30" s="739"/>
      <c r="P30" s="739"/>
      <c r="Q30" s="739"/>
    </row>
  </sheetData>
  <mergeCells count="2">
    <mergeCell ref="A2:A4"/>
    <mergeCell ref="A27:Q30"/>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W37"/>
  <sheetViews>
    <sheetView workbookViewId="0">
      <selection activeCell="AG6" sqref="AG6"/>
    </sheetView>
  </sheetViews>
  <sheetFormatPr defaultRowHeight="15" x14ac:dyDescent="0.25"/>
  <cols>
    <col min="1" max="1" width="31.28515625" customWidth="1"/>
    <col min="4" max="4" width="11.7109375" customWidth="1"/>
    <col min="5" max="5" width="11.42578125" customWidth="1"/>
    <col min="6" max="6" width="11" customWidth="1"/>
    <col min="7" max="7" width="11.7109375" customWidth="1"/>
    <col min="14" max="14" width="31.85546875" customWidth="1"/>
    <col min="15" max="15" width="9.7109375" customWidth="1"/>
    <col min="16" max="16" width="14.28515625" customWidth="1"/>
    <col min="17" max="17" width="13.5703125" customWidth="1"/>
    <col min="18" max="18" width="15" customWidth="1"/>
    <col min="19" max="19" width="13.28515625" customWidth="1"/>
  </cols>
  <sheetData>
    <row r="1" spans="1:23" x14ac:dyDescent="0.25">
      <c r="E1" t="s">
        <v>361</v>
      </c>
      <c r="I1" s="772" t="s">
        <v>113</v>
      </c>
      <c r="J1" s="772"/>
      <c r="K1" s="772"/>
    </row>
    <row r="2" spans="1:23" ht="33.7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4.9061325898050366E-2</v>
      </c>
      <c r="Q3" s="44">
        <f>E10/AVERAGE(D23:E23)</f>
        <v>0.16544083705185411</v>
      </c>
      <c r="R3" s="44">
        <f>F10/AVERAGE(E23:F23)</f>
        <v>0.12397647821376602</v>
      </c>
      <c r="S3" s="44">
        <f>G10/AVERAGE(F23:G23)</f>
        <v>0.10271690387840918</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685.59</v>
      </c>
      <c r="E5">
        <v>5695.6</v>
      </c>
      <c r="F5" s="85">
        <v>8671.1299999999992</v>
      </c>
      <c r="G5" s="90">
        <v>12394.73</v>
      </c>
      <c r="H5" s="85"/>
      <c r="I5" s="85"/>
      <c r="J5" s="85"/>
      <c r="K5" s="85"/>
      <c r="L5" s="11"/>
      <c r="M5" s="11"/>
      <c r="N5" s="42" t="s">
        <v>13</v>
      </c>
      <c r="O5" s="46"/>
      <c r="P5" s="47">
        <f>D21/D20</f>
        <v>4.2321282142789036E-3</v>
      </c>
      <c r="Q5" s="47">
        <f>E21/E20</f>
        <v>0.81317379979909921</v>
      </c>
      <c r="R5" s="47">
        <f>F21/F20</f>
        <v>1.4119412017951416</v>
      </c>
      <c r="S5" s="47">
        <f>G21/G20</f>
        <v>2.1773829570570733</v>
      </c>
      <c r="T5" s="18"/>
      <c r="U5" s="18"/>
      <c r="V5" s="18"/>
      <c r="W5" s="18"/>
    </row>
    <row r="6" spans="1:23" x14ac:dyDescent="0.25">
      <c r="A6" s="6" t="s">
        <v>50</v>
      </c>
      <c r="B6" s="7"/>
      <c r="C6" s="8"/>
      <c r="D6">
        <v>533.01</v>
      </c>
      <c r="E6">
        <v>5205.21</v>
      </c>
      <c r="F6" s="85">
        <v>8402.5400000000009</v>
      </c>
      <c r="G6" s="85">
        <v>11870.77</v>
      </c>
      <c r="H6" s="85"/>
      <c r="I6" s="85"/>
      <c r="J6" s="85"/>
      <c r="K6" s="85"/>
      <c r="L6" s="11"/>
      <c r="M6" s="11"/>
      <c r="N6" s="42" t="s">
        <v>14</v>
      </c>
      <c r="O6" s="43"/>
      <c r="P6" s="43"/>
      <c r="Q6" s="43"/>
      <c r="R6" s="43">
        <v>0.4037</v>
      </c>
      <c r="S6" s="48">
        <v>0.30890000000000001</v>
      </c>
      <c r="T6" s="48"/>
      <c r="U6" s="18"/>
      <c r="V6" s="18"/>
      <c r="W6" s="18"/>
    </row>
    <row r="7" spans="1:23" x14ac:dyDescent="0.25">
      <c r="A7" s="6" t="s">
        <v>51</v>
      </c>
      <c r="B7" s="7"/>
      <c r="C7" s="8"/>
      <c r="D7" s="87"/>
      <c r="E7" s="85"/>
      <c r="F7" s="85">
        <v>0</v>
      </c>
      <c r="G7" s="85">
        <v>0</v>
      </c>
      <c r="H7" s="85"/>
      <c r="I7" s="85"/>
      <c r="J7" s="85"/>
      <c r="K7" s="85"/>
      <c r="L7" s="11"/>
      <c r="M7" s="11"/>
      <c r="N7" s="42" t="s">
        <v>15</v>
      </c>
      <c r="O7" s="43"/>
      <c r="P7" s="44">
        <f>D20/D23</f>
        <v>1.4865422795662346</v>
      </c>
      <c r="Q7" s="44">
        <f>E20/E23</f>
        <v>0.79761557598374833</v>
      </c>
      <c r="R7" s="44">
        <f>F20/F23</f>
        <v>0.40290555598235528</v>
      </c>
      <c r="S7" s="44">
        <f>G20/G23</f>
        <v>0.30677575207743335</v>
      </c>
      <c r="T7" s="18"/>
      <c r="U7" s="18"/>
      <c r="V7" s="18"/>
      <c r="W7" s="18"/>
    </row>
    <row r="8" spans="1:23" x14ac:dyDescent="0.25">
      <c r="A8" s="6" t="s">
        <v>52</v>
      </c>
      <c r="B8" s="7"/>
      <c r="C8" s="8"/>
      <c r="D8" s="85">
        <f>D5-D6-D7</f>
        <v>152.58000000000004</v>
      </c>
      <c r="E8" s="85">
        <f>E5-E6-E7</f>
        <v>490.39000000000033</v>
      </c>
      <c r="F8" s="85">
        <f>F5-F6-F7</f>
        <v>268.58999999999833</v>
      </c>
      <c r="G8" s="85">
        <f>G5-G6-G7</f>
        <v>523.95999999999913</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v>48.42</v>
      </c>
      <c r="E9" s="85">
        <v>1872.09</v>
      </c>
      <c r="F9" s="85">
        <v>2668.22</v>
      </c>
      <c r="G9" s="85">
        <v>4139.49</v>
      </c>
      <c r="H9" s="85"/>
      <c r="I9" s="85"/>
      <c r="J9" s="85"/>
      <c r="K9" s="85"/>
      <c r="L9" s="11"/>
      <c r="M9" s="11"/>
      <c r="N9" s="49" t="s">
        <v>93</v>
      </c>
      <c r="O9" s="45"/>
      <c r="P9" s="50">
        <f>D14/(D11-D9)</f>
        <v>1.9017530643313398</v>
      </c>
      <c r="Q9" s="50">
        <f>E14/(E11-E9)</f>
        <v>0.80069883431715883</v>
      </c>
      <c r="R9" s="50">
        <f>F14/(F11-F9)</f>
        <v>0.53112906906816859</v>
      </c>
      <c r="S9" s="50">
        <f>G14/(G11-G9)</f>
        <v>0.62101646953934708</v>
      </c>
      <c r="T9" s="18"/>
      <c r="U9" s="18"/>
      <c r="V9" s="18"/>
      <c r="W9" s="18"/>
    </row>
    <row r="10" spans="1:23" ht="22.5" x14ac:dyDescent="0.25">
      <c r="A10" s="6" t="s">
        <v>53</v>
      </c>
      <c r="B10" s="10">
        <f t="shared" ref="B10:H10" si="0">B6-B9</f>
        <v>0</v>
      </c>
      <c r="C10" s="10">
        <f t="shared" si="0"/>
        <v>0</v>
      </c>
      <c r="D10" s="89">
        <f t="shared" si="0"/>
        <v>484.59</v>
      </c>
      <c r="E10" s="89">
        <f t="shared" si="0"/>
        <v>3333.12</v>
      </c>
      <c r="F10" s="89">
        <f t="shared" si="0"/>
        <v>5734.3200000000015</v>
      </c>
      <c r="G10" s="89">
        <f t="shared" si="0"/>
        <v>7731.2800000000007</v>
      </c>
      <c r="H10" s="89">
        <f t="shared" si="0"/>
        <v>0</v>
      </c>
      <c r="I10" s="89"/>
      <c r="J10" s="89"/>
      <c r="K10" s="89"/>
      <c r="L10" s="11"/>
      <c r="M10" s="11"/>
      <c r="N10" s="42" t="s">
        <v>92</v>
      </c>
      <c r="O10" s="43"/>
      <c r="P10" s="44">
        <f>D14/D11</f>
        <v>1.7674411820475795</v>
      </c>
      <c r="Q10" s="44">
        <f>E14/E11</f>
        <v>0.53751667954210269</v>
      </c>
      <c r="R10" s="44">
        <f>F14/F11</f>
        <v>0.36769371466002698</v>
      </c>
      <c r="S10" s="44">
        <f>G14/G11</f>
        <v>0.41361449583815052</v>
      </c>
      <c r="T10" s="18"/>
      <c r="U10" s="18"/>
      <c r="V10" s="18"/>
      <c r="W10" s="18"/>
    </row>
    <row r="11" spans="1:23" x14ac:dyDescent="0.25">
      <c r="A11" s="6" t="s">
        <v>1</v>
      </c>
      <c r="B11" s="10">
        <f>B5-B9</f>
        <v>0</v>
      </c>
      <c r="C11" s="10">
        <f t="shared" ref="C11:H11" si="1">SUM(C6:C8)</f>
        <v>0</v>
      </c>
      <c r="D11" s="89">
        <f t="shared" si="1"/>
        <v>685.59</v>
      </c>
      <c r="E11" s="89">
        <f t="shared" si="1"/>
        <v>5695.6</v>
      </c>
      <c r="F11" s="89">
        <f>SUM(F6:F8)</f>
        <v>8671.1299999999992</v>
      </c>
      <c r="G11" s="89">
        <f>SUM(G6:G8)</f>
        <v>12394.73</v>
      </c>
      <c r="H11" s="89">
        <f t="shared" si="1"/>
        <v>0</v>
      </c>
      <c r="I11" s="89"/>
      <c r="J11" s="89"/>
      <c r="K11" s="89"/>
      <c r="L11" s="11"/>
      <c r="M11" s="11"/>
      <c r="N11" s="42" t="s">
        <v>17</v>
      </c>
      <c r="O11" s="43"/>
      <c r="P11" s="44">
        <f>D14/AVERAGE(C22:D22)</f>
        <v>8.0726696157330927E-2</v>
      </c>
      <c r="Q11" s="44">
        <f>E14/AVERAGE(D22:E22)</f>
        <v>9.4635040664894712E-2</v>
      </c>
      <c r="R11" s="44">
        <f>F14/AVERAGE(E22:F22)</f>
        <v>5.7312084931292605E-2</v>
      </c>
      <c r="S11" s="44">
        <f>G14/AVERAGE(F22:G22)</f>
        <v>6.8525797256463197E-2</v>
      </c>
      <c r="T11" s="18"/>
      <c r="U11" s="18"/>
      <c r="V11" s="18"/>
      <c r="W11" s="18"/>
    </row>
    <row r="12" spans="1:23" x14ac:dyDescent="0.25">
      <c r="A12" s="6" t="s">
        <v>91</v>
      </c>
      <c r="B12" s="10"/>
      <c r="C12" s="10"/>
      <c r="D12" s="89">
        <v>63.56</v>
      </c>
      <c r="E12" s="89">
        <v>130.31</v>
      </c>
      <c r="F12" s="89">
        <v>1.57</v>
      </c>
      <c r="G12" s="89">
        <v>562.04999999999995</v>
      </c>
      <c r="H12" s="89"/>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749.15000000000009</v>
      </c>
      <c r="E13" s="88">
        <f>E11+E12</f>
        <v>5825.9100000000008</v>
      </c>
      <c r="F13" s="88">
        <f>F11+F12</f>
        <v>8672.6999999999989</v>
      </c>
      <c r="G13" s="88">
        <f>G11+G12</f>
        <v>12956.779999999999</v>
      </c>
      <c r="H13" s="88">
        <f>H11+H12</f>
        <v>0</v>
      </c>
      <c r="I13" s="88"/>
      <c r="J13" s="88"/>
      <c r="K13" s="88"/>
      <c r="L13" s="11"/>
      <c r="M13" s="11"/>
      <c r="N13" s="42" t="s">
        <v>19</v>
      </c>
      <c r="O13" s="43"/>
      <c r="P13" s="44">
        <f>D24/D23</f>
        <v>0</v>
      </c>
      <c r="Q13" s="44">
        <f>E24/E23</f>
        <v>0</v>
      </c>
      <c r="R13" s="44">
        <f>F24/F23</f>
        <v>3.7300525479058544E-2</v>
      </c>
      <c r="S13" s="44">
        <f>G24/G23</f>
        <v>3.6049584332439981E-2</v>
      </c>
      <c r="T13" s="48"/>
      <c r="U13" s="18"/>
      <c r="V13" s="18"/>
      <c r="W13" s="18"/>
    </row>
    <row r="14" spans="1:23" x14ac:dyDescent="0.25">
      <c r="A14" s="6" t="s">
        <v>26</v>
      </c>
      <c r="B14" s="7"/>
      <c r="C14" s="7"/>
      <c r="D14" s="85">
        <f>548.06+42.45+621.23</f>
        <v>1211.74</v>
      </c>
      <c r="E14" s="85">
        <f>1414.18+69.82+1577.48</f>
        <v>3061.48</v>
      </c>
      <c r="F14" s="85">
        <f>1708.48+89.08+1390.76</f>
        <v>3188.3199999999997</v>
      </c>
      <c r="G14" s="85">
        <f>2572.65+91.68+2462.31</f>
        <v>5126.6399999999994</v>
      </c>
      <c r="H14" s="85"/>
      <c r="I14" s="85"/>
      <c r="J14" s="85"/>
      <c r="K14" s="85"/>
      <c r="L14" s="11"/>
      <c r="M14" s="11"/>
      <c r="N14" s="42" t="s">
        <v>20</v>
      </c>
      <c r="O14" s="43"/>
      <c r="P14" s="44">
        <f>D25/D23</f>
        <v>0</v>
      </c>
      <c r="Q14" s="44">
        <f>E25/E23</f>
        <v>0</v>
      </c>
      <c r="R14" s="44">
        <f>F25/F23</f>
        <v>1.2932193117701222E-2</v>
      </c>
      <c r="S14" s="44">
        <f>G25/G23</f>
        <v>1.6501993087734756E-2</v>
      </c>
      <c r="T14" s="48"/>
      <c r="U14" s="18"/>
      <c r="V14" s="18"/>
      <c r="W14" s="18"/>
    </row>
    <row r="15" spans="1:23" x14ac:dyDescent="0.25">
      <c r="A15" s="6" t="s">
        <v>54</v>
      </c>
      <c r="B15" s="10"/>
      <c r="C15" s="10"/>
      <c r="D15" s="89">
        <f>D11-D14</f>
        <v>-526.15</v>
      </c>
      <c r="E15" s="89">
        <f>E11-E14</f>
        <v>2634.1200000000003</v>
      </c>
      <c r="F15" s="89">
        <f>F11-F14</f>
        <v>5482.8099999999995</v>
      </c>
      <c r="G15" s="89">
        <f>G11-G14</f>
        <v>7268.09</v>
      </c>
      <c r="H15" s="89">
        <f>H11-H14</f>
        <v>0</v>
      </c>
      <c r="I15" s="89"/>
      <c r="J15" s="89"/>
      <c r="K15" s="89"/>
      <c r="L15" s="11"/>
      <c r="M15" s="11"/>
      <c r="N15" s="42" t="s">
        <v>21</v>
      </c>
      <c r="O15" s="43"/>
      <c r="P15" s="44" t="e">
        <f>(P13-P14)/P13</f>
        <v>#DIV/0!</v>
      </c>
      <c r="Q15" s="44" t="e">
        <f>(Q13-Q14)/Q13</f>
        <v>#DIV/0!</v>
      </c>
      <c r="R15" s="44">
        <f>(R13-R14)/R13</f>
        <v>0.65329729402976688</v>
      </c>
      <c r="S15" s="44">
        <f>(S13-S14)/S13</f>
        <v>0.54224179298275321</v>
      </c>
      <c r="T15" s="44" t="e">
        <f>(T13-T14)/T13</f>
        <v>#DIV/0!</v>
      </c>
      <c r="U15" s="18"/>
      <c r="V15" s="18"/>
      <c r="W15" s="18"/>
    </row>
    <row r="16" spans="1:23" x14ac:dyDescent="0.25">
      <c r="A16" s="6" t="s">
        <v>94</v>
      </c>
      <c r="B16" s="10"/>
      <c r="C16" s="10"/>
      <c r="D16" s="89">
        <f>D13-D14-D9</f>
        <v>-511.00999999999993</v>
      </c>
      <c r="E16" s="89">
        <f>E13-E14-E9</f>
        <v>892.34000000000083</v>
      </c>
      <c r="F16" s="89">
        <f>F13-F14-F9</f>
        <v>2816.1599999999994</v>
      </c>
      <c r="G16" s="89">
        <f>G13-G14-G9</f>
        <v>3690.6499999999996</v>
      </c>
      <c r="H16" s="89">
        <f>H13-H14-H9</f>
        <v>0</v>
      </c>
      <c r="I16" s="89"/>
      <c r="J16" s="89"/>
      <c r="K16" s="89"/>
      <c r="L16" s="11"/>
      <c r="M16" s="11"/>
      <c r="N16" s="42" t="s">
        <v>22</v>
      </c>
      <c r="O16" s="43"/>
      <c r="P16" s="44">
        <f>D17/AVERAGE(C23:D23)</f>
        <v>5.5754497971597303E-3</v>
      </c>
      <c r="Q16" s="44">
        <f>E17/AVERAGE(D23:E23)</f>
        <v>1.2620303868088887E-2</v>
      </c>
      <c r="R16" s="44">
        <f>F17/AVERAGE(E23:F23)</f>
        <v>3.2829664657368154E-2</v>
      </c>
      <c r="S16" s="44">
        <f>G17/AVERAGE(F23:G23)</f>
        <v>1.2985359153035402E-2</v>
      </c>
      <c r="T16" s="18"/>
      <c r="U16" s="18"/>
      <c r="V16" s="18"/>
      <c r="W16" s="18"/>
    </row>
    <row r="17" spans="1:23" x14ac:dyDescent="0.25">
      <c r="A17" s="6" t="s">
        <v>27</v>
      </c>
      <c r="B17" s="7"/>
      <c r="C17" s="7"/>
      <c r="D17" s="88">
        <v>55.07</v>
      </c>
      <c r="E17" s="85">
        <v>254.26</v>
      </c>
      <c r="F17" s="85">
        <v>1518.48</v>
      </c>
      <c r="G17" s="85">
        <v>977.38</v>
      </c>
      <c r="H17" s="85"/>
      <c r="I17" s="85"/>
      <c r="J17" s="85"/>
      <c r="K17" s="85"/>
      <c r="L17" s="11"/>
      <c r="M17" s="11"/>
      <c r="N17" s="18"/>
      <c r="O17" s="18"/>
      <c r="P17" s="18"/>
      <c r="Q17" s="18"/>
      <c r="R17" s="18"/>
      <c r="S17" s="18"/>
      <c r="T17" s="18"/>
      <c r="U17" s="18"/>
      <c r="V17" s="18"/>
      <c r="W17" s="18"/>
    </row>
    <row r="18" spans="1:23" x14ac:dyDescent="0.25">
      <c r="A18" s="6" t="s">
        <v>55</v>
      </c>
      <c r="B18" s="7"/>
      <c r="C18" s="7"/>
      <c r="D18" s="88">
        <v>-566.1</v>
      </c>
      <c r="E18" s="85">
        <v>638.05999999999995</v>
      </c>
      <c r="F18" s="89">
        <v>942.72</v>
      </c>
      <c r="G18" s="89">
        <v>2007.03</v>
      </c>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v>14682.92</v>
      </c>
      <c r="E19" s="85">
        <v>24260.73</v>
      </c>
      <c r="F19" s="85">
        <v>25016.41</v>
      </c>
      <c r="G19" s="85">
        <v>27132.99</v>
      </c>
      <c r="H19" s="85"/>
      <c r="I19" s="85"/>
      <c r="J19" s="85"/>
      <c r="K19" s="85"/>
      <c r="L19" s="11"/>
      <c r="M19" s="11"/>
      <c r="N19" s="46" t="s">
        <v>95</v>
      </c>
      <c r="O19" s="51"/>
      <c r="P19" s="51"/>
      <c r="Q19" s="52">
        <f>E16/AVERAGE(D22:E22)</f>
        <v>2.7583597536783588E-2</v>
      </c>
      <c r="R19" s="52">
        <f>F16/AVERAGE(E22:F22)</f>
        <v>5.0622271635252729E-2</v>
      </c>
      <c r="S19" s="52">
        <f>G16/AVERAGE(F22:G22)</f>
        <v>4.9331479028089723E-2</v>
      </c>
      <c r="T19" s="18"/>
      <c r="U19" s="18"/>
      <c r="V19" s="18"/>
      <c r="W19" s="18"/>
    </row>
    <row r="20" spans="1:23" x14ac:dyDescent="0.25">
      <c r="A20" s="6" t="s">
        <v>56</v>
      </c>
      <c r="B20" s="7"/>
      <c r="C20" s="7"/>
      <c r="D20" s="88">
        <f>D19-D71</f>
        <v>14682.92</v>
      </c>
      <c r="E20" s="89">
        <f>E19-E71</f>
        <v>24260.73</v>
      </c>
      <c r="F20" s="89">
        <f>F19-F71</f>
        <v>25016.41</v>
      </c>
      <c r="G20" s="89">
        <f>G19-G71</f>
        <v>27132.99</v>
      </c>
      <c r="H20" s="89">
        <f>H19-H71</f>
        <v>0</v>
      </c>
      <c r="I20" s="89"/>
      <c r="J20" s="89"/>
      <c r="K20" s="89"/>
      <c r="L20" s="11"/>
      <c r="M20" s="11"/>
      <c r="N20" s="42" t="s">
        <v>31</v>
      </c>
      <c r="O20" s="43"/>
      <c r="P20" s="43">
        <v>4.4699999999999997E-2</v>
      </c>
      <c r="Q20" s="44">
        <f>E18/AVERAGE(D22:E22)</f>
        <v>1.972341287437537E-2</v>
      </c>
      <c r="R20" s="44">
        <f>F18/AVERAGE(E22:F22)</f>
        <v>1.6945993095557589E-2</v>
      </c>
      <c r="S20" s="44">
        <f>G18/AVERAGE(F22:G22)</f>
        <v>2.6827187176716005E-2</v>
      </c>
      <c r="T20" s="48"/>
      <c r="U20" s="18"/>
      <c r="V20" s="18"/>
      <c r="W20" s="18"/>
    </row>
    <row r="21" spans="1:23" x14ac:dyDescent="0.25">
      <c r="A21" s="6" t="s">
        <v>57</v>
      </c>
      <c r="B21" s="9"/>
      <c r="C21" s="9"/>
      <c r="D21" s="85">
        <v>62.14</v>
      </c>
      <c r="E21" s="85">
        <f>19728.19</f>
        <v>19728.189999999999</v>
      </c>
      <c r="F21" s="85">
        <v>35321.699999999997</v>
      </c>
      <c r="G21" s="85">
        <v>59078.91</v>
      </c>
      <c r="H21" s="85"/>
      <c r="I21" s="85"/>
      <c r="J21" s="85"/>
      <c r="K21" s="85"/>
      <c r="L21" s="11"/>
      <c r="M21" s="11"/>
      <c r="N21" s="42" t="s">
        <v>32</v>
      </c>
      <c r="O21" s="43"/>
      <c r="P21" s="44">
        <f>D18/AVERAGE(C19:D19)</f>
        <v>-3.8555001321263077E-2</v>
      </c>
      <c r="Q21" s="44">
        <f>E18/AVERAGE(D19:E19)</f>
        <v>3.2768371737112466E-2</v>
      </c>
      <c r="R21" s="44">
        <f>F18/AVERAGE(E19:F19)</f>
        <v>3.8261960819966419E-2</v>
      </c>
      <c r="S21" s="44">
        <f>G18/AVERAGE(F19:G19)</f>
        <v>7.697231415893567E-2</v>
      </c>
      <c r="T21" s="18"/>
      <c r="U21" s="18"/>
      <c r="V21" s="18"/>
      <c r="W21" s="18"/>
    </row>
    <row r="22" spans="1:23" x14ac:dyDescent="0.25">
      <c r="A22" s="6" t="s">
        <v>29</v>
      </c>
      <c r="B22" s="7"/>
      <c r="C22" s="7"/>
      <c r="D22" s="88">
        <v>15010.4</v>
      </c>
      <c r="E22" s="85">
        <v>49690.37</v>
      </c>
      <c r="F22" s="85">
        <v>61571.33</v>
      </c>
      <c r="G22" s="85">
        <v>88055.24</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v>9877.23</v>
      </c>
      <c r="E23" s="85">
        <v>30416.57</v>
      </c>
      <c r="F23" s="85">
        <v>62090.01</v>
      </c>
      <c r="G23" s="85">
        <v>88445.68</v>
      </c>
      <c r="H23" s="85"/>
      <c r="I23" s="85"/>
      <c r="J23" s="85"/>
      <c r="K23" s="85"/>
      <c r="L23" s="11"/>
      <c r="M23" s="11"/>
      <c r="N23" s="42" t="s">
        <v>34</v>
      </c>
      <c r="O23" s="43"/>
      <c r="P23" s="44">
        <f>D6/AVERAGE(C23:D23)</f>
        <v>5.3963510012422514E-2</v>
      </c>
      <c r="Q23" s="44">
        <f>E6/AVERAGE(D23:E23)</f>
        <v>0.25836282505000768</v>
      </c>
      <c r="R23" s="44">
        <f>F6/AVERAGE(E23:F23)</f>
        <v>0.18166361787453392</v>
      </c>
      <c r="S23" s="44">
        <f>G6/AVERAGE(F23:G23)</f>
        <v>0.15771369566911342</v>
      </c>
      <c r="T23" s="18"/>
      <c r="U23" s="18"/>
      <c r="V23" s="18"/>
      <c r="W23" s="18"/>
    </row>
    <row r="24" spans="1:23" x14ac:dyDescent="0.25">
      <c r="A24" s="6" t="s">
        <v>59</v>
      </c>
      <c r="B24" s="10"/>
      <c r="C24" s="10"/>
      <c r="D24" s="89"/>
      <c r="E24" s="89"/>
      <c r="F24" s="89">
        <v>2315.9899999999998</v>
      </c>
      <c r="G24" s="89">
        <v>3188.43</v>
      </c>
      <c r="H24" s="89"/>
      <c r="I24" s="89"/>
      <c r="J24" s="89"/>
      <c r="K24" s="89"/>
      <c r="L24" s="11"/>
      <c r="M24" s="11"/>
      <c r="N24" s="42" t="s">
        <v>35</v>
      </c>
      <c r="O24" s="43"/>
      <c r="P24" s="44">
        <f>D9/AVERAGE(C21:D21)</f>
        <v>0.77920823945928552</v>
      </c>
      <c r="Q24" s="44">
        <f>E9/AVERAGE(D21:E21)</f>
        <v>0.18919239850977726</v>
      </c>
      <c r="R24" s="44">
        <f>F9/AVERAGE(E21:F21)</f>
        <v>9.6938250012851973E-2</v>
      </c>
      <c r="S24" s="44">
        <f>G9/AVERAGE(F21:G21)</f>
        <v>8.7700492613342215E-2</v>
      </c>
      <c r="T24" s="18"/>
      <c r="U24" s="18"/>
      <c r="V24" s="18"/>
      <c r="W24" s="18"/>
    </row>
    <row r="25" spans="1:23" x14ac:dyDescent="0.25">
      <c r="A25" s="6" t="s">
        <v>60</v>
      </c>
      <c r="B25" s="10"/>
      <c r="C25" s="10"/>
      <c r="D25" s="89"/>
      <c r="E25" s="89"/>
      <c r="F25" s="89">
        <v>802.96</v>
      </c>
      <c r="G25" s="89">
        <v>1459.53</v>
      </c>
      <c r="H25" s="89"/>
      <c r="I25" s="89"/>
      <c r="J25" s="89"/>
      <c r="K25" s="89"/>
      <c r="L25" s="11"/>
      <c r="M25" s="11"/>
      <c r="N25" s="42" t="s">
        <v>36</v>
      </c>
      <c r="O25" s="43"/>
      <c r="P25" s="48">
        <f>P23-P24</f>
        <v>-0.72524472944686302</v>
      </c>
      <c r="Q25" s="48">
        <f>Q23-Q24</f>
        <v>6.9170426540230423E-2</v>
      </c>
      <c r="R25" s="48">
        <f>R23-R24</f>
        <v>8.4725367861681944E-2</v>
      </c>
      <c r="S25" s="48">
        <f>S23-S24</f>
        <v>7.0013203055771203E-2</v>
      </c>
      <c r="T25" s="18"/>
      <c r="U25" s="18"/>
      <c r="V25" s="18"/>
      <c r="W25" s="18"/>
    </row>
    <row r="27" spans="1:23" x14ac:dyDescent="0.25">
      <c r="A27" s="739" t="s">
        <v>263</v>
      </c>
      <c r="B27" s="739"/>
      <c r="C27" s="739"/>
      <c r="D27" s="739"/>
      <c r="E27" s="739"/>
      <c r="F27" s="739"/>
      <c r="G27" s="739"/>
      <c r="H27" s="739"/>
      <c r="I27" s="739"/>
      <c r="J27" s="739"/>
      <c r="K27" s="739"/>
      <c r="L27" s="739"/>
      <c r="M27" s="739"/>
      <c r="N27" s="739"/>
    </row>
    <row r="28" spans="1:23" x14ac:dyDescent="0.25">
      <c r="A28" s="739"/>
      <c r="B28" s="739"/>
      <c r="C28" s="739"/>
      <c r="D28" s="739"/>
      <c r="E28" s="739"/>
      <c r="F28" s="739"/>
      <c r="G28" s="739"/>
      <c r="H28" s="739"/>
      <c r="I28" s="739"/>
      <c r="J28" s="739"/>
      <c r="K28" s="739"/>
      <c r="L28" s="739"/>
      <c r="M28" s="739"/>
      <c r="N28" s="739"/>
    </row>
    <row r="29" spans="1:23" x14ac:dyDescent="0.25">
      <c r="A29" s="739"/>
      <c r="B29" s="739"/>
      <c r="C29" s="739"/>
      <c r="D29" s="739"/>
      <c r="E29" s="739"/>
      <c r="F29" s="739"/>
      <c r="G29" s="739"/>
      <c r="H29" s="739"/>
      <c r="I29" s="739"/>
      <c r="J29" s="739"/>
      <c r="K29" s="739"/>
      <c r="L29" s="739"/>
      <c r="M29" s="739"/>
      <c r="N29" s="739"/>
    </row>
    <row r="30" spans="1:23" x14ac:dyDescent="0.25">
      <c r="A30" s="739"/>
      <c r="B30" s="739"/>
      <c r="C30" s="739"/>
      <c r="D30" s="739"/>
      <c r="E30" s="739"/>
      <c r="F30" s="739"/>
      <c r="G30" s="739"/>
      <c r="H30" s="739"/>
      <c r="I30" s="739"/>
      <c r="J30" s="739"/>
      <c r="K30" s="739"/>
      <c r="L30" s="739"/>
      <c r="M30" s="739"/>
      <c r="N30" s="739"/>
    </row>
    <row r="31" spans="1:23" x14ac:dyDescent="0.25">
      <c r="A31" s="739"/>
      <c r="B31" s="739"/>
      <c r="C31" s="739"/>
      <c r="D31" s="739"/>
      <c r="E31" s="739"/>
      <c r="F31" s="739"/>
      <c r="G31" s="739"/>
      <c r="H31" s="739"/>
      <c r="I31" s="739"/>
      <c r="J31" s="739"/>
      <c r="K31" s="739"/>
      <c r="L31" s="739"/>
      <c r="M31" s="739"/>
      <c r="N31" s="739"/>
    </row>
    <row r="32" spans="1:23" x14ac:dyDescent="0.25">
      <c r="A32" s="739"/>
      <c r="B32" s="739"/>
      <c r="C32" s="739"/>
      <c r="D32" s="739"/>
      <c r="E32" s="739"/>
      <c r="F32" s="739"/>
      <c r="G32" s="739"/>
      <c r="H32" s="739"/>
      <c r="I32" s="739"/>
      <c r="J32" s="739"/>
      <c r="K32" s="739"/>
      <c r="L32" s="739"/>
      <c r="M32" s="739"/>
      <c r="N32" s="739"/>
    </row>
    <row r="33" spans="1:14" x14ac:dyDescent="0.25">
      <c r="A33" s="739"/>
      <c r="B33" s="739"/>
      <c r="C33" s="739"/>
      <c r="D33" s="739"/>
      <c r="E33" s="739"/>
      <c r="F33" s="739"/>
      <c r="G33" s="739"/>
      <c r="H33" s="739"/>
      <c r="I33" s="739"/>
      <c r="J33" s="739"/>
      <c r="K33" s="739"/>
      <c r="L33" s="739"/>
      <c r="M33" s="739"/>
      <c r="N33" s="739"/>
    </row>
    <row r="34" spans="1:14" x14ac:dyDescent="0.25">
      <c r="A34" s="739"/>
      <c r="B34" s="739"/>
      <c r="C34" s="739"/>
      <c r="D34" s="739"/>
      <c r="E34" s="739"/>
      <c r="F34" s="739"/>
      <c r="G34" s="739"/>
      <c r="H34" s="739"/>
      <c r="I34" s="739"/>
      <c r="J34" s="739"/>
      <c r="K34" s="739"/>
      <c r="L34" s="739"/>
      <c r="M34" s="739"/>
      <c r="N34" s="739"/>
    </row>
    <row r="35" spans="1:14" x14ac:dyDescent="0.25">
      <c r="A35" s="739"/>
      <c r="B35" s="739"/>
      <c r="C35" s="739"/>
      <c r="D35" s="739"/>
      <c r="E35" s="739"/>
      <c r="F35" s="739"/>
      <c r="G35" s="739"/>
      <c r="H35" s="739"/>
      <c r="I35" s="739"/>
      <c r="J35" s="739"/>
      <c r="K35" s="739"/>
      <c r="L35" s="739"/>
      <c r="M35" s="739"/>
      <c r="N35" s="739"/>
    </row>
    <row r="36" spans="1:14" x14ac:dyDescent="0.25">
      <c r="A36" s="739"/>
      <c r="B36" s="739"/>
      <c r="C36" s="739"/>
      <c r="D36" s="739"/>
      <c r="E36" s="739"/>
      <c r="F36" s="739"/>
      <c r="G36" s="739"/>
      <c r="H36" s="739"/>
      <c r="I36" s="739"/>
      <c r="J36" s="739"/>
      <c r="K36" s="739"/>
      <c r="L36" s="739"/>
      <c r="M36" s="739"/>
      <c r="N36" s="739"/>
    </row>
    <row r="37" spans="1:14" x14ac:dyDescent="0.25">
      <c r="A37" s="739"/>
      <c r="B37" s="739"/>
      <c r="C37" s="739"/>
      <c r="D37" s="739"/>
      <c r="E37" s="739"/>
      <c r="F37" s="739"/>
      <c r="G37" s="739"/>
      <c r="H37" s="739"/>
      <c r="I37" s="739"/>
      <c r="J37" s="739"/>
      <c r="K37" s="739"/>
      <c r="L37" s="739"/>
      <c r="M37" s="739"/>
      <c r="N37" s="739"/>
    </row>
  </sheetData>
  <mergeCells count="3">
    <mergeCell ref="A2:A4"/>
    <mergeCell ref="I1:K1"/>
    <mergeCell ref="A27:N37"/>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W25"/>
  <sheetViews>
    <sheetView workbookViewId="0">
      <selection activeCell="AG6" sqref="AG6"/>
    </sheetView>
  </sheetViews>
  <sheetFormatPr defaultRowHeight="15" x14ac:dyDescent="0.25"/>
  <cols>
    <col min="1" max="1" width="33" customWidth="1"/>
    <col min="4" max="4" width="13.140625" customWidth="1"/>
    <col min="5" max="5" width="12.140625" customWidth="1"/>
    <col min="6" max="6" width="12.85546875" customWidth="1"/>
    <col min="7" max="7" width="13.7109375" customWidth="1"/>
    <col min="14" max="14" width="32" customWidth="1"/>
    <col min="16" max="16" width="14.140625" customWidth="1"/>
    <col min="17" max="17" width="12.42578125" customWidth="1"/>
    <col min="18" max="18" width="12.140625" customWidth="1"/>
    <col min="19" max="19" width="13.28515625" customWidth="1"/>
  </cols>
  <sheetData>
    <row r="1" spans="1:23" x14ac:dyDescent="0.25">
      <c r="G1" t="s">
        <v>356</v>
      </c>
      <c r="I1" s="772" t="s">
        <v>119</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f>E10/AVERAGE(D23:E23)</f>
        <v>7.9370711259517099E-2</v>
      </c>
      <c r="R3" s="44">
        <f>F10/AVERAGE(E23:F23)</f>
        <v>8.068427286465904E-2</v>
      </c>
      <c r="S3" s="44">
        <f>G10/AVERAGE(F23:G23)</f>
        <v>0</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E5">
        <v>3917.41</v>
      </c>
      <c r="F5" s="85">
        <v>3980.37</v>
      </c>
      <c r="G5" s="90"/>
      <c r="H5" s="85"/>
      <c r="I5" s="85"/>
      <c r="J5" s="85"/>
      <c r="K5" s="85"/>
      <c r="L5" s="11"/>
      <c r="M5" s="11"/>
      <c r="N5" s="42" t="s">
        <v>13</v>
      </c>
      <c r="O5" s="46"/>
      <c r="P5" s="47" t="e">
        <f>D21/D20</f>
        <v>#DIV/0!</v>
      </c>
      <c r="Q5" s="47">
        <f>E21/E20</f>
        <v>1.9296512609433156</v>
      </c>
      <c r="R5" s="47">
        <f>F21/F20</f>
        <v>2.7053377165547063</v>
      </c>
      <c r="S5" s="47" t="e">
        <f>G21/G20</f>
        <v>#DIV/0!</v>
      </c>
      <c r="T5" s="18"/>
      <c r="U5" s="18"/>
      <c r="V5" s="18"/>
      <c r="W5" s="18"/>
    </row>
    <row r="6" spans="1:23" x14ac:dyDescent="0.25">
      <c r="A6" s="6" t="s">
        <v>50</v>
      </c>
      <c r="B6" s="7"/>
      <c r="C6" s="8"/>
      <c r="E6">
        <v>2695.77</v>
      </c>
      <c r="F6" s="85">
        <v>2925.27</v>
      </c>
      <c r="G6" s="85"/>
      <c r="H6" s="85"/>
      <c r="I6" s="85"/>
      <c r="J6" s="85"/>
      <c r="K6" s="85"/>
      <c r="L6" s="11"/>
      <c r="M6" s="11"/>
      <c r="N6" s="42" t="s">
        <v>14</v>
      </c>
      <c r="O6" s="43"/>
      <c r="P6" s="43"/>
      <c r="Q6" s="43">
        <v>0.47960000000000003</v>
      </c>
      <c r="R6" s="43">
        <v>0.48080000000000001</v>
      </c>
      <c r="S6" s="48"/>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f>E20/E23</f>
        <v>0.34889399053935227</v>
      </c>
      <c r="R7" s="44">
        <f>F20/F23</f>
        <v>0.30523223537639865</v>
      </c>
      <c r="S7" s="44" t="e">
        <f>G20/G23</f>
        <v>#DIV/0!</v>
      </c>
      <c r="T7" s="18"/>
      <c r="U7" s="18"/>
      <c r="V7" s="18"/>
      <c r="W7" s="18"/>
    </row>
    <row r="8" spans="1:23" x14ac:dyDescent="0.25">
      <c r="A8" s="6" t="s">
        <v>52</v>
      </c>
      <c r="B8" s="7"/>
      <c r="C8" s="8"/>
      <c r="D8" s="85">
        <f>D5-D6-D7</f>
        <v>0</v>
      </c>
      <c r="E8" s="85">
        <f>E5-E6-E7</f>
        <v>1221.6399999999999</v>
      </c>
      <c r="F8" s="85">
        <f>F5-F6-F7</f>
        <v>1055.0999999999999</v>
      </c>
      <c r="G8" s="85">
        <f>G5-G6-G7</f>
        <v>0</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c r="E9" s="85">
        <v>1563.85</v>
      </c>
      <c r="F9" s="85">
        <v>1572.39</v>
      </c>
      <c r="G9" s="85"/>
      <c r="H9" s="85"/>
      <c r="I9" s="85"/>
      <c r="J9" s="85"/>
      <c r="K9" s="85"/>
      <c r="L9" s="11"/>
      <c r="M9" s="11"/>
      <c r="N9" s="49" t="s">
        <v>93</v>
      </c>
      <c r="O9" s="45"/>
      <c r="P9" s="93" t="e">
        <f>D14/(D11-D9)</f>
        <v>#DIV/0!</v>
      </c>
      <c r="Q9" s="93">
        <f>E14/(E11-E9)</f>
        <v>0.42373680721970119</v>
      </c>
      <c r="R9" s="93">
        <f>F14/(F11-F9)</f>
        <v>0.47260359305309851</v>
      </c>
      <c r="S9" s="93" t="e">
        <f>G14/(G11-G9)</f>
        <v>#DIV/0!</v>
      </c>
      <c r="T9" s="18"/>
      <c r="U9" s="18"/>
      <c r="V9" s="18"/>
      <c r="W9" s="18"/>
    </row>
    <row r="10" spans="1:23" ht="22.5" x14ac:dyDescent="0.25">
      <c r="A10" s="6" t="s">
        <v>53</v>
      </c>
      <c r="B10" s="10">
        <f t="shared" ref="B10:H10" si="0">B6-B9</f>
        <v>0</v>
      </c>
      <c r="C10" s="10">
        <f t="shared" si="0"/>
        <v>0</v>
      </c>
      <c r="D10" s="89">
        <f t="shared" si="0"/>
        <v>0</v>
      </c>
      <c r="E10" s="89">
        <f t="shared" si="0"/>
        <v>1131.92</v>
      </c>
      <c r="F10" s="89">
        <f t="shared" si="0"/>
        <v>1352.8799999999999</v>
      </c>
      <c r="G10" s="89">
        <f t="shared" si="0"/>
        <v>0</v>
      </c>
      <c r="H10" s="89">
        <f t="shared" si="0"/>
        <v>0</v>
      </c>
      <c r="I10" s="89"/>
      <c r="J10" s="89"/>
      <c r="K10" s="89"/>
      <c r="L10" s="11"/>
      <c r="M10" s="11"/>
      <c r="N10" s="42" t="s">
        <v>92</v>
      </c>
      <c r="O10" s="43"/>
      <c r="P10" s="44" t="e">
        <f>D14/D11</f>
        <v>#DIV/0!</v>
      </c>
      <c r="Q10" s="44">
        <f>E14/E11</f>
        <v>0.25457891821381984</v>
      </c>
      <c r="R10" s="44">
        <f>F14/F11</f>
        <v>0.28590809397116351</v>
      </c>
      <c r="S10" s="44" t="e">
        <f>G14/G11</f>
        <v>#DIV/0!</v>
      </c>
      <c r="T10" s="18"/>
      <c r="U10" s="18"/>
      <c r="V10" s="18"/>
      <c r="W10" s="18"/>
    </row>
    <row r="11" spans="1:23" x14ac:dyDescent="0.25">
      <c r="A11" s="6" t="s">
        <v>1</v>
      </c>
      <c r="B11" s="10">
        <f>B5-B9</f>
        <v>0</v>
      </c>
      <c r="C11" s="10">
        <f t="shared" ref="C11:H11" si="1">SUM(C6:C8)</f>
        <v>0</v>
      </c>
      <c r="D11" s="89">
        <f t="shared" si="1"/>
        <v>0</v>
      </c>
      <c r="E11" s="89">
        <f t="shared" si="1"/>
        <v>3917.41</v>
      </c>
      <c r="F11" s="89">
        <f>SUM(F6:F8)</f>
        <v>3980.37</v>
      </c>
      <c r="G11" s="89">
        <f>SUM(G6:G8)</f>
        <v>0</v>
      </c>
      <c r="H11" s="89">
        <f t="shared" si="1"/>
        <v>0</v>
      </c>
      <c r="I11" s="89"/>
      <c r="J11" s="89"/>
      <c r="K11" s="89"/>
      <c r="L11" s="11"/>
      <c r="M11" s="11"/>
      <c r="N11" s="42" t="s">
        <v>17</v>
      </c>
      <c r="O11" s="43"/>
      <c r="P11" s="44" t="e">
        <f>D14/AVERAGE(C22:D22)</f>
        <v>#DIV/0!</v>
      </c>
      <c r="Q11" s="44">
        <f>E14/AVERAGE(D22:E22)</f>
        <v>6.3248679584164136E-2</v>
      </c>
      <c r="R11" s="44">
        <f>F14/AVERAGE(E22:F22)</f>
        <v>5.8733227068316435E-2</v>
      </c>
      <c r="S11" s="44">
        <f>G14/AVERAGE(F22:G22)</f>
        <v>0</v>
      </c>
      <c r="T11" s="18"/>
      <c r="U11" s="18"/>
      <c r="V11" s="18"/>
      <c r="W11" s="18"/>
    </row>
    <row r="12" spans="1:23" x14ac:dyDescent="0.25">
      <c r="A12" s="6" t="s">
        <v>91</v>
      </c>
      <c r="B12" s="10"/>
      <c r="C12" s="10"/>
      <c r="D12" s="89"/>
      <c r="E12" s="89">
        <v>54.44</v>
      </c>
      <c r="F12" s="89">
        <v>41.03</v>
      </c>
      <c r="G12" s="89"/>
      <c r="H12" s="89"/>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3971.85</v>
      </c>
      <c r="F13" s="88">
        <f>F11+F12</f>
        <v>4021.4</v>
      </c>
      <c r="G13" s="88">
        <f>G11+G12</f>
        <v>0</v>
      </c>
      <c r="H13" s="88">
        <f>H11+H12</f>
        <v>0</v>
      </c>
      <c r="I13" s="88"/>
      <c r="J13" s="88"/>
      <c r="K13" s="88"/>
      <c r="L13" s="11"/>
      <c r="M13" s="11"/>
      <c r="N13" s="42" t="s">
        <v>19</v>
      </c>
      <c r="O13" s="43"/>
      <c r="P13" s="44" t="e">
        <f>D24/D23</f>
        <v>#DIV/0!</v>
      </c>
      <c r="Q13" s="44">
        <f>E24/E23</f>
        <v>9.9507894858630215E-3</v>
      </c>
      <c r="R13" s="44">
        <f>F24/F23</f>
        <v>9.4552344663634599E-3</v>
      </c>
      <c r="S13" s="44" t="e">
        <f>G24/G23</f>
        <v>#DIV/0!</v>
      </c>
      <c r="T13" s="48"/>
      <c r="U13" s="18"/>
      <c r="V13" s="18"/>
      <c r="W13" s="18"/>
    </row>
    <row r="14" spans="1:23" x14ac:dyDescent="0.25">
      <c r="A14" s="6" t="s">
        <v>26</v>
      </c>
      <c r="B14" s="7"/>
      <c r="C14" s="7"/>
      <c r="D14" s="85"/>
      <c r="E14" s="85">
        <f>685.58+45.69+266.02</f>
        <v>997.29</v>
      </c>
      <c r="F14" s="85">
        <f>816.76+49.03+272.23</f>
        <v>1138.02</v>
      </c>
      <c r="G14" s="85"/>
      <c r="H14" s="85"/>
      <c r="I14" s="85"/>
      <c r="J14" s="85"/>
      <c r="K14" s="85"/>
      <c r="L14" s="11"/>
      <c r="M14" s="11"/>
      <c r="N14" s="42" t="s">
        <v>20</v>
      </c>
      <c r="O14" s="43"/>
      <c r="P14" s="44" t="e">
        <f>D25/D23</f>
        <v>#DIV/0!</v>
      </c>
      <c r="Q14" s="44">
        <f>E25/E23</f>
        <v>5.9700529689689068E-3</v>
      </c>
      <c r="R14" s="44">
        <f>F25/F23</f>
        <v>6.5544324524566284E-3</v>
      </c>
      <c r="S14" s="44" t="e">
        <f>G25/G23</f>
        <v>#DIV/0!</v>
      </c>
      <c r="T14" s="48"/>
      <c r="U14" s="18"/>
      <c r="V14" s="18"/>
      <c r="W14" s="18"/>
    </row>
    <row r="15" spans="1:23" x14ac:dyDescent="0.25">
      <c r="A15" s="6" t="s">
        <v>54</v>
      </c>
      <c r="B15" s="10"/>
      <c r="C15" s="10"/>
      <c r="D15" s="89">
        <f>D11-D14</f>
        <v>0</v>
      </c>
      <c r="E15" s="89">
        <f>E11-E14</f>
        <v>2920.12</v>
      </c>
      <c r="F15" s="89">
        <f>F11-F14</f>
        <v>2842.35</v>
      </c>
      <c r="G15" s="89">
        <f>G11-G14</f>
        <v>0</v>
      </c>
      <c r="H15" s="89">
        <f>H11-H14</f>
        <v>0</v>
      </c>
      <c r="I15" s="89"/>
      <c r="J15" s="89"/>
      <c r="K15" s="89"/>
      <c r="L15" s="11"/>
      <c r="M15" s="11"/>
      <c r="N15" s="42" t="s">
        <v>21</v>
      </c>
      <c r="O15" s="43"/>
      <c r="P15" s="44" t="e">
        <f>(P13-P14)/P13</f>
        <v>#DIV/0!</v>
      </c>
      <c r="Q15" s="44">
        <f>(Q13-Q14)/Q13</f>
        <v>0.4000422803185118</v>
      </c>
      <c r="R15" s="44">
        <f>(R13-R14)/R13</f>
        <v>0.30679323968393324</v>
      </c>
      <c r="S15" s="44" t="e">
        <f>(S13-S14)/S13</f>
        <v>#DIV/0!</v>
      </c>
      <c r="T15" s="44" t="e">
        <f>(T13-T14)/T13</f>
        <v>#DIV/0!</v>
      </c>
      <c r="U15" s="18"/>
      <c r="V15" s="18"/>
      <c r="W15" s="18"/>
    </row>
    <row r="16" spans="1:23" x14ac:dyDescent="0.25">
      <c r="A16" s="6" t="s">
        <v>94</v>
      </c>
      <c r="B16" s="10"/>
      <c r="C16" s="10"/>
      <c r="D16" s="89">
        <f>D13-D14-D9</f>
        <v>0</v>
      </c>
      <c r="E16" s="89">
        <f>E13-E14-E9</f>
        <v>1410.71</v>
      </c>
      <c r="F16" s="89">
        <f>F13-F14-F9</f>
        <v>1310.99</v>
      </c>
      <c r="G16" s="89">
        <f>G13-G14-G9</f>
        <v>0</v>
      </c>
      <c r="H16" s="89">
        <f>H13-H14-H9</f>
        <v>0</v>
      </c>
      <c r="I16" s="89"/>
      <c r="J16" s="89"/>
      <c r="K16" s="89"/>
      <c r="L16" s="11"/>
      <c r="M16" s="11"/>
      <c r="N16" s="42" t="s">
        <v>22</v>
      </c>
      <c r="O16" s="43"/>
      <c r="P16" s="44" t="e">
        <f>D17/AVERAGE(C23:D23)</f>
        <v>#DIV/0!</v>
      </c>
      <c r="Q16" s="44">
        <f>E17/AVERAGE(D23:E23)</f>
        <v>2.8545323738989339E-2</v>
      </c>
      <c r="R16" s="44">
        <f>F17/AVERAGE(E23:F23)</f>
        <v>6.8274610886007395E-3</v>
      </c>
      <c r="S16" s="44">
        <f>G17/AVERAGE(F23:G23)</f>
        <v>0</v>
      </c>
      <c r="T16" s="18"/>
      <c r="U16" s="18"/>
      <c r="V16" s="18"/>
      <c r="W16" s="18"/>
    </row>
    <row r="17" spans="1:23" x14ac:dyDescent="0.25">
      <c r="A17" s="6" t="s">
        <v>27</v>
      </c>
      <c r="B17" s="7"/>
      <c r="C17" s="7"/>
      <c r="D17" s="88"/>
      <c r="E17" s="85">
        <v>407.09</v>
      </c>
      <c r="F17" s="85">
        <v>114.48</v>
      </c>
      <c r="G17" s="85"/>
      <c r="H17" s="85"/>
      <c r="I17" s="85"/>
      <c r="J17" s="85"/>
      <c r="K17" s="85"/>
      <c r="L17" s="11"/>
      <c r="M17" s="11"/>
      <c r="N17" s="18"/>
      <c r="O17" s="18"/>
      <c r="P17" s="18"/>
      <c r="Q17" s="18"/>
      <c r="R17" s="18"/>
      <c r="S17" s="18"/>
      <c r="T17" s="18"/>
      <c r="U17" s="18"/>
      <c r="V17" s="18"/>
      <c r="W17" s="18"/>
    </row>
    <row r="18" spans="1:23" x14ac:dyDescent="0.25">
      <c r="A18" s="6" t="s">
        <v>55</v>
      </c>
      <c r="B18" s="7"/>
      <c r="C18" s="7"/>
      <c r="D18" s="88"/>
      <c r="E18" s="85">
        <v>793.9</v>
      </c>
      <c r="F18" s="89">
        <v>905.33</v>
      </c>
      <c r="G18" s="89"/>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v>4975.6400000000003</v>
      </c>
      <c r="F19" s="85">
        <v>5883.04</v>
      </c>
      <c r="G19" s="85"/>
      <c r="H19" s="85"/>
      <c r="I19" s="85"/>
      <c r="J19" s="85"/>
      <c r="K19" s="85"/>
      <c r="L19" s="11"/>
      <c r="M19" s="11"/>
      <c r="N19" s="46" t="s">
        <v>95</v>
      </c>
      <c r="O19" s="51"/>
      <c r="P19" s="51"/>
      <c r="Q19" s="52">
        <f>E16/AVERAGE(D22:E22)</f>
        <v>8.9468003064480939E-2</v>
      </c>
      <c r="R19" s="52">
        <f>F16/AVERAGE(E22:F22)</f>
        <v>6.7660211028182426E-2</v>
      </c>
      <c r="S19" s="52">
        <f>G16/AVERAGE(F22:G22)</f>
        <v>0</v>
      </c>
      <c r="T19" s="18"/>
      <c r="U19" s="18"/>
      <c r="V19" s="18"/>
      <c r="W19" s="18"/>
    </row>
    <row r="20" spans="1:23" x14ac:dyDescent="0.25">
      <c r="A20" s="6" t="s">
        <v>56</v>
      </c>
      <c r="B20" s="7"/>
      <c r="C20" s="7"/>
      <c r="D20" s="88">
        <f>D19-D71</f>
        <v>0</v>
      </c>
      <c r="E20" s="89">
        <f>E19-E71</f>
        <v>4975.6400000000003</v>
      </c>
      <c r="F20" s="89">
        <f>F19-F71</f>
        <v>5883.04</v>
      </c>
      <c r="G20" s="89">
        <f>G19-G71</f>
        <v>0</v>
      </c>
      <c r="H20" s="89">
        <f>H19-H71</f>
        <v>0</v>
      </c>
      <c r="I20" s="89"/>
      <c r="J20" s="89"/>
      <c r="K20" s="89"/>
      <c r="L20" s="11"/>
      <c r="M20" s="11"/>
      <c r="N20" s="42" t="s">
        <v>31</v>
      </c>
      <c r="O20" s="43"/>
      <c r="P20" s="43">
        <v>4.4699999999999997E-2</v>
      </c>
      <c r="Q20" s="44">
        <f>E18/AVERAGE(D22:E22)</f>
        <v>5.034957406759108E-2</v>
      </c>
      <c r="R20" s="44">
        <f>F18/AVERAGE(E22:F22)</f>
        <v>4.6724093128204178E-2</v>
      </c>
      <c r="S20" s="44">
        <f>G18/AVERAGE(F22:G22)</f>
        <v>0</v>
      </c>
      <c r="T20" s="48"/>
      <c r="U20" s="18"/>
      <c r="V20" s="18"/>
      <c r="W20" s="18"/>
    </row>
    <row r="21" spans="1:23" x14ac:dyDescent="0.25">
      <c r="A21" s="6" t="s">
        <v>57</v>
      </c>
      <c r="B21" s="9"/>
      <c r="C21" s="9"/>
      <c r="D21" s="85"/>
      <c r="E21" s="85">
        <f>9601.25</f>
        <v>9601.25</v>
      </c>
      <c r="F21" s="85">
        <f>6392.8+9522.81</f>
        <v>15915.61</v>
      </c>
      <c r="G21" s="85"/>
      <c r="H21" s="85"/>
      <c r="I21" s="85"/>
      <c r="J21" s="85"/>
      <c r="K21" s="85"/>
      <c r="L21" s="11"/>
      <c r="M21" s="11"/>
      <c r="N21" s="42" t="s">
        <v>32</v>
      </c>
      <c r="O21" s="43"/>
      <c r="P21" s="44" t="e">
        <f>D18/AVERAGE(C19:D19)</f>
        <v>#DIV/0!</v>
      </c>
      <c r="Q21" s="44">
        <f>E18/AVERAGE(D19:E19)</f>
        <v>0.15955736347484945</v>
      </c>
      <c r="R21" s="44">
        <f>F18/AVERAGE(E19:F19)</f>
        <v>0.16674770782452381</v>
      </c>
      <c r="S21" s="44">
        <f>G18/AVERAGE(F19:G19)</f>
        <v>0</v>
      </c>
      <c r="T21" s="18"/>
      <c r="U21" s="18"/>
      <c r="V21" s="18"/>
      <c r="W21" s="18"/>
    </row>
    <row r="22" spans="1:23" x14ac:dyDescent="0.25">
      <c r="A22" s="6" t="s">
        <v>29</v>
      </c>
      <c r="B22" s="7"/>
      <c r="C22" s="7"/>
      <c r="D22" s="88"/>
      <c r="E22" s="85">
        <v>15767.76</v>
      </c>
      <c r="F22" s="85">
        <v>22984.41</v>
      </c>
      <c r="G22" s="85"/>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v>14261.18</v>
      </c>
      <c r="F23" s="85">
        <v>19273.98</v>
      </c>
      <c r="G23" s="85"/>
      <c r="H23" s="85"/>
      <c r="I23" s="85"/>
      <c r="J23" s="85"/>
      <c r="K23" s="85"/>
      <c r="L23" s="11"/>
      <c r="M23" s="11"/>
      <c r="N23" s="42" t="s">
        <v>34</v>
      </c>
      <c r="O23" s="43"/>
      <c r="P23" s="44" t="e">
        <f>D6/AVERAGE(C23:D23)</f>
        <v>#DIV/0!</v>
      </c>
      <c r="Q23" s="44">
        <f>E6/AVERAGE(D23:E23)</f>
        <v>0.18902853761049226</v>
      </c>
      <c r="R23" s="44">
        <f>F6/AVERAGE(E23:F23)</f>
        <v>0.17445988031665868</v>
      </c>
      <c r="S23" s="44">
        <f>G6/AVERAGE(F23:G23)</f>
        <v>0</v>
      </c>
      <c r="T23" s="18"/>
      <c r="U23" s="18"/>
      <c r="V23" s="18"/>
      <c r="W23" s="18"/>
    </row>
    <row r="24" spans="1:23" x14ac:dyDescent="0.25">
      <c r="A24" s="6" t="s">
        <v>59</v>
      </c>
      <c r="B24" s="10"/>
      <c r="C24" s="10"/>
      <c r="D24" s="89"/>
      <c r="E24" s="89">
        <v>141.91</v>
      </c>
      <c r="F24" s="89">
        <v>182.24</v>
      </c>
      <c r="G24" s="89"/>
      <c r="H24" s="89"/>
      <c r="I24" s="89"/>
      <c r="J24" s="89"/>
      <c r="K24" s="89"/>
      <c r="L24" s="11"/>
      <c r="M24" s="11"/>
      <c r="N24" s="42" t="s">
        <v>35</v>
      </c>
      <c r="O24" s="43"/>
      <c r="P24" s="44" t="e">
        <f>D9/AVERAGE(C21:D21)</f>
        <v>#DIV/0!</v>
      </c>
      <c r="Q24" s="44">
        <f>E9/AVERAGE(D21:E21)</f>
        <v>0.16287983335503189</v>
      </c>
      <c r="R24" s="44">
        <f>F9/AVERAGE(E21:F21)</f>
        <v>0.12324322036488816</v>
      </c>
      <c r="S24" s="44">
        <f>G9/AVERAGE(F21:G21)</f>
        <v>0</v>
      </c>
      <c r="T24" s="18"/>
      <c r="U24" s="18"/>
      <c r="V24" s="18"/>
      <c r="W24" s="18"/>
    </row>
    <row r="25" spans="1:23" x14ac:dyDescent="0.25">
      <c r="A25" s="6" t="s">
        <v>60</v>
      </c>
      <c r="B25" s="10"/>
      <c r="C25" s="10"/>
      <c r="D25" s="89"/>
      <c r="E25" s="89">
        <v>85.14</v>
      </c>
      <c r="F25" s="89">
        <v>126.33</v>
      </c>
      <c r="G25" s="89"/>
      <c r="H25" s="89"/>
      <c r="I25" s="89"/>
      <c r="J25" s="89"/>
      <c r="K25" s="89"/>
      <c r="L25" s="11"/>
      <c r="M25" s="11"/>
      <c r="N25" s="42" t="s">
        <v>36</v>
      </c>
      <c r="O25" s="43"/>
      <c r="P25" s="48" t="e">
        <f>P23-P24</f>
        <v>#DIV/0!</v>
      </c>
      <c r="Q25" s="48">
        <f>Q23-Q24</f>
        <v>2.614870425546037E-2</v>
      </c>
      <c r="R25" s="48">
        <f>R23-R24</f>
        <v>5.1216659951770521E-2</v>
      </c>
      <c r="S25" s="48">
        <f>S23-S24</f>
        <v>0</v>
      </c>
      <c r="T25" s="18"/>
      <c r="U25" s="18"/>
      <c r="V25" s="18"/>
      <c r="W25" s="18"/>
    </row>
  </sheetData>
  <mergeCells count="2">
    <mergeCell ref="A2:A4"/>
    <mergeCell ref="I1:K1"/>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L39"/>
  <sheetViews>
    <sheetView topLeftCell="M21" zoomScale="82" zoomScaleNormal="82" workbookViewId="0">
      <selection activeCell="Q24" sqref="Q24"/>
    </sheetView>
  </sheetViews>
  <sheetFormatPr defaultRowHeight="15" x14ac:dyDescent="0.25"/>
  <cols>
    <col min="1" max="1" width="29.5703125" customWidth="1"/>
    <col min="4" max="4" width="12.28515625" customWidth="1"/>
    <col min="5" max="5" width="12.5703125" customWidth="1"/>
    <col min="6" max="6" width="12.28515625" customWidth="1"/>
    <col min="7" max="9" width="13.42578125" customWidth="1"/>
    <col min="10" max="14" width="11.28515625" bestFit="1" customWidth="1"/>
    <col min="15" max="17" width="11.28515625" customWidth="1"/>
    <col min="19" max="19" width="30.28515625" customWidth="1"/>
    <col min="21" max="21" width="12.5703125" customWidth="1"/>
    <col min="22" max="22" width="14.140625" customWidth="1"/>
    <col min="23" max="23" width="12.85546875" customWidth="1"/>
    <col min="24" max="26" width="13.28515625" customWidth="1"/>
    <col min="36" max="36" width="45" bestFit="1" customWidth="1"/>
    <col min="37" max="37" width="42.42578125" bestFit="1" customWidth="1"/>
    <col min="38" max="39" width="10.140625" bestFit="1" customWidth="1"/>
  </cols>
  <sheetData>
    <row r="1" spans="1:38" x14ac:dyDescent="0.25">
      <c r="K1" s="772" t="s">
        <v>119</v>
      </c>
      <c r="L1" s="772"/>
      <c r="M1" s="772"/>
    </row>
    <row r="2" spans="1:38"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c r="O2" s="11" t="s">
        <v>683</v>
      </c>
      <c r="P2" s="11"/>
      <c r="Q2" s="11"/>
      <c r="R2" s="11"/>
      <c r="S2" s="40" t="s">
        <v>6</v>
      </c>
      <c r="T2" s="41" t="s">
        <v>7</v>
      </c>
      <c r="U2" s="41" t="s">
        <v>8</v>
      </c>
      <c r="V2" s="41" t="s">
        <v>9</v>
      </c>
      <c r="W2" s="40" t="s">
        <v>10</v>
      </c>
      <c r="X2" s="41" t="s">
        <v>90</v>
      </c>
      <c r="Y2" s="41">
        <v>23</v>
      </c>
      <c r="Z2" s="41">
        <v>24</v>
      </c>
      <c r="AA2" s="40" t="s">
        <v>37</v>
      </c>
      <c r="AB2" s="41" t="s">
        <v>38</v>
      </c>
      <c r="AC2" s="41" t="s">
        <v>39</v>
      </c>
      <c r="AD2" s="41" t="s">
        <v>40</v>
      </c>
      <c r="AE2" s="423" t="s">
        <v>682</v>
      </c>
      <c r="AJ2" s="774" t="s">
        <v>664</v>
      </c>
      <c r="AK2" s="774"/>
    </row>
    <row r="3" spans="1:38" x14ac:dyDescent="0.25">
      <c r="A3" s="771"/>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f t="shared" ref="U3:Z3" si="0">D10/AVERAGE(C23:D23)</f>
        <v>2.9913534215987435E-2</v>
      </c>
      <c r="V3" s="44">
        <f t="shared" si="0"/>
        <v>3.1144963499957799E-2</v>
      </c>
      <c r="W3" s="44">
        <f t="shared" si="0"/>
        <v>3.5873963029539699E-2</v>
      </c>
      <c r="X3" s="44">
        <f t="shared" si="0"/>
        <v>3.4250693990296059E-2</v>
      </c>
      <c r="Y3" s="44">
        <f t="shared" si="0"/>
        <v>3.2078465356979509E-2</v>
      </c>
      <c r="Z3" s="44">
        <f t="shared" si="0"/>
        <v>3.158612049413502E-2</v>
      </c>
      <c r="AA3" s="44">
        <f t="shared" ref="AA3:AH3" si="1">(J10*4)/J23</f>
        <v>3.126565975385006E-2</v>
      </c>
      <c r="AB3" s="44">
        <f t="shared" si="1"/>
        <v>3.0809410295515528E-2</v>
      </c>
      <c r="AC3" s="44">
        <f t="shared" si="1"/>
        <v>3.5446097271648873E-2</v>
      </c>
      <c r="AD3" s="44">
        <f t="shared" si="1"/>
        <v>3.0841351710724822E-2</v>
      </c>
      <c r="AE3" s="44">
        <f t="shared" si="1"/>
        <v>3.2760716246712729E-2</v>
      </c>
      <c r="AF3" s="44">
        <f t="shared" si="1"/>
        <v>3.2137661967820023E-2</v>
      </c>
      <c r="AG3" s="44">
        <f t="shared" si="1"/>
        <v>3.4330045780007826E-2</v>
      </c>
      <c r="AH3" s="44">
        <f t="shared" si="1"/>
        <v>3.6578293861401039E-2</v>
      </c>
      <c r="AJ3" s="774" t="s">
        <v>665</v>
      </c>
      <c r="AK3" s="774"/>
    </row>
    <row r="4" spans="1:38" x14ac:dyDescent="0.25">
      <c r="A4" s="771"/>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74" t="s">
        <v>666</v>
      </c>
      <c r="AK4" s="774"/>
    </row>
    <row r="5" spans="1:38" x14ac:dyDescent="0.25">
      <c r="A5" s="6" t="s">
        <v>23</v>
      </c>
      <c r="B5" s="7"/>
      <c r="C5" s="8"/>
      <c r="D5">
        <v>201956.61</v>
      </c>
      <c r="E5">
        <v>236731.98</v>
      </c>
      <c r="F5" s="85">
        <v>265481.14</v>
      </c>
      <c r="G5" s="90">
        <v>285989.94</v>
      </c>
      <c r="H5" s="90">
        <v>348197.89</v>
      </c>
      <c r="I5" s="90">
        <v>496393.58</v>
      </c>
      <c r="J5" s="85">
        <v>114320.66</v>
      </c>
      <c r="K5" s="85">
        <v>117662.62</v>
      </c>
      <c r="L5" s="85">
        <v>125285.22</v>
      </c>
      <c r="M5" s="85">
        <v>103603.74</v>
      </c>
      <c r="N5" s="11">
        <v>139125.07</v>
      </c>
      <c r="O5" s="11">
        <v>151027.65</v>
      </c>
      <c r="P5" s="11">
        <v>162954.91</v>
      </c>
      <c r="Q5" s="11">
        <v>169845</v>
      </c>
      <c r="R5" s="11"/>
      <c r="S5" s="42" t="s">
        <v>13</v>
      </c>
      <c r="T5" s="46"/>
      <c r="U5" s="47">
        <f t="shared" ref="U5:Z5" si="2">D21/D20</f>
        <v>7.2574170005430014</v>
      </c>
      <c r="V5" s="47">
        <f t="shared" si="2"/>
        <v>8.6675067429997448</v>
      </c>
      <c r="W5" s="47">
        <f t="shared" si="2"/>
        <v>8.0128621437407048</v>
      </c>
      <c r="X5" s="47">
        <f t="shared" si="2"/>
        <v>5.2415490282469444</v>
      </c>
      <c r="Y5" s="47">
        <f t="shared" si="2"/>
        <v>7.1288754681547744</v>
      </c>
      <c r="Z5" s="47">
        <f t="shared" si="2"/>
        <v>5.9330006792211742</v>
      </c>
      <c r="AA5" s="18"/>
      <c r="AB5" s="18"/>
      <c r="AC5" s="18"/>
      <c r="AD5" s="18"/>
      <c r="AJ5" s="775" t="s">
        <v>667</v>
      </c>
      <c r="AK5" s="432" t="s">
        <v>668</v>
      </c>
      <c r="AL5" s="80">
        <v>3.2800000000000003E-2</v>
      </c>
    </row>
    <row r="6" spans="1:38" x14ac:dyDescent="0.25">
      <c r="A6" s="6" t="s">
        <v>50</v>
      </c>
      <c r="B6" s="7"/>
      <c r="C6" s="8"/>
      <c r="D6">
        <v>182565.07</v>
      </c>
      <c r="E6">
        <v>216310.13</v>
      </c>
      <c r="F6" s="85">
        <v>249499.78</v>
      </c>
      <c r="G6" s="85">
        <v>264480.5</v>
      </c>
      <c r="H6" s="85">
        <v>337382.67</v>
      </c>
      <c r="I6" s="85">
        <v>482240.46</v>
      </c>
      <c r="J6" s="85">
        <v>113272.69</v>
      </c>
      <c r="K6" s="85">
        <v>115295.87</v>
      </c>
      <c r="L6" s="85">
        <v>120818.3</v>
      </c>
      <c r="M6" s="85">
        <v>99403.96</v>
      </c>
      <c r="N6" s="11">
        <v>132861.6</v>
      </c>
      <c r="O6" s="11">
        <v>148275.81</v>
      </c>
      <c r="P6" s="11">
        <v>157704.63</v>
      </c>
      <c r="Q6" s="11">
        <v>165445</v>
      </c>
      <c r="R6" s="11"/>
      <c r="S6" s="42" t="s">
        <v>14</v>
      </c>
      <c r="T6" s="43"/>
      <c r="U6" s="43"/>
      <c r="V6" s="43"/>
      <c r="W6" s="43"/>
      <c r="X6" s="48"/>
      <c r="Y6" s="48">
        <v>0.18820000000000001</v>
      </c>
      <c r="Z6" s="48">
        <v>0.2011</v>
      </c>
      <c r="AA6" s="48">
        <v>0.19950000000000001</v>
      </c>
      <c r="AB6" s="48">
        <v>0.2092</v>
      </c>
      <c r="AC6" s="48">
        <v>0.23880000000000001</v>
      </c>
      <c r="AD6" s="48">
        <v>0.18820000000000001</v>
      </c>
      <c r="AE6" s="80">
        <v>0.2011</v>
      </c>
      <c r="AF6" s="80">
        <v>0.19520000000000001</v>
      </c>
      <c r="AG6" s="80">
        <v>0.2024</v>
      </c>
      <c r="AH6" s="80">
        <v>0.1963</v>
      </c>
      <c r="AJ6" s="775"/>
      <c r="AK6" s="432" t="s">
        <v>669</v>
      </c>
      <c r="AL6" s="80">
        <v>3.0800000000000001E-2</v>
      </c>
    </row>
    <row r="7" spans="1:38" x14ac:dyDescent="0.25">
      <c r="A7" s="6" t="s">
        <v>51</v>
      </c>
      <c r="B7" s="7"/>
      <c r="C7" s="8"/>
      <c r="D7" s="87"/>
      <c r="E7" s="85"/>
      <c r="F7" s="85">
        <v>0</v>
      </c>
      <c r="G7" s="85">
        <v>0</v>
      </c>
      <c r="H7" s="85"/>
      <c r="I7" s="85"/>
      <c r="J7" s="85"/>
      <c r="K7" s="85"/>
      <c r="L7" s="85"/>
      <c r="M7" s="85"/>
      <c r="N7" s="11"/>
      <c r="O7" s="11"/>
      <c r="P7" s="11"/>
      <c r="Q7" s="11"/>
      <c r="R7" s="11"/>
      <c r="S7" s="42" t="s">
        <v>15</v>
      </c>
      <c r="T7" s="43"/>
      <c r="U7" s="44">
        <f t="shared" ref="U7:Z7" si="3">D20/D23</f>
        <v>0.12025789629576235</v>
      </c>
      <c r="V7" s="44">
        <f t="shared" si="3"/>
        <v>0.10632036066057617</v>
      </c>
      <c r="W7" s="44">
        <f t="shared" si="3"/>
        <v>0.10758428195107989</v>
      </c>
      <c r="X7" s="44">
        <f t="shared" si="3"/>
        <v>0.15534038975199344</v>
      </c>
      <c r="Y7" s="44">
        <f t="shared" si="3"/>
        <v>0.12188065520683265</v>
      </c>
      <c r="Z7" s="44">
        <f t="shared" si="3"/>
        <v>0.14062423208325031</v>
      </c>
      <c r="AA7" s="18"/>
      <c r="AB7" s="18"/>
      <c r="AC7" s="18"/>
      <c r="AD7" s="18"/>
      <c r="AJ7" s="775"/>
      <c r="AK7" s="432" t="s">
        <v>670</v>
      </c>
      <c r="AL7" s="80">
        <v>3.5400000000000001E-2</v>
      </c>
    </row>
    <row r="8" spans="1:38" x14ac:dyDescent="0.25">
      <c r="A8" s="6" t="s">
        <v>52</v>
      </c>
      <c r="B8" s="7"/>
      <c r="C8" s="8"/>
      <c r="D8" s="85">
        <f t="shared" ref="D8:Q8" si="4">D5-D6-D7</f>
        <v>19391.539999999979</v>
      </c>
      <c r="E8" s="85">
        <f t="shared" si="4"/>
        <v>20421.850000000006</v>
      </c>
      <c r="F8" s="85">
        <f t="shared" si="4"/>
        <v>15981.360000000015</v>
      </c>
      <c r="G8" s="85">
        <f t="shared" si="4"/>
        <v>21509.440000000002</v>
      </c>
      <c r="H8" s="85">
        <f t="shared" si="4"/>
        <v>10815.22000000003</v>
      </c>
      <c r="I8" s="85">
        <f t="shared" si="4"/>
        <v>14153.119999999995</v>
      </c>
      <c r="J8" s="85">
        <f t="shared" si="4"/>
        <v>1047.9700000000012</v>
      </c>
      <c r="K8" s="85">
        <f t="shared" si="4"/>
        <v>2366.75</v>
      </c>
      <c r="L8" s="85">
        <f t="shared" si="4"/>
        <v>4466.9199999999983</v>
      </c>
      <c r="M8" s="85">
        <f t="shared" si="4"/>
        <v>4199.7799999999988</v>
      </c>
      <c r="N8" s="85">
        <f t="shared" si="4"/>
        <v>6263.4700000000012</v>
      </c>
      <c r="O8" s="85">
        <f t="shared" si="4"/>
        <v>2751.8399999999965</v>
      </c>
      <c r="P8" s="85">
        <f t="shared" si="4"/>
        <v>5250.2799999999988</v>
      </c>
      <c r="Q8" s="85">
        <f t="shared" si="4"/>
        <v>4400</v>
      </c>
      <c r="R8" s="11"/>
      <c r="S8" s="40" t="s">
        <v>16</v>
      </c>
      <c r="T8" s="45"/>
      <c r="U8" s="45"/>
      <c r="V8" s="45"/>
      <c r="W8" s="46" t="s">
        <v>5</v>
      </c>
      <c r="X8" s="18"/>
      <c r="Y8" s="18"/>
      <c r="Z8" s="18"/>
      <c r="AA8" s="18"/>
      <c r="AB8" s="18"/>
      <c r="AC8" s="18"/>
      <c r="AD8" s="18"/>
      <c r="AJ8" s="775"/>
      <c r="AK8" s="432" t="s">
        <v>671</v>
      </c>
      <c r="AL8" s="80">
        <v>3.4099999999999998E-2</v>
      </c>
    </row>
    <row r="9" spans="1:38" ht="33.75" x14ac:dyDescent="0.25">
      <c r="A9" s="6" t="s">
        <v>24</v>
      </c>
      <c r="B9" s="7"/>
      <c r="C9" s="7"/>
      <c r="D9" s="88">
        <v>118290.25</v>
      </c>
      <c r="E9" s="85">
        <v>145920.60999999999</v>
      </c>
      <c r="F9" s="85">
        <v>157026.19</v>
      </c>
      <c r="G9" s="85">
        <v>158725.13</v>
      </c>
      <c r="H9" s="85">
        <v>208843.82</v>
      </c>
      <c r="I9" s="85">
        <v>316410.15000000002</v>
      </c>
      <c r="J9" s="85">
        <v>76373.740000000005</v>
      </c>
      <c r="K9" s="85">
        <v>79315.960000000006</v>
      </c>
      <c r="L9" s="85">
        <v>75996.710000000006</v>
      </c>
      <c r="M9" s="85">
        <v>63761.440000000002</v>
      </c>
      <c r="N9" s="11">
        <v>84723.75</v>
      </c>
      <c r="O9" s="11">
        <v>97492.68</v>
      </c>
      <c r="P9" s="11">
        <v>103018.05</v>
      </c>
      <c r="Q9" s="11">
        <v>103220</v>
      </c>
      <c r="R9" s="11"/>
      <c r="S9" s="49" t="s">
        <v>93</v>
      </c>
      <c r="T9" s="45"/>
      <c r="U9" s="50">
        <f t="shared" ref="U9:Z9" si="5">D14/(D11-D9)</f>
        <v>0.15488614539941742</v>
      </c>
      <c r="V9" s="50">
        <f t="shared" si="5"/>
        <v>0.12479208275351421</v>
      </c>
      <c r="W9" s="50">
        <f t="shared" si="5"/>
        <v>9.8172374797093162E-2</v>
      </c>
      <c r="X9" s="50">
        <f t="shared" si="5"/>
        <v>0.1785854235746708</v>
      </c>
      <c r="Y9" s="50">
        <f t="shared" si="5"/>
        <v>0.11822553873022867</v>
      </c>
      <c r="Z9" s="50">
        <f t="shared" si="5"/>
        <v>0.11095215820700828</v>
      </c>
      <c r="AA9" s="18"/>
      <c r="AB9" s="18"/>
      <c r="AC9" s="18"/>
      <c r="AD9" s="18"/>
      <c r="AJ9" s="775" t="s">
        <v>672</v>
      </c>
      <c r="AK9" s="432" t="s">
        <v>668</v>
      </c>
      <c r="AL9" s="11">
        <v>33737.599999999999</v>
      </c>
    </row>
    <row r="10" spans="1:38" ht="22.5" x14ac:dyDescent="0.25">
      <c r="A10" s="6" t="s">
        <v>53</v>
      </c>
      <c r="B10" s="10">
        <f t="shared" ref="B10:J10" si="6">B6-B9</f>
        <v>0</v>
      </c>
      <c r="C10" s="10">
        <f t="shared" si="6"/>
        <v>0</v>
      </c>
      <c r="D10" s="89">
        <f t="shared" si="6"/>
        <v>64274.820000000007</v>
      </c>
      <c r="E10" s="89">
        <f t="shared" si="6"/>
        <v>70389.520000000019</v>
      </c>
      <c r="F10" s="89">
        <f t="shared" si="6"/>
        <v>92473.59</v>
      </c>
      <c r="G10" s="89">
        <f t="shared" si="6"/>
        <v>105755.37</v>
      </c>
      <c r="H10" s="89">
        <f>H6-H9</f>
        <v>128538.84999999998</v>
      </c>
      <c r="I10" s="89">
        <f>I6-I9</f>
        <v>165830.31</v>
      </c>
      <c r="J10" s="89">
        <f t="shared" si="6"/>
        <v>36898.949999999997</v>
      </c>
      <c r="K10" s="89">
        <f t="shared" ref="K10:P10" si="7">K6-K9</f>
        <v>35979.909999999989</v>
      </c>
      <c r="L10" s="89">
        <f t="shared" si="7"/>
        <v>44821.59</v>
      </c>
      <c r="M10" s="89">
        <f t="shared" si="7"/>
        <v>35642.520000000004</v>
      </c>
      <c r="N10" s="89">
        <f t="shared" si="7"/>
        <v>48137.850000000006</v>
      </c>
      <c r="O10" s="89">
        <f t="shared" si="7"/>
        <v>50783.130000000005</v>
      </c>
      <c r="P10" s="89">
        <f t="shared" si="7"/>
        <v>54686.58</v>
      </c>
      <c r="Q10" s="89">
        <f t="shared" ref="Q10" si="8">Q6-Q9</f>
        <v>62225</v>
      </c>
      <c r="R10" s="11"/>
      <c r="S10" s="42" t="s">
        <v>92</v>
      </c>
      <c r="T10" s="43"/>
      <c r="U10" s="44">
        <f t="shared" ref="U10:Z10" si="9">D14/D11</f>
        <v>6.416606022452051E-2</v>
      </c>
      <c r="V10" s="44">
        <f t="shared" si="9"/>
        <v>4.7870760849463602E-2</v>
      </c>
      <c r="W10" s="44">
        <f t="shared" si="9"/>
        <v>4.0105598461721237E-2</v>
      </c>
      <c r="X10" s="44">
        <f t="shared" si="9"/>
        <v>7.9470068073023828E-2</v>
      </c>
      <c r="Y10" s="44">
        <f t="shared" si="9"/>
        <v>4.7315651453258369E-2</v>
      </c>
      <c r="Z10" s="44">
        <f t="shared" si="9"/>
        <v>4.0229267268122197E-2</v>
      </c>
      <c r="AA10" s="18"/>
      <c r="AB10" s="18"/>
      <c r="AC10" s="18"/>
      <c r="AD10" s="18"/>
      <c r="AJ10" s="775"/>
      <c r="AK10" s="432" t="s">
        <v>670</v>
      </c>
      <c r="AL10" s="89">
        <v>33553.79</v>
      </c>
    </row>
    <row r="11" spans="1:38" ht="22.5" x14ac:dyDescent="0.25">
      <c r="A11" s="6" t="s">
        <v>1</v>
      </c>
      <c r="B11" s="10">
        <f>B5-B9</f>
        <v>0</v>
      </c>
      <c r="C11" s="10">
        <f t="shared" ref="C11:J11" si="10">SUM(C6:C8)</f>
        <v>0</v>
      </c>
      <c r="D11" s="89">
        <f t="shared" si="10"/>
        <v>201956.61</v>
      </c>
      <c r="E11" s="89">
        <f t="shared" si="10"/>
        <v>236731.98</v>
      </c>
      <c r="F11" s="89">
        <f>SUM(F6:F8)</f>
        <v>265481.14</v>
      </c>
      <c r="G11" s="89">
        <f>SUM(G6:G8)</f>
        <v>285989.94</v>
      </c>
      <c r="H11" s="89">
        <f>SUM(H6:H8)</f>
        <v>348197.89</v>
      </c>
      <c r="I11" s="89">
        <f>SUM(I6:I8)</f>
        <v>496393.58</v>
      </c>
      <c r="J11" s="89">
        <f t="shared" si="10"/>
        <v>114320.66</v>
      </c>
      <c r="K11" s="89">
        <f t="shared" ref="K11:P11" si="11">SUM(K6:K8)</f>
        <v>117662.62</v>
      </c>
      <c r="L11" s="89">
        <f t="shared" si="11"/>
        <v>125285.22</v>
      </c>
      <c r="M11" s="89">
        <f t="shared" si="11"/>
        <v>103603.74</v>
      </c>
      <c r="N11" s="89">
        <f t="shared" si="11"/>
        <v>139125.07</v>
      </c>
      <c r="O11" s="89">
        <f t="shared" si="11"/>
        <v>151027.65</v>
      </c>
      <c r="P11" s="89">
        <f t="shared" si="11"/>
        <v>162954.91</v>
      </c>
      <c r="Q11" s="89">
        <f t="shared" ref="Q11" si="12">SUM(Q6:Q8)</f>
        <v>169845</v>
      </c>
      <c r="R11" s="11"/>
      <c r="S11" s="42" t="s">
        <v>17</v>
      </c>
      <c r="T11" s="43"/>
      <c r="U11" s="44">
        <f t="shared" ref="U11:Z11" si="13">D14/AVERAGE(C22:D22)</f>
        <v>5.2854139263802391E-3</v>
      </c>
      <c r="V11" s="44">
        <f t="shared" si="13"/>
        <v>4.344475503463752E-3</v>
      </c>
      <c r="W11" s="44">
        <f t="shared" si="13"/>
        <v>3.674967201297054E-3</v>
      </c>
      <c r="X11" s="44">
        <f t="shared" si="13"/>
        <v>6.7842304244841375E-3</v>
      </c>
      <c r="Y11" s="44">
        <f t="shared" si="13"/>
        <v>3.7806521400457465E-3</v>
      </c>
      <c r="Z11" s="44">
        <f t="shared" si="13"/>
        <v>3.5329515863931505E-3</v>
      </c>
      <c r="AA11" s="18"/>
      <c r="AB11" s="18"/>
      <c r="AC11" s="18"/>
      <c r="AD11" s="18"/>
      <c r="AJ11" s="775"/>
      <c r="AK11" s="432" t="s">
        <v>673</v>
      </c>
      <c r="AL11" s="89">
        <v>28473.21</v>
      </c>
    </row>
    <row r="12" spans="1:38" x14ac:dyDescent="0.25">
      <c r="A12" s="6" t="s">
        <v>91</v>
      </c>
      <c r="B12" s="10"/>
      <c r="C12" s="10"/>
      <c r="D12" s="89">
        <v>264.24</v>
      </c>
      <c r="E12" s="89">
        <v>506.18</v>
      </c>
      <c r="F12" s="89">
        <v>293.20999999999998</v>
      </c>
      <c r="G12" s="89">
        <v>1425.54</v>
      </c>
      <c r="H12" s="89">
        <v>106.93</v>
      </c>
      <c r="I12" s="89">
        <v>133.53</v>
      </c>
      <c r="J12" s="89">
        <v>29.25</v>
      </c>
      <c r="K12" s="89">
        <v>33.28</v>
      </c>
      <c r="L12" s="89">
        <v>34.36</v>
      </c>
      <c r="M12" s="89">
        <v>27.92</v>
      </c>
      <c r="N12" s="11">
        <v>38.65</v>
      </c>
      <c r="O12" s="11">
        <v>43.05</v>
      </c>
      <c r="P12" s="11">
        <v>83.24</v>
      </c>
      <c r="Q12" s="11">
        <v>53</v>
      </c>
      <c r="R12" s="11"/>
      <c r="S12" s="40" t="s">
        <v>18</v>
      </c>
      <c r="T12" s="45"/>
      <c r="U12" s="45"/>
      <c r="V12" s="45"/>
      <c r="W12" s="46" t="s">
        <v>5</v>
      </c>
      <c r="X12" s="18"/>
      <c r="Y12" s="18"/>
      <c r="Z12" s="18"/>
      <c r="AA12" s="18"/>
      <c r="AB12" s="18"/>
      <c r="AC12" s="53"/>
      <c r="AD12" s="54"/>
      <c r="AJ12" s="775"/>
      <c r="AK12" s="432" t="s">
        <v>674</v>
      </c>
      <c r="AL12" s="89">
        <v>29458.26</v>
      </c>
    </row>
    <row r="13" spans="1:38" x14ac:dyDescent="0.25">
      <c r="A13" s="6" t="s">
        <v>25</v>
      </c>
      <c r="B13" s="7"/>
      <c r="C13" s="7"/>
      <c r="D13" s="88">
        <f t="shared" ref="D13:Q13" si="14">D11+D12</f>
        <v>202220.84999999998</v>
      </c>
      <c r="E13" s="88">
        <f t="shared" si="14"/>
        <v>237238.16</v>
      </c>
      <c r="F13" s="88">
        <f t="shared" si="14"/>
        <v>265774.35000000003</v>
      </c>
      <c r="G13" s="88">
        <f t="shared" si="14"/>
        <v>287415.48</v>
      </c>
      <c r="H13" s="88">
        <f t="shared" si="14"/>
        <v>348304.82</v>
      </c>
      <c r="I13" s="88">
        <f t="shared" si="14"/>
        <v>496527.11000000004</v>
      </c>
      <c r="J13" s="88">
        <f t="shared" si="14"/>
        <v>114349.91</v>
      </c>
      <c r="K13" s="88">
        <f t="shared" si="14"/>
        <v>117695.9</v>
      </c>
      <c r="L13" s="88">
        <f t="shared" si="14"/>
        <v>125319.58</v>
      </c>
      <c r="M13" s="88">
        <f t="shared" si="14"/>
        <v>103631.66</v>
      </c>
      <c r="N13" s="88">
        <f t="shared" si="14"/>
        <v>139163.72</v>
      </c>
      <c r="O13" s="88">
        <f t="shared" si="14"/>
        <v>151070.69999999998</v>
      </c>
      <c r="P13" s="88">
        <f t="shared" si="14"/>
        <v>163038.15</v>
      </c>
      <c r="Q13" s="88">
        <f t="shared" si="14"/>
        <v>169898</v>
      </c>
      <c r="R13" s="11"/>
      <c r="S13" s="42" t="s">
        <v>19</v>
      </c>
      <c r="T13" s="43"/>
      <c r="U13" s="44">
        <f t="shared" ref="U13:Z13" si="15">D24/D23</f>
        <v>6.0896186490974738E-2</v>
      </c>
      <c r="V13" s="44">
        <f t="shared" si="15"/>
        <v>0.10006605113956221</v>
      </c>
      <c r="W13" s="44">
        <f t="shared" si="15"/>
        <v>8.769832049613642E-2</v>
      </c>
      <c r="X13" s="44">
        <f t="shared" si="15"/>
        <v>5.2140365629340088E-2</v>
      </c>
      <c r="Y13" s="44">
        <f t="shared" si="15"/>
        <v>0</v>
      </c>
      <c r="Z13" s="44">
        <f t="shared" si="15"/>
        <v>0</v>
      </c>
      <c r="AA13" s="48">
        <v>3.0800000000000001E-2</v>
      </c>
      <c r="AB13" s="48">
        <v>3.1300000000000001E-2</v>
      </c>
      <c r="AC13" s="48">
        <v>2.9000000000000001E-2</v>
      </c>
      <c r="AD13" s="48">
        <v>3.2099999999999997E-2</v>
      </c>
      <c r="AE13" s="80">
        <v>2.3599999999999999E-2</v>
      </c>
      <c r="AF13" s="80">
        <v>2.1899999999999999E-2</v>
      </c>
      <c r="AG13" s="80">
        <v>2.1899999999999999E-2</v>
      </c>
      <c r="AH13" s="80">
        <v>2.6800000000000001E-2</v>
      </c>
      <c r="AJ13" s="775"/>
      <c r="AK13" s="432" t="s">
        <v>675</v>
      </c>
      <c r="AL13" s="89">
        <v>125222.9</v>
      </c>
    </row>
    <row r="14" spans="1:38" x14ac:dyDescent="0.25">
      <c r="A14" s="6" t="s">
        <v>26</v>
      </c>
      <c r="B14" s="7"/>
      <c r="C14" s="7"/>
      <c r="D14" s="85">
        <f>4433.19+2335.62+4934.42+1255.53</f>
        <v>12958.76</v>
      </c>
      <c r="E14" s="85">
        <f>4697.5+2281.2+2434.8+1919.04</f>
        <v>11332.54</v>
      </c>
      <c r="F14" s="85">
        <f>4735.95+2267.4+2002.33+1641.6</f>
        <v>10647.28</v>
      </c>
      <c r="G14" s="85">
        <f>5881.83+2324.31+13570.9+950.6</f>
        <v>22727.64</v>
      </c>
      <c r="H14" s="85">
        <f>6309.29+2349.84+7118.64+697.44</f>
        <v>16475.21</v>
      </c>
      <c r="I14" s="85">
        <f>7131.92+3034.75+7652.22+2150.66</f>
        <v>19969.55</v>
      </c>
      <c r="J14" s="85">
        <f>1192.85+589.12+2215.98+41.82</f>
        <v>4039.77</v>
      </c>
      <c r="K14" s="85">
        <f>2101.76+712.9+1592.8</f>
        <v>4407.46</v>
      </c>
      <c r="L14" s="85">
        <f>1932.66+821.27+1811.2+25.26</f>
        <v>4590.3900000000003</v>
      </c>
      <c r="M14" s="85">
        <f>1629.65+597.39+2870.84+525.12</f>
        <v>5623</v>
      </c>
      <c r="N14" s="11">
        <f>1904.64+911.46+2032.25+1675.6</f>
        <v>6523.9500000000007</v>
      </c>
      <c r="O14" s="11">
        <f>1984.25+863.13+1830.85+619.47</f>
        <v>5297.7</v>
      </c>
      <c r="P14" s="11">
        <f>2085.82+942.55+3771.77+609.12</f>
        <v>7409.2599999999993</v>
      </c>
      <c r="Q14" s="11">
        <f>1952+1002+1611+619</f>
        <v>5184</v>
      </c>
      <c r="R14" s="11"/>
      <c r="S14" s="42" t="s">
        <v>20</v>
      </c>
      <c r="T14" s="43"/>
      <c r="U14" s="44">
        <f t="shared" ref="U14:Z14" si="16">D25/D23</f>
        <v>3.6292709240801309E-2</v>
      </c>
      <c r="V14" s="44">
        <f t="shared" si="16"/>
        <v>6.9049349203396324E-2</v>
      </c>
      <c r="W14" s="44">
        <f t="shared" si="16"/>
        <v>5.4245849210268982E-2</v>
      </c>
      <c r="X14" s="44">
        <f t="shared" si="16"/>
        <v>3.0530457229431054E-2</v>
      </c>
      <c r="Y14" s="44">
        <f t="shared" si="16"/>
        <v>0</v>
      </c>
      <c r="Z14" s="44">
        <f t="shared" si="16"/>
        <v>0</v>
      </c>
      <c r="AA14" s="48">
        <v>1.61E-2</v>
      </c>
      <c r="AB14" s="48">
        <v>1.6500000000000001E-2</v>
      </c>
      <c r="AC14" s="48">
        <v>1.52E-2</v>
      </c>
      <c r="AD14" s="48">
        <v>1.66E-2</v>
      </c>
      <c r="AE14" s="80">
        <v>9.9000000000000008E-3</v>
      </c>
      <c r="AF14" s="80">
        <v>9.4999999999999998E-3</v>
      </c>
      <c r="AG14" s="80">
        <v>1.04E-2</v>
      </c>
      <c r="AH14" s="80">
        <v>1.4999999999999999E-2</v>
      </c>
      <c r="AJ14" s="775" t="s">
        <v>676</v>
      </c>
      <c r="AK14" s="432" t="s">
        <v>668</v>
      </c>
      <c r="AL14" s="80">
        <v>2.3599999999999999E-2</v>
      </c>
    </row>
    <row r="15" spans="1:38" x14ac:dyDescent="0.25">
      <c r="A15" s="6" t="s">
        <v>54</v>
      </c>
      <c r="B15" s="10"/>
      <c r="C15" s="10"/>
      <c r="D15" s="89">
        <f t="shared" ref="D15:K15" si="17">D11-D14</f>
        <v>188997.84999999998</v>
      </c>
      <c r="E15" s="89">
        <f t="shared" si="17"/>
        <v>225399.44</v>
      </c>
      <c r="F15" s="89">
        <f t="shared" si="17"/>
        <v>254833.86000000002</v>
      </c>
      <c r="G15" s="89">
        <f t="shared" si="17"/>
        <v>263262.3</v>
      </c>
      <c r="H15" s="89">
        <f>H11-H14</f>
        <v>331722.68</v>
      </c>
      <c r="I15" s="89">
        <f>I11-I14</f>
        <v>476424.03</v>
      </c>
      <c r="J15" s="89">
        <f t="shared" si="17"/>
        <v>110280.89</v>
      </c>
      <c r="K15" s="89">
        <f t="shared" si="17"/>
        <v>113255.15999999999</v>
      </c>
      <c r="L15" s="89">
        <f t="shared" ref="L15:Q15" si="18">L11-L14</f>
        <v>120694.83</v>
      </c>
      <c r="M15" s="89">
        <f t="shared" si="18"/>
        <v>97980.74</v>
      </c>
      <c r="N15" s="89">
        <f t="shared" si="18"/>
        <v>132601.12</v>
      </c>
      <c r="O15" s="89">
        <f t="shared" si="18"/>
        <v>145729.94999999998</v>
      </c>
      <c r="P15" s="89">
        <f t="shared" si="18"/>
        <v>155545.65</v>
      </c>
      <c r="Q15" s="89">
        <f t="shared" si="18"/>
        <v>164661</v>
      </c>
      <c r="R15" s="11"/>
      <c r="S15" s="42" t="s">
        <v>21</v>
      </c>
      <c r="T15" s="43"/>
      <c r="U15" s="44">
        <f t="shared" ref="U15:AA15" si="19">(U13-U14)/U13</f>
        <v>0.40402328401664112</v>
      </c>
      <c r="V15" s="44">
        <f t="shared" si="19"/>
        <v>0.30996228573971474</v>
      </c>
      <c r="W15" s="44">
        <f t="shared" si="19"/>
        <v>0.38144939488711416</v>
      </c>
      <c r="X15" s="44">
        <f t="shared" si="19"/>
        <v>0.4144564031930924</v>
      </c>
      <c r="Y15" s="44" t="e">
        <f t="shared" si="19"/>
        <v>#DIV/0!</v>
      </c>
      <c r="Z15" s="44" t="e">
        <f t="shared" si="19"/>
        <v>#DIV/0!</v>
      </c>
      <c r="AA15" s="44">
        <f t="shared" si="19"/>
        <v>0.47727272727272729</v>
      </c>
      <c r="AB15" s="18"/>
      <c r="AC15" s="18"/>
      <c r="AD15" s="18"/>
      <c r="AJ15" s="775"/>
      <c r="AK15" s="432" t="s">
        <v>670</v>
      </c>
      <c r="AL15" s="80">
        <v>2.9000000000000001E-2</v>
      </c>
    </row>
    <row r="16" spans="1:38" x14ac:dyDescent="0.25">
      <c r="A16" s="6" t="s">
        <v>94</v>
      </c>
      <c r="B16" s="10"/>
      <c r="C16" s="10"/>
      <c r="D16" s="89">
        <f t="shared" ref="D16:K16" si="20">D13-D14-D9</f>
        <v>70971.839999999967</v>
      </c>
      <c r="E16" s="89">
        <f t="shared" si="20"/>
        <v>79985.010000000009</v>
      </c>
      <c r="F16" s="89">
        <f t="shared" si="20"/>
        <v>98100.880000000034</v>
      </c>
      <c r="G16" s="89">
        <f t="shared" si="20"/>
        <v>105962.70999999996</v>
      </c>
      <c r="H16" s="89">
        <f>H13-H14-H9</f>
        <v>122985.78999999998</v>
      </c>
      <c r="I16" s="89">
        <f>I13-I14-I9</f>
        <v>160147.41000000003</v>
      </c>
      <c r="J16" s="89">
        <f t="shared" si="20"/>
        <v>33936.399999999994</v>
      </c>
      <c r="K16" s="89">
        <f t="shared" si="20"/>
        <v>33972.479999999981</v>
      </c>
      <c r="L16" s="89">
        <f t="shared" ref="L16:Q16" si="21">L13-L14-L9</f>
        <v>44732.479999999996</v>
      </c>
      <c r="M16" s="89">
        <f t="shared" si="21"/>
        <v>34247.22</v>
      </c>
      <c r="N16" s="89">
        <f t="shared" si="21"/>
        <v>47916.01999999999</v>
      </c>
      <c r="O16" s="89">
        <f t="shared" si="21"/>
        <v>48280.319999999978</v>
      </c>
      <c r="P16" s="89">
        <f t="shared" si="21"/>
        <v>52610.839999999982</v>
      </c>
      <c r="Q16" s="89">
        <f t="shared" si="21"/>
        <v>61494</v>
      </c>
      <c r="R16" s="11"/>
      <c r="S16" s="42" t="s">
        <v>22</v>
      </c>
      <c r="T16" s="43"/>
      <c r="U16" s="44">
        <f t="shared" ref="U16:Z16" si="22">D17/AVERAGE(C23:D23)</f>
        <v>1.2373389361101573E-2</v>
      </c>
      <c r="V16" s="44">
        <f t="shared" si="22"/>
        <v>2.2923747656139127E-2</v>
      </c>
      <c r="W16" s="44">
        <f t="shared" si="22"/>
        <v>1.3253686916693826E-2</v>
      </c>
      <c r="X16" s="44">
        <f t="shared" si="22"/>
        <v>5.8263188410610988E-3</v>
      </c>
      <c r="Y16" s="44">
        <f t="shared" si="22"/>
        <v>1.6615640740903432E-3</v>
      </c>
      <c r="Z16" s="44">
        <f t="shared" si="22"/>
        <v>-1.2802935635940894E-3</v>
      </c>
      <c r="AA16" s="44">
        <f t="shared" ref="AA16:AH16" si="23">(J17*4)/J23</f>
        <v>-8.256224712436715E-3</v>
      </c>
      <c r="AB16" s="44">
        <f t="shared" si="23"/>
        <v>-1.4503493390625336E-3</v>
      </c>
      <c r="AC16" s="44">
        <f t="shared" si="23"/>
        <v>2.9824199288256228E-3</v>
      </c>
      <c r="AD16" s="44">
        <f t="shared" si="23"/>
        <v>4.31942222726296E-3</v>
      </c>
      <c r="AE16" s="44">
        <f t="shared" si="23"/>
        <v>6.4285738907418676E-4</v>
      </c>
      <c r="AF16" s="44">
        <f t="shared" si="23"/>
        <v>-1.9008780673026721E-3</v>
      </c>
      <c r="AG16" s="44">
        <f t="shared" si="23"/>
        <v>2.1251118807549475E-3</v>
      </c>
      <c r="AH16" s="44">
        <f t="shared" si="23"/>
        <v>6.1117641024827094E-3</v>
      </c>
      <c r="AJ16" s="775"/>
      <c r="AK16" s="432" t="s">
        <v>669</v>
      </c>
      <c r="AL16" s="80">
        <v>3.2099999999999997E-2</v>
      </c>
    </row>
    <row r="17" spans="1:38" x14ac:dyDescent="0.25">
      <c r="A17" s="6" t="s">
        <v>27</v>
      </c>
      <c r="B17" s="7"/>
      <c r="C17" s="7"/>
      <c r="D17" s="88">
        <v>26586.54</v>
      </c>
      <c r="E17" s="85">
        <v>51809.07</v>
      </c>
      <c r="F17" s="85">
        <v>34164.5</v>
      </c>
      <c r="G17" s="85">
        <v>17989.84</v>
      </c>
      <c r="H17" s="85">
        <v>6657.91</v>
      </c>
      <c r="I17" s="85">
        <v>-6721.67</v>
      </c>
      <c r="J17" s="85">
        <v>-9743.7900000000009</v>
      </c>
      <c r="K17" s="85">
        <v>-1693.75</v>
      </c>
      <c r="L17" s="85">
        <v>3771.27</v>
      </c>
      <c r="M17" s="85">
        <v>4991.84</v>
      </c>
      <c r="N17" s="11">
        <v>944.6</v>
      </c>
      <c r="O17" s="11">
        <v>-3003.72</v>
      </c>
      <c r="P17" s="11">
        <v>3385.23</v>
      </c>
      <c r="Q17" s="11">
        <v>10397</v>
      </c>
      <c r="R17" s="11"/>
      <c r="S17" s="18"/>
      <c r="T17" s="18"/>
      <c r="U17" s="18"/>
      <c r="V17" s="18"/>
      <c r="W17" s="18"/>
      <c r="X17" s="18"/>
      <c r="Y17" s="18"/>
      <c r="Z17" s="18"/>
      <c r="AA17" s="18"/>
      <c r="AB17" s="18"/>
      <c r="AC17" s="18"/>
      <c r="AD17" s="18"/>
      <c r="AJ17" s="433" t="s">
        <v>677</v>
      </c>
      <c r="AK17" s="432" t="s">
        <v>668</v>
      </c>
      <c r="AL17" s="80">
        <v>9.9000000000000008E-3</v>
      </c>
    </row>
    <row r="18" spans="1:38" x14ac:dyDescent="0.25">
      <c r="A18" s="6" t="s">
        <v>55</v>
      </c>
      <c r="B18" s="7"/>
      <c r="C18" s="7"/>
      <c r="D18" s="88">
        <v>24990.6</v>
      </c>
      <c r="E18" s="85">
        <v>21455.040000000001</v>
      </c>
      <c r="F18" s="89">
        <v>34640.720000000001</v>
      </c>
      <c r="G18" s="89">
        <v>63352.65</v>
      </c>
      <c r="H18" s="89">
        <v>86462.83</v>
      </c>
      <c r="I18" s="89">
        <v>125222.9</v>
      </c>
      <c r="J18" s="89">
        <v>29458.26</v>
      </c>
      <c r="K18" s="89">
        <v>28473.21</v>
      </c>
      <c r="L18" s="89">
        <v>33553.79</v>
      </c>
      <c r="M18" s="89">
        <v>25361.599999999999</v>
      </c>
      <c r="N18" s="11">
        <v>33737.599999999999</v>
      </c>
      <c r="O18" s="11">
        <v>38369.339999999997</v>
      </c>
      <c r="P18" s="11">
        <v>38774.959999999999</v>
      </c>
      <c r="Q18" s="11">
        <v>42538</v>
      </c>
      <c r="R18" s="11"/>
      <c r="S18" s="40" t="s">
        <v>30</v>
      </c>
      <c r="T18" s="45"/>
      <c r="U18" s="45"/>
      <c r="V18" s="45"/>
      <c r="W18" s="46" t="s">
        <v>5</v>
      </c>
      <c r="X18" s="18"/>
      <c r="Y18" s="18"/>
      <c r="Z18" s="18"/>
      <c r="AA18" s="18"/>
      <c r="AB18" s="18"/>
      <c r="AC18" s="18"/>
      <c r="AD18" s="18"/>
      <c r="AJ18" s="776" t="s">
        <v>678</v>
      </c>
      <c r="AK18" s="432" t="s">
        <v>668</v>
      </c>
      <c r="AL18" s="80">
        <v>5.9999999999999995E-4</v>
      </c>
    </row>
    <row r="19" spans="1:38" ht="22.5" x14ac:dyDescent="0.25">
      <c r="A19" s="6" t="s">
        <v>28</v>
      </c>
      <c r="B19" s="7"/>
      <c r="C19" s="7"/>
      <c r="D19" s="88">
        <v>258396.57</v>
      </c>
      <c r="E19" s="85">
        <v>252131.85</v>
      </c>
      <c r="F19" s="85">
        <v>299518.5</v>
      </c>
      <c r="G19" s="85">
        <v>526811.31000000006</v>
      </c>
      <c r="H19" s="85">
        <f>593516.95-30100.18</f>
        <v>563416.7699999999</v>
      </c>
      <c r="I19" s="85">
        <f>855942.54-28944.3-478.07</f>
        <v>826520.17</v>
      </c>
      <c r="J19" s="85"/>
      <c r="K19" s="85">
        <f>658061.21-26400.39</f>
        <v>631660.81999999995</v>
      </c>
      <c r="L19" s="85"/>
      <c r="M19" s="85">
        <v>563416.7699999999</v>
      </c>
      <c r="N19" s="11">
        <v>826520.17</v>
      </c>
      <c r="O19" s="11"/>
      <c r="P19" s="11">
        <f>933615.2-30190.79-420.34</f>
        <v>903004.07</v>
      </c>
      <c r="Q19" s="11"/>
      <c r="R19" s="11"/>
      <c r="S19" s="46" t="s">
        <v>95</v>
      </c>
      <c r="T19" s="51"/>
      <c r="U19" s="51"/>
      <c r="V19" s="52">
        <f>E16/AVERAGE(D22:E22)</f>
        <v>3.0663286129085206E-2</v>
      </c>
      <c r="W19" s="52">
        <f>F16/AVERAGE(E22:F22)</f>
        <v>3.3860057819309557E-2</v>
      </c>
      <c r="X19" s="52">
        <f>G16/AVERAGE(F22:G22)</f>
        <v>3.1630008264949168E-2</v>
      </c>
      <c r="Y19" s="52">
        <f>H16/AVERAGE(G22:H22)</f>
        <v>2.8222188983249179E-2</v>
      </c>
      <c r="Z19" s="52">
        <f>I16/AVERAGE(H22:I22)</f>
        <v>2.8332788982037872E-2</v>
      </c>
      <c r="AA19" s="18"/>
      <c r="AB19" s="18"/>
      <c r="AC19" s="18"/>
      <c r="AD19" s="18"/>
      <c r="AJ19" s="775"/>
      <c r="AK19" s="432" t="s">
        <v>670</v>
      </c>
      <c r="AL19" s="80">
        <v>3.0000000000000001E-3</v>
      </c>
    </row>
    <row r="20" spans="1:38" x14ac:dyDescent="0.25">
      <c r="A20" s="6" t="s">
        <v>56</v>
      </c>
      <c r="B20" s="7"/>
      <c r="C20" s="7"/>
      <c r="D20" s="88">
        <f t="shared" ref="D20:M20" si="24">D19-D71</f>
        <v>258396.57</v>
      </c>
      <c r="E20" s="89">
        <f t="shared" si="24"/>
        <v>252131.85</v>
      </c>
      <c r="F20" s="89">
        <f t="shared" si="24"/>
        <v>299518.5</v>
      </c>
      <c r="G20" s="89">
        <f t="shared" si="24"/>
        <v>526811.31000000006</v>
      </c>
      <c r="H20" s="89">
        <f t="shared" si="24"/>
        <v>563416.7699999999</v>
      </c>
      <c r="I20" s="89">
        <f t="shared" si="24"/>
        <v>826520.17</v>
      </c>
      <c r="J20" s="89">
        <f t="shared" si="24"/>
        <v>0</v>
      </c>
      <c r="K20" s="89">
        <f t="shared" si="24"/>
        <v>631660.81999999995</v>
      </c>
      <c r="L20" s="89">
        <f t="shared" si="24"/>
        <v>0</v>
      </c>
      <c r="M20" s="89">
        <f t="shared" si="24"/>
        <v>563416.7699999999</v>
      </c>
      <c r="N20" s="11">
        <v>826520.17</v>
      </c>
      <c r="O20" s="11"/>
      <c r="P20" s="11">
        <f>933615.2-30190.79-420.34</f>
        <v>903004.07</v>
      </c>
      <c r="Q20" s="11"/>
      <c r="R20" s="11"/>
      <c r="S20" s="42" t="s">
        <v>31</v>
      </c>
      <c r="T20" s="43"/>
      <c r="U20" s="43">
        <v>4.4699999999999997E-2</v>
      </c>
      <c r="V20" s="44">
        <f>E18/AVERAGE(D22:E22)</f>
        <v>8.2250665522323272E-3</v>
      </c>
      <c r="W20" s="44">
        <f>F18/AVERAGE(E22:F22)</f>
        <v>1.1956434866868804E-2</v>
      </c>
      <c r="X20" s="44">
        <f>G18/AVERAGE(F22:G22)</f>
        <v>1.8910849327149454E-2</v>
      </c>
      <c r="Y20" s="44">
        <f>H18/AVERAGE(G22:H22)</f>
        <v>1.9841075365589367E-2</v>
      </c>
      <c r="Z20" s="44">
        <f>I18/AVERAGE(H22:I22)</f>
        <v>2.2154051704107044E-2</v>
      </c>
      <c r="AA20" s="48"/>
      <c r="AB20" s="18"/>
      <c r="AC20" s="18"/>
      <c r="AD20" s="18"/>
      <c r="AJ20" s="775"/>
      <c r="AK20" s="432" t="s">
        <v>669</v>
      </c>
      <c r="AL20" s="80">
        <v>4.3E-3</v>
      </c>
    </row>
    <row r="21" spans="1:38" ht="111" customHeight="1" x14ac:dyDescent="0.25">
      <c r="A21" s="6" t="s">
        <v>57</v>
      </c>
      <c r="B21" s="9"/>
      <c r="C21" s="9"/>
      <c r="D21" s="85">
        <f>761246.83+1099076.95+14967.88</f>
        <v>1875291.6599999997</v>
      </c>
      <c r="E21" s="85">
        <f>14970+1243625.87+926758.64</f>
        <v>2185354.5100000002</v>
      </c>
      <c r="F21" s="85">
        <f>912026.16+1423055.09+64919.2</f>
        <v>2400000.4500000002</v>
      </c>
      <c r="G21" s="85">
        <f>922913.87+1773467.47+64925.97</f>
        <v>2761307.31</v>
      </c>
      <c r="H21" s="85">
        <v>4016527.99</v>
      </c>
      <c r="I21" s="85">
        <f>3132383.6+1771361.13</f>
        <v>4903744.7300000004</v>
      </c>
      <c r="J21" s="85"/>
      <c r="K21" s="85">
        <f>1154269.83+2765812.18+64937.28</f>
        <v>3985019.29</v>
      </c>
      <c r="L21" s="85"/>
      <c r="M21" s="85">
        <f>1084328.34+2867266.36+64933.29</f>
        <v>4016527.99</v>
      </c>
      <c r="N21" s="11">
        <v>4903744.7300000004</v>
      </c>
      <c r="O21" s="11"/>
      <c r="P21" s="11">
        <f>2279972.37+3118946.34+64945.41</f>
        <v>5463864.1200000001</v>
      </c>
      <c r="Q21" s="11"/>
      <c r="R21" s="11"/>
      <c r="S21" s="42" t="s">
        <v>32</v>
      </c>
      <c r="T21" s="43"/>
      <c r="U21" s="44">
        <f t="shared" ref="U21:Z21" si="25">D18/AVERAGE(C19:D19)</f>
        <v>9.6714132080003998E-2</v>
      </c>
      <c r="V21" s="44">
        <f t="shared" si="25"/>
        <v>8.4050325738966689E-2</v>
      </c>
      <c r="W21" s="44">
        <f t="shared" si="25"/>
        <v>0.12558940640570609</v>
      </c>
      <c r="X21" s="44">
        <f t="shared" si="25"/>
        <v>0.15333502248938591</v>
      </c>
      <c r="Y21" s="44">
        <f t="shared" si="25"/>
        <v>0.15861420483684477</v>
      </c>
      <c r="Z21" s="44">
        <f t="shared" si="25"/>
        <v>0.18018500896882414</v>
      </c>
      <c r="AA21" s="18"/>
      <c r="AB21" s="18"/>
      <c r="AC21" s="18"/>
      <c r="AD21" s="18"/>
      <c r="AJ21" s="434" t="s">
        <v>679</v>
      </c>
      <c r="AK21" s="435" t="s">
        <v>668</v>
      </c>
    </row>
    <row r="22" spans="1:38" x14ac:dyDescent="0.25">
      <c r="A22" s="6" t="s">
        <v>29</v>
      </c>
      <c r="B22" s="7"/>
      <c r="C22" s="7"/>
      <c r="D22" s="88">
        <v>2451796.62</v>
      </c>
      <c r="E22" s="85">
        <v>2765192.17</v>
      </c>
      <c r="F22" s="85">
        <v>3029297.64</v>
      </c>
      <c r="G22" s="85">
        <v>3670840.35</v>
      </c>
      <c r="H22" s="85">
        <v>5044698.34</v>
      </c>
      <c r="I22" s="85">
        <v>6260041.9100000001</v>
      </c>
      <c r="J22" s="85"/>
      <c r="K22" s="85">
        <v>5125649.12</v>
      </c>
      <c r="L22" s="85"/>
      <c r="M22" s="85">
        <v>5044698.34</v>
      </c>
      <c r="N22" s="11">
        <v>6260041.9100000001</v>
      </c>
      <c r="O22" s="11"/>
      <c r="P22" s="11">
        <v>6874847.4400000004</v>
      </c>
      <c r="Q22" s="11"/>
      <c r="R22" s="11"/>
      <c r="S22" s="40" t="s">
        <v>33</v>
      </c>
      <c r="T22" s="45"/>
      <c r="U22" s="45"/>
      <c r="V22" s="45"/>
      <c r="W22" s="46" t="s">
        <v>5</v>
      </c>
      <c r="X22" s="18"/>
      <c r="Y22" s="18"/>
      <c r="Z22" s="18"/>
      <c r="AA22" s="18"/>
      <c r="AB22" s="18"/>
      <c r="AC22" s="18"/>
      <c r="AD22" s="18"/>
      <c r="AJ22" s="433" t="s">
        <v>641</v>
      </c>
      <c r="AK22" s="435" t="s">
        <v>668</v>
      </c>
      <c r="AL22" s="436">
        <v>2.02</v>
      </c>
    </row>
    <row r="23" spans="1:38" x14ac:dyDescent="0.25">
      <c r="A23" s="6" t="s">
        <v>58</v>
      </c>
      <c r="B23" s="7"/>
      <c r="C23" s="7"/>
      <c r="D23" s="88">
        <v>2148686.9300000002</v>
      </c>
      <c r="E23" s="85">
        <v>2371435.2400000002</v>
      </c>
      <c r="F23" s="85">
        <v>2784035.87</v>
      </c>
      <c r="G23" s="85">
        <v>3391335.06</v>
      </c>
      <c r="H23" s="85">
        <v>4622692.33</v>
      </c>
      <c r="I23" s="85">
        <v>5877508.8600000003</v>
      </c>
      <c r="J23" s="85">
        <v>4720700</v>
      </c>
      <c r="K23" s="85">
        <v>4671288.37</v>
      </c>
      <c r="L23" s="85">
        <v>5058000</v>
      </c>
      <c r="M23" s="85">
        <v>4622692.33</v>
      </c>
      <c r="N23" s="11">
        <v>5877508.8600000003</v>
      </c>
      <c r="O23" s="11">
        <v>6320700</v>
      </c>
      <c r="P23" s="11">
        <v>6371862.1699999999</v>
      </c>
      <c r="Q23" s="11">
        <v>6804582</v>
      </c>
      <c r="R23" s="11"/>
      <c r="S23" s="42" t="s">
        <v>34</v>
      </c>
      <c r="T23" s="43"/>
      <c r="U23" s="44">
        <f t="shared" ref="U23:Z23" si="26">D6/AVERAGE(C23:D23)</f>
        <v>8.4965877276500207E-2</v>
      </c>
      <c r="V23" s="44">
        <f t="shared" si="26"/>
        <v>9.5709859983718101E-2</v>
      </c>
      <c r="W23" s="44">
        <f t="shared" si="26"/>
        <v>9.6790293137730327E-2</v>
      </c>
      <c r="X23" s="44">
        <f t="shared" si="26"/>
        <v>8.5656555046807539E-2</v>
      </c>
      <c r="Y23" s="44">
        <f t="shared" si="26"/>
        <v>8.4198032669813461E-2</v>
      </c>
      <c r="Z23" s="44">
        <f t="shared" si="26"/>
        <v>9.1853565712487067E-2</v>
      </c>
      <c r="AA23" s="18"/>
      <c r="AB23" s="18"/>
      <c r="AC23" s="18"/>
      <c r="AD23" s="18"/>
      <c r="AJ23" s="433" t="s">
        <v>642</v>
      </c>
      <c r="AK23" s="435" t="s">
        <v>668</v>
      </c>
      <c r="AL23" s="80">
        <v>0.2011</v>
      </c>
    </row>
    <row r="24" spans="1:38" x14ac:dyDescent="0.25">
      <c r="A24" s="6" t="s">
        <v>59</v>
      </c>
      <c r="B24" s="10"/>
      <c r="C24" s="10"/>
      <c r="D24" s="89">
        <v>130846.84</v>
      </c>
      <c r="E24" s="89">
        <v>237300.16</v>
      </c>
      <c r="F24" s="89">
        <v>244155.27</v>
      </c>
      <c r="G24" s="89">
        <v>176825.45</v>
      </c>
      <c r="H24" s="89"/>
      <c r="I24" s="89"/>
      <c r="J24" s="89"/>
      <c r="K24" s="89"/>
      <c r="L24" s="89"/>
      <c r="M24" s="89"/>
      <c r="N24" s="11"/>
      <c r="O24" s="11"/>
      <c r="P24" s="11"/>
      <c r="Q24" s="11"/>
      <c r="R24" s="11"/>
      <c r="S24" s="42" t="s">
        <v>35</v>
      </c>
      <c r="T24" s="43"/>
      <c r="U24" s="44">
        <f t="shared" ref="U24:Z24" si="27">D9/AVERAGE(C21:D21)</f>
        <v>6.3078321374286928E-2</v>
      </c>
      <c r="V24" s="44">
        <f t="shared" si="27"/>
        <v>7.1870635308271633E-2</v>
      </c>
      <c r="W24" s="44">
        <f t="shared" si="27"/>
        <v>6.8490309417615941E-2</v>
      </c>
      <c r="X24" s="44">
        <f t="shared" si="27"/>
        <v>6.1505780077722012E-2</v>
      </c>
      <c r="Y24" s="44">
        <f t="shared" si="27"/>
        <v>6.1625522237166191E-2</v>
      </c>
      <c r="Z24" s="44">
        <f t="shared" si="27"/>
        <v>7.0941810846339243E-2</v>
      </c>
      <c r="AA24" s="18"/>
      <c r="AB24" s="18"/>
      <c r="AC24" s="18"/>
      <c r="AD24" s="18"/>
      <c r="AJ24" s="433" t="s">
        <v>680</v>
      </c>
      <c r="AK24" s="435" t="s">
        <v>668</v>
      </c>
      <c r="AL24" s="436">
        <v>0.15</v>
      </c>
    </row>
    <row r="25" spans="1:38" x14ac:dyDescent="0.25">
      <c r="A25" s="6" t="s">
        <v>60</v>
      </c>
      <c r="B25" s="10"/>
      <c r="C25" s="10"/>
      <c r="D25" s="89">
        <v>77981.67</v>
      </c>
      <c r="E25" s="89">
        <v>163746.06</v>
      </c>
      <c r="F25" s="89">
        <v>151022.39000000001</v>
      </c>
      <c r="G25" s="89">
        <v>103539.01</v>
      </c>
      <c r="H25" s="89"/>
      <c r="I25" s="89"/>
      <c r="J25" s="89"/>
      <c r="K25" s="89"/>
      <c r="L25" s="89"/>
      <c r="M25" s="89"/>
      <c r="N25" s="11"/>
      <c r="O25" s="11"/>
      <c r="P25" s="11"/>
      <c r="Q25" s="11"/>
      <c r="R25" s="11"/>
      <c r="S25" s="42" t="s">
        <v>36</v>
      </c>
      <c r="T25" s="43"/>
      <c r="U25" s="48">
        <f t="shared" ref="U25:Z25" si="28">U23-U24</f>
        <v>2.1887555902213279E-2</v>
      </c>
      <c r="V25" s="48">
        <f t="shared" si="28"/>
        <v>2.3839224675446469E-2</v>
      </c>
      <c r="W25" s="48">
        <f t="shared" si="28"/>
        <v>2.8299983720114386E-2</v>
      </c>
      <c r="X25" s="48">
        <f t="shared" si="28"/>
        <v>2.4150774969085527E-2</v>
      </c>
      <c r="Y25" s="48">
        <f t="shared" si="28"/>
        <v>2.2572510432647269E-2</v>
      </c>
      <c r="Z25" s="48">
        <f t="shared" si="28"/>
        <v>2.0911754866147825E-2</v>
      </c>
      <c r="AA25" s="18"/>
      <c r="AB25" s="18"/>
      <c r="AC25" s="18"/>
      <c r="AD25" s="18"/>
    </row>
    <row r="27" spans="1:38" ht="15" customHeight="1" x14ac:dyDescent="0.25">
      <c r="A27" s="732" t="s">
        <v>264</v>
      </c>
      <c r="B27" s="732"/>
      <c r="C27" s="732"/>
      <c r="D27" s="732"/>
      <c r="E27" s="732"/>
      <c r="F27" s="732"/>
      <c r="G27" s="732"/>
      <c r="H27" s="732"/>
      <c r="I27" s="732"/>
      <c r="J27" s="732"/>
      <c r="K27" s="732"/>
      <c r="L27" s="732"/>
      <c r="M27" s="732"/>
      <c r="N27" s="732"/>
      <c r="O27" s="732"/>
      <c r="P27" s="732"/>
      <c r="Q27" s="732"/>
      <c r="R27" s="732"/>
      <c r="S27" s="732"/>
    </row>
    <row r="28" spans="1:38" x14ac:dyDescent="0.25">
      <c r="A28" s="732"/>
      <c r="B28" s="732"/>
      <c r="C28" s="732"/>
      <c r="D28" s="732"/>
      <c r="E28" s="732"/>
      <c r="F28" s="732"/>
      <c r="G28" s="732"/>
      <c r="H28" s="732"/>
      <c r="I28" s="732"/>
      <c r="J28" s="732"/>
      <c r="K28" s="732"/>
      <c r="L28" s="732"/>
      <c r="M28" s="732"/>
      <c r="N28" s="732"/>
      <c r="O28" s="732"/>
      <c r="P28" s="732"/>
      <c r="Q28" s="732"/>
      <c r="R28" s="732"/>
      <c r="S28" s="732"/>
    </row>
    <row r="29" spans="1:38" x14ac:dyDescent="0.25">
      <c r="A29" s="732"/>
      <c r="B29" s="732"/>
      <c r="C29" s="732"/>
      <c r="D29" s="732"/>
      <c r="E29" s="732"/>
      <c r="F29" s="732"/>
      <c r="G29" s="732"/>
      <c r="H29" s="732"/>
      <c r="I29" s="732"/>
      <c r="J29" s="732"/>
      <c r="K29" s="732"/>
      <c r="L29" s="732"/>
      <c r="M29" s="732"/>
      <c r="N29" s="732"/>
      <c r="O29" s="732"/>
      <c r="P29" s="732"/>
      <c r="Q29" s="732"/>
      <c r="R29" s="732"/>
      <c r="S29" s="732"/>
    </row>
    <row r="30" spans="1:38" x14ac:dyDescent="0.25">
      <c r="A30" s="732"/>
      <c r="B30" s="732"/>
      <c r="C30" s="732"/>
      <c r="D30" s="732"/>
      <c r="E30" s="732"/>
      <c r="F30" s="732"/>
      <c r="G30" s="732"/>
      <c r="H30" s="732"/>
      <c r="I30" s="732"/>
      <c r="J30" s="732"/>
      <c r="K30" s="732"/>
      <c r="L30" s="732"/>
      <c r="M30" s="732"/>
      <c r="N30" s="732"/>
      <c r="O30" s="732"/>
      <c r="P30" s="732"/>
      <c r="Q30" s="732"/>
      <c r="R30" s="732"/>
      <c r="S30" s="732"/>
    </row>
    <row r="31" spans="1:38" x14ac:dyDescent="0.25">
      <c r="A31" s="732"/>
      <c r="B31" s="732"/>
      <c r="C31" s="732"/>
      <c r="D31" s="732"/>
      <c r="E31" s="732"/>
      <c r="F31" s="732"/>
      <c r="G31" s="732"/>
      <c r="H31" s="732"/>
      <c r="I31" s="732"/>
      <c r="J31" s="732"/>
      <c r="K31" s="732"/>
      <c r="L31" s="732"/>
      <c r="M31" s="732"/>
      <c r="N31" s="732"/>
      <c r="O31" s="732"/>
      <c r="P31" s="732"/>
      <c r="Q31" s="732"/>
      <c r="R31" s="732"/>
      <c r="S31" s="732"/>
    </row>
    <row r="32" spans="1:38" x14ac:dyDescent="0.25">
      <c r="A32" s="732"/>
      <c r="B32" s="732"/>
      <c r="C32" s="732"/>
      <c r="D32" s="732"/>
      <c r="E32" s="732"/>
      <c r="F32" s="732"/>
      <c r="G32" s="732"/>
      <c r="H32" s="732"/>
      <c r="I32" s="732"/>
      <c r="J32" s="732"/>
      <c r="K32" s="732"/>
      <c r="L32" s="732"/>
      <c r="M32" s="732"/>
      <c r="N32" s="732"/>
      <c r="O32" s="732"/>
      <c r="P32" s="732"/>
      <c r="Q32" s="732"/>
      <c r="R32" s="732"/>
      <c r="S32" s="732"/>
    </row>
    <row r="33" spans="1:19" x14ac:dyDescent="0.25">
      <c r="A33" s="732"/>
      <c r="B33" s="732"/>
      <c r="C33" s="732"/>
      <c r="D33" s="732"/>
      <c r="E33" s="732"/>
      <c r="F33" s="732"/>
      <c r="G33" s="732"/>
      <c r="H33" s="732"/>
      <c r="I33" s="732"/>
      <c r="J33" s="732"/>
      <c r="K33" s="732"/>
      <c r="L33" s="732"/>
      <c r="M33" s="732"/>
      <c r="N33" s="732"/>
      <c r="O33" s="732"/>
      <c r="P33" s="732"/>
      <c r="Q33" s="732"/>
      <c r="R33" s="732"/>
      <c r="S33" s="732"/>
    </row>
    <row r="34" spans="1:19" x14ac:dyDescent="0.25">
      <c r="A34" s="732"/>
      <c r="B34" s="732"/>
      <c r="C34" s="732"/>
      <c r="D34" s="732"/>
      <c r="E34" s="732"/>
      <c r="F34" s="732"/>
      <c r="G34" s="732"/>
      <c r="H34" s="732"/>
      <c r="I34" s="732"/>
      <c r="J34" s="732"/>
      <c r="K34" s="732"/>
      <c r="L34" s="732"/>
      <c r="M34" s="732"/>
      <c r="N34" s="732"/>
      <c r="O34" s="732"/>
      <c r="P34" s="732"/>
      <c r="Q34" s="732"/>
      <c r="R34" s="732"/>
      <c r="S34" s="732"/>
    </row>
    <row r="35" spans="1:19" x14ac:dyDescent="0.25">
      <c r="A35" s="732"/>
      <c r="B35" s="732"/>
      <c r="C35" s="732"/>
      <c r="D35" s="732"/>
      <c r="E35" s="732"/>
      <c r="F35" s="732"/>
      <c r="G35" s="732"/>
      <c r="H35" s="732"/>
      <c r="I35" s="732"/>
      <c r="J35" s="732"/>
      <c r="K35" s="732"/>
      <c r="L35" s="732"/>
      <c r="M35" s="732"/>
      <c r="N35" s="732"/>
      <c r="O35" s="732"/>
      <c r="P35" s="732"/>
      <c r="Q35" s="732"/>
      <c r="R35" s="732"/>
      <c r="S35" s="732"/>
    </row>
    <row r="36" spans="1:19" x14ac:dyDescent="0.25">
      <c r="A36" s="732"/>
      <c r="B36" s="732"/>
      <c r="C36" s="732"/>
      <c r="D36" s="732"/>
      <c r="E36" s="732"/>
      <c r="F36" s="732"/>
      <c r="G36" s="732"/>
      <c r="H36" s="732"/>
      <c r="I36" s="732"/>
      <c r="J36" s="732"/>
      <c r="K36" s="732"/>
      <c r="L36" s="732"/>
      <c r="M36" s="732"/>
      <c r="N36" s="732"/>
      <c r="O36" s="732"/>
      <c r="P36" s="732"/>
      <c r="Q36" s="732"/>
      <c r="R36" s="732"/>
      <c r="S36" s="732"/>
    </row>
    <row r="37" spans="1:19" x14ac:dyDescent="0.25">
      <c r="A37" s="732"/>
      <c r="B37" s="732"/>
      <c r="C37" s="732"/>
      <c r="D37" s="732"/>
      <c r="E37" s="732"/>
      <c r="F37" s="732"/>
      <c r="G37" s="732"/>
      <c r="H37" s="732"/>
      <c r="I37" s="732"/>
      <c r="J37" s="732"/>
      <c r="K37" s="732"/>
      <c r="L37" s="732"/>
      <c r="M37" s="732"/>
      <c r="N37" s="732"/>
      <c r="O37" s="732"/>
      <c r="P37" s="732"/>
      <c r="Q37" s="732"/>
      <c r="R37" s="732"/>
      <c r="S37" s="732"/>
    </row>
    <row r="38" spans="1:19" x14ac:dyDescent="0.25">
      <c r="A38" s="732"/>
      <c r="B38" s="732"/>
      <c r="C38" s="732"/>
      <c r="D38" s="732"/>
      <c r="E38" s="732"/>
      <c r="F38" s="732"/>
      <c r="G38" s="732"/>
      <c r="H38" s="732"/>
      <c r="I38" s="732"/>
      <c r="J38" s="732"/>
      <c r="K38" s="732"/>
      <c r="L38" s="732"/>
      <c r="M38" s="732"/>
      <c r="N38" s="732"/>
      <c r="O38" s="732"/>
      <c r="P38" s="732"/>
      <c r="Q38" s="732"/>
      <c r="R38" s="732"/>
      <c r="S38" s="732"/>
    </row>
    <row r="39" spans="1:19" x14ac:dyDescent="0.25">
      <c r="A39" s="732"/>
      <c r="B39" s="732"/>
      <c r="C39" s="732"/>
      <c r="D39" s="732"/>
      <c r="E39" s="732"/>
      <c r="F39" s="732"/>
      <c r="G39" s="732"/>
      <c r="H39" s="732"/>
      <c r="I39" s="732"/>
      <c r="J39" s="732"/>
      <c r="K39" s="732"/>
      <c r="L39" s="732"/>
      <c r="M39" s="732"/>
      <c r="N39" s="732"/>
      <c r="O39" s="732"/>
      <c r="P39" s="732"/>
      <c r="Q39" s="732"/>
      <c r="R39" s="732"/>
      <c r="S39" s="732"/>
    </row>
  </sheetData>
  <mergeCells count="10">
    <mergeCell ref="A2:A4"/>
    <mergeCell ref="K1:M1"/>
    <mergeCell ref="A27:S39"/>
    <mergeCell ref="AJ2:AK2"/>
    <mergeCell ref="AJ3:AK3"/>
    <mergeCell ref="AJ4:AK4"/>
    <mergeCell ref="AJ5:AJ8"/>
    <mergeCell ref="AJ9:AJ13"/>
    <mergeCell ref="AJ14:AJ16"/>
    <mergeCell ref="AJ18:AJ20"/>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W25"/>
  <sheetViews>
    <sheetView workbookViewId="0">
      <selection activeCell="AG6" sqref="AG6"/>
    </sheetView>
  </sheetViews>
  <sheetFormatPr defaultRowHeight="15" x14ac:dyDescent="0.25"/>
  <cols>
    <col min="1" max="1" width="30.42578125" customWidth="1"/>
    <col min="4" max="4" width="12.7109375" customWidth="1"/>
    <col min="5" max="5" width="11.5703125" customWidth="1"/>
    <col min="6" max="6" width="11.85546875" customWidth="1"/>
    <col min="7" max="7" width="11.28515625" customWidth="1"/>
    <col min="8" max="8" width="10.140625" bestFit="1" customWidth="1"/>
    <col min="9" max="9" width="11.28515625" bestFit="1" customWidth="1"/>
    <col min="10" max="10" width="10.140625" bestFit="1" customWidth="1"/>
    <col min="14" max="14" width="32.28515625" customWidth="1"/>
    <col min="16" max="16" width="12.42578125" customWidth="1"/>
    <col min="17" max="17" width="15.140625" customWidth="1"/>
    <col min="18" max="18" width="14.140625" customWidth="1"/>
    <col min="19" max="19" width="13.28515625" customWidth="1"/>
  </cols>
  <sheetData>
    <row r="1" spans="1:23" x14ac:dyDescent="0.25">
      <c r="I1" s="772" t="s">
        <v>119</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2.7475660923051856E-2</v>
      </c>
      <c r="Q3" s="44">
        <f>E10/AVERAGE(D23:E23)</f>
        <v>3.452381531871395E-2</v>
      </c>
      <c r="R3" s="44">
        <f>F10/AVERAGE(E23:F23)</f>
        <v>3.3998198054276528E-2</v>
      </c>
      <c r="S3" s="44">
        <f>G10/AVERAGE(F23:G23)</f>
        <v>4.0156501726121979E-2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43274</v>
      </c>
      <c r="E5">
        <v>61573</v>
      </c>
      <c r="F5" s="85">
        <v>66823</v>
      </c>
      <c r="G5" s="90">
        <v>70408</v>
      </c>
      <c r="H5" s="85">
        <f>20327+611+355</f>
        <v>21293</v>
      </c>
      <c r="I5" s="85">
        <v>24020</v>
      </c>
      <c r="J5" s="85">
        <v>27548</v>
      </c>
      <c r="K5" s="85"/>
      <c r="L5" s="11"/>
      <c r="M5" s="11"/>
      <c r="N5" s="42" t="s">
        <v>13</v>
      </c>
      <c r="O5" s="46"/>
      <c r="P5" s="47">
        <f>D21/D20</f>
        <v>4.9463481134037295</v>
      </c>
      <c r="Q5" s="47">
        <f>E21/E20</f>
        <v>5.2077160650093663</v>
      </c>
      <c r="R5" s="47">
        <f>F21/F20</f>
        <v>4.5611854273302077</v>
      </c>
      <c r="S5" s="47">
        <f>G21/G20</f>
        <v>4.0161257618587562</v>
      </c>
      <c r="T5" s="18"/>
      <c r="U5" s="18"/>
      <c r="V5" s="18"/>
      <c r="W5" s="18"/>
    </row>
    <row r="6" spans="1:23" x14ac:dyDescent="0.25">
      <c r="A6" s="6" t="s">
        <v>50</v>
      </c>
      <c r="B6" s="7"/>
      <c r="C6" s="8"/>
      <c r="D6">
        <v>38343</v>
      </c>
      <c r="E6">
        <v>53524</v>
      </c>
      <c r="F6" s="85">
        <v>57614</v>
      </c>
      <c r="G6" s="85">
        <v>63596</v>
      </c>
      <c r="H6" s="85">
        <v>20327</v>
      </c>
      <c r="I6" s="85">
        <v>23375</v>
      </c>
      <c r="J6" s="85">
        <v>26948</v>
      </c>
      <c r="K6" s="85"/>
      <c r="L6" s="11"/>
      <c r="M6" s="11"/>
      <c r="N6" s="42" t="s">
        <v>14</v>
      </c>
      <c r="O6" s="43"/>
      <c r="P6" s="43"/>
      <c r="Q6" s="43">
        <v>0.222</v>
      </c>
      <c r="R6" s="43">
        <v>0.24840000000000001</v>
      </c>
      <c r="S6" s="48">
        <v>0.2324</v>
      </c>
      <c r="T6" s="48"/>
      <c r="U6" s="18"/>
      <c r="V6" s="18"/>
      <c r="W6" s="18"/>
    </row>
    <row r="7" spans="1:23" x14ac:dyDescent="0.25">
      <c r="A7" s="6" t="s">
        <v>51</v>
      </c>
      <c r="B7" s="7"/>
      <c r="C7" s="8"/>
      <c r="D7" s="87"/>
      <c r="E7" s="85"/>
      <c r="F7" s="85">
        <v>0</v>
      </c>
      <c r="G7" s="85">
        <v>0</v>
      </c>
      <c r="H7" s="85"/>
      <c r="I7" s="85"/>
      <c r="J7" s="85"/>
      <c r="K7" s="85"/>
      <c r="L7" s="11"/>
      <c r="M7" s="11"/>
      <c r="N7" s="42" t="s">
        <v>15</v>
      </c>
      <c r="O7" s="43"/>
      <c r="P7" s="44">
        <f>D20/D23</f>
        <v>0.17629638681820034</v>
      </c>
      <c r="Q7" s="44">
        <f>E20/E23</f>
        <v>0.1841773981480618</v>
      </c>
      <c r="R7" s="44">
        <f>F20/F23</f>
        <v>0.18507344348529378</v>
      </c>
      <c r="S7" s="44">
        <f>G20/G23</f>
        <v>0.21387382768107568</v>
      </c>
      <c r="T7" s="18"/>
      <c r="U7" s="18"/>
      <c r="V7" s="18"/>
      <c r="W7" s="18"/>
    </row>
    <row r="8" spans="1:23" x14ac:dyDescent="0.25">
      <c r="A8" s="6" t="s">
        <v>52</v>
      </c>
      <c r="B8" s="7"/>
      <c r="C8" s="8"/>
      <c r="D8" s="85">
        <f t="shared" ref="D8:J8" si="0">D5-D6-D7</f>
        <v>4931</v>
      </c>
      <c r="E8" s="85">
        <f t="shared" si="0"/>
        <v>8049</v>
      </c>
      <c r="F8" s="85">
        <f t="shared" si="0"/>
        <v>9209</v>
      </c>
      <c r="G8" s="85">
        <f t="shared" si="0"/>
        <v>6812</v>
      </c>
      <c r="H8" s="85">
        <f t="shared" si="0"/>
        <v>966</v>
      </c>
      <c r="I8" s="85">
        <f t="shared" si="0"/>
        <v>645</v>
      </c>
      <c r="J8" s="85">
        <f t="shared" si="0"/>
        <v>600</v>
      </c>
      <c r="K8" s="85"/>
      <c r="L8" s="11"/>
      <c r="M8" s="11"/>
      <c r="N8" s="40" t="s">
        <v>16</v>
      </c>
      <c r="O8" s="45"/>
      <c r="P8" s="45"/>
      <c r="Q8" s="45"/>
      <c r="R8" s="46" t="s">
        <v>5</v>
      </c>
      <c r="S8" s="18"/>
      <c r="T8" s="18"/>
      <c r="U8" s="18"/>
      <c r="V8" s="18"/>
      <c r="W8" s="18"/>
    </row>
    <row r="9" spans="1:23" ht="33.75" x14ac:dyDescent="0.25">
      <c r="A9" s="6" t="s">
        <v>24</v>
      </c>
      <c r="B9" s="7"/>
      <c r="C9" s="7"/>
      <c r="D9" s="88">
        <v>24853</v>
      </c>
      <c r="E9" s="85">
        <v>35793</v>
      </c>
      <c r="F9" s="85">
        <v>37822</v>
      </c>
      <c r="G9" s="85">
        <v>35243</v>
      </c>
      <c r="H9" s="85">
        <v>10864</v>
      </c>
      <c r="I9" s="85">
        <v>12987</v>
      </c>
      <c r="J9" s="85">
        <v>14737</v>
      </c>
      <c r="K9" s="85"/>
      <c r="L9" s="11"/>
      <c r="M9" s="11"/>
      <c r="N9" s="49" t="s">
        <v>93</v>
      </c>
      <c r="O9" s="45"/>
      <c r="P9" s="50">
        <f>D14/(D11-D9)</f>
        <v>0.21301775147928995</v>
      </c>
      <c r="Q9" s="50">
        <f>E14/(E11-E9)</f>
        <v>0.17121799844840963</v>
      </c>
      <c r="R9" s="50">
        <f>F14/(F11-F9)</f>
        <v>0.14413296093238165</v>
      </c>
      <c r="S9" s="50">
        <f>G14/(G11-G9)</f>
        <v>0.15725863785013508</v>
      </c>
      <c r="T9" s="18"/>
      <c r="U9" s="18"/>
      <c r="V9" s="18"/>
      <c r="W9" s="18"/>
    </row>
    <row r="10" spans="1:23" ht="22.5" x14ac:dyDescent="0.25">
      <c r="A10" s="6" t="s">
        <v>53</v>
      </c>
      <c r="B10" s="10">
        <f t="shared" ref="B10:H10" si="1">B6-B9</f>
        <v>0</v>
      </c>
      <c r="C10" s="10">
        <f t="shared" si="1"/>
        <v>0</v>
      </c>
      <c r="D10" s="89">
        <f t="shared" si="1"/>
        <v>13490</v>
      </c>
      <c r="E10" s="89">
        <f t="shared" si="1"/>
        <v>17731</v>
      </c>
      <c r="F10" s="89">
        <f t="shared" si="1"/>
        <v>19792</v>
      </c>
      <c r="G10" s="89">
        <f t="shared" si="1"/>
        <v>28353</v>
      </c>
      <c r="H10" s="89">
        <f t="shared" si="1"/>
        <v>9463</v>
      </c>
      <c r="I10" s="89">
        <f>I6-I9</f>
        <v>10388</v>
      </c>
      <c r="J10" s="89">
        <f>J6-J9</f>
        <v>12211</v>
      </c>
      <c r="K10" s="89"/>
      <c r="L10" s="11"/>
      <c r="M10" s="11"/>
      <c r="N10" s="42" t="s">
        <v>92</v>
      </c>
      <c r="O10" s="43"/>
      <c r="P10" s="44">
        <f>D14/D11</f>
        <v>9.0678005268752596E-2</v>
      </c>
      <c r="Q10" s="44">
        <f>E14/E11</f>
        <v>7.1687265522225652E-2</v>
      </c>
      <c r="R10" s="44">
        <f>F14/F11</f>
        <v>6.2553312482229173E-2</v>
      </c>
      <c r="S10" s="44">
        <f>G14/G11</f>
        <v>7.8542211112373597E-2</v>
      </c>
      <c r="T10" s="18"/>
      <c r="U10" s="18"/>
      <c r="V10" s="18"/>
      <c r="W10" s="18"/>
    </row>
    <row r="11" spans="1:23" x14ac:dyDescent="0.25">
      <c r="A11" s="6" t="s">
        <v>1</v>
      </c>
      <c r="B11" s="10">
        <f>B5-B9</f>
        <v>0</v>
      </c>
      <c r="C11" s="10">
        <f t="shared" ref="C11:H11" si="2">SUM(C6:C8)</f>
        <v>0</v>
      </c>
      <c r="D11" s="89">
        <f t="shared" si="2"/>
        <v>43274</v>
      </c>
      <c r="E11" s="89">
        <f t="shared" si="2"/>
        <v>61573</v>
      </c>
      <c r="F11" s="89">
        <f>SUM(F6:F8)</f>
        <v>66823</v>
      </c>
      <c r="G11" s="89">
        <f>SUM(G6:G8)</f>
        <v>70408</v>
      </c>
      <c r="H11" s="89">
        <f t="shared" si="2"/>
        <v>21293</v>
      </c>
      <c r="I11" s="89">
        <f>SUM(I6:I8)</f>
        <v>24020</v>
      </c>
      <c r="J11" s="89">
        <f>SUM(J6:J8)</f>
        <v>27548</v>
      </c>
      <c r="K11" s="89"/>
      <c r="L11" s="11"/>
      <c r="M11" s="11"/>
      <c r="N11" s="42" t="s">
        <v>17</v>
      </c>
      <c r="O11" s="43"/>
      <c r="P11" s="44">
        <f>D14/AVERAGE(C22:D22)</f>
        <v>7.5402086816164175E-3</v>
      </c>
      <c r="Q11" s="44">
        <f>E14/AVERAGE(D22:E22)</f>
        <v>7.7270363996982012E-3</v>
      </c>
      <c r="R11" s="44">
        <f>F14/AVERAGE(E22:F22)</f>
        <v>6.5678813318971983E-3</v>
      </c>
      <c r="S11" s="44">
        <f>G14/AVERAGE(F22:G22)</f>
        <v>7.3759050655661943E-3</v>
      </c>
      <c r="T11" s="18"/>
      <c r="U11" s="18"/>
      <c r="V11" s="18"/>
      <c r="W11" s="18"/>
    </row>
    <row r="12" spans="1:23" x14ac:dyDescent="0.25">
      <c r="A12" s="6" t="s">
        <v>91</v>
      </c>
      <c r="B12" s="10"/>
      <c r="C12" s="10"/>
      <c r="D12" s="89">
        <v>38</v>
      </c>
      <c r="E12" s="89">
        <v>14</v>
      </c>
      <c r="F12" s="89">
        <v>45</v>
      </c>
      <c r="G12" s="89">
        <v>10</v>
      </c>
      <c r="H12" s="89">
        <v>4</v>
      </c>
      <c r="I12" s="89">
        <v>3</v>
      </c>
      <c r="J12" s="89">
        <v>3</v>
      </c>
      <c r="K12" s="89"/>
      <c r="L12" s="11"/>
      <c r="M12" s="11"/>
      <c r="N12" s="40" t="s">
        <v>18</v>
      </c>
      <c r="O12" s="45"/>
      <c r="P12" s="45"/>
      <c r="Q12" s="45"/>
      <c r="R12" s="46" t="s">
        <v>5</v>
      </c>
      <c r="S12" s="18"/>
      <c r="T12" s="18"/>
      <c r="U12" s="18"/>
      <c r="V12" s="53"/>
      <c r="W12" s="54"/>
    </row>
    <row r="13" spans="1:23" x14ac:dyDescent="0.25">
      <c r="A13" s="6" t="s">
        <v>25</v>
      </c>
      <c r="B13" s="7"/>
      <c r="C13" s="7"/>
      <c r="D13" s="88">
        <f t="shared" ref="D13:J13" si="3">D11+D12</f>
        <v>43312</v>
      </c>
      <c r="E13" s="88">
        <f t="shared" si="3"/>
        <v>61587</v>
      </c>
      <c r="F13" s="88">
        <f t="shared" si="3"/>
        <v>66868</v>
      </c>
      <c r="G13" s="88">
        <f t="shared" si="3"/>
        <v>70418</v>
      </c>
      <c r="H13" s="88">
        <f t="shared" si="3"/>
        <v>21297</v>
      </c>
      <c r="I13" s="88">
        <f t="shared" si="3"/>
        <v>24023</v>
      </c>
      <c r="J13" s="88">
        <f t="shared" si="3"/>
        <v>27551</v>
      </c>
      <c r="K13" s="88"/>
      <c r="L13" s="11"/>
      <c r="M13" s="11"/>
      <c r="N13" s="42" t="s">
        <v>19</v>
      </c>
      <c r="O13" s="43"/>
      <c r="P13" s="44">
        <f>D24/D23</f>
        <v>0</v>
      </c>
      <c r="Q13" s="44">
        <f>E24/E23</f>
        <v>1.1245908671285634E-2</v>
      </c>
      <c r="R13" s="44">
        <f>F24/F23</f>
        <v>9.6003515352601973E-3</v>
      </c>
      <c r="S13" s="44">
        <f>G24/G23</f>
        <v>7.5533498379511824E-3</v>
      </c>
      <c r="T13" s="48"/>
      <c r="U13" s="48">
        <v>1.46E-2</v>
      </c>
      <c r="V13" s="48">
        <v>1.2999999999999999E-2</v>
      </c>
      <c r="W13" s="18"/>
    </row>
    <row r="14" spans="1:23" x14ac:dyDescent="0.25">
      <c r="A14" s="6" t="s">
        <v>26</v>
      </c>
      <c r="B14" s="7"/>
      <c r="C14" s="7"/>
      <c r="D14" s="85">
        <f>2062+23+1839</f>
        <v>3924</v>
      </c>
      <c r="E14" s="85">
        <f>2160+91+2163</f>
        <v>4414</v>
      </c>
      <c r="F14" s="85">
        <f>2210+102+1868</f>
        <v>4180</v>
      </c>
      <c r="G14" s="85">
        <f>3065+108+2357</f>
        <v>5530</v>
      </c>
      <c r="H14" s="85">
        <f>818+28+886</f>
        <v>1732</v>
      </c>
      <c r="I14" s="85">
        <f>898+31+808</f>
        <v>1737</v>
      </c>
      <c r="J14" s="85">
        <f>912+16+848</f>
        <v>1776</v>
      </c>
      <c r="K14" s="85"/>
      <c r="L14" s="11"/>
      <c r="M14" s="11"/>
      <c r="N14" s="42" t="s">
        <v>20</v>
      </c>
      <c r="O14" s="43"/>
      <c r="P14" s="44">
        <f>D25/D23</f>
        <v>0</v>
      </c>
      <c r="Q14" s="44">
        <f>E25/E23</f>
        <v>8.647973218698422E-3</v>
      </c>
      <c r="R14" s="44">
        <f>F25/F23</f>
        <v>6.1088804047750205E-3</v>
      </c>
      <c r="S14" s="44">
        <f>G25/G23</f>
        <v>4.8059814571766385E-3</v>
      </c>
      <c r="T14" s="48"/>
      <c r="U14" s="48">
        <v>1.0800000000000001E-2</v>
      </c>
      <c r="V14" s="48">
        <v>9.7000000000000003E-3</v>
      </c>
      <c r="W14" s="18"/>
    </row>
    <row r="15" spans="1:23" x14ac:dyDescent="0.25">
      <c r="A15" s="6" t="s">
        <v>54</v>
      </c>
      <c r="B15" s="10"/>
      <c r="C15" s="10"/>
      <c r="D15" s="89">
        <f t="shared" ref="D15:I15" si="4">D11-D14</f>
        <v>39350</v>
      </c>
      <c r="E15" s="89">
        <f t="shared" si="4"/>
        <v>57159</v>
      </c>
      <c r="F15" s="89">
        <f t="shared" si="4"/>
        <v>62643</v>
      </c>
      <c r="G15" s="89">
        <f t="shared" si="4"/>
        <v>64878</v>
      </c>
      <c r="H15" s="89">
        <f t="shared" si="4"/>
        <v>19561</v>
      </c>
      <c r="I15" s="89">
        <f t="shared" si="4"/>
        <v>22283</v>
      </c>
      <c r="J15" s="89">
        <f>J11-J14</f>
        <v>25772</v>
      </c>
      <c r="K15" s="89"/>
      <c r="L15" s="11"/>
      <c r="M15" s="11"/>
      <c r="N15" s="42" t="s">
        <v>21</v>
      </c>
      <c r="O15" s="43"/>
      <c r="P15" s="44" t="e">
        <f>(P13-P14)/P13</f>
        <v>#DIV/0!</v>
      </c>
      <c r="Q15" s="44">
        <f>(Q13-Q14)/Q13</f>
        <v>0.23101160862354889</v>
      </c>
      <c r="R15" s="44">
        <f>(R13-R14)/R13</f>
        <v>0.36368159203980105</v>
      </c>
      <c r="S15" s="44">
        <f>(S13-S14)/S13</f>
        <v>0.36372847011144888</v>
      </c>
      <c r="T15" s="44" t="e">
        <f>(T13-T14)/T13</f>
        <v>#DIV/0!</v>
      </c>
      <c r="U15" s="18"/>
      <c r="V15" s="18"/>
      <c r="W15" s="18"/>
    </row>
    <row r="16" spans="1:23" x14ac:dyDescent="0.25">
      <c r="A16" s="6" t="s">
        <v>94</v>
      </c>
      <c r="B16" s="10"/>
      <c r="C16" s="10"/>
      <c r="D16" s="89">
        <f t="shared" ref="D16:I16" si="5">D13-D14-D9</f>
        <v>14535</v>
      </c>
      <c r="E16" s="89">
        <f t="shared" si="5"/>
        <v>21380</v>
      </c>
      <c r="F16" s="89">
        <f t="shared" si="5"/>
        <v>24866</v>
      </c>
      <c r="G16" s="89">
        <f t="shared" si="5"/>
        <v>29645</v>
      </c>
      <c r="H16" s="89">
        <f t="shared" si="5"/>
        <v>8701</v>
      </c>
      <c r="I16" s="89">
        <f t="shared" si="5"/>
        <v>9299</v>
      </c>
      <c r="J16" s="89">
        <f>J13-J14-J9</f>
        <v>11038</v>
      </c>
      <c r="K16" s="89"/>
      <c r="L16" s="11"/>
      <c r="M16" s="11"/>
      <c r="N16" s="42" t="s">
        <v>22</v>
      </c>
      <c r="O16" s="43"/>
      <c r="P16" s="44">
        <f>D17/AVERAGE(C23:D23)</f>
        <v>1.6253207869974338E-3</v>
      </c>
      <c r="Q16" s="44">
        <f>E17/AVERAGE(D23:E23)</f>
        <v>9.3732810864750413E-3</v>
      </c>
      <c r="R16" s="44">
        <f>F17/AVERAGE(E23:F23)</f>
        <v>4.8046160043356632E-3</v>
      </c>
      <c r="S16" s="44">
        <f>G17/AVERAGE(F23:G23)</f>
        <v>3.9373284942905195E-3</v>
      </c>
      <c r="T16" s="18"/>
      <c r="U16" s="18"/>
      <c r="V16" s="18"/>
      <c r="W16" s="18"/>
    </row>
    <row r="17" spans="1:23" x14ac:dyDescent="0.25">
      <c r="A17" s="6" t="s">
        <v>27</v>
      </c>
      <c r="B17" s="7"/>
      <c r="C17" s="7"/>
      <c r="D17" s="88">
        <v>798</v>
      </c>
      <c r="E17" s="85">
        <v>4814</v>
      </c>
      <c r="F17" s="85">
        <v>2797</v>
      </c>
      <c r="G17" s="85">
        <v>2780</v>
      </c>
      <c r="H17" s="85">
        <v>405</v>
      </c>
      <c r="I17" s="85">
        <v>356</v>
      </c>
      <c r="J17" s="85">
        <v>797</v>
      </c>
      <c r="K17" s="85"/>
      <c r="L17" s="11"/>
      <c r="M17" s="11"/>
      <c r="N17" s="18"/>
      <c r="O17" s="18"/>
      <c r="P17" s="18"/>
      <c r="Q17" s="18"/>
      <c r="R17" s="18"/>
      <c r="S17" s="18"/>
      <c r="T17" s="18"/>
      <c r="U17" s="18"/>
      <c r="V17" s="18"/>
      <c r="W17" s="18"/>
    </row>
    <row r="18" spans="1:23" x14ac:dyDescent="0.25">
      <c r="A18" s="6" t="s">
        <v>55</v>
      </c>
      <c r="B18" s="7"/>
      <c r="C18" s="7"/>
      <c r="D18" s="88">
        <v>10218</v>
      </c>
      <c r="E18" s="85">
        <v>12257</v>
      </c>
      <c r="F18" s="89">
        <v>16773</v>
      </c>
      <c r="G18" s="89">
        <v>20381</v>
      </c>
      <c r="H18" s="89">
        <v>6251</v>
      </c>
      <c r="I18" s="89">
        <v>6737</v>
      </c>
      <c r="J18" s="89">
        <v>7693</v>
      </c>
      <c r="K18" s="89"/>
      <c r="L18" s="11"/>
      <c r="M18" s="11"/>
      <c r="N18" s="40" t="s">
        <v>30</v>
      </c>
      <c r="O18" s="45"/>
      <c r="P18" s="45"/>
      <c r="Q18" s="45"/>
      <c r="R18" s="46" t="s">
        <v>5</v>
      </c>
      <c r="S18" s="18"/>
      <c r="T18" s="18"/>
      <c r="U18" s="18"/>
      <c r="V18" s="18"/>
      <c r="W18" s="18"/>
    </row>
    <row r="19" spans="1:23" ht="22.5" x14ac:dyDescent="0.25">
      <c r="A19" s="6" t="s">
        <v>28</v>
      </c>
      <c r="B19" s="7"/>
      <c r="C19" s="7"/>
      <c r="D19" s="88">
        <v>86558</v>
      </c>
      <c r="E19" s="85">
        <v>98755</v>
      </c>
      <c r="F19" s="85">
        <v>116245</v>
      </c>
      <c r="G19" s="85">
        <v>167682</v>
      </c>
      <c r="H19" s="85">
        <v>172762</v>
      </c>
      <c r="I19" s="85">
        <v>180535</v>
      </c>
      <c r="J19" s="85">
        <v>187025</v>
      </c>
      <c r="K19" s="85"/>
      <c r="L19" s="11"/>
      <c r="M19" s="11"/>
      <c r="N19" s="46" t="s">
        <v>95</v>
      </c>
      <c r="O19" s="51"/>
      <c r="P19" s="51"/>
      <c r="Q19" s="52">
        <f>E16/AVERAGE(D22:E22)</f>
        <v>3.7427285506467498E-2</v>
      </c>
      <c r="R19" s="52">
        <f>F16/AVERAGE(E22:F22)</f>
        <v>3.9071037607405677E-2</v>
      </c>
      <c r="S19" s="52">
        <f>G16/AVERAGE(F22:G22)</f>
        <v>3.9540453104649154E-2</v>
      </c>
      <c r="T19" s="18"/>
      <c r="U19" s="18"/>
      <c r="V19" s="18"/>
      <c r="W19" s="18"/>
    </row>
    <row r="20" spans="1:23" x14ac:dyDescent="0.25">
      <c r="A20" s="6" t="s">
        <v>56</v>
      </c>
      <c r="B20" s="7"/>
      <c r="C20" s="7"/>
      <c r="D20" s="88">
        <f t="shared" ref="D20:J20" si="6">D19-D71</f>
        <v>86558</v>
      </c>
      <c r="E20" s="89">
        <f t="shared" si="6"/>
        <v>98755</v>
      </c>
      <c r="F20" s="89">
        <f t="shared" si="6"/>
        <v>116245</v>
      </c>
      <c r="G20" s="89">
        <f t="shared" si="6"/>
        <v>167682</v>
      </c>
      <c r="H20" s="89">
        <f t="shared" si="6"/>
        <v>172762</v>
      </c>
      <c r="I20" s="89">
        <f t="shared" si="6"/>
        <v>180535</v>
      </c>
      <c r="J20" s="89">
        <f t="shared" si="6"/>
        <v>187025</v>
      </c>
      <c r="K20" s="89"/>
      <c r="L20" s="11"/>
      <c r="M20" s="11"/>
      <c r="N20" s="42" t="s">
        <v>31</v>
      </c>
      <c r="O20" s="43"/>
      <c r="P20" s="43">
        <v>4.4699999999999997E-2</v>
      </c>
      <c r="Q20" s="44">
        <f>E18/AVERAGE(D22:E22)</f>
        <v>2.1456793192365393E-2</v>
      </c>
      <c r="R20" s="44">
        <f>F18/AVERAGE(E22:F22)</f>
        <v>2.6354802291844906E-2</v>
      </c>
      <c r="S20" s="44">
        <f>G18/AVERAGE(F22:G22)</f>
        <v>2.7184144871845315E-2</v>
      </c>
      <c r="T20" s="48"/>
      <c r="U20" s="18"/>
      <c r="V20" s="18"/>
      <c r="W20" s="18"/>
    </row>
    <row r="21" spans="1:23" x14ac:dyDescent="0.25">
      <c r="A21" s="6" t="s">
        <v>57</v>
      </c>
      <c r="B21" s="9"/>
      <c r="C21" s="9"/>
      <c r="D21" s="85">
        <f>127415+300731</f>
        <v>428146</v>
      </c>
      <c r="E21" s="85">
        <f>135616+343399+35273</f>
        <v>514288</v>
      </c>
      <c r="F21" s="85">
        <f>154972+322207+53036</f>
        <v>530215</v>
      </c>
      <c r="G21" s="85">
        <f>242555+378070+52807</f>
        <v>673432</v>
      </c>
      <c r="H21" s="85"/>
      <c r="I21" s="85">
        <f>304359+469390+52419</f>
        <v>826168</v>
      </c>
      <c r="J21" s="85"/>
      <c r="K21" s="85"/>
      <c r="L21" s="11"/>
      <c r="M21" s="11"/>
      <c r="N21" s="42" t="s">
        <v>32</v>
      </c>
      <c r="O21" s="43"/>
      <c r="P21" s="44">
        <f>D18/AVERAGE(C19:D19)</f>
        <v>0.11804801404838375</v>
      </c>
      <c r="Q21" s="44">
        <f>E18/AVERAGE(D19:E19)</f>
        <v>0.13228429737794975</v>
      </c>
      <c r="R21" s="44">
        <f>F18/AVERAGE(E19:F19)</f>
        <v>0.15602790697674418</v>
      </c>
      <c r="S21" s="44">
        <f>G18/AVERAGE(F19:G19)</f>
        <v>0.14356507130353929</v>
      </c>
      <c r="T21" s="18"/>
      <c r="U21" s="18"/>
      <c r="V21" s="18"/>
      <c r="W21" s="18"/>
    </row>
    <row r="22" spans="1:23" x14ac:dyDescent="0.25">
      <c r="A22" s="6" t="s">
        <v>29</v>
      </c>
      <c r="B22" s="7"/>
      <c r="C22" s="7"/>
      <c r="D22" s="88">
        <v>520410</v>
      </c>
      <c r="E22" s="85">
        <v>622072</v>
      </c>
      <c r="F22" s="85">
        <v>650789</v>
      </c>
      <c r="G22" s="85">
        <v>848688</v>
      </c>
      <c r="H22" s="85"/>
      <c r="I22" s="85">
        <v>1016634</v>
      </c>
      <c r="J22" s="85"/>
      <c r="K22" s="85"/>
      <c r="L22" s="11"/>
      <c r="M22" s="11"/>
      <c r="N22" s="40" t="s">
        <v>33</v>
      </c>
      <c r="O22" s="45"/>
      <c r="P22" s="45"/>
      <c r="Q22" s="45"/>
      <c r="R22" s="46" t="s">
        <v>5</v>
      </c>
      <c r="S22" s="18"/>
      <c r="T22" s="18"/>
      <c r="U22" s="18"/>
      <c r="V22" s="18"/>
      <c r="W22" s="18"/>
    </row>
    <row r="23" spans="1:23" x14ac:dyDescent="0.25">
      <c r="A23" s="6" t="s">
        <v>58</v>
      </c>
      <c r="B23" s="7"/>
      <c r="C23" s="7"/>
      <c r="D23" s="88">
        <v>490980</v>
      </c>
      <c r="E23" s="85">
        <v>536195</v>
      </c>
      <c r="F23" s="85">
        <v>628102</v>
      </c>
      <c r="G23" s="85">
        <v>784023</v>
      </c>
      <c r="H23" s="85"/>
      <c r="I23" s="85">
        <v>911015</v>
      </c>
      <c r="J23" s="85"/>
      <c r="K23" s="85"/>
      <c r="L23" s="11"/>
      <c r="M23" s="11"/>
      <c r="N23" s="42" t="s">
        <v>34</v>
      </c>
      <c r="O23" s="43"/>
      <c r="P23" s="44">
        <f>D6/AVERAGE(C23:D23)</f>
        <v>7.8094830746669924E-2</v>
      </c>
      <c r="Q23" s="44">
        <f>E6/AVERAGE(D23:E23)</f>
        <v>0.10421593204663275</v>
      </c>
      <c r="R23" s="44">
        <f>F6/AVERAGE(E23:F23)</f>
        <v>9.8967875035321742E-2</v>
      </c>
      <c r="S23" s="44">
        <f>G6/AVERAGE(F23:G23)</f>
        <v>9.0071346375143843E-2</v>
      </c>
      <c r="T23" s="18"/>
      <c r="U23" s="18"/>
      <c r="V23" s="18"/>
      <c r="W23" s="18"/>
    </row>
    <row r="24" spans="1:23" x14ac:dyDescent="0.25">
      <c r="A24" s="6" t="s">
        <v>59</v>
      </c>
      <c r="B24" s="10"/>
      <c r="C24" s="10"/>
      <c r="D24" s="89"/>
      <c r="E24" s="89">
        <v>6030</v>
      </c>
      <c r="F24" s="89">
        <v>6030</v>
      </c>
      <c r="G24" s="89">
        <v>5922</v>
      </c>
      <c r="H24" s="89"/>
      <c r="I24" s="89"/>
      <c r="J24" s="89"/>
      <c r="K24" s="89"/>
      <c r="L24" s="11"/>
      <c r="M24" s="11"/>
      <c r="N24" s="42" t="s">
        <v>35</v>
      </c>
      <c r="O24" s="43"/>
      <c r="P24" s="44">
        <f>D9/AVERAGE(C21:D21)</f>
        <v>5.8047955603929502E-2</v>
      </c>
      <c r="Q24" s="44">
        <f>E9/AVERAGE(D21:E21)</f>
        <v>7.5958634769119113E-2</v>
      </c>
      <c r="R24" s="44">
        <f>F9/AVERAGE(E21:F21)</f>
        <v>7.2421046181772572E-2</v>
      </c>
      <c r="S24" s="44">
        <f>G9/AVERAGE(F21:G21)</f>
        <v>5.8560358643356403E-2</v>
      </c>
      <c r="T24" s="18"/>
      <c r="U24" s="18"/>
      <c r="V24" s="18"/>
      <c r="W24" s="18"/>
    </row>
    <row r="25" spans="1:23" x14ac:dyDescent="0.25">
      <c r="A25" s="6" t="s">
        <v>60</v>
      </c>
      <c r="B25" s="10"/>
      <c r="C25" s="10"/>
      <c r="D25" s="89"/>
      <c r="E25" s="89">
        <v>4637</v>
      </c>
      <c r="F25" s="89">
        <v>3837</v>
      </c>
      <c r="G25" s="89">
        <v>3768</v>
      </c>
      <c r="H25" s="89"/>
      <c r="I25" s="89"/>
      <c r="J25" s="89"/>
      <c r="K25" s="89"/>
      <c r="L25" s="11"/>
      <c r="M25" s="11"/>
      <c r="N25" s="42" t="s">
        <v>36</v>
      </c>
      <c r="O25" s="43"/>
      <c r="P25" s="48">
        <f>P23-P24</f>
        <v>2.0046875142740422E-2</v>
      </c>
      <c r="Q25" s="48">
        <f>Q23-Q24</f>
        <v>2.8257297277513638E-2</v>
      </c>
      <c r="R25" s="48">
        <f>R23-R24</f>
        <v>2.654682885354917E-2</v>
      </c>
      <c r="S25" s="48">
        <f>S23-S24</f>
        <v>3.151098773178744E-2</v>
      </c>
      <c r="T25" s="18"/>
      <c r="U25" s="18"/>
      <c r="V25" s="18"/>
      <c r="W25" s="18"/>
    </row>
  </sheetData>
  <mergeCells count="2">
    <mergeCell ref="A2:A4"/>
    <mergeCell ref="I1:K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W25"/>
  <sheetViews>
    <sheetView workbookViewId="0">
      <selection activeCell="AG6" sqref="AG6"/>
    </sheetView>
  </sheetViews>
  <sheetFormatPr defaultRowHeight="15" x14ac:dyDescent="0.25"/>
  <cols>
    <col min="1" max="1" width="30.140625" customWidth="1"/>
    <col min="4" max="4" width="13.140625" customWidth="1"/>
    <col min="5" max="5" width="11" customWidth="1"/>
    <col min="6" max="7" width="12.140625" customWidth="1"/>
    <col min="8" max="8" width="10.140625" bestFit="1" customWidth="1"/>
    <col min="9" max="9" width="11.28515625" bestFit="1" customWidth="1"/>
    <col min="10" max="10" width="10.140625" bestFit="1" customWidth="1"/>
    <col min="11" max="11" width="11.28515625" bestFit="1" customWidth="1"/>
    <col min="14" max="14" width="29.28515625" customWidth="1"/>
    <col min="16" max="16" width="13.7109375" customWidth="1"/>
    <col min="17" max="17" width="14.5703125" customWidth="1"/>
    <col min="18" max="18" width="13.140625" customWidth="1"/>
    <col min="19" max="19" width="13.28515625" customWidth="1"/>
  </cols>
  <sheetData>
    <row r="1" spans="1:23" x14ac:dyDescent="0.25">
      <c r="I1" s="772" t="s">
        <v>118</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3.7619472512639092E-2</v>
      </c>
      <c r="Q3" s="44">
        <f>E10/AVERAGE(D23:E23)</f>
        <v>4.9408882473991209E-2</v>
      </c>
      <c r="R3" s="44">
        <f>F10/AVERAGE(E23:F23)</f>
        <v>5.2285566893566691E-2</v>
      </c>
      <c r="S3" s="44">
        <f>G10/AVERAGE(F23:G23)</f>
        <v>5.4359672402578905E-2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554266</v>
      </c>
      <c r="E5">
        <v>598300</v>
      </c>
      <c r="F5" s="85">
        <v>592205</v>
      </c>
      <c r="G5" s="90">
        <v>620622</v>
      </c>
      <c r="H5" s="85">
        <v>166380</v>
      </c>
      <c r="I5" s="85">
        <v>186244</v>
      </c>
      <c r="J5" s="85">
        <v>202000</v>
      </c>
      <c r="K5" s="85">
        <v>222011</v>
      </c>
      <c r="L5" s="11"/>
      <c r="M5" s="11"/>
      <c r="N5" s="42" t="s">
        <v>13</v>
      </c>
      <c r="O5" s="46"/>
      <c r="P5" s="47">
        <f>D21/D20</f>
        <v>9.9758904746477786</v>
      </c>
      <c r="Q5" s="47">
        <f>E21/E20</f>
        <v>6.1460610684074322</v>
      </c>
      <c r="R5" s="47">
        <f>F21/F20</f>
        <v>5.6774075250841083</v>
      </c>
      <c r="S5" s="47">
        <f>G21/G20</f>
        <v>6.3228151400149946</v>
      </c>
      <c r="T5" s="18"/>
      <c r="U5" s="18"/>
      <c r="V5" s="18"/>
      <c r="W5" s="18"/>
    </row>
    <row r="6" spans="1:23" x14ac:dyDescent="0.25">
      <c r="A6" s="6" t="s">
        <v>50</v>
      </c>
      <c r="B6" s="7"/>
      <c r="C6" s="8"/>
      <c r="D6">
        <v>480387</v>
      </c>
      <c r="E6">
        <v>545340</v>
      </c>
      <c r="F6" s="85">
        <v>522593</v>
      </c>
      <c r="G6" s="85">
        <v>557178</v>
      </c>
      <c r="H6" s="85">
        <v>156480</v>
      </c>
      <c r="I6" s="85">
        <v>171434</v>
      </c>
      <c r="J6" s="85">
        <v>187871</v>
      </c>
      <c r="K6" s="85">
        <v>208406</v>
      </c>
      <c r="L6" s="11"/>
      <c r="M6" s="11"/>
      <c r="N6" s="42" t="s">
        <v>14</v>
      </c>
      <c r="O6" s="43"/>
      <c r="P6" s="43">
        <v>0.16839999999999999</v>
      </c>
      <c r="Q6" s="43">
        <v>0.18859999999999999</v>
      </c>
      <c r="R6" s="43">
        <v>0.2029</v>
      </c>
      <c r="S6" s="48">
        <v>0.17249999999999999</v>
      </c>
      <c r="T6" s="48"/>
      <c r="U6" s="18"/>
      <c r="V6" s="18"/>
      <c r="W6" s="18"/>
    </row>
    <row r="7" spans="1:23" x14ac:dyDescent="0.25">
      <c r="A7" s="6" t="s">
        <v>51</v>
      </c>
      <c r="B7" s="7"/>
      <c r="C7" s="8"/>
      <c r="D7" s="87"/>
      <c r="E7" s="85"/>
      <c r="F7" s="85">
        <v>0</v>
      </c>
      <c r="G7" s="85">
        <v>0</v>
      </c>
      <c r="H7" s="85"/>
      <c r="I7" s="85"/>
      <c r="J7" s="85"/>
      <c r="K7" s="85"/>
      <c r="L7" s="11"/>
      <c r="M7" s="11"/>
      <c r="N7" s="42" t="s">
        <v>15</v>
      </c>
      <c r="O7" s="43"/>
      <c r="P7" s="44">
        <f>D20/D23</f>
        <v>9.0608643744137574E-2</v>
      </c>
      <c r="Q7" s="44">
        <f>E20/E23</f>
        <v>0.14028620068366651</v>
      </c>
      <c r="R7" s="44">
        <f>F20/F23</f>
        <v>0.1505991015042604</v>
      </c>
      <c r="S7" s="44">
        <f>G20/G23</f>
        <v>0.13851770562886431</v>
      </c>
      <c r="T7" s="18"/>
      <c r="U7" s="18"/>
      <c r="V7" s="18"/>
      <c r="W7" s="18"/>
    </row>
    <row r="8" spans="1:23" x14ac:dyDescent="0.25">
      <c r="A8" s="6" t="s">
        <v>52</v>
      </c>
      <c r="B8" s="7"/>
      <c r="C8" s="8"/>
      <c r="D8" s="85">
        <f t="shared" ref="D8:K8" si="0">D5-D6-D7</f>
        <v>73879</v>
      </c>
      <c r="E8" s="85">
        <f t="shared" si="0"/>
        <v>52960</v>
      </c>
      <c r="F8" s="85">
        <f t="shared" si="0"/>
        <v>69612</v>
      </c>
      <c r="G8" s="85">
        <f t="shared" si="0"/>
        <v>63444</v>
      </c>
      <c r="H8" s="85">
        <f t="shared" si="0"/>
        <v>9900</v>
      </c>
      <c r="I8" s="85">
        <f t="shared" si="0"/>
        <v>14810</v>
      </c>
      <c r="J8" s="85">
        <f t="shared" si="0"/>
        <v>14129</v>
      </c>
      <c r="K8" s="85">
        <f t="shared" si="0"/>
        <v>13605</v>
      </c>
      <c r="L8" s="11"/>
      <c r="M8" s="11"/>
      <c r="N8" s="40" t="s">
        <v>16</v>
      </c>
      <c r="O8" s="45"/>
      <c r="P8" s="45"/>
      <c r="Q8" s="45"/>
      <c r="R8" s="46" t="s">
        <v>5</v>
      </c>
      <c r="S8" s="18"/>
      <c r="T8" s="18"/>
      <c r="U8" s="18"/>
      <c r="V8" s="18"/>
      <c r="W8" s="18"/>
    </row>
    <row r="9" spans="1:23" ht="33.75" x14ac:dyDescent="0.25">
      <c r="A9" s="6" t="s">
        <v>24</v>
      </c>
      <c r="B9" s="7"/>
      <c r="C9" s="7"/>
      <c r="D9" s="88">
        <v>312501</v>
      </c>
      <c r="E9" s="85">
        <v>325673</v>
      </c>
      <c r="F9" s="85">
        <v>289885</v>
      </c>
      <c r="G9" s="85">
        <v>283300</v>
      </c>
      <c r="H9" s="85">
        <v>78234</v>
      </c>
      <c r="I9" s="85">
        <v>90211</v>
      </c>
      <c r="J9" s="85">
        <v>97158</v>
      </c>
      <c r="K9" s="85">
        <v>109907</v>
      </c>
      <c r="L9" s="11"/>
      <c r="M9" s="11"/>
      <c r="N9" s="49" t="s">
        <v>93</v>
      </c>
      <c r="O9" s="45"/>
      <c r="P9" s="50">
        <f>D14/(D11-D9)</f>
        <v>0.56603726759456496</v>
      </c>
      <c r="Q9" s="50">
        <f>E14/(E11-E9)</f>
        <v>0.50830622058710251</v>
      </c>
      <c r="R9" s="50">
        <f>F14/(F11-F9)</f>
        <v>0.41602937284996033</v>
      </c>
      <c r="S9" s="50">
        <f>G14/(G11-G9)</f>
        <v>0.44008099086332941</v>
      </c>
      <c r="T9" s="18"/>
      <c r="U9" s="18"/>
      <c r="V9" s="18"/>
      <c r="W9" s="18"/>
    </row>
    <row r="10" spans="1:23" ht="22.5" x14ac:dyDescent="0.25">
      <c r="A10" s="6" t="s">
        <v>53</v>
      </c>
      <c r="B10" s="10">
        <f t="shared" ref="B10:H10" si="1">B6-B9</f>
        <v>0</v>
      </c>
      <c r="C10" s="10">
        <f t="shared" si="1"/>
        <v>0</v>
      </c>
      <c r="D10" s="89">
        <f t="shared" si="1"/>
        <v>167886</v>
      </c>
      <c r="E10" s="89">
        <f t="shared" si="1"/>
        <v>219667</v>
      </c>
      <c r="F10" s="89">
        <f t="shared" si="1"/>
        <v>232708</v>
      </c>
      <c r="G10" s="89">
        <f t="shared" si="1"/>
        <v>273878</v>
      </c>
      <c r="H10" s="89">
        <f t="shared" si="1"/>
        <v>78246</v>
      </c>
      <c r="I10" s="89">
        <f>I6-I9</f>
        <v>81223</v>
      </c>
      <c r="J10" s="89">
        <f>J6-J9</f>
        <v>90713</v>
      </c>
      <c r="K10" s="89">
        <f>K6-K9</f>
        <v>98499</v>
      </c>
      <c r="L10" s="11"/>
      <c r="M10" s="11"/>
      <c r="N10" s="42" t="s">
        <v>92</v>
      </c>
      <c r="O10" s="43"/>
      <c r="P10" s="44">
        <f>D14/D11</f>
        <v>0.24689950312665759</v>
      </c>
      <c r="Q10" s="44">
        <f>E14/E11</f>
        <v>0.23161958883503259</v>
      </c>
      <c r="R10" s="44">
        <f>F14/F11</f>
        <v>0.21238253645274863</v>
      </c>
      <c r="S10" s="44">
        <f>G14/G11</f>
        <v>0.23919390546902947</v>
      </c>
      <c r="T10" s="18"/>
      <c r="U10" s="18"/>
      <c r="V10" s="18"/>
      <c r="W10" s="18"/>
    </row>
    <row r="11" spans="1:23" ht="22.5" x14ac:dyDescent="0.25">
      <c r="A11" s="6" t="s">
        <v>1</v>
      </c>
      <c r="B11" s="10">
        <f>B5-B9</f>
        <v>0</v>
      </c>
      <c r="C11" s="10">
        <f t="shared" ref="C11:H11" si="2">SUM(C6:C8)</f>
        <v>0</v>
      </c>
      <c r="D11" s="89">
        <f t="shared" si="2"/>
        <v>554266</v>
      </c>
      <c r="E11" s="89">
        <f t="shared" si="2"/>
        <v>598300</v>
      </c>
      <c r="F11" s="89">
        <f>SUM(F6:F8)</f>
        <v>592205</v>
      </c>
      <c r="G11" s="89">
        <f>SUM(G6:G8)</f>
        <v>620622</v>
      </c>
      <c r="H11" s="89">
        <f t="shared" si="2"/>
        <v>166380</v>
      </c>
      <c r="I11" s="89">
        <f>SUM(I6:I8)</f>
        <v>186244</v>
      </c>
      <c r="J11" s="89">
        <f>SUM(J6:J8)</f>
        <v>202000</v>
      </c>
      <c r="K11" s="89">
        <f>SUM(K6:K8)</f>
        <v>222011</v>
      </c>
      <c r="L11" s="11"/>
      <c r="M11" s="11"/>
      <c r="N11" s="42" t="s">
        <v>17</v>
      </c>
      <c r="O11" s="43"/>
      <c r="P11" s="44">
        <f>D14/AVERAGE(C22:D22)</f>
        <v>2.9343401508510891E-2</v>
      </c>
      <c r="Q11" s="44">
        <f>E14/AVERAGE(D22:E22)</f>
        <v>2.966019664236506E-2</v>
      </c>
      <c r="R11" s="44">
        <f>F14/AVERAGE(E22:F22)</f>
        <v>2.6697204280077179E-2</v>
      </c>
      <c r="S11" s="44">
        <f>G14/AVERAGE(F22:G22)</f>
        <v>2.7778783584228244E-2</v>
      </c>
      <c r="T11" s="18"/>
      <c r="U11" s="18"/>
      <c r="V11" s="18"/>
      <c r="W11" s="18"/>
    </row>
    <row r="12" spans="1:23" x14ac:dyDescent="0.25">
      <c r="A12" s="6" t="s">
        <v>91</v>
      </c>
      <c r="B12" s="10"/>
      <c r="C12" s="10"/>
      <c r="D12" s="89">
        <v>5597</v>
      </c>
      <c r="E12" s="89">
        <v>7895</v>
      </c>
      <c r="F12" s="89">
        <v>7252</v>
      </c>
      <c r="G12" s="89">
        <v>8098</v>
      </c>
      <c r="H12" s="89">
        <v>2629</v>
      </c>
      <c r="I12" s="89">
        <v>2247</v>
      </c>
      <c r="J12" s="89">
        <v>3409</v>
      </c>
      <c r="K12" s="89">
        <v>3782</v>
      </c>
      <c r="L12" s="11"/>
      <c r="M12" s="11"/>
      <c r="N12" s="40" t="s">
        <v>18</v>
      </c>
      <c r="O12" s="45"/>
      <c r="P12" s="45"/>
      <c r="Q12" s="45"/>
      <c r="R12" s="46" t="s">
        <v>5</v>
      </c>
      <c r="S12" s="18"/>
      <c r="T12" s="18"/>
      <c r="U12" s="18"/>
      <c r="V12" s="53"/>
      <c r="W12" s="54"/>
    </row>
    <row r="13" spans="1:23" x14ac:dyDescent="0.25">
      <c r="A13" s="6" t="s">
        <v>25</v>
      </c>
      <c r="B13" s="7"/>
      <c r="C13" s="7"/>
      <c r="D13" s="88">
        <f t="shared" ref="D13:K13" si="3">D11+D12</f>
        <v>559863</v>
      </c>
      <c r="E13" s="88">
        <f t="shared" si="3"/>
        <v>606195</v>
      </c>
      <c r="F13" s="88">
        <f t="shared" si="3"/>
        <v>599457</v>
      </c>
      <c r="G13" s="88">
        <f t="shared" si="3"/>
        <v>628720</v>
      </c>
      <c r="H13" s="88">
        <f t="shared" si="3"/>
        <v>169009</v>
      </c>
      <c r="I13" s="88">
        <f t="shared" si="3"/>
        <v>188491</v>
      </c>
      <c r="J13" s="88">
        <f t="shared" si="3"/>
        <v>205409</v>
      </c>
      <c r="K13" s="88">
        <f t="shared" si="3"/>
        <v>225793</v>
      </c>
      <c r="L13" s="11"/>
      <c r="M13" s="11"/>
      <c r="N13" s="42" t="s">
        <v>19</v>
      </c>
      <c r="O13" s="43"/>
      <c r="P13" s="44">
        <f>D24/D23</f>
        <v>2.4500183967614528E-2</v>
      </c>
      <c r="Q13" s="44">
        <f>E24/E23</f>
        <v>2.3885655195459082E-2</v>
      </c>
      <c r="R13" s="44">
        <f>F24/F23</f>
        <v>2.9719629260945665E-2</v>
      </c>
      <c r="S13" s="44">
        <f>G24/G23</f>
        <v>2.2287768885558026E-2</v>
      </c>
      <c r="T13" s="48"/>
      <c r="U13" s="18"/>
      <c r="V13" s="48">
        <v>2.07E-2</v>
      </c>
      <c r="W13" s="48">
        <v>1.9699999999999999E-2</v>
      </c>
    </row>
    <row r="14" spans="1:23" x14ac:dyDescent="0.25">
      <c r="A14" s="6" t="s">
        <v>26</v>
      </c>
      <c r="B14" s="7"/>
      <c r="C14" s="7"/>
      <c r="D14" s="85">
        <f>45492+27423+63933</f>
        <v>136848</v>
      </c>
      <c r="E14" s="85">
        <f>45027+37179+56372</f>
        <v>138578</v>
      </c>
      <c r="F14" s="85">
        <f>43811+31974+49989</f>
        <v>125774</v>
      </c>
      <c r="G14" s="85">
        <f>55064+25982+67403</f>
        <v>148449</v>
      </c>
      <c r="H14" s="85">
        <f>15459+6089+17149</f>
        <v>38697</v>
      </c>
      <c r="I14" s="85">
        <f>19424+4673+16312</f>
        <v>40409</v>
      </c>
      <c r="J14" s="85">
        <f>21427+4324+18262</f>
        <v>44013</v>
      </c>
      <c r="K14" s="85">
        <f>25432+4270+24685</f>
        <v>54387</v>
      </c>
      <c r="L14" s="11"/>
      <c r="M14" s="11"/>
      <c r="N14" s="42" t="s">
        <v>20</v>
      </c>
      <c r="O14" s="43"/>
      <c r="P14" s="44">
        <f>D25/D23</f>
        <v>3.817608098339541E-3</v>
      </c>
      <c r="Q14" s="44">
        <f>E25/E23</f>
        <v>5.2103606634364853E-3</v>
      </c>
      <c r="R14" s="44">
        <f>F25/F23</f>
        <v>8.6844451837998875E-3</v>
      </c>
      <c r="S14" s="44">
        <f>G25/G23</f>
        <v>4.7306014292979306E-3</v>
      </c>
      <c r="T14" s="48"/>
      <c r="U14" s="18"/>
      <c r="V14" s="48">
        <v>3.5000000000000001E-3</v>
      </c>
      <c r="W14" s="48">
        <v>3.0999999999999999E-3</v>
      </c>
    </row>
    <row r="15" spans="1:23" x14ac:dyDescent="0.25">
      <c r="A15" s="6" t="s">
        <v>54</v>
      </c>
      <c r="B15" s="10"/>
      <c r="C15" s="10"/>
      <c r="D15" s="89">
        <f t="shared" ref="D15:I15" si="4">D11-D14</f>
        <v>417418</v>
      </c>
      <c r="E15" s="89">
        <f t="shared" si="4"/>
        <v>459722</v>
      </c>
      <c r="F15" s="89">
        <f t="shared" si="4"/>
        <v>466431</v>
      </c>
      <c r="G15" s="89">
        <f t="shared" si="4"/>
        <v>472173</v>
      </c>
      <c r="H15" s="89">
        <f t="shared" si="4"/>
        <v>127683</v>
      </c>
      <c r="I15" s="89">
        <f t="shared" si="4"/>
        <v>145835</v>
      </c>
      <c r="J15" s="89">
        <f>J11-J14</f>
        <v>157987</v>
      </c>
      <c r="K15" s="89">
        <f>K11-K14</f>
        <v>167624</v>
      </c>
      <c r="L15" s="11"/>
      <c r="M15" s="11"/>
      <c r="N15" s="42" t="s">
        <v>21</v>
      </c>
      <c r="O15" s="43"/>
      <c r="P15" s="44">
        <f>(P13-P14)/P13</f>
        <v>0.84418043132305332</v>
      </c>
      <c r="Q15" s="44">
        <f>(Q13-Q14)/Q13</f>
        <v>0.78186235123970838</v>
      </c>
      <c r="R15" s="44">
        <f>(R13-R14)/R13</f>
        <v>0.70778756667694875</v>
      </c>
      <c r="S15" s="44">
        <f>(S13-S14)/S13</f>
        <v>0.78774899122526099</v>
      </c>
      <c r="T15" s="44" t="e">
        <f>(T13-T14)/T13</f>
        <v>#DIV/0!</v>
      </c>
      <c r="U15" s="18"/>
      <c r="V15" s="18"/>
      <c r="W15" s="18"/>
    </row>
    <row r="16" spans="1:23" x14ac:dyDescent="0.25">
      <c r="A16" s="6" t="s">
        <v>94</v>
      </c>
      <c r="B16" s="10"/>
      <c r="C16" s="10"/>
      <c r="D16" s="89">
        <f t="shared" ref="D16:I16" si="5">D13-D14-D9</f>
        <v>110514</v>
      </c>
      <c r="E16" s="89">
        <f t="shared" si="5"/>
        <v>141944</v>
      </c>
      <c r="F16" s="89">
        <f t="shared" si="5"/>
        <v>183798</v>
      </c>
      <c r="G16" s="89">
        <f t="shared" si="5"/>
        <v>196971</v>
      </c>
      <c r="H16" s="89">
        <f t="shared" si="5"/>
        <v>52078</v>
      </c>
      <c r="I16" s="89">
        <f t="shared" si="5"/>
        <v>57871</v>
      </c>
      <c r="J16" s="89">
        <f>J13-J14-J9</f>
        <v>64238</v>
      </c>
      <c r="K16" s="89">
        <f>K13-K14-K9</f>
        <v>61499</v>
      </c>
      <c r="L16" s="11"/>
      <c r="M16" s="11"/>
      <c r="N16" s="42" t="s">
        <v>22</v>
      </c>
      <c r="O16" s="43"/>
      <c r="P16" s="44">
        <f>D17/AVERAGE(C23:D23)</f>
        <v>1.0117770644146581E-2</v>
      </c>
      <c r="Q16" s="44">
        <f>E17/AVERAGE(D23:E23)</f>
        <v>1.9422609725227798E-2</v>
      </c>
      <c r="R16" s="44">
        <f>F17/AVERAGE(E23:F23)</f>
        <v>2.2759055180384621E-2</v>
      </c>
      <c r="S16" s="44">
        <f>G17/AVERAGE(F23:G23)</f>
        <v>1.7654915181976625E-2</v>
      </c>
      <c r="T16" s="18"/>
      <c r="U16" s="18"/>
      <c r="V16" s="18"/>
      <c r="W16" s="18"/>
    </row>
    <row r="17" spans="1:23" x14ac:dyDescent="0.25">
      <c r="A17" s="6" t="s">
        <v>27</v>
      </c>
      <c r="B17" s="7"/>
      <c r="C17" s="7"/>
      <c r="D17" s="88">
        <v>45153</v>
      </c>
      <c r="E17" s="85">
        <v>86351</v>
      </c>
      <c r="F17" s="85">
        <v>101294</v>
      </c>
      <c r="G17" s="85">
        <v>88950</v>
      </c>
      <c r="H17" s="85">
        <v>7433</v>
      </c>
      <c r="I17" s="85">
        <v>6765</v>
      </c>
      <c r="J17" s="85">
        <v>19961</v>
      </c>
      <c r="K17" s="85">
        <v>16213</v>
      </c>
      <c r="L17" s="11"/>
      <c r="M17" s="11"/>
      <c r="N17" s="18"/>
      <c r="O17" s="18"/>
      <c r="P17" s="18"/>
      <c r="Q17" s="18"/>
      <c r="R17" s="18"/>
      <c r="S17" s="18"/>
      <c r="T17" s="18"/>
      <c r="U17" s="18"/>
      <c r="V17" s="18"/>
      <c r="W17" s="18"/>
    </row>
    <row r="18" spans="1:23" x14ac:dyDescent="0.25">
      <c r="A18" s="6" t="s">
        <v>55</v>
      </c>
      <c r="B18" s="7"/>
      <c r="C18" s="7"/>
      <c r="D18" s="88">
        <v>43710</v>
      </c>
      <c r="E18" s="85">
        <v>11361</v>
      </c>
      <c r="F18" s="89">
        <v>67699</v>
      </c>
      <c r="G18" s="89">
        <v>81719</v>
      </c>
      <c r="H18" s="89">
        <v>33169</v>
      </c>
      <c r="I18" s="89">
        <v>38158</v>
      </c>
      <c r="J18" s="89">
        <v>33152</v>
      </c>
      <c r="K18" s="89">
        <v>33678</v>
      </c>
      <c r="L18" s="11"/>
      <c r="M18" s="11"/>
      <c r="N18" s="40" t="s">
        <v>30</v>
      </c>
      <c r="O18" s="45"/>
      <c r="P18" s="45"/>
      <c r="Q18" s="45"/>
      <c r="R18" s="46" t="s">
        <v>5</v>
      </c>
      <c r="S18" s="18"/>
      <c r="T18" s="18"/>
      <c r="U18" s="18"/>
      <c r="V18" s="18"/>
      <c r="W18" s="18"/>
    </row>
    <row r="19" spans="1:23" ht="22.5" x14ac:dyDescent="0.25">
      <c r="A19" s="6" t="s">
        <v>28</v>
      </c>
      <c r="B19" s="7"/>
      <c r="C19" s="7"/>
      <c r="D19" s="88">
        <v>404363</v>
      </c>
      <c r="E19" s="85">
        <v>621336</v>
      </c>
      <c r="F19" s="85">
        <v>673534</v>
      </c>
      <c r="G19" s="85">
        <v>776274</v>
      </c>
      <c r="H19" s="85">
        <v>786996</v>
      </c>
      <c r="I19" s="85">
        <v>845027</v>
      </c>
      <c r="J19" s="85">
        <v>924264</v>
      </c>
      <c r="K19" s="85">
        <v>1025819</v>
      </c>
      <c r="L19" s="11"/>
      <c r="M19" s="11"/>
      <c r="N19" s="46" t="s">
        <v>95</v>
      </c>
      <c r="O19" s="51"/>
      <c r="P19" s="51"/>
      <c r="Q19" s="52">
        <f>E16/AVERAGE(D22:E22)</f>
        <v>3.0380630058190087E-2</v>
      </c>
      <c r="R19" s="52">
        <f>F16/AVERAGE(E22:F22)</f>
        <v>3.9013569992761822E-2</v>
      </c>
      <c r="S19" s="52">
        <f>G16/AVERAGE(F22:G22)</f>
        <v>3.6858549275300079E-2</v>
      </c>
      <c r="T19" s="18"/>
      <c r="U19" s="18"/>
      <c r="V19" s="18"/>
      <c r="W19" s="18"/>
    </row>
    <row r="20" spans="1:23" x14ac:dyDescent="0.25">
      <c r="A20" s="6" t="s">
        <v>56</v>
      </c>
      <c r="B20" s="7"/>
      <c r="C20" s="7"/>
      <c r="D20" s="88">
        <f t="shared" ref="D20:K20" si="6">D19-D71</f>
        <v>404363</v>
      </c>
      <c r="E20" s="89">
        <f t="shared" si="6"/>
        <v>621336</v>
      </c>
      <c r="F20" s="89">
        <f t="shared" si="6"/>
        <v>673534</v>
      </c>
      <c r="G20" s="89">
        <f t="shared" si="6"/>
        <v>776274</v>
      </c>
      <c r="H20" s="89">
        <f t="shared" si="6"/>
        <v>786996</v>
      </c>
      <c r="I20" s="89">
        <f t="shared" si="6"/>
        <v>845027</v>
      </c>
      <c r="J20" s="89">
        <f t="shared" si="6"/>
        <v>924264</v>
      </c>
      <c r="K20" s="89">
        <f t="shared" si="6"/>
        <v>1025819</v>
      </c>
      <c r="L20" s="11"/>
      <c r="M20" s="11"/>
      <c r="N20" s="42" t="s">
        <v>31</v>
      </c>
      <c r="O20" s="43"/>
      <c r="P20" s="43">
        <v>4.4699999999999997E-2</v>
      </c>
      <c r="Q20" s="44">
        <f>E18/AVERAGE(D22:E22)</f>
        <v>2.431623302789111E-3</v>
      </c>
      <c r="R20" s="44">
        <f>F18/AVERAGE(E22:F22)</f>
        <v>1.4370013139098263E-2</v>
      </c>
      <c r="S20" s="44">
        <f>G18/AVERAGE(F22:G22)</f>
        <v>1.5291813455931315E-2</v>
      </c>
      <c r="T20" s="48"/>
      <c r="U20" s="18"/>
      <c r="V20" s="18"/>
      <c r="W20" s="18"/>
    </row>
    <row r="21" spans="1:23" x14ac:dyDescent="0.25">
      <c r="A21" s="6" t="s">
        <v>57</v>
      </c>
      <c r="B21" s="9"/>
      <c r="C21" s="9"/>
      <c r="D21" s="85">
        <f>2241571+1462550+329760</f>
        <v>4033881</v>
      </c>
      <c r="E21" s="85">
        <f>1828010+1694927+295832</f>
        <v>3818769</v>
      </c>
      <c r="F21" s="85">
        <f>2005053+1463342+355532</f>
        <v>3823927</v>
      </c>
      <c r="G21" s="85">
        <f>2290671+2185506+432060</f>
        <v>4908237</v>
      </c>
      <c r="H21" s="85"/>
      <c r="I21" s="85">
        <f>2415660+2390449+432704</f>
        <v>5238813</v>
      </c>
      <c r="J21" s="85"/>
      <c r="K21" s="85">
        <f>2885262+3199338+432253</f>
        <v>6516853</v>
      </c>
      <c r="L21" s="11"/>
      <c r="M21" s="11"/>
      <c r="N21" s="42" t="s">
        <v>32</v>
      </c>
      <c r="O21" s="43"/>
      <c r="P21" s="44">
        <f>D18/AVERAGE(C19:D19)</f>
        <v>0.10809594349631396</v>
      </c>
      <c r="Q21" s="44">
        <f>E18/AVERAGE(D19:E19)</f>
        <v>2.2152697818755795E-2</v>
      </c>
      <c r="R21" s="44">
        <f>F18/AVERAGE(E19:F19)</f>
        <v>0.10456493702070478</v>
      </c>
      <c r="S21" s="44">
        <f>G18/AVERAGE(F19:G19)</f>
        <v>0.11273078918036043</v>
      </c>
      <c r="T21" s="18"/>
      <c r="U21" s="18"/>
      <c r="V21" s="18"/>
      <c r="W21" s="18"/>
    </row>
    <row r="22" spans="1:23" x14ac:dyDescent="0.25">
      <c r="A22" s="6" t="s">
        <v>29</v>
      </c>
      <c r="B22" s="7"/>
      <c r="C22" s="7"/>
      <c r="D22" s="88">
        <v>4663672</v>
      </c>
      <c r="E22" s="85">
        <v>4680703</v>
      </c>
      <c r="F22" s="85">
        <v>4741557</v>
      </c>
      <c r="G22" s="85">
        <v>5946384</v>
      </c>
      <c r="H22" s="85"/>
      <c r="I22" s="85">
        <v>6357139</v>
      </c>
      <c r="J22" s="85"/>
      <c r="K22" s="85">
        <v>7849940</v>
      </c>
      <c r="L22" s="11"/>
      <c r="M22" s="11"/>
      <c r="N22" s="40" t="s">
        <v>33</v>
      </c>
      <c r="O22" s="45"/>
      <c r="P22" s="45"/>
      <c r="Q22" s="45"/>
      <c r="R22" s="46" t="s">
        <v>5</v>
      </c>
      <c r="S22" s="18"/>
      <c r="T22" s="18"/>
      <c r="U22" s="18"/>
      <c r="V22" s="18"/>
      <c r="W22" s="18"/>
    </row>
    <row r="23" spans="1:23" x14ac:dyDescent="0.25">
      <c r="A23" s="6" t="s">
        <v>58</v>
      </c>
      <c r="B23" s="7"/>
      <c r="C23" s="7"/>
      <c r="D23" s="88">
        <v>4462742</v>
      </c>
      <c r="E23" s="85">
        <v>4429060</v>
      </c>
      <c r="F23" s="85">
        <v>4472364</v>
      </c>
      <c r="G23" s="85">
        <v>5604150</v>
      </c>
      <c r="H23" s="85"/>
      <c r="I23" s="85">
        <v>5829186</v>
      </c>
      <c r="J23" s="85"/>
      <c r="K23" s="85">
        <v>6964814</v>
      </c>
      <c r="L23" s="11"/>
      <c r="M23" s="11"/>
      <c r="N23" s="42" t="s">
        <v>34</v>
      </c>
      <c r="O23" s="43"/>
      <c r="P23" s="44">
        <f>D6/AVERAGE(C23:D23)</f>
        <v>0.1076439104030661</v>
      </c>
      <c r="Q23" s="44">
        <f>E6/AVERAGE(D23:E23)</f>
        <v>0.12266130082518707</v>
      </c>
      <c r="R23" s="44">
        <f>F6/AVERAGE(E23:F23)</f>
        <v>0.11741784235870575</v>
      </c>
      <c r="S23" s="44">
        <f>G6/AVERAGE(F23:G23)</f>
        <v>0.11058943598947017</v>
      </c>
      <c r="T23" s="18"/>
      <c r="U23" s="18"/>
      <c r="V23" s="18"/>
      <c r="W23" s="18"/>
    </row>
    <row r="24" spans="1:23" x14ac:dyDescent="0.25">
      <c r="A24" s="6" t="s">
        <v>59</v>
      </c>
      <c r="B24" s="10"/>
      <c r="C24" s="10"/>
      <c r="D24" s="89">
        <v>109338</v>
      </c>
      <c r="E24" s="89">
        <v>105791</v>
      </c>
      <c r="F24" s="89">
        <v>132917</v>
      </c>
      <c r="G24" s="89">
        <v>124904</v>
      </c>
      <c r="H24" s="89"/>
      <c r="I24" s="89"/>
      <c r="J24" s="89"/>
      <c r="K24" s="89"/>
      <c r="L24" s="11"/>
      <c r="M24" s="11"/>
      <c r="N24" s="42" t="s">
        <v>35</v>
      </c>
      <c r="O24" s="43"/>
      <c r="P24" s="44">
        <f>D9/AVERAGE(C21:D21)</f>
        <v>7.7469067629907767E-2</v>
      </c>
      <c r="Q24" s="44">
        <f>E9/AVERAGE(D21:E21)</f>
        <v>8.2946011855870305E-2</v>
      </c>
      <c r="R24" s="44">
        <f>F9/AVERAGE(E21:F21)</f>
        <v>7.58593564365245E-2</v>
      </c>
      <c r="S24" s="44">
        <f>G9/AVERAGE(F21:G21)</f>
        <v>6.488655045874081E-2</v>
      </c>
      <c r="T24" s="18"/>
      <c r="U24" s="18"/>
      <c r="V24" s="18"/>
      <c r="W24" s="18"/>
    </row>
    <row r="25" spans="1:23" x14ac:dyDescent="0.25">
      <c r="A25" s="6" t="s">
        <v>60</v>
      </c>
      <c r="B25" s="10"/>
      <c r="C25" s="10"/>
      <c r="D25" s="89">
        <v>17037</v>
      </c>
      <c r="E25" s="89">
        <v>23077</v>
      </c>
      <c r="F25" s="89">
        <v>38840</v>
      </c>
      <c r="G25" s="89">
        <v>26511</v>
      </c>
      <c r="H25" s="89"/>
      <c r="I25" s="89"/>
      <c r="J25" s="89"/>
      <c r="K25" s="89"/>
      <c r="L25" s="11"/>
      <c r="M25" s="11"/>
      <c r="N25" s="42" t="s">
        <v>36</v>
      </c>
      <c r="O25" s="43"/>
      <c r="P25" s="48">
        <f>P23-P24</f>
        <v>3.0174842773158336E-2</v>
      </c>
      <c r="Q25" s="48">
        <f>Q23-Q24</f>
        <v>3.9715288969316767E-2</v>
      </c>
      <c r="R25" s="48">
        <f>R23-R24</f>
        <v>4.1558485922181254E-2</v>
      </c>
      <c r="S25" s="48">
        <f>S23-S24</f>
        <v>4.5702885530729362E-2</v>
      </c>
      <c r="T25" s="18"/>
      <c r="U25" s="18"/>
      <c r="V25" s="18"/>
      <c r="W25" s="18"/>
    </row>
  </sheetData>
  <mergeCells count="2">
    <mergeCell ref="A2:A4"/>
    <mergeCell ref="I1:K1"/>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Y25"/>
  <sheetViews>
    <sheetView topLeftCell="O5" workbookViewId="0">
      <selection activeCell="AG6" sqref="AG6"/>
    </sheetView>
  </sheetViews>
  <sheetFormatPr defaultRowHeight="15" x14ac:dyDescent="0.25"/>
  <cols>
    <col min="1" max="1" width="28.140625" customWidth="1"/>
    <col min="4" max="4" width="11.28515625" customWidth="1"/>
    <col min="5" max="5" width="11.42578125" customWidth="1"/>
    <col min="6" max="6" width="11.7109375" customWidth="1"/>
    <col min="7" max="7" width="11.28515625" bestFit="1" customWidth="1"/>
    <col min="8" max="8" width="13.28515625" customWidth="1"/>
    <col min="15" max="15" width="28.7109375" customWidth="1"/>
    <col min="18" max="18" width="12.7109375" customWidth="1"/>
    <col min="20" max="20" width="13.42578125" bestFit="1" customWidth="1"/>
    <col min="21" max="21" width="13.42578125" customWidth="1"/>
  </cols>
  <sheetData>
    <row r="1" spans="1:25" x14ac:dyDescent="0.25">
      <c r="J1" s="772" t="s">
        <v>353</v>
      </c>
      <c r="K1" s="772"/>
      <c r="L1" s="772"/>
    </row>
    <row r="2" spans="1:25" ht="45" x14ac:dyDescent="0.25">
      <c r="A2" s="3"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3"/>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t="e">
        <f>E10/AVERAGE(D23:E23)</f>
        <v>#DIV/0!</v>
      </c>
      <c r="S3" s="44">
        <f>F10/AVERAGE(E23:F23)</f>
        <v>0.13547779213361394</v>
      </c>
      <c r="T3" s="44">
        <f>G10/AVERAGE(F23:G23)</f>
        <v>0.1413794156173111</v>
      </c>
      <c r="U3" s="44">
        <f>H10/AVERAGE(G23:H23)</f>
        <v>0.14921741594174254</v>
      </c>
      <c r="V3" s="18"/>
      <c r="W3" s="18"/>
      <c r="X3" s="18"/>
      <c r="Y3" s="18"/>
    </row>
    <row r="4" spans="1:25" x14ac:dyDescent="0.25">
      <c r="A4" s="3"/>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F5" s="85">
        <v>542113</v>
      </c>
      <c r="G5" s="90">
        <v>729004</v>
      </c>
      <c r="H5" s="90">
        <v>1632141</v>
      </c>
      <c r="I5" s="85"/>
      <c r="J5" s="85"/>
      <c r="K5" s="85"/>
      <c r="L5" s="85"/>
      <c r="M5" s="11"/>
      <c r="N5" s="11"/>
      <c r="O5" s="42" t="s">
        <v>127</v>
      </c>
      <c r="P5" s="46"/>
      <c r="Q5" s="47" t="e">
        <f>D21/D20</f>
        <v>#DIV/0!</v>
      </c>
      <c r="R5" s="47" t="e">
        <f>E21/E20</f>
        <v>#DIV/0!</v>
      </c>
      <c r="S5" s="47">
        <f>F21/F20</f>
        <v>0.12047156335636383</v>
      </c>
      <c r="T5" s="47">
        <f>G21/G20</f>
        <v>0.25904121716910317</v>
      </c>
      <c r="U5" s="47">
        <f>H21/H20</f>
        <v>1.385791223367377</v>
      </c>
      <c r="V5" s="18"/>
      <c r="W5" s="18"/>
      <c r="X5" s="18"/>
      <c r="Y5" s="18"/>
    </row>
    <row r="6" spans="1:25" x14ac:dyDescent="0.25">
      <c r="A6" s="6" t="s">
        <v>50</v>
      </c>
      <c r="B6" s="7"/>
      <c r="C6" s="8"/>
      <c r="F6" s="85">
        <v>438574</v>
      </c>
      <c r="G6" s="85">
        <v>659303</v>
      </c>
      <c r="H6" s="85">
        <v>1530679</v>
      </c>
      <c r="I6" s="85"/>
      <c r="J6" s="85"/>
      <c r="K6" s="85"/>
      <c r="L6" s="85"/>
      <c r="M6" s="11"/>
      <c r="N6" s="11"/>
      <c r="O6" s="42" t="s">
        <v>14</v>
      </c>
      <c r="P6" s="43"/>
      <c r="Q6" s="43"/>
      <c r="R6" s="43"/>
      <c r="S6" s="43">
        <v>1.0568</v>
      </c>
      <c r="T6" s="48">
        <v>0.78100000000000003</v>
      </c>
      <c r="U6" s="48">
        <v>0.4425</v>
      </c>
      <c r="V6" s="48"/>
      <c r="W6" s="18"/>
      <c r="X6" s="18"/>
      <c r="Y6" s="18"/>
    </row>
    <row r="7" spans="1:25" x14ac:dyDescent="0.25">
      <c r="A7" s="6" t="s">
        <v>51</v>
      </c>
      <c r="B7" s="7"/>
      <c r="C7" s="8"/>
      <c r="D7" s="87"/>
      <c r="E7" s="85"/>
      <c r="F7" s="85">
        <v>0</v>
      </c>
      <c r="G7" s="85">
        <v>0</v>
      </c>
      <c r="H7" s="85"/>
      <c r="I7" s="85"/>
      <c r="J7" s="85"/>
      <c r="K7" s="85"/>
      <c r="L7" s="85"/>
      <c r="M7" s="11"/>
      <c r="N7" s="11"/>
      <c r="O7" s="42" t="s">
        <v>15</v>
      </c>
      <c r="P7" s="43"/>
      <c r="Q7" s="44" t="e">
        <f>D20/D23</f>
        <v>#DIV/0!</v>
      </c>
      <c r="R7" s="44" t="e">
        <f>E20/E23</f>
        <v>#DIV/0!</v>
      </c>
      <c r="S7" s="44">
        <f>F20/F23</f>
        <v>1.3533989424177566</v>
      </c>
      <c r="T7" s="44">
        <f>G20/G23</f>
        <v>1.2126972013256732</v>
      </c>
      <c r="U7" s="44">
        <f>H20/H23</f>
        <v>0.47464160673132311</v>
      </c>
      <c r="V7" s="18"/>
      <c r="W7" s="18"/>
      <c r="X7" s="18"/>
      <c r="Y7" s="18"/>
    </row>
    <row r="8" spans="1:25" x14ac:dyDescent="0.25">
      <c r="A8" s="6" t="s">
        <v>52</v>
      </c>
      <c r="B8" s="7"/>
      <c r="C8" s="8"/>
      <c r="D8" s="85">
        <f t="shared" ref="D8:I8" si="0">D5-D6-D7</f>
        <v>0</v>
      </c>
      <c r="E8" s="85">
        <f t="shared" si="0"/>
        <v>0</v>
      </c>
      <c r="F8" s="85">
        <f t="shared" si="0"/>
        <v>103539</v>
      </c>
      <c r="G8" s="85">
        <f t="shared" si="0"/>
        <v>69701</v>
      </c>
      <c r="H8" s="85">
        <f t="shared" si="0"/>
        <v>101462</v>
      </c>
      <c r="I8" s="85">
        <f t="shared" si="0"/>
        <v>0</v>
      </c>
      <c r="J8" s="85"/>
      <c r="K8" s="85"/>
      <c r="L8" s="85"/>
      <c r="M8" s="11"/>
      <c r="N8" s="11"/>
      <c r="O8" s="40" t="s">
        <v>16</v>
      </c>
      <c r="P8" s="45"/>
      <c r="Q8" s="45"/>
      <c r="R8" s="45"/>
      <c r="S8" s="46" t="s">
        <v>5</v>
      </c>
      <c r="T8" s="18"/>
      <c r="U8" s="18"/>
      <c r="V8" s="18"/>
      <c r="W8" s="18"/>
      <c r="X8" s="18"/>
      <c r="Y8" s="18"/>
    </row>
    <row r="9" spans="1:25" ht="33.75" x14ac:dyDescent="0.25">
      <c r="A9" s="6" t="s">
        <v>24</v>
      </c>
      <c r="B9" s="7"/>
      <c r="C9" s="7"/>
      <c r="D9" s="88"/>
      <c r="E9" s="85"/>
      <c r="F9" s="85">
        <v>30366</v>
      </c>
      <c r="G9" s="85">
        <v>66537</v>
      </c>
      <c r="H9" s="85">
        <v>364663</v>
      </c>
      <c r="I9" s="85"/>
      <c r="J9" s="85"/>
      <c r="K9" s="85"/>
      <c r="L9" s="85"/>
      <c r="M9" s="11"/>
      <c r="N9" s="11"/>
      <c r="O9" s="49" t="s">
        <v>93</v>
      </c>
      <c r="P9" s="45"/>
      <c r="Q9" s="93" t="e">
        <f>D14/(D11-D9)</f>
        <v>#DIV/0!</v>
      </c>
      <c r="R9" s="93" t="e">
        <f>E14/(E11-E9)</f>
        <v>#DIV/0!</v>
      </c>
      <c r="S9" s="93">
        <f>F14/(F11-F9)</f>
        <v>0.73426712809259265</v>
      </c>
      <c r="T9" s="93">
        <f>G14/(G11-G9)</f>
        <v>0.80616242016583473</v>
      </c>
      <c r="U9" s="93">
        <f>H14/(H11-H9)</f>
        <v>0.67805595047803591</v>
      </c>
      <c r="V9" s="18"/>
      <c r="W9" s="18"/>
      <c r="X9" s="18"/>
      <c r="Y9" s="18"/>
    </row>
    <row r="10" spans="1:25" ht="22.5" x14ac:dyDescent="0.25">
      <c r="A10" s="6" t="s">
        <v>53</v>
      </c>
      <c r="B10" s="10">
        <f t="shared" ref="B10:I10" si="1">B6-B9</f>
        <v>0</v>
      </c>
      <c r="C10" s="10">
        <f t="shared" si="1"/>
        <v>0</v>
      </c>
      <c r="D10" s="89">
        <f t="shared" si="1"/>
        <v>0</v>
      </c>
      <c r="E10" s="89">
        <f t="shared" si="1"/>
        <v>0</v>
      </c>
      <c r="F10" s="89">
        <f t="shared" si="1"/>
        <v>408208</v>
      </c>
      <c r="G10" s="89">
        <f t="shared" si="1"/>
        <v>592766</v>
      </c>
      <c r="H10" s="89">
        <f>H6-H9</f>
        <v>1166016</v>
      </c>
      <c r="I10" s="89">
        <f t="shared" si="1"/>
        <v>0</v>
      </c>
      <c r="J10" s="89"/>
      <c r="K10" s="89"/>
      <c r="L10" s="89"/>
      <c r="M10" s="11"/>
      <c r="N10" s="11"/>
      <c r="O10" s="42" t="s">
        <v>92</v>
      </c>
      <c r="P10" s="43"/>
      <c r="Q10" s="44" t="e">
        <f>D14/D11</f>
        <v>#DIV/0!</v>
      </c>
      <c r="R10" s="44" t="e">
        <f>E14/E11</f>
        <v>#DIV/0!</v>
      </c>
      <c r="S10" s="44">
        <f>F14/F11</f>
        <v>0.69313777754822337</v>
      </c>
      <c r="T10" s="44">
        <f>G14/G11</f>
        <v>0.73258308596386301</v>
      </c>
      <c r="U10" s="44">
        <f>H14/H11</f>
        <v>0.52656051162246398</v>
      </c>
      <c r="V10" s="18"/>
      <c r="W10" s="18"/>
      <c r="X10" s="18"/>
      <c r="Y10" s="18"/>
    </row>
    <row r="11" spans="1:25" ht="22.5" x14ac:dyDescent="0.25">
      <c r="A11" s="6" t="s">
        <v>1</v>
      </c>
      <c r="B11" s="10">
        <f>B5-B9</f>
        <v>0</v>
      </c>
      <c r="C11" s="10">
        <f t="shared" ref="C11:I11" si="2">SUM(C6:C8)</f>
        <v>0</v>
      </c>
      <c r="D11" s="89">
        <f t="shared" si="2"/>
        <v>0</v>
      </c>
      <c r="E11" s="89">
        <f t="shared" si="2"/>
        <v>0</v>
      </c>
      <c r="F11" s="89">
        <f>SUM(F6:F8)</f>
        <v>542113</v>
      </c>
      <c r="G11" s="89">
        <f>SUM(G6:G8)</f>
        <v>729004</v>
      </c>
      <c r="H11" s="89">
        <f>SUM(H6:H8)</f>
        <v>1632141</v>
      </c>
      <c r="I11" s="89">
        <f t="shared" si="2"/>
        <v>0</v>
      </c>
      <c r="J11" s="89"/>
      <c r="K11" s="89"/>
      <c r="L11" s="89"/>
      <c r="M11" s="11"/>
      <c r="N11" s="11"/>
      <c r="O11" s="42" t="s">
        <v>17</v>
      </c>
      <c r="P11" s="43"/>
      <c r="Q11" s="44" t="e">
        <f>D14/AVERAGE(C22:D22)</f>
        <v>#DIV/0!</v>
      </c>
      <c r="R11" s="44" t="e">
        <f>E14/AVERAGE(D22:E22)</f>
        <v>#DIV/0!</v>
      </c>
      <c r="S11" s="44">
        <f>F14/AVERAGE(E22:F22)</f>
        <v>7.8091962383748117E-2</v>
      </c>
      <c r="T11" s="44">
        <f>G14/AVERAGE(F22:G22)</f>
        <v>9.4299520729681688E-2</v>
      </c>
      <c r="U11" s="44">
        <f>H14/AVERAGE(G22:H22)</f>
        <v>9.3828820520082165E-2</v>
      </c>
      <c r="V11" s="18"/>
      <c r="W11" s="18"/>
      <c r="X11" s="18"/>
      <c r="Y11" s="18"/>
    </row>
    <row r="12" spans="1:25" x14ac:dyDescent="0.25">
      <c r="A12" s="6" t="s">
        <v>91</v>
      </c>
      <c r="B12" s="10"/>
      <c r="C12" s="10"/>
      <c r="D12" s="89"/>
      <c r="E12" s="89"/>
      <c r="F12" s="89">
        <v>3032</v>
      </c>
      <c r="G12" s="89">
        <v>24911</v>
      </c>
      <c r="H12" s="89">
        <v>25989</v>
      </c>
      <c r="I12" s="89">
        <v>0</v>
      </c>
      <c r="J12" s="89"/>
      <c r="K12" s="89"/>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I13" si="3">D11+D12</f>
        <v>0</v>
      </c>
      <c r="E13" s="88">
        <f t="shared" si="3"/>
        <v>0</v>
      </c>
      <c r="F13" s="88">
        <f t="shared" si="3"/>
        <v>545145</v>
      </c>
      <c r="G13" s="88">
        <f t="shared" si="3"/>
        <v>753915</v>
      </c>
      <c r="H13" s="88">
        <f t="shared" si="3"/>
        <v>1658130</v>
      </c>
      <c r="I13" s="88">
        <f t="shared" si="3"/>
        <v>0</v>
      </c>
      <c r="J13" s="88"/>
      <c r="K13" s="88"/>
      <c r="L13" s="88"/>
      <c r="M13" s="11"/>
      <c r="N13" s="11"/>
      <c r="O13" s="42" t="s">
        <v>19</v>
      </c>
      <c r="P13" s="43"/>
      <c r="Q13" s="44" t="e">
        <f>D24/D23</f>
        <v>#DIV/0!</v>
      </c>
      <c r="R13" s="44" t="e">
        <f>E24/E23</f>
        <v>#DIV/0!</v>
      </c>
      <c r="S13" s="44">
        <f>F24/F23</f>
        <v>5.261360479692171E-3</v>
      </c>
      <c r="T13" s="44">
        <f>G24/G23</f>
        <v>1.1372272732772252E-2</v>
      </c>
      <c r="U13" s="44">
        <f>H24/H23</f>
        <v>9.5013168809986535E-3</v>
      </c>
      <c r="V13" s="48"/>
      <c r="W13" s="18"/>
      <c r="X13" s="18"/>
      <c r="Y13" s="18"/>
    </row>
    <row r="14" spans="1:25" x14ac:dyDescent="0.25">
      <c r="A14" s="6" t="s">
        <v>26</v>
      </c>
      <c r="B14" s="7"/>
      <c r="C14" s="7"/>
      <c r="D14" s="85"/>
      <c r="E14" s="85"/>
      <c r="F14" s="85">
        <f>304968+17809+52982</f>
        <v>375759</v>
      </c>
      <c r="G14" s="85">
        <f>433919+28992+71145</f>
        <v>534056</v>
      </c>
      <c r="H14" s="85">
        <f>687968+35213+136240</f>
        <v>859421</v>
      </c>
      <c r="I14" s="85"/>
      <c r="J14" s="85"/>
      <c r="K14" s="85"/>
      <c r="L14" s="85"/>
      <c r="M14" s="11"/>
      <c r="N14" s="11"/>
      <c r="O14" s="42" t="s">
        <v>20</v>
      </c>
      <c r="P14" s="43"/>
      <c r="Q14" s="44" t="e">
        <f>D25/D23</f>
        <v>#DIV/0!</v>
      </c>
      <c r="R14" s="44" t="e">
        <f>E25/E23</f>
        <v>#DIV/0!</v>
      </c>
      <c r="S14" s="44">
        <f>F25/F23</f>
        <v>2.4997519165483777E-3</v>
      </c>
      <c r="T14" s="44">
        <f>G25/G23</f>
        <v>9.5728789834644522E-3</v>
      </c>
      <c r="U14" s="44">
        <f>H25/H23</f>
        <v>7.4831913878751783E-3</v>
      </c>
      <c r="V14" s="48"/>
      <c r="W14" s="18"/>
      <c r="X14" s="18"/>
      <c r="Y14" s="18"/>
    </row>
    <row r="15" spans="1:25" x14ac:dyDescent="0.25">
      <c r="A15" s="6" t="s">
        <v>54</v>
      </c>
      <c r="B15" s="10"/>
      <c r="C15" s="10"/>
      <c r="D15" s="89">
        <f t="shared" ref="D15:I15" si="4">D11-D14</f>
        <v>0</v>
      </c>
      <c r="E15" s="89">
        <f t="shared" si="4"/>
        <v>0</v>
      </c>
      <c r="F15" s="89">
        <f t="shared" si="4"/>
        <v>166354</v>
      </c>
      <c r="G15" s="89">
        <f t="shared" si="4"/>
        <v>194948</v>
      </c>
      <c r="H15" s="89">
        <f t="shared" si="4"/>
        <v>772720</v>
      </c>
      <c r="I15" s="89">
        <f t="shared" si="4"/>
        <v>0</v>
      </c>
      <c r="J15" s="89"/>
      <c r="K15" s="89"/>
      <c r="L15" s="89"/>
      <c r="M15" s="11"/>
      <c r="N15" s="11"/>
      <c r="O15" s="42" t="s">
        <v>21</v>
      </c>
      <c r="P15" s="43"/>
      <c r="Q15" s="44" t="e">
        <f t="shared" ref="Q15:V15" si="5">(Q13-Q14)/Q13</f>
        <v>#DIV/0!</v>
      </c>
      <c r="R15" s="44" t="e">
        <f t="shared" si="5"/>
        <v>#DIV/0!</v>
      </c>
      <c r="S15" s="44">
        <f t="shared" si="5"/>
        <v>0.52488487983346999</v>
      </c>
      <c r="T15" s="44">
        <f t="shared" si="5"/>
        <v>0.15822639780018327</v>
      </c>
      <c r="U15" s="44">
        <f t="shared" si="5"/>
        <v>0.21240481907928496</v>
      </c>
      <c r="V15" s="44" t="e">
        <f t="shared" si="5"/>
        <v>#DIV/0!</v>
      </c>
      <c r="W15" s="18"/>
      <c r="X15" s="18"/>
      <c r="Y15" s="18"/>
    </row>
    <row r="16" spans="1:25" x14ac:dyDescent="0.25">
      <c r="A16" s="6" t="s">
        <v>94</v>
      </c>
      <c r="B16" s="10"/>
      <c r="C16" s="10"/>
      <c r="D16" s="89">
        <f t="shared" ref="D16:I16" si="6">D13-D14-D9</f>
        <v>0</v>
      </c>
      <c r="E16" s="89">
        <f t="shared" si="6"/>
        <v>0</v>
      </c>
      <c r="F16" s="89">
        <f t="shared" si="6"/>
        <v>139020</v>
      </c>
      <c r="G16" s="89">
        <f t="shared" si="6"/>
        <v>153322</v>
      </c>
      <c r="H16" s="89">
        <f t="shared" si="6"/>
        <v>434046</v>
      </c>
      <c r="I16" s="89">
        <f t="shared" si="6"/>
        <v>0</v>
      </c>
      <c r="J16" s="89"/>
      <c r="K16" s="89"/>
      <c r="L16" s="89"/>
      <c r="M16" s="11"/>
      <c r="N16" s="11"/>
      <c r="O16" s="42" t="s">
        <v>22</v>
      </c>
      <c r="P16" s="43"/>
      <c r="Q16" s="44" t="e">
        <f>D17/AVERAGE(C23:D23)</f>
        <v>#DIV/0!</v>
      </c>
      <c r="R16" s="44" t="e">
        <f>E17/AVERAGE(D23:E23)</f>
        <v>#DIV/0!</v>
      </c>
      <c r="S16" s="44">
        <f>F17/AVERAGE(E23:F23)</f>
        <v>2.4693513223428769E-2</v>
      </c>
      <c r="T16" s="44">
        <f>G17/AVERAGE(F23:G23)</f>
        <v>2.3654982002188549E-2</v>
      </c>
      <c r="U16" s="44">
        <f>H17/AVERAGE(G23:H23)</f>
        <v>1.8386379119523111E-2</v>
      </c>
      <c r="V16" s="18"/>
      <c r="W16" s="18"/>
      <c r="X16" s="18"/>
      <c r="Y16" s="18"/>
    </row>
    <row r="17" spans="1:25" x14ac:dyDescent="0.25">
      <c r="A17" s="6" t="s">
        <v>27</v>
      </c>
      <c r="B17" s="7"/>
      <c r="C17" s="7"/>
      <c r="D17" s="88"/>
      <c r="E17" s="85"/>
      <c r="F17" s="85">
        <v>74404</v>
      </c>
      <c r="G17" s="85">
        <v>99179</v>
      </c>
      <c r="H17" s="85">
        <v>143675</v>
      </c>
      <c r="I17" s="85"/>
      <c r="J17" s="85"/>
      <c r="K17" s="85"/>
      <c r="L17" s="85"/>
      <c r="M17" s="11"/>
      <c r="N17" s="11"/>
      <c r="O17" s="18"/>
      <c r="P17" s="18"/>
      <c r="Q17" s="18"/>
      <c r="R17" s="18"/>
      <c r="S17" s="18"/>
      <c r="T17" s="18"/>
      <c r="U17" s="18"/>
      <c r="V17" s="18"/>
      <c r="W17" s="18"/>
      <c r="X17" s="18"/>
      <c r="Y17" s="18"/>
    </row>
    <row r="18" spans="1:25" x14ac:dyDescent="0.25">
      <c r="A18" s="6" t="s">
        <v>55</v>
      </c>
      <c r="B18" s="7"/>
      <c r="C18" s="7"/>
      <c r="D18" s="88"/>
      <c r="E18" s="85"/>
      <c r="F18" s="89">
        <v>38666</v>
      </c>
      <c r="G18" s="89">
        <v>51457</v>
      </c>
      <c r="H18" s="89">
        <v>210476</v>
      </c>
      <c r="I18" s="89"/>
      <c r="J18" s="89"/>
      <c r="K18" s="89"/>
      <c r="L18" s="89"/>
      <c r="M18" s="11"/>
      <c r="N18" s="11"/>
      <c r="O18" s="40" t="s">
        <v>30</v>
      </c>
      <c r="P18" s="45"/>
      <c r="Q18" s="45"/>
      <c r="R18" s="45"/>
      <c r="S18" s="46" t="s">
        <v>5</v>
      </c>
      <c r="T18" s="18"/>
      <c r="U18" s="18"/>
      <c r="V18" s="18"/>
      <c r="W18" s="18"/>
      <c r="X18" s="18"/>
      <c r="Y18" s="18"/>
    </row>
    <row r="19" spans="1:25" ht="22.5" x14ac:dyDescent="0.25">
      <c r="A19" s="6" t="s">
        <v>28</v>
      </c>
      <c r="B19" s="7"/>
      <c r="C19" s="7"/>
      <c r="D19" s="88"/>
      <c r="E19" s="85"/>
      <c r="F19" s="85">
        <v>4077925</v>
      </c>
      <c r="G19" s="85">
        <v>6515052</v>
      </c>
      <c r="H19" s="85">
        <v>4867949</v>
      </c>
      <c r="I19" s="85"/>
      <c r="J19" s="85"/>
      <c r="K19" s="85"/>
      <c r="L19" s="85"/>
      <c r="M19" s="11"/>
      <c r="N19" s="11"/>
      <c r="O19" s="46" t="s">
        <v>95</v>
      </c>
      <c r="P19" s="51"/>
      <c r="Q19" s="51"/>
      <c r="R19" s="52" t="e">
        <f>E16/AVERAGE(D22:E22)</f>
        <v>#DIV/0!</v>
      </c>
      <c r="S19" s="52">
        <f>F16/AVERAGE(E22:F22)</f>
        <v>2.8891775341611681E-2</v>
      </c>
      <c r="T19" s="52">
        <f>G16/AVERAGE(F22:G22)</f>
        <v>2.7072425208810043E-2</v>
      </c>
      <c r="U19" s="52">
        <f>H16/AVERAGE(G22:H22)</f>
        <v>4.7387746205247001E-2</v>
      </c>
      <c r="V19" s="18"/>
      <c r="W19" s="18"/>
      <c r="X19" s="18"/>
      <c r="Y19" s="18"/>
    </row>
    <row r="20" spans="1:25" x14ac:dyDescent="0.25">
      <c r="A20" s="6" t="s">
        <v>56</v>
      </c>
      <c r="B20" s="7"/>
      <c r="C20" s="7"/>
      <c r="D20" s="88">
        <f t="shared" ref="D20:I20" si="7">D19-D71</f>
        <v>0</v>
      </c>
      <c r="E20" s="89">
        <f t="shared" si="7"/>
        <v>0</v>
      </c>
      <c r="F20" s="89">
        <f t="shared" si="7"/>
        <v>4077925</v>
      </c>
      <c r="G20" s="89">
        <f t="shared" si="7"/>
        <v>6515052</v>
      </c>
      <c r="H20" s="89">
        <f t="shared" si="7"/>
        <v>4867949</v>
      </c>
      <c r="I20" s="89">
        <f t="shared" si="7"/>
        <v>0</v>
      </c>
      <c r="J20" s="89"/>
      <c r="K20" s="89"/>
      <c r="L20" s="89"/>
      <c r="M20" s="11"/>
      <c r="N20" s="11"/>
      <c r="O20" s="42" t="s">
        <v>31</v>
      </c>
      <c r="P20" s="43"/>
      <c r="Q20" s="43">
        <v>4.4699999999999997E-2</v>
      </c>
      <c r="R20" s="44" t="e">
        <f>E18/AVERAGE(D22:E22)</f>
        <v>#DIV/0!</v>
      </c>
      <c r="S20" s="44">
        <f>F18/AVERAGE(E22:F22)</f>
        <v>8.0357458305190411E-3</v>
      </c>
      <c r="T20" s="44">
        <f>G18/AVERAGE(F22:G22)</f>
        <v>9.0858831998652401E-3</v>
      </c>
      <c r="U20" s="44">
        <f>H18/AVERAGE(G22:H22)</f>
        <v>2.2979092700533051E-2</v>
      </c>
      <c r="V20" s="48"/>
      <c r="W20" s="18"/>
      <c r="X20" s="18"/>
      <c r="Y20" s="18"/>
    </row>
    <row r="21" spans="1:25" x14ac:dyDescent="0.25">
      <c r="A21" s="6" t="s">
        <v>57</v>
      </c>
      <c r="B21" s="9"/>
      <c r="C21" s="9"/>
      <c r="D21" s="85"/>
      <c r="E21" s="85"/>
      <c r="F21" s="85">
        <v>491274</v>
      </c>
      <c r="G21" s="85">
        <v>1687667</v>
      </c>
      <c r="H21" s="85">
        <v>6745961</v>
      </c>
      <c r="I21" s="85"/>
      <c r="J21" s="85"/>
      <c r="K21" s="85"/>
      <c r="L21" s="85"/>
      <c r="M21" s="11"/>
      <c r="N21" s="11"/>
      <c r="O21" s="42" t="s">
        <v>32</v>
      </c>
      <c r="P21" s="43"/>
      <c r="Q21" s="44" t="e">
        <f>D18/AVERAGE(C19:D19)</f>
        <v>#DIV/0!</v>
      </c>
      <c r="R21" s="44" t="e">
        <f>E18/AVERAGE(D19:E19)</f>
        <v>#DIV/0!</v>
      </c>
      <c r="S21" s="44">
        <f>F18/AVERAGE(E19:F19)</f>
        <v>9.4817830146459291E-3</v>
      </c>
      <c r="T21" s="44">
        <f>G18/AVERAGE(F19:G19)</f>
        <v>9.7153047722089835E-3</v>
      </c>
      <c r="U21" s="44">
        <f>H18/AVERAGE(G19:H19)</f>
        <v>3.6980757534853949E-2</v>
      </c>
      <c r="V21" s="18"/>
      <c r="W21" s="18"/>
      <c r="X21" s="18"/>
      <c r="Y21" s="18"/>
    </row>
    <row r="22" spans="1:25" x14ac:dyDescent="0.25">
      <c r="A22" s="6" t="s">
        <v>29</v>
      </c>
      <c r="B22" s="7"/>
      <c r="C22" s="7"/>
      <c r="D22" s="88"/>
      <c r="E22" s="85"/>
      <c r="F22" s="85">
        <v>4811750</v>
      </c>
      <c r="G22" s="85">
        <v>6515052</v>
      </c>
      <c r="H22" s="85">
        <v>11803861</v>
      </c>
      <c r="I22" s="85"/>
      <c r="J22" s="85"/>
      <c r="K22" s="85"/>
      <c r="L22" s="85"/>
      <c r="M22" s="11"/>
      <c r="N22" s="11"/>
      <c r="O22" s="40" t="s">
        <v>33</v>
      </c>
      <c r="P22" s="45"/>
      <c r="Q22" s="45"/>
      <c r="R22" s="45"/>
      <c r="S22" s="46" t="s">
        <v>5</v>
      </c>
      <c r="T22" s="18"/>
      <c r="U22" s="18"/>
      <c r="V22" s="18"/>
      <c r="W22" s="18"/>
      <c r="X22" s="18"/>
      <c r="Y22" s="18"/>
    </row>
    <row r="23" spans="1:25" x14ac:dyDescent="0.25">
      <c r="A23" s="6" t="s">
        <v>58</v>
      </c>
      <c r="B23" s="7"/>
      <c r="C23" s="7"/>
      <c r="D23" s="88"/>
      <c r="E23" s="85"/>
      <c r="F23" s="85">
        <v>3013099</v>
      </c>
      <c r="G23" s="85">
        <v>5372365</v>
      </c>
      <c r="H23" s="85">
        <v>10256052</v>
      </c>
      <c r="I23" s="85"/>
      <c r="J23" s="85"/>
      <c r="K23" s="85"/>
      <c r="L23" s="85"/>
      <c r="M23" s="11"/>
      <c r="N23" s="11"/>
      <c r="O23" s="42" t="s">
        <v>34</v>
      </c>
      <c r="P23" s="43"/>
      <c r="Q23" s="44" t="e">
        <f>D6/AVERAGE(C23:D23)</f>
        <v>#DIV/0!</v>
      </c>
      <c r="R23" s="44" t="e">
        <f>E6/AVERAGE(D23:E23)</f>
        <v>#DIV/0!</v>
      </c>
      <c r="S23" s="44">
        <f>F6/AVERAGE(E23:F23)</f>
        <v>0.14555578824326715</v>
      </c>
      <c r="T23" s="44">
        <f>G6/AVERAGE(F23:G23)</f>
        <v>0.15724902044776531</v>
      </c>
      <c r="U23" s="44">
        <f>H6/AVERAGE(G23:H23)</f>
        <v>0.19588407450351497</v>
      </c>
      <c r="V23" s="18"/>
      <c r="W23" s="18"/>
      <c r="X23" s="18"/>
      <c r="Y23" s="18"/>
    </row>
    <row r="24" spans="1:25" x14ac:dyDescent="0.25">
      <c r="A24" s="6" t="s">
        <v>59</v>
      </c>
      <c r="B24" s="10"/>
      <c r="C24" s="10"/>
      <c r="D24" s="89"/>
      <c r="E24" s="89"/>
      <c r="F24" s="89">
        <v>15853</v>
      </c>
      <c r="G24" s="89">
        <v>61096</v>
      </c>
      <c r="H24" s="89">
        <v>97446</v>
      </c>
      <c r="I24" s="89"/>
      <c r="J24" s="89"/>
      <c r="K24" s="89"/>
      <c r="L24" s="89"/>
      <c r="M24" s="11"/>
      <c r="N24" s="11"/>
      <c r="O24" s="42" t="s">
        <v>35</v>
      </c>
      <c r="P24" s="43"/>
      <c r="Q24" s="44" t="e">
        <f>D9/AVERAGE(C21:D21)</f>
        <v>#DIV/0!</v>
      </c>
      <c r="R24" s="44" t="e">
        <f>E9/AVERAGE(D21:E21)</f>
        <v>#DIV/0!</v>
      </c>
      <c r="S24" s="44">
        <f>F9/AVERAGE(E21:F21)</f>
        <v>6.1810720697614771E-2</v>
      </c>
      <c r="T24" s="44">
        <f>G9/AVERAGE(F21:G21)</f>
        <v>6.1072787193411845E-2</v>
      </c>
      <c r="U24" s="44">
        <f>H9/AVERAGE(G21:H21)</f>
        <v>8.647832225941196E-2</v>
      </c>
      <c r="V24" s="18"/>
      <c r="W24" s="18"/>
      <c r="X24" s="18"/>
      <c r="Y24" s="18"/>
    </row>
    <row r="25" spans="1:25" x14ac:dyDescent="0.25">
      <c r="A25" s="6" t="s">
        <v>60</v>
      </c>
      <c r="B25" s="10"/>
      <c r="C25" s="10"/>
      <c r="D25" s="89"/>
      <c r="E25" s="89"/>
      <c r="F25" s="89">
        <v>7532</v>
      </c>
      <c r="G25" s="89">
        <v>51429</v>
      </c>
      <c r="H25" s="89">
        <v>76748</v>
      </c>
      <c r="I25" s="89"/>
      <c r="J25" s="89"/>
      <c r="K25" s="89"/>
      <c r="L25" s="89"/>
      <c r="M25" s="11"/>
      <c r="N25" s="11"/>
      <c r="O25" s="42" t="s">
        <v>36</v>
      </c>
      <c r="P25" s="43"/>
      <c r="Q25" s="48" t="e">
        <f>Q23-Q24</f>
        <v>#DIV/0!</v>
      </c>
      <c r="R25" s="48" t="e">
        <f>R23-R24</f>
        <v>#DIV/0!</v>
      </c>
      <c r="S25" s="48">
        <f>S23-S24</f>
        <v>8.3745067545652377E-2</v>
      </c>
      <c r="T25" s="48">
        <f>T23-T24</f>
        <v>9.6176233254353469E-2</v>
      </c>
      <c r="U25" s="48">
        <f>U23-U24</f>
        <v>0.10940575224410301</v>
      </c>
      <c r="V25" s="18"/>
      <c r="W25" s="18"/>
      <c r="X25" s="18"/>
      <c r="Y25" s="18"/>
    </row>
  </sheetData>
  <mergeCells count="1">
    <mergeCell ref="J1:L1"/>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W25"/>
  <sheetViews>
    <sheetView topLeftCell="G1" workbookViewId="0">
      <selection activeCell="AG6" sqref="AG6"/>
    </sheetView>
  </sheetViews>
  <sheetFormatPr defaultRowHeight="15" x14ac:dyDescent="0.25"/>
  <cols>
    <col min="1" max="1" width="31.5703125" customWidth="1"/>
    <col min="4" max="5" width="12.28515625" customWidth="1"/>
    <col min="6" max="6" width="12.140625" customWidth="1"/>
    <col min="7" max="7" width="13.28515625" customWidth="1"/>
    <col min="8" max="11" width="10.140625" bestFit="1" customWidth="1"/>
    <col min="14" max="14" width="30.28515625" customWidth="1"/>
    <col min="16" max="16" width="13.140625" customWidth="1"/>
    <col min="17" max="17" width="12.5703125" customWidth="1"/>
    <col min="18" max="18" width="9.140625" customWidth="1"/>
    <col min="19" max="19" width="12" customWidth="1"/>
  </cols>
  <sheetData>
    <row r="1" spans="1:23" x14ac:dyDescent="0.25">
      <c r="I1" s="772" t="s">
        <v>118</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7.8675649478944162E-2</v>
      </c>
      <c r="Q3" s="44">
        <f>E10/AVERAGE(D23:E23)</f>
        <v>5.6320597995490308E-2</v>
      </c>
      <c r="R3" s="44">
        <f>F10/AVERAGE(E23:F23)</f>
        <v>3.8701250555755372E-2</v>
      </c>
      <c r="S3" s="44">
        <f>G10/AVERAGE(F23:G23)</f>
        <v>4.1431923252769738E-2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29088.62</v>
      </c>
      <c r="E5">
        <v>36289.1</v>
      </c>
      <c r="F5" s="85">
        <v>41912.9</v>
      </c>
      <c r="G5" s="90">
        <v>54827.22</v>
      </c>
      <c r="H5" s="85">
        <v>15989</v>
      </c>
      <c r="I5" s="85">
        <v>19115.29</v>
      </c>
      <c r="J5" s="85">
        <v>21405.18</v>
      </c>
      <c r="K5" s="85">
        <v>22751.43</v>
      </c>
      <c r="L5" s="11"/>
      <c r="M5" s="11"/>
      <c r="N5" s="42" t="s">
        <v>13</v>
      </c>
      <c r="O5" s="46"/>
      <c r="P5" s="47">
        <f>D21/D20</f>
        <v>3.6256300669144537</v>
      </c>
      <c r="Q5" s="47">
        <f>E21/E20</f>
        <v>3.7601846893848823</v>
      </c>
      <c r="R5" s="47">
        <f>F21/F20</f>
        <v>5.5177782731293279</v>
      </c>
      <c r="S5" s="47">
        <f>G21/G20</f>
        <v>3.3661829014011921</v>
      </c>
      <c r="T5" s="47"/>
      <c r="U5" s="47">
        <f>I21/I20</f>
        <v>4.0666955515222911</v>
      </c>
      <c r="V5" s="18"/>
      <c r="W5" s="18"/>
    </row>
    <row r="6" spans="1:23" x14ac:dyDescent="0.25">
      <c r="A6" s="6" t="s">
        <v>50</v>
      </c>
      <c r="B6" s="7"/>
      <c r="C6" s="8"/>
      <c r="D6">
        <v>27403.64</v>
      </c>
      <c r="E6" s="91">
        <v>27200.67</v>
      </c>
      <c r="F6" s="91">
        <v>31380.720000000001</v>
      </c>
      <c r="G6" s="91">
        <v>44634.13</v>
      </c>
      <c r="H6" s="85">
        <v>13628.38</v>
      </c>
      <c r="I6" s="85">
        <v>15968.87</v>
      </c>
      <c r="J6" s="85">
        <v>18264.349999999999</v>
      </c>
      <c r="K6" s="85">
        <v>19207.55</v>
      </c>
      <c r="L6" s="11"/>
      <c r="M6" s="11"/>
      <c r="N6" s="42" t="s">
        <v>14</v>
      </c>
      <c r="O6" s="43"/>
      <c r="P6" s="43">
        <v>0.2994</v>
      </c>
      <c r="Q6" s="43">
        <v>0.27760000000000001</v>
      </c>
      <c r="R6" s="43">
        <v>0.2303</v>
      </c>
      <c r="S6" s="48">
        <v>0.309</v>
      </c>
      <c r="T6" s="48">
        <v>0.29559999999999997</v>
      </c>
      <c r="U6" s="48">
        <v>0.2727</v>
      </c>
      <c r="V6" s="48">
        <v>0.25440000000000002</v>
      </c>
      <c r="W6" s="18"/>
    </row>
    <row r="7" spans="1:23" x14ac:dyDescent="0.25">
      <c r="A7" s="6" t="s">
        <v>51</v>
      </c>
      <c r="B7" s="7"/>
      <c r="C7" s="8"/>
      <c r="D7" s="87"/>
      <c r="E7" s="85"/>
      <c r="F7" s="85">
        <v>0</v>
      </c>
      <c r="G7" s="85">
        <v>0</v>
      </c>
      <c r="H7" s="85"/>
      <c r="I7" s="85"/>
      <c r="J7" s="85"/>
      <c r="K7" s="85"/>
      <c r="L7" s="11"/>
      <c r="M7" s="11"/>
      <c r="N7" s="42" t="s">
        <v>15</v>
      </c>
      <c r="O7" s="43"/>
      <c r="P7" s="44">
        <f>D20/D23</f>
        <v>0.25210440286721286</v>
      </c>
      <c r="Q7" s="44">
        <f>E20/E23</f>
        <v>0.25341878422952197</v>
      </c>
      <c r="R7" s="44">
        <f>F20/F23</f>
        <v>0.16825864320144548</v>
      </c>
      <c r="S7" s="44">
        <f>G20/G23</f>
        <v>0.25305151760442202</v>
      </c>
      <c r="T7" s="18"/>
      <c r="U7" s="18"/>
      <c r="V7" s="18"/>
      <c r="W7" s="18"/>
    </row>
    <row r="8" spans="1:23" x14ac:dyDescent="0.25">
      <c r="A8" s="6" t="s">
        <v>52</v>
      </c>
      <c r="B8" s="7"/>
      <c r="C8" s="8"/>
      <c r="D8" s="85">
        <f t="shared" ref="D8:K8" si="0">D5-D6-D7</f>
        <v>1684.9799999999996</v>
      </c>
      <c r="E8" s="85">
        <f t="shared" si="0"/>
        <v>9088.43</v>
      </c>
      <c r="F8" s="85">
        <f t="shared" si="0"/>
        <v>10532.18</v>
      </c>
      <c r="G8" s="85">
        <f t="shared" si="0"/>
        <v>10193.090000000004</v>
      </c>
      <c r="H8" s="85">
        <f t="shared" si="0"/>
        <v>2360.6200000000008</v>
      </c>
      <c r="I8" s="85">
        <f t="shared" si="0"/>
        <v>3146.42</v>
      </c>
      <c r="J8" s="85">
        <f t="shared" si="0"/>
        <v>3140.8300000000017</v>
      </c>
      <c r="K8" s="85">
        <f t="shared" si="0"/>
        <v>3543.880000000001</v>
      </c>
      <c r="L8" s="11"/>
      <c r="M8" s="11"/>
      <c r="N8" s="40" t="s">
        <v>16</v>
      </c>
      <c r="O8" s="45"/>
      <c r="P8" s="45"/>
      <c r="Q8" s="45"/>
      <c r="R8" s="46" t="s">
        <v>5</v>
      </c>
      <c r="S8" s="18"/>
      <c r="T8" s="18"/>
      <c r="U8" s="18"/>
      <c r="V8" s="18"/>
      <c r="W8" s="18"/>
    </row>
    <row r="9" spans="1:23" ht="33.75" x14ac:dyDescent="0.25">
      <c r="A9" s="6" t="s">
        <v>24</v>
      </c>
      <c r="B9" s="7"/>
      <c r="C9" s="7"/>
      <c r="D9" s="88">
        <v>12867.04</v>
      </c>
      <c r="E9" s="85">
        <v>16296.92</v>
      </c>
      <c r="F9" s="85">
        <v>20833.73</v>
      </c>
      <c r="G9" s="85">
        <v>28060.05</v>
      </c>
      <c r="H9" s="85">
        <v>7491.69</v>
      </c>
      <c r="I9" s="85">
        <v>9515.9699999999993</v>
      </c>
      <c r="J9" s="85">
        <v>10303.36</v>
      </c>
      <c r="K9" s="85">
        <v>12067.9</v>
      </c>
      <c r="L9" s="11"/>
      <c r="M9" s="11"/>
      <c r="N9" s="49" t="s">
        <v>93</v>
      </c>
      <c r="O9" s="45"/>
      <c r="P9" s="45"/>
      <c r="Q9" s="50">
        <f>D14/(D11-D9)</f>
        <v>0.688913163822513</v>
      </c>
      <c r="R9" s="50">
        <f>E14/(E11-E9)</f>
        <v>0.56084829168204775</v>
      </c>
      <c r="S9" s="50">
        <f>F14/(F11-F9)</f>
        <v>0.52010729075196027</v>
      </c>
      <c r="T9" s="18"/>
      <c r="U9" s="18"/>
      <c r="V9" s="18"/>
      <c r="W9" s="18"/>
    </row>
    <row r="10" spans="1:23" ht="22.5" x14ac:dyDescent="0.25">
      <c r="A10" s="6" t="s">
        <v>53</v>
      </c>
      <c r="B10" s="10">
        <f t="shared" ref="B10:H10" si="1">B6-B9</f>
        <v>0</v>
      </c>
      <c r="C10" s="10">
        <f t="shared" si="1"/>
        <v>0</v>
      </c>
      <c r="D10" s="89">
        <f t="shared" si="1"/>
        <v>14536.599999999999</v>
      </c>
      <c r="E10" s="89">
        <f t="shared" si="1"/>
        <v>10903.749999999998</v>
      </c>
      <c r="F10" s="89">
        <f t="shared" si="1"/>
        <v>10546.990000000002</v>
      </c>
      <c r="G10" s="89">
        <f t="shared" si="1"/>
        <v>16574.079999999998</v>
      </c>
      <c r="H10" s="89">
        <f t="shared" si="1"/>
        <v>6136.69</v>
      </c>
      <c r="I10" s="89">
        <f>I6-I9</f>
        <v>6452.9000000000015</v>
      </c>
      <c r="J10" s="89">
        <f>J6-J9</f>
        <v>7960.989999999998</v>
      </c>
      <c r="K10" s="89">
        <f>K6-K9</f>
        <v>7139.65</v>
      </c>
      <c r="L10" s="11"/>
      <c r="M10" s="11"/>
      <c r="N10" s="42" t="s">
        <v>92</v>
      </c>
      <c r="O10" s="43"/>
      <c r="P10" s="44">
        <f>D14/D11</f>
        <v>0.3841797926474339</v>
      </c>
      <c r="Q10" s="44">
        <f>E14/E11</f>
        <v>0.30897928027975347</v>
      </c>
      <c r="R10" s="44">
        <f>F14/F11</f>
        <v>0.26157650747144673</v>
      </c>
      <c r="S10" s="44">
        <f>G14/G11</f>
        <v>0.27109308113743502</v>
      </c>
      <c r="T10" s="18"/>
      <c r="U10" s="18"/>
      <c r="V10" s="18"/>
      <c r="W10" s="18"/>
    </row>
    <row r="11" spans="1:23" ht="22.5" x14ac:dyDescent="0.25">
      <c r="A11" s="6" t="s">
        <v>1</v>
      </c>
      <c r="B11" s="10">
        <f>B5-B9</f>
        <v>0</v>
      </c>
      <c r="C11" s="10">
        <f t="shared" ref="C11:H11" si="2">SUM(C6:C8)</f>
        <v>0</v>
      </c>
      <c r="D11" s="89">
        <f t="shared" si="2"/>
        <v>29088.62</v>
      </c>
      <c r="E11" s="89">
        <f t="shared" si="2"/>
        <v>36289.1</v>
      </c>
      <c r="F11" s="89">
        <f>SUM(F6:F8)</f>
        <v>41912.9</v>
      </c>
      <c r="G11" s="89">
        <f>SUM(G6:G8)</f>
        <v>54827.22</v>
      </c>
      <c r="H11" s="89">
        <f t="shared" si="2"/>
        <v>15989</v>
      </c>
      <c r="I11" s="89">
        <f>SUM(I6:I8)</f>
        <v>19115.29</v>
      </c>
      <c r="J11" s="89">
        <f>SUM(J6:J8)</f>
        <v>21405.18</v>
      </c>
      <c r="K11" s="89">
        <f>SUM(K6:K8)</f>
        <v>22751.43</v>
      </c>
      <c r="L11" s="11"/>
      <c r="M11" s="11"/>
      <c r="N11" s="42" t="s">
        <v>17</v>
      </c>
      <c r="O11" s="43"/>
      <c r="P11" s="44">
        <f>D14/AVERAGE(C22:D22)</f>
        <v>5.1369454819351727E-2</v>
      </c>
      <c r="Q11" s="44">
        <f>E14/AVERAGE(D22:E22)</f>
        <v>4.7970968711664286E-2</v>
      </c>
      <c r="R11" s="44">
        <f>F14/AVERAGE(E22:F22)</f>
        <v>3.4628509775537379E-2</v>
      </c>
      <c r="S11" s="44">
        <f>G14/AVERAGE(F22:G22)</f>
        <v>3.3025470628254582E-2</v>
      </c>
      <c r="T11" s="18"/>
      <c r="U11" s="18"/>
      <c r="V11" s="18"/>
      <c r="W11" s="18"/>
    </row>
    <row r="12" spans="1:23" x14ac:dyDescent="0.25">
      <c r="A12" s="6" t="s">
        <v>91</v>
      </c>
      <c r="B12" s="10"/>
      <c r="C12" s="10"/>
      <c r="D12" s="89">
        <v>38.74</v>
      </c>
      <c r="E12" s="89">
        <v>310.45999999999998</v>
      </c>
      <c r="F12" s="89">
        <v>321.14999999999998</v>
      </c>
      <c r="G12" s="89">
        <v>90.33</v>
      </c>
      <c r="H12" s="89">
        <v>21.24</v>
      </c>
      <c r="I12" s="89">
        <v>22.77</v>
      </c>
      <c r="J12" s="89">
        <v>9.5500000000000007</v>
      </c>
      <c r="K12" s="89">
        <v>48.17</v>
      </c>
      <c r="L12" s="11"/>
      <c r="M12" s="11"/>
      <c r="N12" s="40" t="s">
        <v>18</v>
      </c>
      <c r="O12" s="45"/>
      <c r="P12" s="45"/>
      <c r="Q12" s="45"/>
      <c r="R12" s="46" t="s">
        <v>5</v>
      </c>
      <c r="S12" s="18"/>
      <c r="T12" s="18"/>
      <c r="U12" s="18"/>
      <c r="V12" s="53"/>
      <c r="W12" s="54"/>
    </row>
    <row r="13" spans="1:23" x14ac:dyDescent="0.25">
      <c r="A13" s="6" t="s">
        <v>25</v>
      </c>
      <c r="B13" s="7"/>
      <c r="C13" s="7"/>
      <c r="D13" s="88">
        <f t="shared" ref="D13:K13" si="3">D11+D12</f>
        <v>29127.360000000001</v>
      </c>
      <c r="E13" s="88">
        <f t="shared" si="3"/>
        <v>36599.56</v>
      </c>
      <c r="F13" s="88">
        <f t="shared" si="3"/>
        <v>42234.05</v>
      </c>
      <c r="G13" s="88">
        <f t="shared" si="3"/>
        <v>54917.55</v>
      </c>
      <c r="H13" s="88">
        <f t="shared" si="3"/>
        <v>16010.24</v>
      </c>
      <c r="I13" s="88">
        <f t="shared" si="3"/>
        <v>19138.060000000001</v>
      </c>
      <c r="J13" s="88">
        <f t="shared" si="3"/>
        <v>21414.73</v>
      </c>
      <c r="K13" s="88">
        <f t="shared" si="3"/>
        <v>22799.599999999999</v>
      </c>
      <c r="L13" s="11"/>
      <c r="M13" s="11"/>
      <c r="N13" s="42" t="s">
        <v>19</v>
      </c>
      <c r="O13" s="43"/>
      <c r="P13" s="44">
        <f>D24/D23</f>
        <v>2.7953436719131353E-2</v>
      </c>
      <c r="Q13" s="44">
        <f>E24/E23</f>
        <v>2.4126155367160892E-2</v>
      </c>
      <c r="R13" s="44">
        <f>F24/F23</f>
        <v>1.8744884485770896E-2</v>
      </c>
      <c r="S13" s="44">
        <f>G24/G23</f>
        <v>1.7225093880027551E-2</v>
      </c>
      <c r="T13" s="48"/>
      <c r="U13" s="48">
        <v>1.52E-2</v>
      </c>
      <c r="V13" s="48">
        <v>1.15E-2</v>
      </c>
      <c r="W13" s="48">
        <v>9.2999999999999992E-3</v>
      </c>
    </row>
    <row r="14" spans="1:23" x14ac:dyDescent="0.25">
      <c r="A14" s="6" t="s">
        <v>26</v>
      </c>
      <c r="B14" s="7"/>
      <c r="C14" s="7"/>
      <c r="D14" s="85">
        <f>5892.23+232.5+5050.53</f>
        <v>11175.259999999998</v>
      </c>
      <c r="E14" s="85">
        <f>6370.29+742.48+4099.81</f>
        <v>11212.580000000002</v>
      </c>
      <c r="F14" s="85">
        <f>6646.66+728.32+3588.45</f>
        <v>10963.43</v>
      </c>
      <c r="G14" s="85">
        <f>8523.77+787.02+5552.49</f>
        <v>14863.28</v>
      </c>
      <c r="H14" s="85">
        <f>2507.19+234.96+1419.9</f>
        <v>4162.05</v>
      </c>
      <c r="I14" s="85">
        <f>2497.92+251.47+1843.59</f>
        <v>4592.9799999999996</v>
      </c>
      <c r="J14" s="85">
        <f>3447.39+240.93+1416.8</f>
        <v>5105.12</v>
      </c>
      <c r="K14" s="85">
        <f>153.14+4581.6+633.09+1809.58</f>
        <v>7177.4100000000008</v>
      </c>
      <c r="L14" s="11"/>
      <c r="M14" s="11"/>
      <c r="N14" s="42" t="s">
        <v>20</v>
      </c>
      <c r="O14" s="43"/>
      <c r="P14" s="44">
        <f>D25/D23</f>
        <v>2.1915481398409525E-2</v>
      </c>
      <c r="Q14" s="44">
        <f>E25/E23</f>
        <v>1.8895039452573651E-2</v>
      </c>
      <c r="R14" s="44">
        <f>F25/F23</f>
        <v>1.463913431065912E-2</v>
      </c>
      <c r="S14" s="44">
        <f>G25/G23</f>
        <v>1.3194695426221762E-2</v>
      </c>
      <c r="T14" s="48"/>
      <c r="U14" s="48">
        <v>1.15E-2</v>
      </c>
      <c r="V14" s="48">
        <v>8.6999999999999994E-3</v>
      </c>
      <c r="W14" s="48">
        <v>6.8999999999999999E-3</v>
      </c>
    </row>
    <row r="15" spans="1:23" x14ac:dyDescent="0.25">
      <c r="A15" s="6" t="s">
        <v>54</v>
      </c>
      <c r="B15" s="10"/>
      <c r="C15" s="10"/>
      <c r="D15" s="89">
        <f t="shared" ref="D15:I15" si="4">D11-D14</f>
        <v>17913.36</v>
      </c>
      <c r="E15" s="89">
        <f t="shared" si="4"/>
        <v>25076.519999999997</v>
      </c>
      <c r="F15" s="89">
        <f t="shared" si="4"/>
        <v>30949.47</v>
      </c>
      <c r="G15" s="89">
        <f t="shared" si="4"/>
        <v>39963.94</v>
      </c>
      <c r="H15" s="89">
        <f t="shared" si="4"/>
        <v>11826.95</v>
      </c>
      <c r="I15" s="89">
        <f t="shared" si="4"/>
        <v>14522.310000000001</v>
      </c>
      <c r="J15" s="89">
        <f>J11-J14</f>
        <v>16300.060000000001</v>
      </c>
      <c r="K15" s="89">
        <f>K11-K14</f>
        <v>15574.02</v>
      </c>
      <c r="L15" s="11"/>
      <c r="M15" s="11"/>
      <c r="N15" s="42" t="s">
        <v>21</v>
      </c>
      <c r="O15" s="43"/>
      <c r="P15" s="44">
        <f>(P13-P14)/P13</f>
        <v>0.21600046467951639</v>
      </c>
      <c r="Q15" s="44">
        <f>(Q13-Q14)/Q13</f>
        <v>0.21682343643146429</v>
      </c>
      <c r="R15" s="44">
        <f>(R13-R14)/R13</f>
        <v>0.21903310090965994</v>
      </c>
      <c r="S15" s="44">
        <f>(S13-S14)/S13</f>
        <v>0.23398412118258613</v>
      </c>
      <c r="T15" s="44" t="e">
        <f>(T13-T14)/T13</f>
        <v>#DIV/0!</v>
      </c>
      <c r="U15" s="18"/>
      <c r="V15" s="18"/>
      <c r="W15" s="18"/>
    </row>
    <row r="16" spans="1:23" x14ac:dyDescent="0.25">
      <c r="A16" s="6" t="s">
        <v>94</v>
      </c>
      <c r="B16" s="10"/>
      <c r="C16" s="10"/>
      <c r="D16" s="89">
        <f t="shared" ref="D16:I16" si="5">D13-D14-D9</f>
        <v>5085.0600000000013</v>
      </c>
      <c r="E16" s="89">
        <f t="shared" si="5"/>
        <v>9090.0599999999959</v>
      </c>
      <c r="F16" s="89">
        <f t="shared" si="5"/>
        <v>10436.890000000003</v>
      </c>
      <c r="G16" s="89">
        <f t="shared" si="5"/>
        <v>11994.220000000005</v>
      </c>
      <c r="H16" s="89">
        <f t="shared" si="5"/>
        <v>4356.4999999999991</v>
      </c>
      <c r="I16" s="89">
        <f t="shared" si="5"/>
        <v>5029.1100000000024</v>
      </c>
      <c r="J16" s="89">
        <f>J13-J14-J9</f>
        <v>6006.25</v>
      </c>
      <c r="K16" s="89">
        <f>K13-K14-K9</f>
        <v>3554.2899999999991</v>
      </c>
      <c r="L16" s="11"/>
      <c r="M16" s="11"/>
      <c r="N16" s="42" t="s">
        <v>22</v>
      </c>
      <c r="O16" s="43"/>
      <c r="P16" s="44">
        <f>D17/AVERAGE(C23:D23)</f>
        <v>-7.243641274412814E-3</v>
      </c>
      <c r="Q16" s="44">
        <f>E17/AVERAGE(D23:E23)</f>
        <v>1.321844370388529E-2</v>
      </c>
      <c r="R16" s="44">
        <f>F17/AVERAGE(E23:F23)</f>
        <v>7.3875168845694943E-3</v>
      </c>
      <c r="S16" s="44">
        <f>G17/AVERAGE(F23:G23)</f>
        <v>2.6992865201773352E-3</v>
      </c>
      <c r="T16" s="18"/>
      <c r="U16" s="18"/>
      <c r="V16" s="18"/>
      <c r="W16" s="18"/>
    </row>
    <row r="17" spans="1:23" x14ac:dyDescent="0.25">
      <c r="A17" s="6" t="s">
        <v>27</v>
      </c>
      <c r="B17" s="7"/>
      <c r="C17" s="7"/>
      <c r="D17" s="88">
        <v>-1338.38</v>
      </c>
      <c r="E17" s="85">
        <v>2559.11</v>
      </c>
      <c r="F17" s="85">
        <v>2013.27</v>
      </c>
      <c r="G17" s="85">
        <v>1079.8</v>
      </c>
      <c r="H17" s="85">
        <v>321.08999999999997</v>
      </c>
      <c r="I17" s="85">
        <v>452.44</v>
      </c>
      <c r="J17" s="85">
        <v>143.05000000000001</v>
      </c>
      <c r="K17" s="85">
        <v>72.52</v>
      </c>
      <c r="L17" s="11"/>
      <c r="M17" s="11"/>
      <c r="N17" s="18"/>
      <c r="O17" s="18"/>
      <c r="P17" s="18"/>
      <c r="Q17" s="18"/>
      <c r="R17" s="18"/>
      <c r="S17" s="18"/>
      <c r="T17" s="18"/>
      <c r="U17" s="18"/>
      <c r="V17" s="18"/>
      <c r="W17" s="18"/>
    </row>
    <row r="18" spans="1:23" x14ac:dyDescent="0.25">
      <c r="A18" s="6" t="s">
        <v>55</v>
      </c>
      <c r="B18" s="7"/>
      <c r="C18" s="7"/>
      <c r="D18" s="88">
        <v>1665.13</v>
      </c>
      <c r="E18" s="85">
        <v>4651.8999999999996</v>
      </c>
      <c r="F18" s="89">
        <v>6238.31</v>
      </c>
      <c r="G18" s="89">
        <v>8034.13</v>
      </c>
      <c r="H18" s="89">
        <v>3020.76</v>
      </c>
      <c r="I18" s="89">
        <v>3402.62</v>
      </c>
      <c r="J18" s="89">
        <v>3638.35</v>
      </c>
      <c r="K18" s="89">
        <v>3713.71</v>
      </c>
      <c r="L18" s="11"/>
      <c r="M18" s="11"/>
      <c r="N18" s="40" t="s">
        <v>30</v>
      </c>
      <c r="O18" s="45"/>
      <c r="P18" s="45"/>
      <c r="Q18" s="45"/>
      <c r="R18" s="46" t="s">
        <v>5</v>
      </c>
      <c r="S18" s="18"/>
      <c r="T18" s="18"/>
      <c r="U18" s="18"/>
      <c r="V18" s="18"/>
      <c r="W18" s="18"/>
    </row>
    <row r="19" spans="1:23" ht="22.5" x14ac:dyDescent="0.25">
      <c r="A19" s="6" t="s">
        <v>28</v>
      </c>
      <c r="B19" s="7"/>
      <c r="C19" s="7"/>
      <c r="D19" s="88">
        <f>21416+25164.37</f>
        <v>46580.369999999995</v>
      </c>
      <c r="E19" s="85">
        <f>21416+29885.27</f>
        <v>51301.270000000004</v>
      </c>
      <c r="F19" s="85">
        <f>21416+36231.05</f>
        <v>57647.05</v>
      </c>
      <c r="G19" s="85">
        <f>32527.11+83232.2</f>
        <v>115759.31</v>
      </c>
      <c r="H19" s="85">
        <v>118818.73</v>
      </c>
      <c r="I19" s="85">
        <v>122255.53</v>
      </c>
      <c r="J19" s="85">
        <v>125957.79</v>
      </c>
      <c r="K19" s="85">
        <v>129918.74</v>
      </c>
      <c r="L19" s="11"/>
      <c r="M19" s="11"/>
      <c r="N19" s="46" t="s">
        <v>95</v>
      </c>
      <c r="O19" s="51"/>
      <c r="P19" s="51"/>
      <c r="Q19" s="52">
        <f>E16/AVERAGE(D22:E22)</f>
        <v>3.8890155864854545E-2</v>
      </c>
      <c r="R19" s="52">
        <f>F16/AVERAGE(E22:F22)</f>
        <v>3.2965408397847062E-2</v>
      </c>
      <c r="S19" s="52">
        <f>G16/AVERAGE(F22:G22)</f>
        <v>2.6650561674060089E-2</v>
      </c>
      <c r="T19" s="18"/>
      <c r="U19" s="18"/>
      <c r="V19" s="18"/>
      <c r="W19" s="18"/>
    </row>
    <row r="20" spans="1:23" x14ac:dyDescent="0.25">
      <c r="A20" s="6" t="s">
        <v>56</v>
      </c>
      <c r="B20" s="7"/>
      <c r="C20" s="7"/>
      <c r="D20" s="88">
        <f t="shared" ref="D20:J20" si="6">D19-D71</f>
        <v>46580.369999999995</v>
      </c>
      <c r="E20" s="89">
        <f t="shared" si="6"/>
        <v>51301.270000000004</v>
      </c>
      <c r="F20" s="89">
        <f t="shared" si="6"/>
        <v>57647.05</v>
      </c>
      <c r="G20" s="89">
        <f t="shared" si="6"/>
        <v>115759.31</v>
      </c>
      <c r="H20" s="89">
        <f t="shared" si="6"/>
        <v>118818.73</v>
      </c>
      <c r="I20" s="89">
        <f t="shared" si="6"/>
        <v>122255.53</v>
      </c>
      <c r="J20" s="89">
        <f t="shared" si="6"/>
        <v>125957.79</v>
      </c>
      <c r="K20" s="85">
        <v>129918.74</v>
      </c>
      <c r="L20" s="11"/>
      <c r="M20" s="11"/>
      <c r="N20" s="42" t="s">
        <v>31</v>
      </c>
      <c r="O20" s="43"/>
      <c r="P20" s="43">
        <v>4.4699999999999997E-2</v>
      </c>
      <c r="Q20" s="44">
        <f>E18/AVERAGE(D22:E22)</f>
        <v>1.9902301642422265E-2</v>
      </c>
      <c r="R20" s="44">
        <f>F18/AVERAGE(E22:F22)</f>
        <v>1.9703995813156336E-2</v>
      </c>
      <c r="S20" s="44">
        <f>G18/AVERAGE(F22:G22)</f>
        <v>1.7851438197933361E-2</v>
      </c>
      <c r="T20" s="48"/>
      <c r="U20" s="18"/>
      <c r="V20" s="18"/>
      <c r="W20" s="18"/>
    </row>
    <row r="21" spans="1:23" x14ac:dyDescent="0.25">
      <c r="A21" s="6" t="s">
        <v>57</v>
      </c>
      <c r="B21" s="9"/>
      <c r="C21" s="9"/>
      <c r="D21" s="85">
        <f>58014.79+110868.4</f>
        <v>168883.19</v>
      </c>
      <c r="E21" s="85">
        <f>38497.28+154404.97</f>
        <v>192902.25</v>
      </c>
      <c r="F21" s="85">
        <f>57889.82+260193.82</f>
        <v>318083.64</v>
      </c>
      <c r="G21" s="85">
        <f>53329.62+336337.39</f>
        <v>389667.01</v>
      </c>
      <c r="H21" s="85"/>
      <c r="I21" s="85">
        <f>80128.74+417047.28</f>
        <v>497176.02</v>
      </c>
      <c r="J21" s="85"/>
      <c r="K21" s="85">
        <f>127154.28+495474.08+6977.02</f>
        <v>629605.38</v>
      </c>
      <c r="L21" s="11"/>
      <c r="M21" s="11"/>
      <c r="N21" s="42" t="s">
        <v>32</v>
      </c>
      <c r="O21" s="43"/>
      <c r="P21" s="44">
        <f>D18/AVERAGE(C19:D19)</f>
        <v>3.5747461860006699E-2</v>
      </c>
      <c r="Q21" s="44">
        <f>E18/AVERAGE(D19:E19)</f>
        <v>9.5051533668622623E-2</v>
      </c>
      <c r="R21" s="44">
        <f>F18/AVERAGE(E19:F19)</f>
        <v>0.11451870024246358</v>
      </c>
      <c r="S21" s="44">
        <f>G18/AVERAGE(F19:G19)</f>
        <v>9.2662460592564208E-2</v>
      </c>
      <c r="T21" s="18"/>
      <c r="U21" s="18"/>
      <c r="V21" s="18"/>
      <c r="W21" s="18"/>
    </row>
    <row r="22" spans="1:23" x14ac:dyDescent="0.25">
      <c r="A22" s="6" t="s">
        <v>29</v>
      </c>
      <c r="B22" s="7"/>
      <c r="C22" s="7"/>
      <c r="D22" s="88">
        <v>217546.79</v>
      </c>
      <c r="E22" s="85">
        <v>249926.78</v>
      </c>
      <c r="F22" s="85">
        <v>383275.75</v>
      </c>
      <c r="G22" s="85">
        <v>516834.36</v>
      </c>
      <c r="H22" s="85"/>
      <c r="I22" s="85">
        <v>631670.14</v>
      </c>
      <c r="J22" s="85"/>
      <c r="K22" s="85">
        <v>774267.1</v>
      </c>
      <c r="L22" s="11"/>
      <c r="M22" s="11"/>
      <c r="N22" s="40" t="s">
        <v>33</v>
      </c>
      <c r="O22" s="45"/>
      <c r="P22" s="45"/>
      <c r="Q22" s="45"/>
      <c r="R22" s="46" t="s">
        <v>5</v>
      </c>
      <c r="S22" s="18"/>
      <c r="T22" s="18"/>
      <c r="U22" s="18"/>
      <c r="V22" s="18"/>
      <c r="W22" s="18"/>
    </row>
    <row r="23" spans="1:23" x14ac:dyDescent="0.25">
      <c r="A23" s="6" t="s">
        <v>58</v>
      </c>
      <c r="B23" s="7"/>
      <c r="C23" s="7"/>
      <c r="D23" s="88">
        <v>184766.19</v>
      </c>
      <c r="E23" s="85">
        <v>202436.73</v>
      </c>
      <c r="F23" s="85">
        <v>342609.74</v>
      </c>
      <c r="G23" s="85">
        <v>457453.53</v>
      </c>
      <c r="H23" s="85"/>
      <c r="I23" s="85">
        <v>554343.97</v>
      </c>
      <c r="J23" s="85"/>
      <c r="K23" s="85">
        <v>668134.78</v>
      </c>
      <c r="L23" s="11"/>
      <c r="M23" s="11"/>
      <c r="N23" s="42" t="s">
        <v>34</v>
      </c>
      <c r="O23" s="43"/>
      <c r="P23" s="44">
        <f>D6/AVERAGE(C23:D23)</f>
        <v>0.14831523018361747</v>
      </c>
      <c r="Q23" s="44">
        <f>E6/AVERAGE(D23:E23)</f>
        <v>0.1404982689696658</v>
      </c>
      <c r="R23" s="44">
        <f>F6/AVERAGE(E23:F23)</f>
        <v>0.11514878722175745</v>
      </c>
      <c r="S23" s="44">
        <f>G6/AVERAGE(F23:G23)</f>
        <v>0.11157650069350139</v>
      </c>
      <c r="T23" s="18"/>
      <c r="U23" s="18"/>
      <c r="V23" s="18"/>
      <c r="W23" s="18"/>
    </row>
    <row r="24" spans="1:23" x14ac:dyDescent="0.25">
      <c r="A24" s="6" t="s">
        <v>59</v>
      </c>
      <c r="B24" s="10"/>
      <c r="C24" s="10"/>
      <c r="D24" s="89">
        <v>5164.8500000000004</v>
      </c>
      <c r="E24" s="89">
        <v>4884.0200000000004</v>
      </c>
      <c r="F24" s="89">
        <v>6422.18</v>
      </c>
      <c r="G24" s="89">
        <v>7879.68</v>
      </c>
      <c r="H24" s="89"/>
      <c r="I24" s="89"/>
      <c r="J24" s="89"/>
      <c r="K24" s="89"/>
      <c r="L24" s="11"/>
      <c r="M24" s="11"/>
      <c r="N24" s="42" t="s">
        <v>35</v>
      </c>
      <c r="O24" s="43"/>
      <c r="P24" s="44">
        <f>D9/AVERAGE(C21:D21)</f>
        <v>7.6188991929865849E-2</v>
      </c>
      <c r="Q24" s="44">
        <f>E9/AVERAGE(D21:E21)</f>
        <v>9.0091630000367073E-2</v>
      </c>
      <c r="R24" s="44">
        <f>F9/AVERAGE(E21:F21)</f>
        <v>8.1543269228040713E-2</v>
      </c>
      <c r="S24" s="44">
        <f>G9/AVERAGE(F21:G21)</f>
        <v>7.9293604322369746E-2</v>
      </c>
      <c r="T24" s="18"/>
      <c r="U24" s="18"/>
      <c r="V24" s="18"/>
      <c r="W24" s="18"/>
    </row>
    <row r="25" spans="1:23" x14ac:dyDescent="0.25">
      <c r="A25" s="6" t="s">
        <v>60</v>
      </c>
      <c r="B25" s="10"/>
      <c r="C25" s="10"/>
      <c r="D25" s="89">
        <v>4049.24</v>
      </c>
      <c r="E25" s="89">
        <v>3825.05</v>
      </c>
      <c r="F25" s="89">
        <v>5015.51</v>
      </c>
      <c r="G25" s="89">
        <v>6035.96</v>
      </c>
      <c r="H25" s="89"/>
      <c r="I25" s="89"/>
      <c r="J25" s="89"/>
      <c r="K25" s="89"/>
      <c r="L25" s="11"/>
      <c r="M25" s="11"/>
      <c r="N25" s="42" t="s">
        <v>36</v>
      </c>
      <c r="O25" s="43"/>
      <c r="P25" s="48">
        <f>P23-P24</f>
        <v>7.2126238253751626E-2</v>
      </c>
      <c r="Q25" s="48">
        <f>Q23-Q24</f>
        <v>5.0406638969298728E-2</v>
      </c>
      <c r="R25" s="48">
        <f>R23-R24</f>
        <v>3.3605517993716735E-2</v>
      </c>
      <c r="S25" s="48">
        <f>S23-S24</f>
        <v>3.2282896371131645E-2</v>
      </c>
      <c r="T25" s="18"/>
      <c r="U25" s="18"/>
      <c r="V25" s="18"/>
      <c r="W25" s="18"/>
    </row>
  </sheetData>
  <mergeCells count="2">
    <mergeCell ref="A2:A4"/>
    <mergeCell ref="I1:K1"/>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C34"/>
  <sheetViews>
    <sheetView topLeftCell="L1" workbookViewId="0">
      <selection activeCell="I11" sqref="I11"/>
    </sheetView>
  </sheetViews>
  <sheetFormatPr defaultRowHeight="15" x14ac:dyDescent="0.25"/>
  <cols>
    <col min="1" max="1" width="30.140625" customWidth="1"/>
    <col min="4" max="4" width="10.5703125" customWidth="1"/>
    <col min="5" max="5" width="12" customWidth="1"/>
    <col min="6" max="6" width="12.28515625" customWidth="1"/>
    <col min="7" max="9" width="10.5703125" customWidth="1"/>
    <col min="11" max="11" width="10.140625" bestFit="1" customWidth="1"/>
    <col min="13" max="13" width="10.140625" bestFit="1" customWidth="1"/>
    <col min="15" max="15" width="10.140625" bestFit="1" customWidth="1"/>
    <col min="17" max="17" width="29.42578125" customWidth="1"/>
    <col min="19" max="19" width="13" customWidth="1"/>
    <col min="20" max="20" width="11.28515625" customWidth="1"/>
    <col min="21" max="21" width="13" customWidth="1"/>
    <col min="22" max="23" width="12.7109375" customWidth="1"/>
  </cols>
  <sheetData>
    <row r="1" spans="1:29" x14ac:dyDescent="0.25">
      <c r="K1" s="772" t="s">
        <v>119</v>
      </c>
      <c r="L1" s="772"/>
      <c r="M1" s="772"/>
    </row>
    <row r="2" spans="1:29" ht="45" x14ac:dyDescent="0.25">
      <c r="A2" s="771" t="s">
        <v>4</v>
      </c>
      <c r="B2" s="1" t="s">
        <v>43</v>
      </c>
      <c r="C2" s="1" t="s">
        <v>41</v>
      </c>
      <c r="D2" s="2" t="s">
        <v>44</v>
      </c>
      <c r="E2" s="2" t="s">
        <v>0</v>
      </c>
      <c r="F2" s="3" t="s">
        <v>45</v>
      </c>
      <c r="G2" s="3" t="s">
        <v>42</v>
      </c>
      <c r="H2" s="3" t="s">
        <v>495</v>
      </c>
      <c r="I2" s="3" t="s">
        <v>556</v>
      </c>
      <c r="J2" s="3" t="s">
        <v>37</v>
      </c>
      <c r="K2" s="3" t="s">
        <v>38</v>
      </c>
      <c r="L2" s="3" t="s">
        <v>39</v>
      </c>
      <c r="M2" s="3" t="s">
        <v>40</v>
      </c>
      <c r="N2" s="11"/>
      <c r="O2" s="11"/>
      <c r="P2" s="11"/>
      <c r="Q2" s="40" t="s">
        <v>6</v>
      </c>
      <c r="R2" s="41" t="s">
        <v>7</v>
      </c>
      <c r="S2" s="41" t="s">
        <v>8</v>
      </c>
      <c r="T2" s="41" t="s">
        <v>9</v>
      </c>
      <c r="U2" s="40" t="s">
        <v>10</v>
      </c>
      <c r="V2" s="41" t="s">
        <v>90</v>
      </c>
      <c r="W2" s="41" t="s">
        <v>492</v>
      </c>
      <c r="X2" s="40" t="s">
        <v>37</v>
      </c>
      <c r="Y2" s="41" t="s">
        <v>38</v>
      </c>
      <c r="Z2" s="41" t="s">
        <v>39</v>
      </c>
      <c r="AA2" s="41" t="s">
        <v>40</v>
      </c>
    </row>
    <row r="3" spans="1:29" x14ac:dyDescent="0.25">
      <c r="A3" s="771"/>
      <c r="B3" s="1" t="s">
        <v>46</v>
      </c>
      <c r="C3" s="4" t="s">
        <v>47</v>
      </c>
      <c r="D3" s="5" t="s">
        <v>47</v>
      </c>
      <c r="E3" s="5" t="s">
        <v>47</v>
      </c>
      <c r="F3" s="1" t="s">
        <v>46</v>
      </c>
      <c r="G3" s="1" t="s">
        <v>46</v>
      </c>
      <c r="H3" s="1" t="s">
        <v>46</v>
      </c>
      <c r="I3" s="1" t="s">
        <v>46</v>
      </c>
      <c r="J3" s="1" t="s">
        <v>96</v>
      </c>
      <c r="K3" s="1"/>
      <c r="L3" s="1"/>
      <c r="M3" s="1"/>
      <c r="N3" s="11"/>
      <c r="O3" s="11"/>
      <c r="P3" s="11"/>
      <c r="Q3" s="42" t="s">
        <v>11</v>
      </c>
      <c r="R3" s="43"/>
      <c r="S3" s="44" t="e">
        <f>D10/AVERAGE(C23:D23)</f>
        <v>#DIV/0!</v>
      </c>
      <c r="T3" s="44" t="e">
        <f>E10/AVERAGE(D23:E23)</f>
        <v>#DIV/0!</v>
      </c>
      <c r="U3" s="44">
        <f>F10/AVERAGE(E23:F23)</f>
        <v>7.1989101431000124E-2</v>
      </c>
      <c r="V3" s="44">
        <f>G10/AVERAGE(F23:G23)</f>
        <v>6.5700034028567403E-2</v>
      </c>
      <c r="W3" s="44">
        <f>H10/AVERAGE(G23:H23)</f>
        <v>6.4761484829277696E-2</v>
      </c>
      <c r="X3" s="18"/>
      <c r="Y3" s="18"/>
      <c r="Z3" s="18"/>
      <c r="AA3" s="18"/>
    </row>
    <row r="4" spans="1:29" x14ac:dyDescent="0.25">
      <c r="A4" s="771"/>
      <c r="B4" s="1" t="s">
        <v>48</v>
      </c>
      <c r="C4" s="1" t="s">
        <v>48</v>
      </c>
      <c r="D4" s="5" t="s">
        <v>49</v>
      </c>
      <c r="E4" s="5" t="s">
        <v>49</v>
      </c>
      <c r="F4" s="5" t="s">
        <v>49</v>
      </c>
      <c r="G4" s="5" t="s">
        <v>49</v>
      </c>
      <c r="H4" s="5" t="s">
        <v>49</v>
      </c>
      <c r="I4" s="5" t="s">
        <v>49</v>
      </c>
      <c r="J4" s="5"/>
      <c r="K4" s="5"/>
      <c r="L4" s="5"/>
      <c r="M4" s="5"/>
      <c r="N4" s="11"/>
      <c r="O4" s="11"/>
      <c r="P4" s="11"/>
      <c r="Q4" s="40" t="s">
        <v>12</v>
      </c>
      <c r="R4" s="45"/>
      <c r="S4" s="45"/>
      <c r="T4" s="45"/>
      <c r="U4" s="46" t="s">
        <v>5</v>
      </c>
      <c r="V4" s="18"/>
      <c r="W4" s="18"/>
      <c r="X4" s="18"/>
      <c r="Y4" s="18"/>
      <c r="Z4" s="18"/>
      <c r="AA4" s="18"/>
    </row>
    <row r="5" spans="1:29" x14ac:dyDescent="0.25">
      <c r="A5" s="6" t="s">
        <v>23</v>
      </c>
      <c r="B5" s="7"/>
      <c r="C5" s="8"/>
      <c r="F5" s="85">
        <v>9886</v>
      </c>
      <c r="G5" s="90">
        <v>16147</v>
      </c>
      <c r="H5" s="90">
        <v>27278</v>
      </c>
      <c r="I5" s="90">
        <v>40193</v>
      </c>
      <c r="J5" s="85">
        <v>9231</v>
      </c>
      <c r="K5" s="85">
        <v>10109</v>
      </c>
      <c r="L5" s="85">
        <v>10467</v>
      </c>
      <c r="M5" s="85">
        <v>10385</v>
      </c>
      <c r="N5" s="11">
        <v>9934</v>
      </c>
      <c r="O5" s="11">
        <v>10231</v>
      </c>
      <c r="P5" s="11"/>
      <c r="Q5" s="42" t="s">
        <v>13</v>
      </c>
      <c r="R5" s="46"/>
      <c r="S5" s="47" t="e">
        <f>D21/D20</f>
        <v>#DIV/0!</v>
      </c>
      <c r="T5" s="47" t="e">
        <f>E21/E20</f>
        <v>#DIV/0!</v>
      </c>
      <c r="U5" s="47">
        <f>F21/F20</f>
        <v>0.67337263720901963</v>
      </c>
      <c r="V5" s="47">
        <f>G21/G20</f>
        <v>1.1068965067608976</v>
      </c>
      <c r="W5" s="47">
        <f>H21/H20</f>
        <v>1.6874193639522728</v>
      </c>
      <c r="X5" s="47"/>
      <c r="Y5" s="47"/>
      <c r="Z5" s="47"/>
      <c r="AA5" s="47">
        <f>M21/M20</f>
        <v>1.7853645388796551</v>
      </c>
    </row>
    <row r="6" spans="1:29" x14ac:dyDescent="0.25">
      <c r="A6" s="6" t="s">
        <v>50</v>
      </c>
      <c r="B6" s="7"/>
      <c r="C6" s="8"/>
      <c r="F6" s="85">
        <v>8342</v>
      </c>
      <c r="G6" s="85">
        <v>13602</v>
      </c>
      <c r="H6" s="85">
        <v>23787</v>
      </c>
      <c r="I6" s="85">
        <v>31914</v>
      </c>
      <c r="J6" s="85">
        <v>8784</v>
      </c>
      <c r="K6" s="85">
        <v>9032</v>
      </c>
      <c r="L6" s="85">
        <v>9304</v>
      </c>
      <c r="M6" s="85">
        <v>8978</v>
      </c>
      <c r="N6" s="11">
        <v>9161</v>
      </c>
      <c r="O6" s="11">
        <v>9499</v>
      </c>
      <c r="P6" s="11"/>
      <c r="Q6" s="42" t="s">
        <v>14</v>
      </c>
      <c r="R6" s="43"/>
      <c r="S6" s="43"/>
      <c r="T6" s="43"/>
      <c r="U6" s="43">
        <v>0.63170000000000004</v>
      </c>
      <c r="V6" s="48">
        <v>0.48230000000000001</v>
      </c>
      <c r="W6" s="48">
        <v>0.43240000000000001</v>
      </c>
      <c r="X6" s="48"/>
      <c r="Y6" s="48">
        <v>0.42120000000000002</v>
      </c>
      <c r="Z6" s="48">
        <v>0.43519999999999998</v>
      </c>
      <c r="AA6" s="48">
        <v>0.39539999999999997</v>
      </c>
      <c r="AC6" s="80">
        <v>0.40079999999999999</v>
      </c>
    </row>
    <row r="7" spans="1:29" x14ac:dyDescent="0.25">
      <c r="A7" s="6" t="s">
        <v>51</v>
      </c>
      <c r="B7" s="7"/>
      <c r="C7" s="8"/>
      <c r="D7" s="87"/>
      <c r="E7" s="85"/>
      <c r="F7" s="85">
        <v>0</v>
      </c>
      <c r="G7" s="85">
        <v>0</v>
      </c>
      <c r="H7" s="85"/>
      <c r="I7" s="85"/>
      <c r="J7" s="85"/>
      <c r="K7" s="85"/>
      <c r="L7" s="85"/>
      <c r="M7" s="85"/>
      <c r="N7" s="11"/>
      <c r="O7" s="11"/>
      <c r="P7" s="11"/>
      <c r="Q7" s="42" t="s">
        <v>15</v>
      </c>
      <c r="R7" s="43"/>
      <c r="S7" s="44" t="e">
        <f>D20/D23</f>
        <v>#DIV/0!</v>
      </c>
      <c r="T7" s="44" t="e">
        <f>E20/E23</f>
        <v>#DIV/0!</v>
      </c>
      <c r="U7" s="44">
        <f>F20/F23</f>
        <v>0.74096758576430721</v>
      </c>
      <c r="V7" s="44">
        <f>G20/G23</f>
        <v>0.50403207255758931</v>
      </c>
      <c r="W7" s="44">
        <f>H20/H23</f>
        <v>0.42990340159188994</v>
      </c>
      <c r="X7" s="18"/>
      <c r="Y7" s="18"/>
      <c r="Z7" s="18"/>
      <c r="AA7" s="18"/>
    </row>
    <row r="8" spans="1:29" x14ac:dyDescent="0.25">
      <c r="A8" s="6" t="s">
        <v>52</v>
      </c>
      <c r="B8" s="7"/>
      <c r="C8" s="8"/>
      <c r="D8" s="85">
        <f t="shared" ref="D8:O8" si="0">D5-D6-D7</f>
        <v>0</v>
      </c>
      <c r="E8" s="85">
        <f t="shared" si="0"/>
        <v>0</v>
      </c>
      <c r="F8" s="85">
        <f t="shared" si="0"/>
        <v>1544</v>
      </c>
      <c r="G8" s="85">
        <f t="shared" si="0"/>
        <v>2545</v>
      </c>
      <c r="H8" s="85">
        <f t="shared" si="0"/>
        <v>3491</v>
      </c>
      <c r="I8" s="85">
        <f t="shared" si="0"/>
        <v>8279</v>
      </c>
      <c r="J8" s="85">
        <f t="shared" si="0"/>
        <v>447</v>
      </c>
      <c r="K8" s="85">
        <f t="shared" si="0"/>
        <v>1077</v>
      </c>
      <c r="L8" s="85">
        <f t="shared" si="0"/>
        <v>1163</v>
      </c>
      <c r="M8" s="85">
        <f t="shared" si="0"/>
        <v>1407</v>
      </c>
      <c r="N8" s="85">
        <f t="shared" si="0"/>
        <v>773</v>
      </c>
      <c r="O8" s="85">
        <f t="shared" si="0"/>
        <v>732</v>
      </c>
      <c r="P8" s="11"/>
      <c r="Q8" s="40" t="s">
        <v>16</v>
      </c>
      <c r="R8" s="45"/>
      <c r="S8" s="45"/>
      <c r="T8" s="45"/>
      <c r="U8" s="46" t="s">
        <v>5</v>
      </c>
      <c r="V8" s="18"/>
      <c r="W8" s="18"/>
      <c r="X8" s="18"/>
      <c r="Y8" s="18"/>
      <c r="Z8" s="18"/>
      <c r="AA8" s="18"/>
    </row>
    <row r="9" spans="1:29" ht="33.75" x14ac:dyDescent="0.25">
      <c r="A9" s="6" t="s">
        <v>24</v>
      </c>
      <c r="B9" s="7"/>
      <c r="C9" s="7"/>
      <c r="D9" s="88"/>
      <c r="E9" s="85"/>
      <c r="F9" s="85">
        <v>1948</v>
      </c>
      <c r="G9" s="85">
        <v>5686</v>
      </c>
      <c r="H9" s="85">
        <v>10862</v>
      </c>
      <c r="I9" s="85">
        <v>18260</v>
      </c>
      <c r="J9" s="85">
        <v>4299</v>
      </c>
      <c r="K9" s="85">
        <v>4504</v>
      </c>
      <c r="L9" s="85">
        <v>4749</v>
      </c>
      <c r="M9" s="85">
        <v>4707</v>
      </c>
      <c r="N9" s="11">
        <v>4655</v>
      </c>
      <c r="O9" s="11">
        <v>4953</v>
      </c>
      <c r="P9" s="11"/>
      <c r="Q9" s="49" t="s">
        <v>93</v>
      </c>
      <c r="R9" s="45"/>
      <c r="S9" s="50" t="e">
        <f>D14/(D11-D9)</f>
        <v>#DIV/0!</v>
      </c>
      <c r="T9" s="50" t="e">
        <f>E14/(E11-E9)</f>
        <v>#DIV/0!</v>
      </c>
      <c r="U9" s="50">
        <f>F14/(F11-F9)</f>
        <v>0.84038800705467376</v>
      </c>
      <c r="V9" s="50">
        <f>G14/(G11-G9)</f>
        <v>0.83338112991109836</v>
      </c>
      <c r="W9" s="50">
        <f>H14/(H11-H9)</f>
        <v>0.69742933723196876</v>
      </c>
      <c r="X9" s="18"/>
      <c r="Y9" s="18"/>
      <c r="Z9" s="18"/>
      <c r="AA9" s="18"/>
    </row>
    <row r="10" spans="1:29" ht="22.5" x14ac:dyDescent="0.25">
      <c r="A10" s="6" t="s">
        <v>53</v>
      </c>
      <c r="B10" s="10">
        <f t="shared" ref="B10:J10" si="1">B6-B9</f>
        <v>0</v>
      </c>
      <c r="C10" s="10">
        <f t="shared" si="1"/>
        <v>0</v>
      </c>
      <c r="D10" s="89">
        <f t="shared" si="1"/>
        <v>0</v>
      </c>
      <c r="E10" s="89">
        <f t="shared" si="1"/>
        <v>0</v>
      </c>
      <c r="F10" s="89">
        <f t="shared" si="1"/>
        <v>6394</v>
      </c>
      <c r="G10" s="89">
        <f t="shared" si="1"/>
        <v>7916</v>
      </c>
      <c r="H10" s="89">
        <f>H6-H9</f>
        <v>12925</v>
      </c>
      <c r="I10" s="89">
        <f>I6-I9</f>
        <v>13654</v>
      </c>
      <c r="J10" s="89">
        <f t="shared" si="1"/>
        <v>4485</v>
      </c>
      <c r="K10" s="89">
        <f>K6-K9</f>
        <v>4528</v>
      </c>
      <c r="L10" s="89">
        <f>L6-L9</f>
        <v>4555</v>
      </c>
      <c r="M10" s="89">
        <f>M6-M9</f>
        <v>4271</v>
      </c>
      <c r="N10" s="89">
        <f t="shared" ref="N10:O10" si="2">N6-N9</f>
        <v>4506</v>
      </c>
      <c r="O10" s="89">
        <f t="shared" si="2"/>
        <v>4546</v>
      </c>
      <c r="P10" s="11"/>
      <c r="Q10" s="42" t="s">
        <v>92</v>
      </c>
      <c r="R10" s="43"/>
      <c r="S10" s="44" t="e">
        <f>D14/D11</f>
        <v>#DIV/0!</v>
      </c>
      <c r="T10" s="44" t="e">
        <f>E14/E11</f>
        <v>#DIV/0!</v>
      </c>
      <c r="U10" s="44">
        <f>F14/F11</f>
        <v>0.67479263605098116</v>
      </c>
      <c r="V10" s="44">
        <f>G14/G11</f>
        <v>0.53991453520777855</v>
      </c>
      <c r="W10" s="44">
        <f>H14/H11</f>
        <v>0.41971552166581128</v>
      </c>
      <c r="X10" s="18"/>
      <c r="Y10" s="18"/>
      <c r="Z10" s="18"/>
      <c r="AA10" s="18"/>
    </row>
    <row r="11" spans="1:29" ht="22.5" x14ac:dyDescent="0.25">
      <c r="A11" s="6" t="s">
        <v>1</v>
      </c>
      <c r="B11" s="10">
        <f>B5-B9</f>
        <v>0</v>
      </c>
      <c r="C11" s="10">
        <f t="shared" ref="C11:J11" si="3">SUM(C6:C8)</f>
        <v>0</v>
      </c>
      <c r="D11" s="89">
        <f t="shared" si="3"/>
        <v>0</v>
      </c>
      <c r="E11" s="89">
        <f t="shared" si="3"/>
        <v>0</v>
      </c>
      <c r="F11" s="89">
        <f>SUM(F6:F8)</f>
        <v>9886</v>
      </c>
      <c r="G11" s="89">
        <f>SUM(G6:G8)</f>
        <v>16147</v>
      </c>
      <c r="H11" s="89">
        <f>SUM(H6:H8)</f>
        <v>27278</v>
      </c>
      <c r="I11" s="89">
        <f>SUM(I6:I8)</f>
        <v>40193</v>
      </c>
      <c r="J11" s="89">
        <f t="shared" si="3"/>
        <v>9231</v>
      </c>
      <c r="K11" s="89">
        <f>SUM(K6:K8)</f>
        <v>10109</v>
      </c>
      <c r="L11" s="89">
        <f>SUM(L6:L8)</f>
        <v>10467</v>
      </c>
      <c r="M11" s="89">
        <f>SUM(M6:M8)</f>
        <v>10385</v>
      </c>
      <c r="N11" s="89">
        <f t="shared" ref="N11:O11" si="4">SUM(N6:N8)</f>
        <v>9934</v>
      </c>
      <c r="O11" s="89">
        <f t="shared" si="4"/>
        <v>10231</v>
      </c>
      <c r="P11" s="11"/>
      <c r="Q11" s="42" t="s">
        <v>17</v>
      </c>
      <c r="R11" s="43"/>
      <c r="S11" s="44" t="e">
        <f>D14/AVERAGE(C22:D22)</f>
        <v>#DIV/0!</v>
      </c>
      <c r="T11" s="44" t="e">
        <f>E14/AVERAGE(D22:E22)</f>
        <v>#DIV/0!</v>
      </c>
      <c r="U11" s="44">
        <f>F14/AVERAGE(E22:F22)</f>
        <v>5.8100646240136562E-2</v>
      </c>
      <c r="V11" s="44">
        <f>G14/AVERAGE(F22:G22)</f>
        <v>6.1170791262919327E-2</v>
      </c>
      <c r="W11" s="44">
        <f>H14/AVERAGE(G22:H22)</f>
        <v>4.8700601260371047E-2</v>
      </c>
      <c r="X11" s="18"/>
      <c r="Y11" s="18"/>
      <c r="Z11" s="18"/>
      <c r="AA11" s="18"/>
    </row>
    <row r="12" spans="1:29" x14ac:dyDescent="0.25">
      <c r="A12" s="6" t="s">
        <v>91</v>
      </c>
      <c r="B12" s="10"/>
      <c r="C12" s="10"/>
      <c r="D12" s="89"/>
      <c r="E12" s="89"/>
      <c r="F12" s="89">
        <v>7</v>
      </c>
      <c r="G12" s="89">
        <v>20</v>
      </c>
      <c r="H12" s="89">
        <v>28</v>
      </c>
      <c r="I12" s="89">
        <v>76</v>
      </c>
      <c r="J12" s="89">
        <v>65</v>
      </c>
      <c r="K12" s="89">
        <v>11</v>
      </c>
      <c r="L12" s="89">
        <v>0</v>
      </c>
      <c r="M12" s="89">
        <v>0</v>
      </c>
      <c r="N12" s="11">
        <v>18</v>
      </c>
      <c r="O12" s="11">
        <v>35</v>
      </c>
      <c r="P12" s="11"/>
      <c r="Q12" s="40" t="s">
        <v>18</v>
      </c>
      <c r="R12" s="45"/>
      <c r="S12" s="45"/>
      <c r="T12" s="45"/>
      <c r="U12" s="46" t="s">
        <v>5</v>
      </c>
      <c r="V12" s="18"/>
      <c r="W12" s="18"/>
      <c r="X12" s="18"/>
      <c r="Y12" s="18"/>
      <c r="Z12" s="53"/>
      <c r="AA12" s="54"/>
    </row>
    <row r="13" spans="1:29" x14ac:dyDescent="0.25">
      <c r="A13" s="6" t="s">
        <v>25</v>
      </c>
      <c r="B13" s="7"/>
      <c r="C13" s="7"/>
      <c r="D13" s="88">
        <f t="shared" ref="D13:O13" si="5">D11+D12</f>
        <v>0</v>
      </c>
      <c r="E13" s="88">
        <f t="shared" si="5"/>
        <v>0</v>
      </c>
      <c r="F13" s="88">
        <f t="shared" si="5"/>
        <v>9893</v>
      </c>
      <c r="G13" s="88">
        <f t="shared" si="5"/>
        <v>16167</v>
      </c>
      <c r="H13" s="88">
        <f t="shared" si="5"/>
        <v>27306</v>
      </c>
      <c r="I13" s="88">
        <f t="shared" si="5"/>
        <v>40269</v>
      </c>
      <c r="J13" s="88">
        <f t="shared" si="5"/>
        <v>9296</v>
      </c>
      <c r="K13" s="88">
        <f t="shared" si="5"/>
        <v>10120</v>
      </c>
      <c r="L13" s="88">
        <f t="shared" si="5"/>
        <v>10467</v>
      </c>
      <c r="M13" s="88">
        <f t="shared" si="5"/>
        <v>10385</v>
      </c>
      <c r="N13" s="88">
        <f t="shared" si="5"/>
        <v>9952</v>
      </c>
      <c r="O13" s="88">
        <f t="shared" si="5"/>
        <v>10266</v>
      </c>
      <c r="P13" s="11"/>
      <c r="Q13" s="42" t="s">
        <v>19</v>
      </c>
      <c r="R13" s="43"/>
      <c r="S13" s="44" t="e">
        <f>D24/D23</f>
        <v>#DIV/0!</v>
      </c>
      <c r="T13" s="44" t="e">
        <f>E24/E23</f>
        <v>#DIV/0!</v>
      </c>
      <c r="U13" s="44">
        <f>F24/F23</f>
        <v>2.1729584886116711E-3</v>
      </c>
      <c r="V13" s="44">
        <f>G24/G23</f>
        <v>7.768394071834642E-3</v>
      </c>
      <c r="W13" s="44">
        <f>H24/H23</f>
        <v>7.9999352231965738E-3</v>
      </c>
      <c r="X13" s="48"/>
      <c r="Y13" s="48">
        <v>1.8499999999999999E-2</v>
      </c>
      <c r="Z13" s="48">
        <v>2.07E-2</v>
      </c>
      <c r="AA13" s="48">
        <v>1.5900000000000001E-2</v>
      </c>
      <c r="AC13" s="80">
        <v>2.0299999999999999E-2</v>
      </c>
    </row>
    <row r="14" spans="1:29" x14ac:dyDescent="0.25">
      <c r="A14" s="6" t="s">
        <v>26</v>
      </c>
      <c r="B14" s="7"/>
      <c r="C14" s="7"/>
      <c r="D14" s="85"/>
      <c r="E14" s="85"/>
      <c r="F14" s="85">
        <f>4355+348+1968</f>
        <v>6671</v>
      </c>
      <c r="G14" s="85">
        <v>8718</v>
      </c>
      <c r="H14" s="85">
        <f>7815+540+3094</f>
        <v>11449</v>
      </c>
      <c r="I14" s="85">
        <f>9580+577+4073</f>
        <v>14230</v>
      </c>
      <c r="J14" s="85">
        <f>2145+138+918</f>
        <v>3201</v>
      </c>
      <c r="K14" s="85"/>
      <c r="L14" s="85">
        <f>2347+151+1178</f>
        <v>3676</v>
      </c>
      <c r="M14" s="85">
        <f>2731+156+1000</f>
        <v>3887</v>
      </c>
      <c r="N14" s="11">
        <f>2470+159+967</f>
        <v>3596</v>
      </c>
      <c r="O14" s="11">
        <f>2781+165+1263</f>
        <v>4209</v>
      </c>
      <c r="P14" s="11"/>
      <c r="Q14" s="42" t="s">
        <v>20</v>
      </c>
      <c r="R14" s="43"/>
      <c r="S14" s="44" t="e">
        <f>D25/D23</f>
        <v>#DIV/0!</v>
      </c>
      <c r="T14" s="44" t="e">
        <f>E25/E23</f>
        <v>#DIV/0!</v>
      </c>
      <c r="U14" s="44">
        <f>F25/F23</f>
        <v>1.9140048863418864E-3</v>
      </c>
      <c r="V14" s="44">
        <f>G25/G23</f>
        <v>6.4276560086753637E-3</v>
      </c>
      <c r="W14" s="44">
        <f>H25/H23</f>
        <v>6.0849709718949641E-3</v>
      </c>
      <c r="X14" s="48"/>
      <c r="Y14" s="18"/>
      <c r="Z14" s="18"/>
      <c r="AA14" s="18"/>
    </row>
    <row r="15" spans="1:29" x14ac:dyDescent="0.25">
      <c r="A15" s="6" t="s">
        <v>54</v>
      </c>
      <c r="B15" s="10"/>
      <c r="C15" s="10"/>
      <c r="D15" s="89">
        <f t="shared" ref="D15:K15" si="6">D11-D14</f>
        <v>0</v>
      </c>
      <c r="E15" s="89">
        <f t="shared" si="6"/>
        <v>0</v>
      </c>
      <c r="F15" s="89">
        <f t="shared" si="6"/>
        <v>3215</v>
      </c>
      <c r="G15" s="89">
        <f t="shared" si="6"/>
        <v>7429</v>
      </c>
      <c r="H15" s="89">
        <f>H11-H14</f>
        <v>15829</v>
      </c>
      <c r="I15" s="89">
        <f>I11-I14</f>
        <v>25963</v>
      </c>
      <c r="J15" s="89">
        <f t="shared" si="6"/>
        <v>6030</v>
      </c>
      <c r="K15" s="89">
        <f t="shared" si="6"/>
        <v>10109</v>
      </c>
      <c r="L15" s="89">
        <f>L11-L14</f>
        <v>6791</v>
      </c>
      <c r="M15" s="89">
        <f>M11-M14</f>
        <v>6498</v>
      </c>
      <c r="N15" s="89">
        <f t="shared" ref="N15:O15" si="7">N11-N14</f>
        <v>6338</v>
      </c>
      <c r="O15" s="89">
        <f t="shared" si="7"/>
        <v>6022</v>
      </c>
      <c r="P15" s="11"/>
      <c r="Q15" s="42" t="s">
        <v>21</v>
      </c>
      <c r="R15" s="43"/>
      <c r="S15" s="44" t="e">
        <f t="shared" ref="S15:X15" si="8">(S13-S14)/S13</f>
        <v>#DIV/0!</v>
      </c>
      <c r="T15" s="44" t="e">
        <f t="shared" si="8"/>
        <v>#DIV/0!</v>
      </c>
      <c r="U15" s="44">
        <f t="shared" si="8"/>
        <v>0.1191709844559586</v>
      </c>
      <c r="V15" s="44">
        <f t="shared" si="8"/>
        <v>0.17258883248730963</v>
      </c>
      <c r="W15" s="44">
        <f t="shared" si="8"/>
        <v>0.23937246963562761</v>
      </c>
      <c r="X15" s="44" t="e">
        <f t="shared" si="8"/>
        <v>#DIV/0!</v>
      </c>
      <c r="Y15" s="18"/>
      <c r="Z15" s="18"/>
      <c r="AA15" s="18"/>
    </row>
    <row r="16" spans="1:29" x14ac:dyDescent="0.25">
      <c r="A16" s="6" t="s">
        <v>94</v>
      </c>
      <c r="B16" s="10"/>
      <c r="C16" s="10"/>
      <c r="D16" s="89">
        <f t="shared" ref="D16:K16" si="9">D13-D14-D9</f>
        <v>0</v>
      </c>
      <c r="E16" s="89">
        <f t="shared" si="9"/>
        <v>0</v>
      </c>
      <c r="F16" s="89">
        <f t="shared" si="9"/>
        <v>1274</v>
      </c>
      <c r="G16" s="89">
        <f t="shared" si="9"/>
        <v>1763</v>
      </c>
      <c r="H16" s="89">
        <f>H13-H14-H9</f>
        <v>4995</v>
      </c>
      <c r="I16" s="89">
        <f>I13-I14-I9</f>
        <v>7779</v>
      </c>
      <c r="J16" s="89">
        <f t="shared" si="9"/>
        <v>1796</v>
      </c>
      <c r="K16" s="89">
        <f t="shared" si="9"/>
        <v>5616</v>
      </c>
      <c r="L16" s="89">
        <f>L13-L14-L9</f>
        <v>2042</v>
      </c>
      <c r="M16" s="89">
        <f>M13-M14-M9</f>
        <v>1791</v>
      </c>
      <c r="N16" s="89">
        <f t="shared" ref="N16:O16" si="10">N13-N14-N9</f>
        <v>1701</v>
      </c>
      <c r="O16" s="89">
        <f t="shared" si="10"/>
        <v>1104</v>
      </c>
      <c r="P16" s="11"/>
      <c r="Q16" s="42" t="s">
        <v>22</v>
      </c>
      <c r="R16" s="43"/>
      <c r="S16" s="44" t="e">
        <f>D17/AVERAGE(C23:D23)</f>
        <v>#DIV/0!</v>
      </c>
      <c r="T16" s="44" t="e">
        <f>E17/AVERAGE(D23:E23)</f>
        <v>#DIV/0!</v>
      </c>
      <c r="U16" s="44">
        <f>F17/AVERAGE(E23:F23)</f>
        <v>4.6724236931287222E-3</v>
      </c>
      <c r="V16" s="44">
        <f>G17/AVERAGE(F23:G23)</f>
        <v>5.0959854590121754E-3</v>
      </c>
      <c r="W16" s="44">
        <f>H17/AVERAGE(G23:H23)</f>
        <v>4.9804963961548963E-3</v>
      </c>
      <c r="X16" s="18"/>
      <c r="Y16" s="18"/>
      <c r="Z16" s="18"/>
      <c r="AA16" s="18"/>
    </row>
    <row r="17" spans="1:27" x14ac:dyDescent="0.25">
      <c r="A17" s="6" t="s">
        <v>27</v>
      </c>
      <c r="B17" s="7"/>
      <c r="C17" s="7"/>
      <c r="D17" s="88"/>
      <c r="E17" s="85"/>
      <c r="F17" s="85">
        <v>415</v>
      </c>
      <c r="G17" s="85">
        <v>614</v>
      </c>
      <c r="H17" s="85">
        <v>994</v>
      </c>
      <c r="I17" s="85">
        <v>1330</v>
      </c>
      <c r="J17" s="85">
        <v>438</v>
      </c>
      <c r="K17" s="85">
        <v>228</v>
      </c>
      <c r="L17" s="85">
        <v>404</v>
      </c>
      <c r="M17" s="85">
        <v>260</v>
      </c>
      <c r="N17" s="11">
        <v>347</v>
      </c>
      <c r="O17" s="11">
        <v>354</v>
      </c>
      <c r="P17" s="11"/>
      <c r="Q17" s="18"/>
      <c r="R17" s="18"/>
      <c r="S17" s="18"/>
      <c r="T17" s="18"/>
      <c r="U17" s="18"/>
      <c r="V17" s="18"/>
      <c r="W17" s="18"/>
      <c r="X17" s="18"/>
      <c r="Y17" s="18"/>
      <c r="Z17" s="18"/>
      <c r="AA17" s="18"/>
    </row>
    <row r="18" spans="1:27" x14ac:dyDescent="0.25">
      <c r="A18" s="6" t="s">
        <v>55</v>
      </c>
      <c r="B18" s="7"/>
      <c r="C18" s="7"/>
      <c r="D18" s="88"/>
      <c r="E18" s="85"/>
      <c r="F18" s="89">
        <v>680</v>
      </c>
      <c r="G18" s="89">
        <v>783</v>
      </c>
      <c r="H18" s="89">
        <v>2993</v>
      </c>
      <c r="I18" s="89">
        <v>4816</v>
      </c>
      <c r="J18" s="89">
        <v>1015</v>
      </c>
      <c r="K18" s="89">
        <v>1438</v>
      </c>
      <c r="L18" s="89">
        <v>1225</v>
      </c>
      <c r="M18" s="89">
        <v>1138</v>
      </c>
      <c r="N18" s="11">
        <v>1007</v>
      </c>
      <c r="O18" s="11">
        <v>548</v>
      </c>
      <c r="P18" s="11"/>
      <c r="Q18" s="40" t="s">
        <v>30</v>
      </c>
      <c r="R18" s="45"/>
      <c r="S18" s="45"/>
      <c r="T18" s="45"/>
      <c r="U18" s="46" t="s">
        <v>5</v>
      </c>
      <c r="V18" s="18"/>
      <c r="W18" s="18"/>
      <c r="X18" s="18"/>
      <c r="Y18" s="18"/>
      <c r="Z18" s="18"/>
      <c r="AA18" s="18"/>
    </row>
    <row r="19" spans="1:27" ht="22.5" x14ac:dyDescent="0.25">
      <c r="A19" s="6" t="s">
        <v>28</v>
      </c>
      <c r="B19" s="7"/>
      <c r="C19" s="7"/>
      <c r="D19" s="88"/>
      <c r="E19" s="85"/>
      <c r="F19" s="85">
        <v>65812</v>
      </c>
      <c r="G19" s="85">
        <v>76691</v>
      </c>
      <c r="H19" s="85">
        <f>106622-298-137</f>
        <v>106187</v>
      </c>
      <c r="I19" s="85">
        <f>111427-122-111</f>
        <v>111194</v>
      </c>
      <c r="J19" s="85"/>
      <c r="K19" s="85">
        <v>109062</v>
      </c>
      <c r="L19" s="85"/>
      <c r="M19" s="85">
        <f>111427-122</f>
        <v>111305</v>
      </c>
      <c r="N19" s="11"/>
      <c r="O19" s="11">
        <f>112955-96-72</f>
        <v>112787</v>
      </c>
      <c r="P19" s="11"/>
      <c r="Q19" s="46" t="s">
        <v>95</v>
      </c>
      <c r="R19" s="51"/>
      <c r="S19" s="51"/>
      <c r="T19" s="52" t="e">
        <f>E16/AVERAGE(D22:E22)</f>
        <v>#DIV/0!</v>
      </c>
      <c r="U19" s="52">
        <f>F16/AVERAGE(E22:F22)</f>
        <v>1.1095821212701841E-2</v>
      </c>
      <c r="V19" s="52">
        <f>G16/AVERAGE(F22:G22)</f>
        <v>1.2370280453834226E-2</v>
      </c>
      <c r="W19" s="52">
        <f>H16/AVERAGE(G22:H22)</f>
        <v>2.1247227119884131E-2</v>
      </c>
      <c r="X19" s="18"/>
      <c r="Y19" s="48"/>
      <c r="Z19" s="18"/>
      <c r="AA19" s="18"/>
    </row>
    <row r="20" spans="1:27" x14ac:dyDescent="0.25">
      <c r="A20" s="6" t="s">
        <v>56</v>
      </c>
      <c r="B20" s="7"/>
      <c r="C20" s="7"/>
      <c r="D20" s="88">
        <f t="shared" ref="D20:O20" si="11">D19-D71</f>
        <v>0</v>
      </c>
      <c r="E20" s="89">
        <f t="shared" si="11"/>
        <v>0</v>
      </c>
      <c r="F20" s="89">
        <f t="shared" si="11"/>
        <v>65812</v>
      </c>
      <c r="G20" s="89">
        <f t="shared" si="11"/>
        <v>76691</v>
      </c>
      <c r="H20" s="89">
        <f t="shared" si="11"/>
        <v>106187</v>
      </c>
      <c r="I20" s="89">
        <f t="shared" si="11"/>
        <v>111194</v>
      </c>
      <c r="J20" s="89">
        <f t="shared" si="11"/>
        <v>0</v>
      </c>
      <c r="K20" s="89">
        <f t="shared" si="11"/>
        <v>109062</v>
      </c>
      <c r="L20" s="89">
        <f t="shared" si="11"/>
        <v>0</v>
      </c>
      <c r="M20" s="89">
        <f t="shared" si="11"/>
        <v>111305</v>
      </c>
      <c r="N20" s="89">
        <f t="shared" si="11"/>
        <v>0</v>
      </c>
      <c r="O20" s="89">
        <f t="shared" si="11"/>
        <v>112787</v>
      </c>
      <c r="P20" s="11"/>
      <c r="Q20" s="42" t="s">
        <v>31</v>
      </c>
      <c r="R20" s="43"/>
      <c r="S20" s="43">
        <v>4.4699999999999997E-2</v>
      </c>
      <c r="T20" s="44" t="e">
        <f>E18/AVERAGE(D22:E22)</f>
        <v>#DIV/0!</v>
      </c>
      <c r="U20" s="44">
        <f>F18/AVERAGE(E22:F22)</f>
        <v>5.9224163458691144E-3</v>
      </c>
      <c r="V20" s="44">
        <f>G18/AVERAGE(F22:G22)</f>
        <v>5.4940043081975034E-3</v>
      </c>
      <c r="W20" s="44">
        <f>H18/AVERAGE(G22:H22)</f>
        <v>1.2731321475438078E-2</v>
      </c>
      <c r="X20" s="48"/>
      <c r="Y20" s="18"/>
      <c r="Z20" s="18"/>
      <c r="AA20" s="18"/>
    </row>
    <row r="21" spans="1:27" x14ac:dyDescent="0.25">
      <c r="A21" s="6" t="s">
        <v>57</v>
      </c>
      <c r="B21" s="9"/>
      <c r="C21" s="9"/>
      <c r="D21" s="85"/>
      <c r="E21" s="85"/>
      <c r="F21" s="85">
        <v>44316</v>
      </c>
      <c r="G21" s="85">
        <v>84889</v>
      </c>
      <c r="H21" s="85">
        <f>5809+173373</f>
        <v>179182</v>
      </c>
      <c r="I21" s="85">
        <f>28461+170259</f>
        <v>198720</v>
      </c>
      <c r="J21" s="85"/>
      <c r="K21" s="85">
        <f>9176+178016</f>
        <v>187192</v>
      </c>
      <c r="L21" s="85"/>
      <c r="M21" s="85">
        <f>28461+170259</f>
        <v>198720</v>
      </c>
      <c r="N21" s="11"/>
      <c r="O21" s="11">
        <f>45811+157579</f>
        <v>203390</v>
      </c>
      <c r="P21" s="11"/>
      <c r="Q21" s="42" t="s">
        <v>32</v>
      </c>
      <c r="R21" s="43"/>
      <c r="S21" s="44" t="e">
        <f>D18/AVERAGE(C19:D19)</f>
        <v>#DIV/0!</v>
      </c>
      <c r="T21" s="44" t="e">
        <f>E18/AVERAGE(D19:E19)</f>
        <v>#DIV/0!</v>
      </c>
      <c r="U21" s="44">
        <f>F18/AVERAGE(E19:F19)</f>
        <v>1.0332462164954719E-2</v>
      </c>
      <c r="V21" s="44">
        <f>G18/AVERAGE(F19:G19)</f>
        <v>1.0989242331740385E-2</v>
      </c>
      <c r="W21" s="44">
        <f>H18/AVERAGE(G19:H19)</f>
        <v>3.2732203982983189E-2</v>
      </c>
      <c r="X21" s="18"/>
      <c r="Y21" s="18"/>
      <c r="Z21" s="18"/>
      <c r="AA21" s="18"/>
    </row>
    <row r="22" spans="1:27" x14ac:dyDescent="0.25">
      <c r="A22" s="6" t="s">
        <v>29</v>
      </c>
      <c r="B22" s="7"/>
      <c r="C22" s="7"/>
      <c r="D22" s="88"/>
      <c r="E22" s="85"/>
      <c r="F22" s="85">
        <v>114818</v>
      </c>
      <c r="G22" s="85">
        <v>170220</v>
      </c>
      <c r="H22" s="85">
        <v>299959</v>
      </c>
      <c r="I22" s="85">
        <v>326075</v>
      </c>
      <c r="J22" s="85"/>
      <c r="K22" s="85">
        <v>308047</v>
      </c>
      <c r="L22" s="85"/>
      <c r="M22" s="85">
        <v>326075</v>
      </c>
      <c r="N22" s="11"/>
      <c r="O22" s="11">
        <v>330480</v>
      </c>
      <c r="P22" s="11"/>
      <c r="Q22" s="40" t="s">
        <v>33</v>
      </c>
      <c r="R22" s="45"/>
      <c r="S22" s="45"/>
      <c r="T22" s="45"/>
      <c r="U22" s="46" t="s">
        <v>5</v>
      </c>
      <c r="V22" s="18"/>
      <c r="W22" s="18"/>
      <c r="X22" s="18"/>
      <c r="Y22" s="18"/>
      <c r="Z22" s="18"/>
      <c r="AA22" s="18"/>
    </row>
    <row r="23" spans="1:27" x14ac:dyDescent="0.25">
      <c r="A23" s="6" t="s">
        <v>58</v>
      </c>
      <c r="B23" s="7"/>
      <c r="C23" s="7"/>
      <c r="D23" s="88"/>
      <c r="E23" s="85"/>
      <c r="F23" s="85">
        <v>88819</v>
      </c>
      <c r="G23" s="85">
        <v>152155</v>
      </c>
      <c r="H23" s="85">
        <v>247002</v>
      </c>
      <c r="I23" s="85">
        <v>271903</v>
      </c>
      <c r="J23" s="85"/>
      <c r="K23" s="85">
        <v>246366</v>
      </c>
      <c r="L23" s="85"/>
      <c r="M23" s="85">
        <v>269221</v>
      </c>
      <c r="N23" s="11"/>
      <c r="O23" s="11">
        <v>262786</v>
      </c>
      <c r="P23" s="11"/>
      <c r="Q23" s="42" t="s">
        <v>34</v>
      </c>
      <c r="R23" s="43"/>
      <c r="S23" s="44" t="e">
        <f>D6/AVERAGE(C23:D23)</f>
        <v>#DIV/0!</v>
      </c>
      <c r="T23" s="44" t="e">
        <f>E6/AVERAGE(D23:E23)</f>
        <v>#DIV/0!</v>
      </c>
      <c r="U23" s="44">
        <f>F6/AVERAGE(E23:F23)</f>
        <v>9.3921345658023625E-2</v>
      </c>
      <c r="V23" s="44">
        <f>G6/AVERAGE(F23:G23)</f>
        <v>0.11289184725323063</v>
      </c>
      <c r="W23" s="44">
        <f>H6/AVERAGE(G23:H23)</f>
        <v>0.11918618488464439</v>
      </c>
      <c r="X23" s="18"/>
      <c r="Y23" s="18"/>
      <c r="Z23" s="18"/>
      <c r="AA23" s="18"/>
    </row>
    <row r="24" spans="1:27" x14ac:dyDescent="0.25">
      <c r="A24" s="6" t="s">
        <v>59</v>
      </c>
      <c r="B24" s="10"/>
      <c r="C24" s="10"/>
      <c r="D24" s="89"/>
      <c r="E24" s="89"/>
      <c r="F24" s="89">
        <v>193</v>
      </c>
      <c r="G24" s="89">
        <v>1182</v>
      </c>
      <c r="H24" s="89">
        <v>1976</v>
      </c>
      <c r="I24" s="89"/>
      <c r="J24" s="89"/>
      <c r="K24" s="89"/>
      <c r="L24" s="89"/>
      <c r="M24" s="89"/>
      <c r="N24" s="11"/>
      <c r="O24" s="11"/>
      <c r="P24" s="11"/>
      <c r="Q24" s="42" t="s">
        <v>35</v>
      </c>
      <c r="R24" s="43"/>
      <c r="S24" s="44" t="e">
        <f>D9/AVERAGE(C21:D21)</f>
        <v>#DIV/0!</v>
      </c>
      <c r="T24" s="44" t="e">
        <f>E9/AVERAGE(D21:E21)</f>
        <v>#DIV/0!</v>
      </c>
      <c r="U24" s="44">
        <f>F9/AVERAGE(E21:F21)</f>
        <v>4.3957035833558984E-2</v>
      </c>
      <c r="V24" s="44">
        <f>G9/AVERAGE(F21:G21)</f>
        <v>8.8015169691575398E-2</v>
      </c>
      <c r="W24" s="44">
        <f>H9/AVERAGE(G21:H21)</f>
        <v>8.2265754285779202E-2</v>
      </c>
      <c r="X24" s="18"/>
      <c r="Y24" s="18"/>
      <c r="Z24" s="18"/>
      <c r="AA24" s="18"/>
    </row>
    <row r="25" spans="1:27" x14ac:dyDescent="0.25">
      <c r="A25" s="6" t="s">
        <v>60</v>
      </c>
      <c r="B25" s="10"/>
      <c r="C25" s="10"/>
      <c r="D25" s="89"/>
      <c r="E25" s="89"/>
      <c r="F25" s="89">
        <v>170</v>
      </c>
      <c r="G25" s="89">
        <v>978</v>
      </c>
      <c r="H25" s="89">
        <v>1503</v>
      </c>
      <c r="I25" s="89"/>
      <c r="J25" s="89"/>
      <c r="K25" s="89"/>
      <c r="L25" s="89"/>
      <c r="M25" s="89"/>
      <c r="N25" s="11"/>
      <c r="O25" s="11"/>
      <c r="P25" s="11"/>
      <c r="Q25" s="42" t="s">
        <v>36</v>
      </c>
      <c r="R25" s="43"/>
      <c r="S25" s="48" t="e">
        <f>S23-S24</f>
        <v>#DIV/0!</v>
      </c>
      <c r="T25" s="48" t="e">
        <f>T23-T24</f>
        <v>#DIV/0!</v>
      </c>
      <c r="U25" s="48">
        <f>U23-U24</f>
        <v>4.9964309824464641E-2</v>
      </c>
      <c r="V25" s="48">
        <f>V23-V24</f>
        <v>2.4876677561655236E-2</v>
      </c>
      <c r="W25" s="48">
        <f>W23-W24</f>
        <v>3.6920430598865184E-2</v>
      </c>
      <c r="X25" s="18"/>
      <c r="Y25" s="18"/>
      <c r="Z25" s="18"/>
      <c r="AA25" s="18"/>
    </row>
    <row r="27" spans="1:27" x14ac:dyDescent="0.25">
      <c r="A27" s="739" t="s">
        <v>265</v>
      </c>
      <c r="B27" s="739"/>
      <c r="C27" s="739"/>
      <c r="D27" s="739"/>
      <c r="E27" s="739"/>
      <c r="F27" s="739"/>
      <c r="G27" s="739"/>
      <c r="H27" s="739"/>
      <c r="I27" s="739"/>
      <c r="J27" s="739"/>
      <c r="K27" s="739"/>
      <c r="L27" s="739"/>
      <c r="M27" s="739"/>
      <c r="N27" s="739"/>
      <c r="O27" s="739"/>
      <c r="P27" s="739"/>
      <c r="Q27" s="739"/>
    </row>
    <row r="28" spans="1:27" x14ac:dyDescent="0.25">
      <c r="A28" s="739"/>
      <c r="B28" s="739"/>
      <c r="C28" s="739"/>
      <c r="D28" s="739"/>
      <c r="E28" s="739"/>
      <c r="F28" s="739"/>
      <c r="G28" s="739"/>
      <c r="H28" s="739"/>
      <c r="I28" s="739"/>
      <c r="J28" s="739"/>
      <c r="K28" s="739"/>
      <c r="L28" s="739"/>
      <c r="M28" s="739"/>
      <c r="N28" s="739"/>
      <c r="O28" s="739"/>
      <c r="P28" s="739"/>
      <c r="Q28" s="739"/>
    </row>
    <row r="29" spans="1:27" x14ac:dyDescent="0.25">
      <c r="A29" s="739"/>
      <c r="B29" s="739"/>
      <c r="C29" s="739"/>
      <c r="D29" s="739"/>
      <c r="E29" s="739"/>
      <c r="F29" s="739"/>
      <c r="G29" s="739"/>
      <c r="H29" s="739"/>
      <c r="I29" s="739"/>
      <c r="J29" s="739"/>
      <c r="K29" s="739"/>
      <c r="L29" s="739"/>
      <c r="M29" s="739"/>
      <c r="N29" s="739"/>
      <c r="O29" s="739"/>
      <c r="P29" s="739"/>
      <c r="Q29" s="739"/>
    </row>
    <row r="30" spans="1:27" x14ac:dyDescent="0.25">
      <c r="A30" s="739"/>
      <c r="B30" s="739"/>
      <c r="C30" s="739"/>
      <c r="D30" s="739"/>
      <c r="E30" s="739"/>
      <c r="F30" s="739"/>
      <c r="G30" s="739"/>
      <c r="H30" s="739"/>
      <c r="I30" s="739"/>
      <c r="J30" s="739"/>
      <c r="K30" s="739"/>
      <c r="L30" s="739"/>
      <c r="M30" s="739"/>
      <c r="N30" s="739"/>
      <c r="O30" s="739"/>
      <c r="P30" s="739"/>
      <c r="Q30" s="739"/>
    </row>
    <row r="31" spans="1:27" x14ac:dyDescent="0.25">
      <c r="A31" s="739"/>
      <c r="B31" s="739"/>
      <c r="C31" s="739"/>
      <c r="D31" s="739"/>
      <c r="E31" s="739"/>
      <c r="F31" s="739"/>
      <c r="G31" s="739"/>
      <c r="H31" s="739"/>
      <c r="I31" s="739"/>
      <c r="J31" s="739"/>
      <c r="K31" s="739"/>
      <c r="L31" s="739"/>
      <c r="M31" s="739"/>
      <c r="N31" s="739"/>
      <c r="O31" s="739"/>
      <c r="P31" s="739"/>
      <c r="Q31" s="739"/>
    </row>
    <row r="32" spans="1:27" x14ac:dyDescent="0.25">
      <c r="A32" s="739"/>
      <c r="B32" s="739"/>
      <c r="C32" s="739"/>
      <c r="D32" s="739"/>
      <c r="E32" s="739"/>
      <c r="F32" s="739"/>
      <c r="G32" s="739"/>
      <c r="H32" s="739"/>
      <c r="I32" s="739"/>
      <c r="J32" s="739"/>
      <c r="K32" s="739"/>
      <c r="L32" s="739"/>
      <c r="M32" s="739"/>
      <c r="N32" s="739"/>
      <c r="O32" s="739"/>
      <c r="P32" s="739"/>
      <c r="Q32" s="739"/>
    </row>
    <row r="33" spans="1:17" x14ac:dyDescent="0.25">
      <c r="A33" s="739"/>
      <c r="B33" s="739"/>
      <c r="C33" s="739"/>
      <c r="D33" s="739"/>
      <c r="E33" s="739"/>
      <c r="F33" s="739"/>
      <c r="G33" s="739"/>
      <c r="H33" s="739"/>
      <c r="I33" s="739"/>
      <c r="J33" s="739"/>
      <c r="K33" s="739"/>
      <c r="L33" s="739"/>
      <c r="M33" s="739"/>
      <c r="N33" s="739"/>
      <c r="O33" s="739"/>
      <c r="P33" s="739"/>
      <c r="Q33" s="739"/>
    </row>
    <row r="34" spans="1:17" x14ac:dyDescent="0.25">
      <c r="A34" s="739"/>
      <c r="B34" s="739"/>
      <c r="C34" s="739"/>
      <c r="D34" s="739"/>
      <c r="E34" s="739"/>
      <c r="F34" s="739"/>
      <c r="G34" s="739"/>
      <c r="H34" s="739"/>
      <c r="I34" s="739"/>
      <c r="J34" s="739"/>
      <c r="K34" s="739"/>
      <c r="L34" s="739"/>
      <c r="M34" s="739"/>
      <c r="N34" s="739"/>
      <c r="O34" s="739"/>
      <c r="P34" s="739"/>
      <c r="Q34" s="739"/>
    </row>
  </sheetData>
  <mergeCells count="3">
    <mergeCell ref="A2:A4"/>
    <mergeCell ref="K1:M1"/>
    <mergeCell ref="A27:Q34"/>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W29"/>
  <sheetViews>
    <sheetView workbookViewId="0">
      <selection activeCell="AG6" sqref="AG6"/>
    </sheetView>
  </sheetViews>
  <sheetFormatPr defaultRowHeight="15" x14ac:dyDescent="0.25"/>
  <cols>
    <col min="1" max="1" width="30.42578125" customWidth="1"/>
    <col min="4" max="4" width="11.85546875" customWidth="1"/>
    <col min="5" max="5" width="13.42578125" customWidth="1"/>
    <col min="6" max="6" width="11.7109375" customWidth="1"/>
    <col min="7" max="7" width="11.5703125" customWidth="1"/>
    <col min="14" max="14" width="29.5703125" customWidth="1"/>
    <col min="16" max="16" width="11.28515625" customWidth="1"/>
    <col min="17" max="17" width="14.140625" customWidth="1"/>
    <col min="18" max="18" width="13" customWidth="1"/>
    <col min="19" max="19" width="13.28515625" customWidth="1"/>
  </cols>
  <sheetData>
    <row r="1" spans="1:23" x14ac:dyDescent="0.25">
      <c r="G1" t="s">
        <v>449</v>
      </c>
      <c r="I1" s="772" t="s">
        <v>123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7.9926358442513099E-2</v>
      </c>
      <c r="S3" s="44">
        <f>G10/AVERAGE(F23:G23)</f>
        <v>5.2524201177018136E-2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4683.78</v>
      </c>
      <c r="G5" s="90">
        <v>4507.57</v>
      </c>
      <c r="H5" s="85">
        <v>1119.28</v>
      </c>
      <c r="I5" s="85">
        <v>1023.51</v>
      </c>
      <c r="J5" s="85"/>
      <c r="K5" s="85"/>
      <c r="L5" s="11"/>
      <c r="M5" s="11"/>
      <c r="N5" s="42" t="s">
        <v>13</v>
      </c>
      <c r="O5" s="46"/>
      <c r="P5" s="47" t="e">
        <f>D21/D20</f>
        <v>#DIV/0!</v>
      </c>
      <c r="Q5" s="47" t="e">
        <f>E21/E20</f>
        <v>#DIV/0!</v>
      </c>
      <c r="R5" s="47">
        <f>F21/F20</f>
        <v>1.0146942168734749</v>
      </c>
      <c r="S5" s="47">
        <f>G21/G20</f>
        <v>1.0107601157396775</v>
      </c>
      <c r="T5" s="18"/>
      <c r="U5" s="18"/>
      <c r="V5" s="18"/>
      <c r="W5" s="18"/>
    </row>
    <row r="6" spans="1:23" x14ac:dyDescent="0.25">
      <c r="A6" s="6" t="s">
        <v>50</v>
      </c>
      <c r="B6" s="7"/>
      <c r="C6" s="8"/>
      <c r="F6" s="85">
        <v>4525.55</v>
      </c>
      <c r="G6" s="85">
        <v>3797.96</v>
      </c>
      <c r="H6" s="85">
        <v>1119.28</v>
      </c>
      <c r="I6" s="85">
        <v>1023.16</v>
      </c>
      <c r="J6" s="85"/>
      <c r="K6" s="85"/>
      <c r="L6" s="11"/>
      <c r="M6" s="11"/>
      <c r="N6" s="42" t="s">
        <v>14</v>
      </c>
      <c r="O6" s="43"/>
      <c r="P6" s="43"/>
      <c r="Q6" s="43"/>
      <c r="R6" s="43">
        <v>0.56599999999999995</v>
      </c>
      <c r="S6" s="48">
        <v>0.63480000000000003</v>
      </c>
      <c r="T6" s="48">
        <v>0.70830000000000004</v>
      </c>
      <c r="U6" s="48">
        <v>0.79879999999999995</v>
      </c>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0.64280308228183636</v>
      </c>
      <c r="S7" s="44">
        <f>G20/G23</f>
        <v>0.74830871850284641</v>
      </c>
      <c r="T7" s="18"/>
      <c r="U7" s="18"/>
      <c r="V7" s="18"/>
      <c r="W7" s="18"/>
    </row>
    <row r="8" spans="1:23" x14ac:dyDescent="0.25">
      <c r="A8" s="6" t="s">
        <v>52</v>
      </c>
      <c r="B8" s="7"/>
      <c r="C8" s="8"/>
      <c r="D8" s="85">
        <f t="shared" ref="D8:I8" si="0">D5-D6-D7</f>
        <v>0</v>
      </c>
      <c r="E8" s="85">
        <f t="shared" si="0"/>
        <v>0</v>
      </c>
      <c r="F8" s="85">
        <f t="shared" si="0"/>
        <v>158.22999999999956</v>
      </c>
      <c r="G8" s="85">
        <f t="shared" si="0"/>
        <v>709.60999999999967</v>
      </c>
      <c r="H8" s="85">
        <f t="shared" si="0"/>
        <v>0</v>
      </c>
      <c r="I8" s="85">
        <f t="shared" si="0"/>
        <v>0.35000000000002274</v>
      </c>
      <c r="J8" s="85"/>
      <c r="K8" s="85"/>
      <c r="L8" s="11"/>
      <c r="M8" s="11"/>
      <c r="N8" s="40" t="s">
        <v>16</v>
      </c>
      <c r="O8" s="45"/>
      <c r="P8" s="45"/>
      <c r="Q8" s="45"/>
      <c r="R8" s="46" t="s">
        <v>5</v>
      </c>
      <c r="S8" s="18"/>
      <c r="T8" s="18"/>
      <c r="U8" s="18"/>
      <c r="V8" s="18"/>
      <c r="W8" s="18"/>
    </row>
    <row r="9" spans="1:23" ht="33.75" x14ac:dyDescent="0.25">
      <c r="A9" s="6" t="s">
        <v>24</v>
      </c>
      <c r="B9" s="7"/>
      <c r="C9" s="7"/>
      <c r="D9" s="88"/>
      <c r="E9" s="85"/>
      <c r="F9" s="85">
        <v>1881.22</v>
      </c>
      <c r="G9" s="85">
        <v>2164.96</v>
      </c>
      <c r="H9" s="85">
        <v>489.66</v>
      </c>
      <c r="I9" s="85">
        <v>481.78</v>
      </c>
      <c r="J9" s="85"/>
      <c r="K9" s="85"/>
      <c r="L9" s="11"/>
      <c r="M9" s="11"/>
      <c r="N9" s="49" t="s">
        <v>93</v>
      </c>
      <c r="O9" s="45"/>
      <c r="P9" s="50" t="e">
        <f>D14/(D11-D9)</f>
        <v>#DIV/0!</v>
      </c>
      <c r="Q9" s="50" t="e">
        <f>E14/(E11-E9)</f>
        <v>#DIV/0!</v>
      </c>
      <c r="R9" s="50">
        <f>F14/(F11-F9)</f>
        <v>0.21557790020552645</v>
      </c>
      <c r="S9" s="50">
        <f>G14/(G11-G9)</f>
        <v>0.31803842722433529</v>
      </c>
      <c r="T9" s="18"/>
      <c r="U9" s="18"/>
      <c r="V9" s="18"/>
      <c r="W9" s="18"/>
    </row>
    <row r="10" spans="1:23" ht="22.5" x14ac:dyDescent="0.25">
      <c r="A10" s="6" t="s">
        <v>53</v>
      </c>
      <c r="B10" s="10">
        <f t="shared" ref="B10:H10" si="1">B6-B9</f>
        <v>0</v>
      </c>
      <c r="C10" s="10">
        <f t="shared" si="1"/>
        <v>0</v>
      </c>
      <c r="D10" s="89">
        <f t="shared" si="1"/>
        <v>0</v>
      </c>
      <c r="E10" s="89">
        <f t="shared" si="1"/>
        <v>0</v>
      </c>
      <c r="F10" s="89">
        <f t="shared" si="1"/>
        <v>2644.33</v>
      </c>
      <c r="G10" s="89">
        <f t="shared" si="1"/>
        <v>1633</v>
      </c>
      <c r="H10" s="89">
        <f t="shared" si="1"/>
        <v>629.61999999999989</v>
      </c>
      <c r="I10" s="89">
        <f>I6-I9</f>
        <v>541.38</v>
      </c>
      <c r="J10" s="89"/>
      <c r="K10" s="89"/>
      <c r="L10" s="11"/>
      <c r="M10" s="11"/>
      <c r="N10" s="42" t="s">
        <v>92</v>
      </c>
      <c r="O10" s="43"/>
      <c r="P10" s="44" t="e">
        <f>D14/D11</f>
        <v>#DIV/0!</v>
      </c>
      <c r="Q10" s="44" t="e">
        <f>E14/E11</f>
        <v>#DIV/0!</v>
      </c>
      <c r="R10" s="44">
        <f>F14/F11</f>
        <v>0.12899196802582533</v>
      </c>
      <c r="S10" s="44">
        <f>G14/G11</f>
        <v>0.16528639599606884</v>
      </c>
      <c r="T10" s="18"/>
      <c r="U10" s="18"/>
      <c r="V10" s="18"/>
      <c r="W10" s="18"/>
    </row>
    <row r="11" spans="1:23" ht="22.5" x14ac:dyDescent="0.25">
      <c r="A11" s="6" t="s">
        <v>1</v>
      </c>
      <c r="B11" s="10">
        <f>B5-B9</f>
        <v>0</v>
      </c>
      <c r="C11" s="10">
        <f t="shared" ref="C11:H11" si="2">SUM(C6:C8)</f>
        <v>0</v>
      </c>
      <c r="D11" s="89">
        <f t="shared" si="2"/>
        <v>0</v>
      </c>
      <c r="E11" s="89">
        <f t="shared" si="2"/>
        <v>0</v>
      </c>
      <c r="F11" s="89">
        <f>SUM(F6:F8)</f>
        <v>4683.78</v>
      </c>
      <c r="G11" s="89">
        <f>SUM(G6:G8)</f>
        <v>4507.57</v>
      </c>
      <c r="H11" s="89">
        <f t="shared" si="2"/>
        <v>1119.28</v>
      </c>
      <c r="I11" s="89">
        <f>SUM(I6:I8)</f>
        <v>1023.51</v>
      </c>
      <c r="J11" s="89"/>
      <c r="K11" s="89"/>
      <c r="L11" s="11"/>
      <c r="M11" s="11"/>
      <c r="N11" s="42" t="s">
        <v>17</v>
      </c>
      <c r="O11" s="43"/>
      <c r="P11" s="44" t="e">
        <f>D14/AVERAGE(C22:D22)</f>
        <v>#DIV/0!</v>
      </c>
      <c r="Q11" s="44" t="e">
        <f>E14/AVERAGE(D22:E22)</f>
        <v>#DIV/0!</v>
      </c>
      <c r="R11" s="44">
        <f>F14/AVERAGE(E22:F22)</f>
        <v>1.4035694995382767E-2</v>
      </c>
      <c r="S11" s="44">
        <f>G14/AVERAGE(F22:G22)</f>
        <v>1.712406535203809E-2</v>
      </c>
      <c r="T11" s="18"/>
      <c r="U11" s="18"/>
      <c r="V11" s="18"/>
      <c r="W11" s="18"/>
    </row>
    <row r="12" spans="1:23" x14ac:dyDescent="0.25">
      <c r="A12" s="6" t="s">
        <v>91</v>
      </c>
      <c r="B12" s="10"/>
      <c r="C12" s="10"/>
      <c r="D12" s="89"/>
      <c r="E12" s="89"/>
      <c r="F12" s="89">
        <v>10.18</v>
      </c>
      <c r="G12" s="89">
        <v>5.21</v>
      </c>
      <c r="H12" s="89">
        <v>0</v>
      </c>
      <c r="I12" s="89">
        <v>0</v>
      </c>
      <c r="J12" s="89"/>
      <c r="K12" s="89"/>
      <c r="L12" s="11"/>
      <c r="M12" s="11"/>
      <c r="N12" s="40" t="s">
        <v>18</v>
      </c>
      <c r="O12" s="45"/>
      <c r="P12" s="45"/>
      <c r="Q12" s="45"/>
      <c r="R12" s="46" t="s">
        <v>5</v>
      </c>
      <c r="S12" s="18"/>
      <c r="T12" s="18"/>
      <c r="U12" s="18"/>
      <c r="V12" s="53"/>
      <c r="W12" s="54"/>
    </row>
    <row r="13" spans="1:23" x14ac:dyDescent="0.25">
      <c r="A13" s="6" t="s">
        <v>25</v>
      </c>
      <c r="B13" s="7"/>
      <c r="C13" s="7"/>
      <c r="D13" s="88">
        <f t="shared" ref="D13:I13" si="3">D11+D12</f>
        <v>0</v>
      </c>
      <c r="E13" s="88">
        <f t="shared" si="3"/>
        <v>0</v>
      </c>
      <c r="F13" s="88">
        <f t="shared" si="3"/>
        <v>4693.96</v>
      </c>
      <c r="G13" s="88">
        <f t="shared" si="3"/>
        <v>4512.78</v>
      </c>
      <c r="H13" s="88">
        <f t="shared" si="3"/>
        <v>1119.28</v>
      </c>
      <c r="I13" s="88">
        <f t="shared" si="3"/>
        <v>1023.51</v>
      </c>
      <c r="J13" s="88"/>
      <c r="K13" s="88"/>
      <c r="L13" s="11"/>
      <c r="M13" s="11"/>
      <c r="N13" s="42" t="s">
        <v>19</v>
      </c>
      <c r="O13" s="43"/>
      <c r="P13" s="44" t="e">
        <f>D24/D23</f>
        <v>#DIV/0!</v>
      </c>
      <c r="Q13" s="44" t="e">
        <f>E24/E23</f>
        <v>#DIV/0!</v>
      </c>
      <c r="R13" s="44">
        <f>F24/F23</f>
        <v>7.2284429785718904E-2</v>
      </c>
      <c r="S13" s="44">
        <f>G24/G23</f>
        <v>3.1187835695834658E-2</v>
      </c>
      <c r="T13" s="48"/>
      <c r="U13" s="48">
        <v>1.6199999999999999E-2</v>
      </c>
      <c r="V13" s="18"/>
      <c r="W13" s="18"/>
    </row>
    <row r="14" spans="1:23" x14ac:dyDescent="0.25">
      <c r="A14" s="6" t="s">
        <v>26</v>
      </c>
      <c r="B14" s="7"/>
      <c r="C14" s="7"/>
      <c r="D14" s="85"/>
      <c r="E14" s="85"/>
      <c r="F14" s="85">
        <f>314.73+24.05+265.39</f>
        <v>604.17000000000007</v>
      </c>
      <c r="G14" s="85">
        <f>364.39+24.53+356.12</f>
        <v>745.04</v>
      </c>
      <c r="H14" s="85">
        <f>67.5+1+60.83</f>
        <v>129.32999999999998</v>
      </c>
      <c r="I14" s="85">
        <f>104.71+1+85.49</f>
        <v>191.2</v>
      </c>
      <c r="J14" s="85"/>
      <c r="K14" s="85"/>
      <c r="L14" s="11"/>
      <c r="M14" s="11"/>
      <c r="N14" s="42" t="s">
        <v>20</v>
      </c>
      <c r="O14" s="43"/>
      <c r="P14" s="44" t="e">
        <f>D25/D23</f>
        <v>#DIV/0!</v>
      </c>
      <c r="Q14" s="44" t="e">
        <f>E25/E23</f>
        <v>#DIV/0!</v>
      </c>
      <c r="R14" s="44">
        <f>F25/F23</f>
        <v>4.6744132765173377E-2</v>
      </c>
      <c r="S14" s="44">
        <f>G25/G23</f>
        <v>1.8829898529983902E-2</v>
      </c>
      <c r="T14" s="48"/>
      <c r="U14" s="48">
        <v>9.9000000000000008E-3</v>
      </c>
      <c r="V14" s="18"/>
      <c r="W14" s="18"/>
    </row>
    <row r="15" spans="1:23" x14ac:dyDescent="0.25">
      <c r="A15" s="6" t="s">
        <v>54</v>
      </c>
      <c r="B15" s="10"/>
      <c r="C15" s="10"/>
      <c r="D15" s="89">
        <f t="shared" ref="D15:I15" si="4">D11-D14</f>
        <v>0</v>
      </c>
      <c r="E15" s="89">
        <f t="shared" si="4"/>
        <v>0</v>
      </c>
      <c r="F15" s="89">
        <f t="shared" si="4"/>
        <v>4079.6099999999997</v>
      </c>
      <c r="G15" s="89">
        <f t="shared" si="4"/>
        <v>3762.5299999999997</v>
      </c>
      <c r="H15" s="89">
        <f t="shared" si="4"/>
        <v>989.95</v>
      </c>
      <c r="I15" s="89">
        <f t="shared" si="4"/>
        <v>832.31</v>
      </c>
      <c r="J15" s="89"/>
      <c r="K15" s="89"/>
      <c r="L15" s="11"/>
      <c r="M15" s="11"/>
      <c r="N15" s="42" t="s">
        <v>21</v>
      </c>
      <c r="O15" s="43"/>
      <c r="P15" s="44" t="e">
        <f>(P13-P14)/P13</f>
        <v>#DIV/0!</v>
      </c>
      <c r="Q15" s="44" t="e">
        <f>(Q13-Q14)/Q13</f>
        <v>#DIV/0!</v>
      </c>
      <c r="R15" s="44">
        <f>(R13-R14)/R13</f>
        <v>0.35333054568262601</v>
      </c>
      <c r="S15" s="44">
        <f>(S13-S14)/S13</f>
        <v>0.39624221720204972</v>
      </c>
      <c r="T15" s="44" t="e">
        <f>(T13-T14)/T13</f>
        <v>#DIV/0!</v>
      </c>
      <c r="U15" s="18"/>
      <c r="V15" s="18"/>
      <c r="W15" s="18"/>
    </row>
    <row r="16" spans="1:23" x14ac:dyDescent="0.25">
      <c r="A16" s="6" t="s">
        <v>94</v>
      </c>
      <c r="B16" s="10"/>
      <c r="C16" s="10"/>
      <c r="D16" s="89">
        <f t="shared" ref="D16:I16" si="5">D13-D14-D9</f>
        <v>0</v>
      </c>
      <c r="E16" s="89">
        <f t="shared" si="5"/>
        <v>0</v>
      </c>
      <c r="F16" s="89">
        <f t="shared" si="5"/>
        <v>2208.5699999999997</v>
      </c>
      <c r="G16" s="89">
        <f t="shared" si="5"/>
        <v>1602.7799999999997</v>
      </c>
      <c r="H16" s="89">
        <f t="shared" si="5"/>
        <v>500.29</v>
      </c>
      <c r="I16" s="89">
        <f t="shared" si="5"/>
        <v>350.53</v>
      </c>
      <c r="J16" s="89"/>
      <c r="K16" s="89"/>
      <c r="L16" s="11"/>
      <c r="M16" s="11"/>
      <c r="N16" s="42" t="s">
        <v>22</v>
      </c>
      <c r="O16" s="43"/>
      <c r="P16" s="44" t="e">
        <f>D17/AVERAGE(C23:D23)</f>
        <v>#DIV/0!</v>
      </c>
      <c r="Q16" s="44" t="e">
        <f>E17/AVERAGE(D23:E23)</f>
        <v>#DIV/0!</v>
      </c>
      <c r="R16" s="44">
        <f>F17/AVERAGE(E23:F23)</f>
        <v>1.809634579009315E-2</v>
      </c>
      <c r="S16" s="44">
        <f>G17/AVERAGE(F23:G23)</f>
        <v>-3.062582280142153E-2</v>
      </c>
      <c r="T16" s="18"/>
      <c r="U16" s="18"/>
      <c r="V16" s="18"/>
      <c r="W16" s="18"/>
    </row>
    <row r="17" spans="1:23" x14ac:dyDescent="0.25">
      <c r="A17" s="6" t="s">
        <v>27</v>
      </c>
      <c r="B17" s="7"/>
      <c r="C17" s="7"/>
      <c r="D17" s="88"/>
      <c r="E17" s="85"/>
      <c r="F17" s="85">
        <v>598.71</v>
      </c>
      <c r="G17" s="85">
        <v>-952.17</v>
      </c>
      <c r="H17" s="85">
        <v>229.05</v>
      </c>
      <c r="I17" s="85">
        <v>207.8</v>
      </c>
      <c r="J17" s="85"/>
      <c r="K17" s="85"/>
      <c r="L17" s="11"/>
      <c r="M17" s="11"/>
      <c r="N17" s="18"/>
      <c r="O17" s="18"/>
      <c r="P17" s="18"/>
      <c r="Q17" s="18"/>
      <c r="R17" s="18"/>
      <c r="S17" s="18"/>
      <c r="T17" s="18"/>
      <c r="U17" s="18"/>
      <c r="V17" s="18"/>
      <c r="W17" s="18"/>
    </row>
    <row r="18" spans="1:23" x14ac:dyDescent="0.25">
      <c r="A18" s="6" t="s">
        <v>55</v>
      </c>
      <c r="B18" s="7"/>
      <c r="C18" s="7"/>
      <c r="D18" s="88"/>
      <c r="E18" s="85"/>
      <c r="F18" s="89">
        <v>452.1</v>
      </c>
      <c r="G18" s="89">
        <v>507.42</v>
      </c>
      <c r="H18" s="89">
        <v>79.61</v>
      </c>
      <c r="I18" s="89">
        <v>76.75</v>
      </c>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c r="F19" s="85">
        <v>21266.87</v>
      </c>
      <c r="G19" s="85">
        <v>21773</v>
      </c>
      <c r="H19" s="85">
        <v>21854.79</v>
      </c>
      <c r="I19" s="85">
        <v>21929.35</v>
      </c>
      <c r="J19" s="85"/>
      <c r="K19" s="85"/>
      <c r="L19" s="11"/>
      <c r="M19" s="11"/>
      <c r="N19" s="46" t="s">
        <v>95</v>
      </c>
      <c r="O19" s="51"/>
      <c r="P19" s="51"/>
      <c r="Q19" s="52" t="e">
        <f>E16/AVERAGE(D22:E22)</f>
        <v>#DIV/0!</v>
      </c>
      <c r="R19" s="52">
        <f>F16/AVERAGE(E22:F22)</f>
        <v>5.1308100196885829E-2</v>
      </c>
      <c r="S19" s="52">
        <f>G16/AVERAGE(F22:G22)</f>
        <v>3.6838437486496844E-2</v>
      </c>
      <c r="T19" s="18"/>
      <c r="U19" s="18"/>
      <c r="V19" s="18"/>
      <c r="W19" s="18"/>
    </row>
    <row r="20" spans="1:23" x14ac:dyDescent="0.25">
      <c r="A20" s="6" t="s">
        <v>56</v>
      </c>
      <c r="B20" s="7"/>
      <c r="C20" s="7"/>
      <c r="D20" s="88">
        <f t="shared" ref="D20:I20" si="6">D19-D71</f>
        <v>0</v>
      </c>
      <c r="E20" s="89">
        <f t="shared" si="6"/>
        <v>0</v>
      </c>
      <c r="F20" s="89">
        <f t="shared" si="6"/>
        <v>21266.87</v>
      </c>
      <c r="G20" s="89">
        <f t="shared" si="6"/>
        <v>21773</v>
      </c>
      <c r="H20" s="89">
        <f t="shared" si="6"/>
        <v>21854.79</v>
      </c>
      <c r="I20" s="89">
        <f t="shared" si="6"/>
        <v>21929.35</v>
      </c>
      <c r="J20" s="89"/>
      <c r="K20" s="89"/>
      <c r="L20" s="11"/>
      <c r="M20" s="11"/>
      <c r="N20" s="42" t="s">
        <v>31</v>
      </c>
      <c r="O20" s="43"/>
      <c r="P20" s="43">
        <v>4.4699999999999997E-2</v>
      </c>
      <c r="Q20" s="44" t="e">
        <f>E18/AVERAGE(D22:E22)</f>
        <v>#DIV/0!</v>
      </c>
      <c r="R20" s="44">
        <f>F18/AVERAGE(E22:F22)</f>
        <v>1.050290101695309E-2</v>
      </c>
      <c r="S20" s="44">
        <f>G18/AVERAGE(F22:G22)</f>
        <v>1.1662586224808289E-2</v>
      </c>
      <c r="T20" s="48"/>
      <c r="U20" s="18"/>
      <c r="V20" s="18"/>
      <c r="W20" s="18"/>
    </row>
    <row r="21" spans="1:23" x14ac:dyDescent="0.25">
      <c r="A21" s="6" t="s">
        <v>57</v>
      </c>
      <c r="B21" s="9"/>
      <c r="C21" s="9"/>
      <c r="D21" s="85"/>
      <c r="E21" s="85"/>
      <c r="F21" s="85">
        <f>21579.37</f>
        <v>21579.37</v>
      </c>
      <c r="G21" s="85">
        <f>4661.75+17345.53</f>
        <v>22007.279999999999</v>
      </c>
      <c r="H21" s="85"/>
      <c r="I21" s="85">
        <f>4674.42+8673.99</f>
        <v>13348.41</v>
      </c>
      <c r="J21" s="85"/>
      <c r="K21" s="85"/>
      <c r="L21" s="11"/>
      <c r="M21" s="11"/>
      <c r="N21" s="42" t="s">
        <v>32</v>
      </c>
      <c r="O21" s="43"/>
      <c r="P21" s="44" t="e">
        <f>D18/AVERAGE(C19:D19)</f>
        <v>#DIV/0!</v>
      </c>
      <c r="Q21" s="44" t="e">
        <f>E18/AVERAGE(D19:E19)</f>
        <v>#DIV/0!</v>
      </c>
      <c r="R21" s="44">
        <f>F18/AVERAGE(E19:F19)</f>
        <v>2.1258417435193803E-2</v>
      </c>
      <c r="S21" s="44">
        <f>G18/AVERAGE(F19:G19)</f>
        <v>2.3579067501830284E-2</v>
      </c>
      <c r="T21" s="18"/>
      <c r="U21" s="18"/>
      <c r="V21" s="18"/>
      <c r="W21" s="18"/>
    </row>
    <row r="22" spans="1:23" x14ac:dyDescent="0.25">
      <c r="A22" s="6" t="s">
        <v>29</v>
      </c>
      <c r="B22" s="7"/>
      <c r="C22" s="7"/>
      <c r="D22" s="88"/>
      <c r="E22" s="85"/>
      <c r="F22" s="85">
        <v>43045.25</v>
      </c>
      <c r="G22" s="85">
        <v>43971.47</v>
      </c>
      <c r="H22" s="85"/>
      <c r="I22" s="85">
        <v>35480.269999999997</v>
      </c>
      <c r="J22" s="85"/>
      <c r="K22" s="85"/>
      <c r="L22" s="11"/>
      <c r="M22" s="11"/>
      <c r="N22" s="40" t="s">
        <v>33</v>
      </c>
      <c r="O22" s="45"/>
      <c r="P22" s="45"/>
      <c r="Q22" s="45"/>
      <c r="R22" s="46" t="s">
        <v>5</v>
      </c>
      <c r="S22" s="18"/>
      <c r="T22" s="18"/>
      <c r="U22" s="18"/>
      <c r="V22" s="18"/>
      <c r="W22" s="18"/>
    </row>
    <row r="23" spans="1:23" x14ac:dyDescent="0.25">
      <c r="A23" s="6" t="s">
        <v>58</v>
      </c>
      <c r="B23" s="7"/>
      <c r="C23" s="7"/>
      <c r="D23" s="88"/>
      <c r="E23" s="85"/>
      <c r="F23" s="85">
        <v>33084.58</v>
      </c>
      <c r="G23" s="85">
        <v>29096.28</v>
      </c>
      <c r="H23" s="85"/>
      <c r="I23" s="85">
        <v>20800.77</v>
      </c>
      <c r="J23" s="85"/>
      <c r="K23" s="85"/>
      <c r="L23" s="11"/>
      <c r="M23" s="11"/>
      <c r="N23" s="42" t="s">
        <v>34</v>
      </c>
      <c r="O23" s="43"/>
      <c r="P23" s="44" t="e">
        <f>D6/AVERAGE(C23:D23)</f>
        <v>#DIV/0!</v>
      </c>
      <c r="Q23" s="44" t="e">
        <f>E6/AVERAGE(D23:E23)</f>
        <v>#DIV/0!</v>
      </c>
      <c r="R23" s="44">
        <f>F6/AVERAGE(E23:F23)</f>
        <v>0.13678728882155977</v>
      </c>
      <c r="S23" s="44">
        <f>G6/AVERAGE(F23:G23)</f>
        <v>0.12215849057089272</v>
      </c>
      <c r="T23" s="18"/>
      <c r="U23" s="18"/>
      <c r="V23" s="18"/>
      <c r="W23" s="18"/>
    </row>
    <row r="24" spans="1:23" x14ac:dyDescent="0.25">
      <c r="A24" s="6" t="s">
        <v>59</v>
      </c>
      <c r="B24" s="10"/>
      <c r="C24" s="10"/>
      <c r="D24" s="89"/>
      <c r="E24" s="89"/>
      <c r="F24" s="89">
        <v>2391.5</v>
      </c>
      <c r="G24" s="89">
        <v>907.45</v>
      </c>
      <c r="H24" s="89"/>
      <c r="I24" s="89"/>
      <c r="J24" s="89"/>
      <c r="K24" s="89"/>
      <c r="L24" s="11"/>
      <c r="M24" s="11"/>
      <c r="N24" s="42" t="s">
        <v>35</v>
      </c>
      <c r="O24" s="43"/>
      <c r="P24" s="44" t="e">
        <f>D9/AVERAGE(C21:D21)</f>
        <v>#DIV/0!</v>
      </c>
      <c r="Q24" s="44" t="e">
        <f>E9/AVERAGE(D21:E21)</f>
        <v>#DIV/0!</v>
      </c>
      <c r="R24" s="44">
        <f>F9/AVERAGE(E21:F21)</f>
        <v>8.7176780415739674E-2</v>
      </c>
      <c r="S24" s="44">
        <f>G9/AVERAGE(F21:G21)</f>
        <v>9.9340509077894282E-2</v>
      </c>
      <c r="T24" s="18"/>
      <c r="U24" s="18"/>
      <c r="V24" s="18"/>
      <c r="W24" s="18"/>
    </row>
    <row r="25" spans="1:23" x14ac:dyDescent="0.25">
      <c r="A25" s="6" t="s">
        <v>60</v>
      </c>
      <c r="B25" s="10"/>
      <c r="C25" s="10"/>
      <c r="D25" s="89"/>
      <c r="E25" s="89"/>
      <c r="F25" s="89">
        <v>1546.51</v>
      </c>
      <c r="G25" s="89">
        <v>547.88</v>
      </c>
      <c r="H25" s="89"/>
      <c r="I25" s="89"/>
      <c r="J25" s="89"/>
      <c r="K25" s="89"/>
      <c r="L25" s="11"/>
      <c r="M25" s="11"/>
      <c r="N25" s="42" t="s">
        <v>36</v>
      </c>
      <c r="O25" s="43"/>
      <c r="P25" s="48" t="e">
        <f>P23-P24</f>
        <v>#DIV/0!</v>
      </c>
      <c r="Q25" s="48" t="e">
        <f>Q23-Q24</f>
        <v>#DIV/0!</v>
      </c>
      <c r="R25" s="48">
        <f>R23-R24</f>
        <v>4.9610508405820097E-2</v>
      </c>
      <c r="S25" s="48">
        <f>S23-S24</f>
        <v>2.2817981492998435E-2</v>
      </c>
      <c r="T25" s="18"/>
      <c r="U25" s="18"/>
      <c r="V25" s="18"/>
      <c r="W25" s="18"/>
    </row>
    <row r="27" spans="1:23" ht="15" customHeight="1" x14ac:dyDescent="0.25">
      <c r="A27" s="732" t="s">
        <v>266</v>
      </c>
      <c r="B27" s="732"/>
      <c r="C27" s="732"/>
      <c r="D27" s="732"/>
      <c r="E27" s="732"/>
      <c r="F27" s="732"/>
      <c r="G27" s="732"/>
      <c r="H27" s="732"/>
      <c r="I27" s="732"/>
      <c r="J27" s="732"/>
      <c r="K27" s="732"/>
      <c r="L27" s="732"/>
      <c r="M27" s="732"/>
    </row>
    <row r="28" spans="1:23" x14ac:dyDescent="0.25">
      <c r="A28" s="732"/>
      <c r="B28" s="732"/>
      <c r="C28" s="732"/>
      <c r="D28" s="732"/>
      <c r="E28" s="732"/>
      <c r="F28" s="732"/>
      <c r="G28" s="732"/>
      <c r="H28" s="732"/>
      <c r="I28" s="732"/>
      <c r="J28" s="732"/>
      <c r="K28" s="732"/>
      <c r="L28" s="732"/>
      <c r="M28" s="732"/>
    </row>
    <row r="29" spans="1:23" x14ac:dyDescent="0.25">
      <c r="A29" s="732"/>
      <c r="B29" s="732"/>
      <c r="C29" s="732"/>
      <c r="D29" s="732"/>
      <c r="E29" s="732"/>
      <c r="F29" s="732"/>
      <c r="G29" s="732"/>
      <c r="H29" s="732"/>
      <c r="I29" s="732"/>
      <c r="J29" s="732"/>
      <c r="K29" s="732"/>
      <c r="L29" s="732"/>
      <c r="M29" s="732"/>
    </row>
  </sheetData>
  <mergeCells count="3">
    <mergeCell ref="A2:A4"/>
    <mergeCell ref="I1:K1"/>
    <mergeCell ref="A27:M29"/>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W25"/>
  <sheetViews>
    <sheetView workbookViewId="0">
      <selection activeCell="AG6" sqref="AG6"/>
    </sheetView>
  </sheetViews>
  <sheetFormatPr defaultRowHeight="15" x14ac:dyDescent="0.25"/>
  <cols>
    <col min="1" max="1" width="30.42578125" customWidth="1"/>
    <col min="4" max="4" width="12" customWidth="1"/>
    <col min="5" max="5" width="11.28515625" customWidth="1"/>
    <col min="6" max="7" width="11.5703125" customWidth="1"/>
    <col min="9" max="11" width="10.140625" bestFit="1" customWidth="1"/>
    <col min="14" max="14" width="30.5703125" customWidth="1"/>
    <col min="16" max="16" width="13.7109375" customWidth="1"/>
    <col min="17" max="17" width="14.42578125" customWidth="1"/>
    <col min="18" max="18" width="12.42578125" customWidth="1"/>
    <col min="19" max="19" width="14.5703125" customWidth="1"/>
  </cols>
  <sheetData>
    <row r="1" spans="1:23" x14ac:dyDescent="0.25">
      <c r="I1" s="772" t="s">
        <v>113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5.3238114452540883E-2</v>
      </c>
      <c r="Q3" s="44">
        <f>E10/AVERAGE(D23:E23)</f>
        <v>5.6172831483712E-2</v>
      </c>
      <c r="R3" s="44">
        <f>F10/AVERAGE(E23:F23)</f>
        <v>6.7360094422974776E-2</v>
      </c>
      <c r="S3" s="44">
        <f>G10/AVERAGE(F23:G23)</f>
        <v>7.7784403749399322E-2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64146.86</v>
      </c>
      <c r="E5">
        <v>57300.39</v>
      </c>
      <c r="F5" s="85">
        <v>53919</v>
      </c>
      <c r="G5" s="90">
        <v>52170</v>
      </c>
      <c r="H5" s="85">
        <v>12402</v>
      </c>
      <c r="I5" s="85">
        <v>13050</v>
      </c>
      <c r="J5" s="85">
        <v>13410</v>
      </c>
      <c r="K5" s="85">
        <v>13818</v>
      </c>
      <c r="L5" s="11"/>
      <c r="M5" s="11"/>
      <c r="N5" s="42" t="s">
        <v>13</v>
      </c>
      <c r="O5" s="46"/>
      <c r="P5" s="47">
        <f>D21/D20</f>
        <v>4.3390286754754666</v>
      </c>
      <c r="Q5" s="47">
        <f>E21/E20</f>
        <v>3.3990072232028838</v>
      </c>
      <c r="R5" s="47">
        <f>F21/F20</f>
        <v>3.1361802249513486</v>
      </c>
      <c r="S5" s="47">
        <f>G21/G20</f>
        <v>2.5884187215110677</v>
      </c>
      <c r="T5" s="18"/>
      <c r="U5" s="18"/>
      <c r="V5" s="18"/>
      <c r="W5" s="18"/>
    </row>
    <row r="6" spans="1:23" x14ac:dyDescent="0.25">
      <c r="A6" s="6" t="s">
        <v>50</v>
      </c>
      <c r="B6" s="7"/>
      <c r="C6" s="8"/>
      <c r="D6">
        <v>62836.2</v>
      </c>
      <c r="E6">
        <v>56347.18</v>
      </c>
      <c r="F6" s="85">
        <v>52809</v>
      </c>
      <c r="G6" s="85">
        <v>49773</v>
      </c>
      <c r="H6" s="85">
        <v>12140</v>
      </c>
      <c r="I6" s="85">
        <v>12810</v>
      </c>
      <c r="J6" s="85">
        <v>13071</v>
      </c>
      <c r="K6" s="85">
        <v>13321</v>
      </c>
      <c r="L6" s="11"/>
      <c r="M6" s="11"/>
      <c r="N6" s="42" t="s">
        <v>14</v>
      </c>
      <c r="O6" s="43"/>
      <c r="P6" s="43">
        <v>0.29199999999999998</v>
      </c>
      <c r="Q6" s="43">
        <v>0.4758</v>
      </c>
      <c r="R6" s="43">
        <v>0.50029999999999997</v>
      </c>
      <c r="S6" s="48">
        <v>0.51570000000000005</v>
      </c>
      <c r="T6" s="48"/>
      <c r="U6" s="48">
        <v>0.50570000000000004</v>
      </c>
      <c r="V6" s="48">
        <v>0.46279999999999999</v>
      </c>
      <c r="W6" s="48">
        <v>0.51549999999999996</v>
      </c>
    </row>
    <row r="7" spans="1:23" x14ac:dyDescent="0.25">
      <c r="A7" s="6" t="s">
        <v>51</v>
      </c>
      <c r="B7" s="7"/>
      <c r="C7" s="8"/>
      <c r="D7" s="87"/>
      <c r="E7" s="85"/>
      <c r="F7" s="85">
        <v>0</v>
      </c>
      <c r="G7" s="85">
        <v>0</v>
      </c>
      <c r="H7" s="85"/>
      <c r="I7" s="85"/>
      <c r="J7" s="85"/>
      <c r="K7" s="85"/>
      <c r="L7" s="11"/>
      <c r="M7" s="11"/>
      <c r="N7" s="42" t="s">
        <v>15</v>
      </c>
      <c r="O7" s="43"/>
      <c r="P7" s="44">
        <f>D20/D23</f>
        <v>0.19619883221380929</v>
      </c>
      <c r="Q7" s="44">
        <f>E20/E23</f>
        <v>0.23911110140756783</v>
      </c>
      <c r="R7" s="44">
        <f>F20/F23</f>
        <v>0.26178873956981141</v>
      </c>
      <c r="S7" s="44">
        <f>G20/G23</f>
        <v>0.29318833617213319</v>
      </c>
      <c r="T7" s="18"/>
      <c r="U7" s="18"/>
      <c r="V7" s="18"/>
      <c r="W7" s="18"/>
    </row>
    <row r="8" spans="1:23" x14ac:dyDescent="0.25">
      <c r="A8" s="6" t="s">
        <v>52</v>
      </c>
      <c r="B8" s="7"/>
      <c r="C8" s="8"/>
      <c r="D8" s="85">
        <f t="shared" ref="D8:K8" si="0">D5-D6-D7</f>
        <v>1310.6600000000035</v>
      </c>
      <c r="E8" s="85">
        <f t="shared" si="0"/>
        <v>953.20999999999913</v>
      </c>
      <c r="F8" s="85">
        <f t="shared" si="0"/>
        <v>1110</v>
      </c>
      <c r="G8" s="85">
        <f t="shared" si="0"/>
        <v>2397</v>
      </c>
      <c r="H8" s="85">
        <f t="shared" si="0"/>
        <v>262</v>
      </c>
      <c r="I8" s="85">
        <f t="shared" si="0"/>
        <v>240</v>
      </c>
      <c r="J8" s="85">
        <f t="shared" si="0"/>
        <v>339</v>
      </c>
      <c r="K8" s="85">
        <f t="shared" si="0"/>
        <v>497</v>
      </c>
      <c r="L8" s="11"/>
      <c r="M8" s="11"/>
      <c r="N8" s="40" t="s">
        <v>16</v>
      </c>
      <c r="O8" s="45"/>
      <c r="P8" s="45"/>
      <c r="Q8" s="45"/>
      <c r="R8" s="46" t="s">
        <v>5</v>
      </c>
      <c r="S8" s="18"/>
      <c r="T8" s="18"/>
      <c r="U8" s="18"/>
      <c r="V8" s="18"/>
      <c r="W8" s="18"/>
    </row>
    <row r="9" spans="1:23" ht="33.75" x14ac:dyDescent="0.25">
      <c r="A9" s="6" t="s">
        <v>24</v>
      </c>
      <c r="B9" s="7"/>
      <c r="C9" s="7"/>
      <c r="D9" s="88">
        <v>40406.449999999997</v>
      </c>
      <c r="E9" s="85">
        <v>34325.629999999997</v>
      </c>
      <c r="F9" s="85">
        <v>28890</v>
      </c>
      <c r="G9" s="85">
        <v>22903</v>
      </c>
      <c r="H9" s="85">
        <v>5059</v>
      </c>
      <c r="I9" s="85">
        <v>5376</v>
      </c>
      <c r="J9" s="85">
        <v>5542</v>
      </c>
      <c r="K9" s="85">
        <v>5877</v>
      </c>
      <c r="L9" s="11"/>
      <c r="M9" s="11"/>
      <c r="N9" s="49" t="s">
        <v>93</v>
      </c>
      <c r="O9" s="45"/>
      <c r="P9" s="50">
        <f>D14/(D11-D9)</f>
        <v>0.43633829407326991</v>
      </c>
      <c r="Q9" s="50">
        <f>E14/(E11-E9)</f>
        <v>0.41619542489236011</v>
      </c>
      <c r="R9" s="50">
        <f>F14/(F11-F9)</f>
        <v>0.34288225658236443</v>
      </c>
      <c r="S9" s="50">
        <f>G14/(G11-G9)</f>
        <v>0.36105511326750267</v>
      </c>
      <c r="T9" s="18"/>
      <c r="U9" s="18"/>
      <c r="V9" s="18"/>
      <c r="W9" s="18"/>
    </row>
    <row r="10" spans="1:23" ht="22.5" x14ac:dyDescent="0.25">
      <c r="A10" s="6" t="s">
        <v>53</v>
      </c>
      <c r="B10" s="10">
        <f t="shared" ref="B10:H10" si="1">B6-B9</f>
        <v>0</v>
      </c>
      <c r="C10" s="10">
        <f t="shared" si="1"/>
        <v>0</v>
      </c>
      <c r="D10" s="89">
        <f t="shared" si="1"/>
        <v>22429.75</v>
      </c>
      <c r="E10" s="89">
        <f t="shared" si="1"/>
        <v>22021.550000000003</v>
      </c>
      <c r="F10" s="89">
        <f t="shared" si="1"/>
        <v>23919</v>
      </c>
      <c r="G10" s="89">
        <f t="shared" si="1"/>
        <v>26870</v>
      </c>
      <c r="H10" s="89">
        <f t="shared" si="1"/>
        <v>7081</v>
      </c>
      <c r="I10" s="89">
        <f>I6-I9</f>
        <v>7434</v>
      </c>
      <c r="J10" s="89">
        <f>J6-J9</f>
        <v>7529</v>
      </c>
      <c r="K10" s="89">
        <f>K6-K9</f>
        <v>7444</v>
      </c>
      <c r="L10" s="11"/>
      <c r="M10" s="11"/>
      <c r="N10" s="42" t="s">
        <v>92</v>
      </c>
      <c r="O10" s="43"/>
      <c r="P10" s="44">
        <f>D14/D11</f>
        <v>0.16148647026526317</v>
      </c>
      <c r="Q10" s="44">
        <f>E14/E11</f>
        <v>0.1668747804334316</v>
      </c>
      <c r="R10" s="44">
        <f>F14/F11</f>
        <v>0.15916467293532893</v>
      </c>
      <c r="S10" s="44">
        <f>G14/G11</f>
        <v>0.20254935786850681</v>
      </c>
      <c r="T10" s="18"/>
      <c r="U10" s="18"/>
      <c r="V10" s="18"/>
      <c r="W10" s="18"/>
    </row>
    <row r="11" spans="1:23" ht="22.5" x14ac:dyDescent="0.25">
      <c r="A11" s="6" t="s">
        <v>1</v>
      </c>
      <c r="B11" s="10">
        <f>B5-B9</f>
        <v>0</v>
      </c>
      <c r="C11" s="10">
        <f t="shared" ref="C11:H11" si="2">SUM(C6:C8)</f>
        <v>0</v>
      </c>
      <c r="D11" s="89">
        <f t="shared" si="2"/>
        <v>64146.86</v>
      </c>
      <c r="E11" s="89">
        <f t="shared" si="2"/>
        <v>57300.39</v>
      </c>
      <c r="F11" s="89">
        <f>SUM(F6:F8)</f>
        <v>53919</v>
      </c>
      <c r="G11" s="89">
        <f>SUM(G6:G8)</f>
        <v>52170</v>
      </c>
      <c r="H11" s="89">
        <f t="shared" si="2"/>
        <v>12402</v>
      </c>
      <c r="I11" s="89">
        <f>SUM(I6:I8)</f>
        <v>13050</v>
      </c>
      <c r="J11" s="89">
        <f>SUM(J6:J8)</f>
        <v>13410</v>
      </c>
      <c r="K11" s="89">
        <f>SUM(K6:K8)</f>
        <v>13818</v>
      </c>
      <c r="L11" s="11"/>
      <c r="M11" s="11"/>
      <c r="N11" s="42" t="s">
        <v>17</v>
      </c>
      <c r="O11" s="43"/>
      <c r="P11" s="44">
        <f>D14/AVERAGE(C22:D22)</f>
        <v>2.2676584556131332E-2</v>
      </c>
      <c r="Q11" s="44">
        <f>E14/AVERAGE(D22:E22)</f>
        <v>2.2617274873585159E-2</v>
      </c>
      <c r="R11" s="44">
        <f>F14/AVERAGE(E22:F22)</f>
        <v>2.2047604328174403E-2</v>
      </c>
      <c r="S11" s="44">
        <f>G14/AVERAGE(F22:G22)</f>
        <v>2.7587917395504268E-2</v>
      </c>
      <c r="T11" s="18"/>
      <c r="U11" s="18"/>
      <c r="V11" s="18"/>
      <c r="W11" s="18"/>
    </row>
    <row r="12" spans="1:23" x14ac:dyDescent="0.25">
      <c r="A12" s="6" t="s">
        <v>91</v>
      </c>
      <c r="B12" s="10"/>
      <c r="C12" s="10"/>
      <c r="D12" s="89">
        <v>694.5</v>
      </c>
      <c r="E12" s="89">
        <v>343.61</v>
      </c>
      <c r="F12" s="89">
        <v>633</v>
      </c>
      <c r="G12" s="89">
        <v>450</v>
      </c>
      <c r="H12" s="89">
        <v>159</v>
      </c>
      <c r="I12" s="89">
        <v>158</v>
      </c>
      <c r="J12" s="89">
        <v>157</v>
      </c>
      <c r="K12" s="89">
        <v>39</v>
      </c>
      <c r="L12" s="11"/>
      <c r="M12" s="11"/>
      <c r="N12" s="40" t="s">
        <v>18</v>
      </c>
      <c r="O12" s="45"/>
      <c r="P12" s="45"/>
      <c r="Q12" s="45"/>
      <c r="R12" s="46" t="s">
        <v>5</v>
      </c>
      <c r="S12" s="18"/>
      <c r="T12" s="18"/>
      <c r="U12" s="18"/>
      <c r="V12" s="53"/>
      <c r="W12" s="54"/>
    </row>
    <row r="13" spans="1:23" x14ac:dyDescent="0.25">
      <c r="A13" s="6" t="s">
        <v>25</v>
      </c>
      <c r="B13" s="7"/>
      <c r="C13" s="7"/>
      <c r="D13" s="88">
        <f t="shared" ref="D13:K13" si="3">D11+D12</f>
        <v>64841.36</v>
      </c>
      <c r="E13" s="88">
        <f t="shared" si="3"/>
        <v>57644</v>
      </c>
      <c r="F13" s="88">
        <f t="shared" si="3"/>
        <v>54552</v>
      </c>
      <c r="G13" s="88">
        <f t="shared" si="3"/>
        <v>52620</v>
      </c>
      <c r="H13" s="88">
        <f t="shared" si="3"/>
        <v>12561</v>
      </c>
      <c r="I13" s="88">
        <f t="shared" si="3"/>
        <v>13208</v>
      </c>
      <c r="J13" s="88">
        <f t="shared" si="3"/>
        <v>13567</v>
      </c>
      <c r="K13" s="88">
        <f t="shared" si="3"/>
        <v>13857</v>
      </c>
      <c r="L13" s="11"/>
      <c r="M13" s="11"/>
      <c r="N13" s="42" t="s">
        <v>19</v>
      </c>
      <c r="O13" s="43"/>
      <c r="P13" s="44">
        <f>D24/D23</f>
        <v>9.3985426408108044E-2</v>
      </c>
      <c r="Q13" s="44">
        <f>E24/E23</f>
        <v>1.8191386897939591E-2</v>
      </c>
      <c r="R13" s="44">
        <f>F24/F23</f>
        <v>2.2053426743305828E-2</v>
      </c>
      <c r="S13" s="44">
        <f>G24/G23</f>
        <v>1.6668850358853415E-2</v>
      </c>
      <c r="T13" s="48"/>
      <c r="U13" s="48">
        <v>1.4800000000000001E-2</v>
      </c>
      <c r="V13" s="48">
        <v>1.9699999999999999E-2</v>
      </c>
      <c r="W13" s="48">
        <v>1.0699999999999999E-2</v>
      </c>
    </row>
    <row r="14" spans="1:23" x14ac:dyDescent="0.25">
      <c r="A14" s="6" t="s">
        <v>26</v>
      </c>
      <c r="B14" s="7"/>
      <c r="C14" s="7"/>
      <c r="D14" s="85">
        <f>6372.48+449+3537.37</f>
        <v>10358.849999999999</v>
      </c>
      <c r="E14" s="85">
        <f>6265.77+680.04+2616.18</f>
        <v>9561.99</v>
      </c>
      <c r="F14" s="85">
        <f>5765+647+2170</f>
        <v>8582</v>
      </c>
      <c r="G14" s="85">
        <f>7584+469+2514</f>
        <v>10567</v>
      </c>
      <c r="H14" s="85">
        <f>2182+128+543</f>
        <v>2853</v>
      </c>
      <c r="I14" s="85">
        <f>2142+136+739</f>
        <v>3017</v>
      </c>
      <c r="J14" s="85">
        <f>2229+133+592</f>
        <v>2954</v>
      </c>
      <c r="K14" s="85">
        <f>2431-27+663</f>
        <v>3067</v>
      </c>
      <c r="L14" s="11"/>
      <c r="M14" s="11"/>
      <c r="N14" s="42" t="s">
        <v>20</v>
      </c>
      <c r="O14" s="43"/>
      <c r="P14" s="44">
        <f>D25/D23</f>
        <v>2.9014265030500107E-2</v>
      </c>
      <c r="Q14" s="44">
        <f>E25/E23</f>
        <v>1.1145291290857671E-2</v>
      </c>
      <c r="R14" s="44">
        <f>F25/F23</f>
        <v>1.5105244524780603E-2</v>
      </c>
      <c r="S14" s="44">
        <f>G25/G23</f>
        <v>9.171507184347295E-3</v>
      </c>
      <c r="T14" s="48"/>
      <c r="U14" s="48">
        <v>8.2000000000000007E-3</v>
      </c>
      <c r="V14" s="48">
        <v>1.1599999999999999E-2</v>
      </c>
      <c r="W14" s="48">
        <v>5.4999999999999997E-3</v>
      </c>
    </row>
    <row r="15" spans="1:23" x14ac:dyDescent="0.25">
      <c r="A15" s="6" t="s">
        <v>54</v>
      </c>
      <c r="B15" s="10"/>
      <c r="C15" s="10"/>
      <c r="D15" s="89">
        <f t="shared" ref="D15:I15" si="4">D11-D14</f>
        <v>53788.01</v>
      </c>
      <c r="E15" s="89">
        <f t="shared" si="4"/>
        <v>47738.400000000001</v>
      </c>
      <c r="F15" s="89">
        <f t="shared" si="4"/>
        <v>45337</v>
      </c>
      <c r="G15" s="89">
        <f t="shared" si="4"/>
        <v>41603</v>
      </c>
      <c r="H15" s="89">
        <f t="shared" si="4"/>
        <v>9549</v>
      </c>
      <c r="I15" s="89">
        <f t="shared" si="4"/>
        <v>10033</v>
      </c>
      <c r="J15" s="89">
        <f>J11-J14</f>
        <v>10456</v>
      </c>
      <c r="K15" s="89">
        <f>K11-K14</f>
        <v>10751</v>
      </c>
      <c r="L15" s="11"/>
      <c r="M15" s="11"/>
      <c r="N15" s="42" t="s">
        <v>21</v>
      </c>
      <c r="O15" s="43"/>
      <c r="P15" s="44">
        <f>(P13-P14)/P13</f>
        <v>0.69128974417253841</v>
      </c>
      <c r="Q15" s="44">
        <f>(Q13-Q14)/Q13</f>
        <v>0.38733141385058339</v>
      </c>
      <c r="R15" s="44">
        <f>(R13-R14)/R13</f>
        <v>0.31506134168624383</v>
      </c>
      <c r="S15" s="44">
        <f>(S13-S14)/S13</f>
        <v>0.44978165938864623</v>
      </c>
      <c r="T15" s="44" t="e">
        <f>(T13-T14)/T13</f>
        <v>#DIV/0!</v>
      </c>
      <c r="U15" s="18"/>
      <c r="V15" s="18"/>
      <c r="W15" s="18"/>
    </row>
    <row r="16" spans="1:23" x14ac:dyDescent="0.25">
      <c r="A16" s="6" t="s">
        <v>94</v>
      </c>
      <c r="B16" s="10"/>
      <c r="C16" s="10"/>
      <c r="D16" s="89">
        <f t="shared" ref="D16:I16" si="5">D13-D14-D9</f>
        <v>14076.060000000005</v>
      </c>
      <c r="E16" s="89">
        <f t="shared" si="5"/>
        <v>13756.380000000005</v>
      </c>
      <c r="F16" s="89">
        <f t="shared" si="5"/>
        <v>17080</v>
      </c>
      <c r="G16" s="89">
        <f t="shared" si="5"/>
        <v>19150</v>
      </c>
      <c r="H16" s="89">
        <f t="shared" si="5"/>
        <v>4649</v>
      </c>
      <c r="I16" s="89">
        <f t="shared" si="5"/>
        <v>4815</v>
      </c>
      <c r="J16" s="89">
        <f>J13-J14-J9</f>
        <v>5071</v>
      </c>
      <c r="K16" s="89">
        <f>K13-K14-K9</f>
        <v>4913</v>
      </c>
      <c r="L16" s="11"/>
      <c r="M16" s="11"/>
      <c r="N16" s="42" t="s">
        <v>22</v>
      </c>
      <c r="O16" s="43"/>
      <c r="P16" s="44">
        <f>D17/AVERAGE(C23:D23)</f>
        <v>8.3624077282760917E-2</v>
      </c>
      <c r="Q16" s="44">
        <f>E17/AVERAGE(D23:E23)</f>
        <v>1.955115684484415E-2</v>
      </c>
      <c r="R16" s="44">
        <f>F17/AVERAGE(E23:F23)</f>
        <v>2.2627967669576584E-2</v>
      </c>
      <c r="S16" s="44">
        <f>G17/AVERAGE(F23:G23)</f>
        <v>2.118734838265179E-2</v>
      </c>
      <c r="T16" s="18"/>
      <c r="U16" s="18"/>
      <c r="V16" s="18"/>
      <c r="W16" s="18"/>
    </row>
    <row r="17" spans="1:23" x14ac:dyDescent="0.25">
      <c r="A17" s="6" t="s">
        <v>27</v>
      </c>
      <c r="B17" s="7"/>
      <c r="C17" s="7"/>
      <c r="D17" s="88">
        <v>35231.660000000003</v>
      </c>
      <c r="E17" s="85">
        <v>7664.68</v>
      </c>
      <c r="F17" s="85">
        <v>8035</v>
      </c>
      <c r="G17" s="85">
        <v>7319</v>
      </c>
      <c r="H17" s="85">
        <v>382</v>
      </c>
      <c r="I17" s="85">
        <v>483</v>
      </c>
      <c r="J17" s="85">
        <v>384</v>
      </c>
      <c r="K17" s="85">
        <v>643</v>
      </c>
      <c r="L17" s="11"/>
      <c r="M17" s="11"/>
      <c r="N17" s="18"/>
      <c r="O17" s="18"/>
      <c r="P17" s="18"/>
      <c r="Q17" s="18"/>
      <c r="R17" s="18"/>
      <c r="S17" s="18"/>
      <c r="T17" s="18"/>
      <c r="U17" s="18"/>
      <c r="V17" s="18"/>
      <c r="W17" s="18"/>
    </row>
    <row r="18" spans="1:23" x14ac:dyDescent="0.25">
      <c r="A18" s="6" t="s">
        <v>55</v>
      </c>
      <c r="B18" s="7"/>
      <c r="C18" s="7"/>
      <c r="D18" s="88">
        <v>-13688.25</v>
      </c>
      <c r="E18" s="85">
        <v>3907.76</v>
      </c>
      <c r="F18" s="89">
        <v>4023</v>
      </c>
      <c r="G18" s="89">
        <v>9489</v>
      </c>
      <c r="H18" s="89">
        <v>3348</v>
      </c>
      <c r="I18" s="89">
        <v>3359</v>
      </c>
      <c r="J18" s="89">
        <v>3723</v>
      </c>
      <c r="K18" s="89">
        <v>3205</v>
      </c>
      <c r="L18" s="11"/>
      <c r="M18" s="11"/>
      <c r="N18" s="40" t="s">
        <v>30</v>
      </c>
      <c r="O18" s="45"/>
      <c r="P18" s="45"/>
      <c r="Q18" s="45"/>
      <c r="R18" s="46" t="s">
        <v>5</v>
      </c>
      <c r="S18" s="18"/>
      <c r="T18" s="18"/>
      <c r="U18" s="18"/>
      <c r="V18" s="18"/>
      <c r="W18" s="18"/>
    </row>
    <row r="19" spans="1:23" ht="22.5" x14ac:dyDescent="0.25">
      <c r="A19" s="6" t="s">
        <v>28</v>
      </c>
      <c r="B19" s="7"/>
      <c r="C19" s="7"/>
      <c r="D19" s="88">
        <v>82660.53</v>
      </c>
      <c r="E19" s="85">
        <v>86738.53</v>
      </c>
      <c r="F19" s="85">
        <v>90953</v>
      </c>
      <c r="G19" s="85">
        <v>100697</v>
      </c>
      <c r="H19" s="85"/>
      <c r="I19" s="85">
        <v>107690</v>
      </c>
      <c r="J19" s="85">
        <v>111429</v>
      </c>
      <c r="K19" s="85">
        <v>114772</v>
      </c>
      <c r="L19" s="11"/>
      <c r="M19" s="11"/>
      <c r="N19" s="46" t="s">
        <v>95</v>
      </c>
      <c r="O19" s="51"/>
      <c r="P19" s="51"/>
      <c r="Q19" s="52">
        <f>E16/AVERAGE(D22:E22)</f>
        <v>3.2538397104105894E-2</v>
      </c>
      <c r="R19" s="52">
        <f>F16/AVERAGE(E22:F22)</f>
        <v>4.3879408287720668E-2</v>
      </c>
      <c r="S19" s="52">
        <f>G16/AVERAGE(F22:G22)</f>
        <v>4.9996083857661279E-2</v>
      </c>
      <c r="T19" s="18"/>
      <c r="U19" s="18"/>
      <c r="V19" s="18"/>
      <c r="W19" s="18"/>
    </row>
    <row r="20" spans="1:23" x14ac:dyDescent="0.25">
      <c r="A20" s="6" t="s">
        <v>56</v>
      </c>
      <c r="B20" s="7"/>
      <c r="C20" s="7"/>
      <c r="D20" s="88">
        <f t="shared" ref="D20:K20" si="6">D19-D71</f>
        <v>82660.53</v>
      </c>
      <c r="E20" s="89">
        <f t="shared" si="6"/>
        <v>86738.53</v>
      </c>
      <c r="F20" s="89">
        <f t="shared" si="6"/>
        <v>90953</v>
      </c>
      <c r="G20" s="89">
        <f t="shared" si="6"/>
        <v>100697</v>
      </c>
      <c r="H20" s="89">
        <f t="shared" si="6"/>
        <v>0</v>
      </c>
      <c r="I20" s="89">
        <f t="shared" si="6"/>
        <v>107690</v>
      </c>
      <c r="J20" s="89">
        <f t="shared" si="6"/>
        <v>111429</v>
      </c>
      <c r="K20" s="89">
        <f t="shared" si="6"/>
        <v>114772</v>
      </c>
      <c r="L20" s="11"/>
      <c r="M20" s="11"/>
      <c r="N20" s="42" t="s">
        <v>31</v>
      </c>
      <c r="O20" s="43"/>
      <c r="P20" s="43">
        <v>4.4699999999999997E-2</v>
      </c>
      <c r="Q20" s="44">
        <f>E18/AVERAGE(D22:E22)</f>
        <v>9.2431473009280656E-3</v>
      </c>
      <c r="R20" s="44">
        <f>F18/AVERAGE(E22:F22)</f>
        <v>1.0335296226083153E-2</v>
      </c>
      <c r="S20" s="44">
        <f>G18/AVERAGE(F22:G22)</f>
        <v>2.4773516434744014E-2</v>
      </c>
      <c r="T20" s="48"/>
      <c r="U20" s="18"/>
      <c r="V20" s="18"/>
      <c r="W20" s="18"/>
    </row>
    <row r="21" spans="1:23" x14ac:dyDescent="0.25">
      <c r="A21" s="6" t="s">
        <v>57</v>
      </c>
      <c r="B21" s="9"/>
      <c r="C21" s="9"/>
      <c r="D21" s="85">
        <f>203611+155055.41</f>
        <v>358666.41000000003</v>
      </c>
      <c r="E21" s="85">
        <f>150846.38+143978.51</f>
        <v>294824.89</v>
      </c>
      <c r="F21" s="85">
        <f>114924+170321</f>
        <v>285245</v>
      </c>
      <c r="G21" s="85">
        <f>74619+186027</f>
        <v>260646</v>
      </c>
      <c r="H21" s="85"/>
      <c r="I21" s="85">
        <f>71325+194705</f>
        <v>266030</v>
      </c>
      <c r="J21" s="85"/>
      <c r="K21" s="85">
        <f>61208+227667</f>
        <v>288875</v>
      </c>
      <c r="L21" s="11"/>
      <c r="M21" s="11"/>
      <c r="N21" s="42" t="s">
        <v>32</v>
      </c>
      <c r="O21" s="43"/>
      <c r="P21" s="44">
        <f>D18/AVERAGE(C19:D19)</f>
        <v>-0.16559596218412828</v>
      </c>
      <c r="Q21" s="44">
        <f>E18/AVERAGE(D19:E19)</f>
        <v>4.613673771271222E-2</v>
      </c>
      <c r="R21" s="44">
        <f>F18/AVERAGE(E19:F19)</f>
        <v>4.5280717657166888E-2</v>
      </c>
      <c r="S21" s="44">
        <f>G18/AVERAGE(F19:G19)</f>
        <v>9.9024262979389516E-2</v>
      </c>
      <c r="T21" s="18"/>
      <c r="U21" s="18"/>
      <c r="V21" s="18"/>
      <c r="W21" s="18"/>
    </row>
    <row r="22" spans="1:23" x14ac:dyDescent="0.25">
      <c r="A22" s="6" t="s">
        <v>29</v>
      </c>
      <c r="B22" s="7"/>
      <c r="C22" s="7"/>
      <c r="D22" s="88">
        <v>456808.21</v>
      </c>
      <c r="E22" s="85">
        <v>388739.28</v>
      </c>
      <c r="F22" s="85">
        <v>389758</v>
      </c>
      <c r="G22" s="85">
        <v>376302</v>
      </c>
      <c r="H22" s="85"/>
      <c r="I22" s="85">
        <v>385246</v>
      </c>
      <c r="J22" s="85"/>
      <c r="K22" s="85">
        <v>414798</v>
      </c>
      <c r="L22" s="11"/>
      <c r="M22" s="11"/>
      <c r="N22" s="40" t="s">
        <v>33</v>
      </c>
      <c r="O22" s="45"/>
      <c r="P22" s="45"/>
      <c r="Q22" s="45"/>
      <c r="R22" s="46" t="s">
        <v>5</v>
      </c>
      <c r="S22" s="18"/>
      <c r="T22" s="18"/>
      <c r="U22" s="18"/>
      <c r="V22" s="18"/>
      <c r="W22" s="18"/>
    </row>
    <row r="23" spans="1:23" x14ac:dyDescent="0.25">
      <c r="A23" s="6" t="s">
        <v>58</v>
      </c>
      <c r="B23" s="7"/>
      <c r="C23" s="7"/>
      <c r="D23" s="88">
        <v>421310</v>
      </c>
      <c r="E23" s="85">
        <v>362754.09</v>
      </c>
      <c r="F23" s="85">
        <v>347429</v>
      </c>
      <c r="G23" s="85">
        <v>343455</v>
      </c>
      <c r="H23" s="85"/>
      <c r="I23" s="85">
        <v>359253</v>
      </c>
      <c r="J23" s="85"/>
      <c r="K23" s="85">
        <v>377173</v>
      </c>
      <c r="L23" s="11"/>
      <c r="M23" s="11"/>
      <c r="N23" s="42" t="s">
        <v>34</v>
      </c>
      <c r="O23" s="43"/>
      <c r="P23" s="44">
        <f>D6/AVERAGE(C23:D23)</f>
        <v>0.14914481023474402</v>
      </c>
      <c r="Q23" s="44">
        <f>E6/AVERAGE(D23:E23)</f>
        <v>0.14373105647524298</v>
      </c>
      <c r="R23" s="44">
        <f>F6/AVERAGE(E23:F23)</f>
        <v>0.14871939572653017</v>
      </c>
      <c r="S23" s="44">
        <f>G6/AVERAGE(F23:G23)</f>
        <v>0.14408496940152038</v>
      </c>
      <c r="T23" s="18"/>
      <c r="U23" s="18"/>
      <c r="V23" s="18"/>
      <c r="W23" s="18"/>
    </row>
    <row r="24" spans="1:23" x14ac:dyDescent="0.25">
      <c r="A24" s="6" t="s">
        <v>59</v>
      </c>
      <c r="B24" s="10"/>
      <c r="C24" s="10"/>
      <c r="D24" s="89">
        <v>39597</v>
      </c>
      <c r="E24" s="89">
        <v>6599</v>
      </c>
      <c r="F24" s="89">
        <v>7662</v>
      </c>
      <c r="G24" s="89">
        <v>5725</v>
      </c>
      <c r="H24" s="89"/>
      <c r="I24" s="89"/>
      <c r="J24" s="89"/>
      <c r="K24" s="89"/>
      <c r="L24" s="11"/>
      <c r="M24" s="11"/>
      <c r="N24" s="42" t="s">
        <v>35</v>
      </c>
      <c r="O24" s="43"/>
      <c r="P24" s="44">
        <f>D9/AVERAGE(C21:D21)</f>
        <v>0.11265746909502898</v>
      </c>
      <c r="Q24" s="44">
        <f>E9/AVERAGE(D21:E21)</f>
        <v>0.10505305885480035</v>
      </c>
      <c r="R24" s="44">
        <f>F9/AVERAGE(E21:F21)</f>
        <v>9.9608686808411992E-2</v>
      </c>
      <c r="S24" s="44">
        <f>G9/AVERAGE(F21:G21)</f>
        <v>8.391052426216955E-2</v>
      </c>
      <c r="T24" s="18"/>
      <c r="U24" s="18"/>
      <c r="V24" s="18"/>
      <c r="W24" s="18"/>
    </row>
    <row r="25" spans="1:23" x14ac:dyDescent="0.25">
      <c r="A25" s="6" t="s">
        <v>60</v>
      </c>
      <c r="B25" s="10"/>
      <c r="C25" s="10"/>
      <c r="D25" s="89">
        <v>12224</v>
      </c>
      <c r="E25" s="89">
        <v>4043</v>
      </c>
      <c r="F25" s="89">
        <v>5248</v>
      </c>
      <c r="G25" s="89">
        <v>3150</v>
      </c>
      <c r="H25" s="89"/>
      <c r="I25" s="89"/>
      <c r="J25" s="89"/>
      <c r="K25" s="89"/>
      <c r="L25" s="11"/>
      <c r="M25" s="11"/>
      <c r="N25" s="42" t="s">
        <v>36</v>
      </c>
      <c r="O25" s="43"/>
      <c r="P25" s="48">
        <f>P23-P24</f>
        <v>3.6487341139715038E-2</v>
      </c>
      <c r="Q25" s="48">
        <f>Q23-Q24</f>
        <v>3.8677997620442633E-2</v>
      </c>
      <c r="R25" s="48">
        <f>R23-R24</f>
        <v>4.9110708918118182E-2</v>
      </c>
      <c r="S25" s="48">
        <f>S23-S24</f>
        <v>6.017444513935083E-2</v>
      </c>
      <c r="T25" s="18"/>
      <c r="U25" s="18"/>
      <c r="V25" s="18"/>
      <c r="W25" s="18"/>
    </row>
  </sheetData>
  <mergeCells count="2">
    <mergeCell ref="A2:A4"/>
    <mergeCell ref="I1:K1"/>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R31"/>
  <sheetViews>
    <sheetView topLeftCell="X7" workbookViewId="0">
      <selection activeCell="S23" sqref="S23"/>
    </sheetView>
  </sheetViews>
  <sheetFormatPr defaultRowHeight="15" x14ac:dyDescent="0.25"/>
  <cols>
    <col min="1" max="1" width="30.7109375" customWidth="1"/>
    <col min="4" max="4" width="11.85546875" customWidth="1"/>
    <col min="5" max="5" width="11.140625" customWidth="1"/>
    <col min="6" max="6" width="12.7109375" customWidth="1"/>
    <col min="7" max="9" width="10.7109375" customWidth="1"/>
    <col min="10" max="12" width="10.140625" bestFit="1" customWidth="1"/>
    <col min="13" max="13" width="10.140625" customWidth="1"/>
    <col min="14" max="14" width="10.140625" bestFit="1" customWidth="1"/>
    <col min="16" max="16" width="11.28515625" bestFit="1" customWidth="1"/>
    <col min="17" max="17" width="11.28515625" customWidth="1"/>
    <col min="19" max="19" width="30.5703125" customWidth="1"/>
    <col min="20" max="20" width="7" customWidth="1"/>
    <col min="21" max="21" width="11.42578125" customWidth="1"/>
    <col min="22" max="22" width="13.28515625" customWidth="1"/>
    <col min="23" max="23" width="14.140625" customWidth="1"/>
    <col min="24" max="26" width="11.710937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113</v>
      </c>
      <c r="L1" s="772"/>
      <c r="M1" s="772"/>
      <c r="N1" s="772"/>
    </row>
    <row r="2" spans="1:44" ht="78.75" x14ac:dyDescent="0.25">
      <c r="A2" s="771" t="s">
        <v>4</v>
      </c>
      <c r="B2" s="1" t="s">
        <v>43</v>
      </c>
      <c r="C2" s="1" t="s">
        <v>41</v>
      </c>
      <c r="D2" s="2" t="s">
        <v>44</v>
      </c>
      <c r="E2" s="2" t="s">
        <v>0</v>
      </c>
      <c r="F2" s="3" t="s">
        <v>45</v>
      </c>
      <c r="G2" s="3" t="s">
        <v>42</v>
      </c>
      <c r="H2" s="3" t="s">
        <v>366</v>
      </c>
      <c r="I2" s="3" t="s">
        <v>367</v>
      </c>
      <c r="J2" s="3" t="s">
        <v>37</v>
      </c>
      <c r="K2" s="3" t="s">
        <v>38</v>
      </c>
      <c r="L2" s="3" t="s">
        <v>39</v>
      </c>
      <c r="M2" s="3" t="s">
        <v>40</v>
      </c>
      <c r="N2" s="3" t="s">
        <v>660</v>
      </c>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L2" s="403"/>
      <c r="AM2" s="403"/>
      <c r="AN2" s="403"/>
      <c r="AO2" s="403"/>
      <c r="AP2" s="403"/>
    </row>
    <row r="3" spans="1:44" x14ac:dyDescent="0.25">
      <c r="A3" s="771"/>
      <c r="B3" s="1" t="s">
        <v>46</v>
      </c>
      <c r="C3" s="4" t="s">
        <v>47</v>
      </c>
      <c r="D3" s="5" t="s">
        <v>47</v>
      </c>
      <c r="E3" s="5" t="s">
        <v>47</v>
      </c>
      <c r="F3" s="1" t="s">
        <v>46</v>
      </c>
      <c r="G3" s="1" t="s">
        <v>46</v>
      </c>
      <c r="H3" s="1" t="s">
        <v>46</v>
      </c>
      <c r="I3" s="1" t="s">
        <v>46</v>
      </c>
      <c r="J3" s="1" t="s">
        <v>96</v>
      </c>
      <c r="K3" s="1"/>
      <c r="L3" s="1"/>
      <c r="M3" s="1"/>
      <c r="N3" s="1"/>
      <c r="O3" s="11"/>
      <c r="P3" s="11"/>
      <c r="Q3" s="11"/>
      <c r="R3" s="11"/>
      <c r="S3" s="42" t="s">
        <v>11</v>
      </c>
      <c r="T3" s="43"/>
      <c r="U3" s="44" t="e">
        <f t="shared" ref="U3:Z3" si="0">D10/AVERAGE(C23:D23)</f>
        <v>#DIV/0!</v>
      </c>
      <c r="V3" s="44">
        <f t="shared" si="0"/>
        <v>8.4481827269408741E-2</v>
      </c>
      <c r="W3" s="44">
        <f t="shared" si="0"/>
        <v>8.6683744932556775E-2</v>
      </c>
      <c r="X3" s="44">
        <f t="shared" si="0"/>
        <v>8.9223159439693611E-2</v>
      </c>
      <c r="Y3" s="44">
        <f t="shared" si="0"/>
        <v>8.098860247831409E-2</v>
      </c>
      <c r="Z3" s="44">
        <f t="shared" si="0"/>
        <v>8.1280740498706081E-2</v>
      </c>
      <c r="AA3" s="44">
        <f t="shared" ref="AA3:AH3" si="1">(J10*4)/J23</f>
        <v>8.5494974358974365E-2</v>
      </c>
      <c r="AB3" s="44">
        <f t="shared" si="1"/>
        <v>9.0395192579965811E-2</v>
      </c>
      <c r="AC3" s="44">
        <f t="shared" si="1"/>
        <v>8.7429693834338129E-2</v>
      </c>
      <c r="AD3" s="44">
        <f t="shared" si="1"/>
        <v>0.10318489913412145</v>
      </c>
      <c r="AE3" s="44">
        <f t="shared" si="1"/>
        <v>9.1608753122139036E-2</v>
      </c>
      <c r="AF3" s="44">
        <f t="shared" si="1"/>
        <v>9.6837346652326878E-2</v>
      </c>
      <c r="AG3" s="44">
        <f t="shared" si="1"/>
        <v>9.5746497575538145E-2</v>
      </c>
      <c r="AH3" s="44">
        <f t="shared" si="1"/>
        <v>9.3628643531507558E-2</v>
      </c>
      <c r="AJ3" s="741" t="s">
        <v>624</v>
      </c>
      <c r="AK3" s="742"/>
      <c r="AL3" s="404" t="s">
        <v>625</v>
      </c>
      <c r="AM3" s="404" t="s">
        <v>626</v>
      </c>
      <c r="AN3" s="404" t="s">
        <v>627</v>
      </c>
      <c r="AO3" s="404" t="s">
        <v>628</v>
      </c>
      <c r="AP3" s="404" t="s">
        <v>629</v>
      </c>
      <c r="AQ3" s="404" t="s">
        <v>630</v>
      </c>
      <c r="AR3" s="404" t="s">
        <v>631</v>
      </c>
    </row>
    <row r="4" spans="1:44" x14ac:dyDescent="0.25">
      <c r="A4" s="771"/>
      <c r="B4" s="1" t="s">
        <v>48</v>
      </c>
      <c r="C4" s="1" t="s">
        <v>48</v>
      </c>
      <c r="D4" s="5" t="s">
        <v>49</v>
      </c>
      <c r="E4" s="5" t="s">
        <v>49</v>
      </c>
      <c r="F4" s="5" t="s">
        <v>49</v>
      </c>
      <c r="G4" s="5" t="s">
        <v>49</v>
      </c>
      <c r="H4" s="5" t="s">
        <v>49</v>
      </c>
      <c r="I4" s="5" t="s">
        <v>49</v>
      </c>
      <c r="J4" s="5"/>
      <c r="K4" s="5"/>
      <c r="L4" s="5"/>
      <c r="M4" s="5"/>
      <c r="N4" s="5"/>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E5" s="85">
        <v>22908.06</v>
      </c>
      <c r="F5" s="90">
        <v>31670.61</v>
      </c>
      <c r="G5" s="85">
        <v>44797.7</v>
      </c>
      <c r="H5" s="85">
        <v>58391.32</v>
      </c>
      <c r="I5" s="85">
        <v>82661.45</v>
      </c>
      <c r="J5" s="85">
        <v>18177.13</v>
      </c>
      <c r="K5" s="85">
        <v>20372.43</v>
      </c>
      <c r="L5" s="85">
        <v>20862.45</v>
      </c>
      <c r="M5" s="85">
        <v>23449.43</v>
      </c>
      <c r="N5" s="85">
        <v>16946.02</v>
      </c>
      <c r="O5" s="11">
        <v>25125.91</v>
      </c>
      <c r="P5" s="11">
        <v>28228.06</v>
      </c>
      <c r="Q5" s="11">
        <v>30396.38</v>
      </c>
      <c r="R5" s="11"/>
      <c r="S5" s="42" t="s">
        <v>13</v>
      </c>
      <c r="T5" s="46"/>
      <c r="U5" s="47" t="e">
        <f t="shared" ref="U5:Z5" si="2">D21/D20</f>
        <v>#DIV/0!</v>
      </c>
      <c r="V5" s="47">
        <f t="shared" si="2"/>
        <v>1.1017582914772499</v>
      </c>
      <c r="W5" s="47">
        <f t="shared" si="2"/>
        <v>1.5911006822369997</v>
      </c>
      <c r="X5" s="47">
        <f t="shared" si="2"/>
        <v>1.9235748700152695</v>
      </c>
      <c r="Y5" s="47">
        <f t="shared" si="2"/>
        <v>2.4159329231968014</v>
      </c>
      <c r="Z5" s="47">
        <f t="shared" si="2"/>
        <v>1.4883673182636177</v>
      </c>
      <c r="AA5" s="47"/>
      <c r="AB5" s="47"/>
      <c r="AC5" s="47"/>
      <c r="AD5" s="47">
        <f>M21/M20</f>
        <v>1.4883673182636177</v>
      </c>
      <c r="AJ5" s="406" t="s">
        <v>632</v>
      </c>
      <c r="AK5" s="406" t="s">
        <v>557</v>
      </c>
      <c r="AL5" s="745" t="s">
        <v>633</v>
      </c>
      <c r="AM5" s="745"/>
      <c r="AN5" s="745"/>
      <c r="AO5" s="745"/>
      <c r="AP5" s="745"/>
      <c r="AQ5" s="745"/>
      <c r="AR5" s="745"/>
    </row>
    <row r="6" spans="1:44" x14ac:dyDescent="0.25">
      <c r="A6" s="6" t="s">
        <v>50</v>
      </c>
      <c r="B6" s="7"/>
      <c r="C6" s="8"/>
      <c r="E6" s="85">
        <v>20134.02</v>
      </c>
      <c r="F6" s="85">
        <v>25719.71</v>
      </c>
      <c r="G6" s="85">
        <v>35663.21</v>
      </c>
      <c r="H6" s="85">
        <v>46504.45</v>
      </c>
      <c r="I6" s="85">
        <v>64416.58</v>
      </c>
      <c r="J6" s="85">
        <v>15155.84</v>
      </c>
      <c r="K6" s="85">
        <v>16795.509999999998</v>
      </c>
      <c r="L6" s="85">
        <v>17681.009999999998</v>
      </c>
      <c r="M6" s="85">
        <v>20525.990000000002</v>
      </c>
      <c r="N6" s="85">
        <v>13844.17</v>
      </c>
      <c r="O6" s="11">
        <v>20944.79</v>
      </c>
      <c r="P6" s="11">
        <v>22480.89</v>
      </c>
      <c r="Q6" s="11">
        <v>24067.51</v>
      </c>
      <c r="R6" s="11"/>
      <c r="S6" s="42" t="s">
        <v>14</v>
      </c>
      <c r="T6" s="43"/>
      <c r="U6" s="43"/>
      <c r="V6" s="43">
        <v>0.81120000000000003</v>
      </c>
      <c r="W6" s="43">
        <v>0.71509999999999996</v>
      </c>
      <c r="X6" s="48">
        <v>0.55869999999999997</v>
      </c>
      <c r="Y6" s="48">
        <v>0.52700000000000002</v>
      </c>
      <c r="Z6" s="48">
        <v>0.71</v>
      </c>
      <c r="AA6" s="48">
        <v>0.47199999999999998</v>
      </c>
      <c r="AB6" s="18"/>
      <c r="AC6" s="18"/>
      <c r="AD6" s="154">
        <v>0.71</v>
      </c>
      <c r="AF6" s="80">
        <v>0.66700000000000004</v>
      </c>
      <c r="AG6" s="80">
        <v>0.65900000000000003</v>
      </c>
      <c r="AH6" s="80">
        <v>0.60599999999999998</v>
      </c>
      <c r="AJ6" s="392">
        <v>1</v>
      </c>
      <c r="AK6" s="108" t="s">
        <v>646</v>
      </c>
      <c r="AL6" s="418">
        <v>0.1032</v>
      </c>
      <c r="AM6" s="417">
        <v>8.7400000000000005E-2</v>
      </c>
      <c r="AN6" s="81"/>
      <c r="AO6" s="81"/>
      <c r="AP6" s="417">
        <v>9.1600000000000001E-2</v>
      </c>
      <c r="AQ6" s="417">
        <v>8.1299999999999997E-2</v>
      </c>
      <c r="AR6" s="417">
        <v>8.1000000000000003E-2</v>
      </c>
    </row>
    <row r="7" spans="1:44" x14ac:dyDescent="0.25">
      <c r="A7" s="6" t="s">
        <v>51</v>
      </c>
      <c r="B7" s="7"/>
      <c r="C7" s="8"/>
      <c r="D7" s="87"/>
      <c r="E7" s="85">
        <v>0</v>
      </c>
      <c r="F7" s="85">
        <v>0</v>
      </c>
      <c r="G7" s="85">
        <v>0</v>
      </c>
      <c r="H7" s="85"/>
      <c r="I7" s="85"/>
      <c r="J7" s="85"/>
      <c r="K7" s="85"/>
      <c r="L7" s="85"/>
      <c r="M7" s="85"/>
      <c r="N7" s="85"/>
      <c r="O7" s="11"/>
      <c r="P7" s="11"/>
      <c r="Q7" s="11"/>
      <c r="R7" s="11"/>
      <c r="S7" s="42" t="s">
        <v>15</v>
      </c>
      <c r="T7" s="43"/>
      <c r="U7" s="44" t="e">
        <f t="shared" ref="U7:Z7" si="3">D20/D23</f>
        <v>#DIV/0!</v>
      </c>
      <c r="V7" s="44">
        <f t="shared" si="3"/>
        <v>0.56880469729191996</v>
      </c>
      <c r="W7" s="44">
        <f t="shared" si="3"/>
        <v>0.46579973321378099</v>
      </c>
      <c r="X7" s="44">
        <f t="shared" si="3"/>
        <v>0.40503498718625092</v>
      </c>
      <c r="Y7" s="44">
        <f t="shared" si="3"/>
        <v>0.33944444493222464</v>
      </c>
      <c r="Z7" s="44">
        <f t="shared" si="3"/>
        <v>0.4493354319438766</v>
      </c>
      <c r="AA7" s="18"/>
      <c r="AB7" s="18"/>
      <c r="AC7" s="18"/>
      <c r="AD7" s="18"/>
      <c r="AJ7" s="392">
        <v>2</v>
      </c>
      <c r="AK7" s="108" t="s">
        <v>634</v>
      </c>
      <c r="AL7" s="410">
        <v>77.75</v>
      </c>
      <c r="AM7" s="410">
        <v>62.13</v>
      </c>
      <c r="AN7" s="410">
        <v>60.04</v>
      </c>
      <c r="AO7" s="410">
        <v>46.96</v>
      </c>
      <c r="AP7" s="81"/>
      <c r="AQ7" s="411">
        <v>246.87</v>
      </c>
      <c r="AR7" s="412"/>
    </row>
    <row r="8" spans="1:44" x14ac:dyDescent="0.25">
      <c r="A8" s="6" t="s">
        <v>52</v>
      </c>
      <c r="B8" s="7"/>
      <c r="C8" s="8"/>
      <c r="D8" s="85">
        <f t="shared" ref="D8:Q8" si="4">D5-D6-D7</f>
        <v>0</v>
      </c>
      <c r="E8" s="85">
        <f t="shared" si="4"/>
        <v>2774.0400000000009</v>
      </c>
      <c r="F8" s="85">
        <f t="shared" si="4"/>
        <v>5950.9000000000015</v>
      </c>
      <c r="G8" s="85">
        <f t="shared" si="4"/>
        <v>9134.489999999998</v>
      </c>
      <c r="H8" s="85">
        <f t="shared" si="4"/>
        <v>11886.870000000003</v>
      </c>
      <c r="I8" s="85">
        <f t="shared" si="4"/>
        <v>18244.869999999995</v>
      </c>
      <c r="J8" s="85">
        <f t="shared" si="4"/>
        <v>3021.2900000000009</v>
      </c>
      <c r="K8" s="85">
        <f t="shared" si="4"/>
        <v>3576.9200000000019</v>
      </c>
      <c r="L8" s="85">
        <f t="shared" si="4"/>
        <v>3181.4400000000023</v>
      </c>
      <c r="M8" s="85">
        <f t="shared" si="4"/>
        <v>2923.4399999999987</v>
      </c>
      <c r="N8" s="85">
        <f t="shared" si="4"/>
        <v>3101.8500000000004</v>
      </c>
      <c r="O8" s="85">
        <f t="shared" si="4"/>
        <v>4181.119999999999</v>
      </c>
      <c r="P8" s="85">
        <f t="shared" si="4"/>
        <v>5747.1700000000019</v>
      </c>
      <c r="Q8" s="85">
        <f t="shared" si="4"/>
        <v>6328.8700000000026</v>
      </c>
      <c r="R8" s="11"/>
      <c r="S8" s="40" t="s">
        <v>16</v>
      </c>
      <c r="T8" s="45"/>
      <c r="U8" s="45"/>
      <c r="V8" s="45"/>
      <c r="W8" s="46" t="s">
        <v>5</v>
      </c>
      <c r="X8" s="18"/>
      <c r="Y8" s="18"/>
      <c r="Z8" s="18"/>
      <c r="AA8" s="18"/>
      <c r="AB8" s="18"/>
      <c r="AC8" s="18"/>
      <c r="AD8" s="18"/>
      <c r="AJ8" s="392">
        <v>3</v>
      </c>
      <c r="AK8" s="108" t="s">
        <v>635</v>
      </c>
      <c r="AL8" s="417">
        <v>9.7000000000000003E-3</v>
      </c>
      <c r="AM8" s="417">
        <v>1.2E-2</v>
      </c>
      <c r="AN8" s="81"/>
      <c r="AO8" s="81"/>
      <c r="AP8" s="417">
        <v>1.1299999999999999E-2</v>
      </c>
      <c r="AQ8" s="417">
        <v>9.7000000000000003E-3</v>
      </c>
      <c r="AR8" s="417">
        <v>1.1299999999999999E-2</v>
      </c>
    </row>
    <row r="9" spans="1:44" ht="33.75" x14ac:dyDescent="0.25">
      <c r="A9" s="6" t="s">
        <v>24</v>
      </c>
      <c r="B9" s="7"/>
      <c r="C9" s="7"/>
      <c r="D9" s="88"/>
      <c r="E9" s="85">
        <v>7534.87</v>
      </c>
      <c r="F9" s="85">
        <v>10534.81</v>
      </c>
      <c r="G9" s="85">
        <v>14833.86</v>
      </c>
      <c r="H9" s="85">
        <v>20986.959999999999</v>
      </c>
      <c r="I9" s="85">
        <v>28851.71</v>
      </c>
      <c r="J9" s="85">
        <v>6820.08</v>
      </c>
      <c r="K9" s="85">
        <v>7154.7</v>
      </c>
      <c r="L9" s="85">
        <v>7410.01</v>
      </c>
      <c r="M9" s="85">
        <v>7466.92</v>
      </c>
      <c r="N9" s="85">
        <v>5578.44</v>
      </c>
      <c r="O9" s="11">
        <v>7663.79</v>
      </c>
      <c r="P9" s="11">
        <v>8461.3799999999992</v>
      </c>
      <c r="Q9" s="11">
        <v>9203.2000000000007</v>
      </c>
      <c r="R9" s="11"/>
      <c r="S9" s="49" t="s">
        <v>93</v>
      </c>
      <c r="T9" s="45"/>
      <c r="U9" s="50" t="e">
        <f t="shared" ref="U9:Z9" si="5">D14/(D11-D9)</f>
        <v>#DIV/0!</v>
      </c>
      <c r="V9" s="50">
        <f t="shared" si="5"/>
        <v>0.51381463443826547</v>
      </c>
      <c r="W9" s="50">
        <f t="shared" si="5"/>
        <v>0.40048637856149277</v>
      </c>
      <c r="X9" s="50">
        <f t="shared" si="5"/>
        <v>0.4427890417249592</v>
      </c>
      <c r="Y9" s="50">
        <f t="shared" si="5"/>
        <v>0.48182591548151071</v>
      </c>
      <c r="Z9" s="50">
        <f t="shared" si="5"/>
        <v>0.43574509001530209</v>
      </c>
      <c r="AA9" s="18"/>
      <c r="AB9" s="18"/>
      <c r="AC9" s="18"/>
      <c r="AD9" s="18"/>
      <c r="AJ9" s="392">
        <v>4</v>
      </c>
      <c r="AK9" s="108" t="s">
        <v>636</v>
      </c>
      <c r="AL9" s="417">
        <v>7.3000000000000001E-3</v>
      </c>
      <c r="AM9" s="417">
        <v>8.9999999999999993E-3</v>
      </c>
      <c r="AN9" s="81"/>
      <c r="AO9" s="81"/>
      <c r="AP9" s="417">
        <v>8.5000000000000006E-3</v>
      </c>
      <c r="AQ9" s="417">
        <v>7.3000000000000001E-3</v>
      </c>
      <c r="AR9" s="417">
        <v>8.5000000000000006E-3</v>
      </c>
    </row>
    <row r="10" spans="1:44" ht="22.5" x14ac:dyDescent="0.25">
      <c r="A10" s="6" t="s">
        <v>53</v>
      </c>
      <c r="B10" s="10">
        <f t="shared" ref="B10:N10" si="6">B6-B9</f>
        <v>0</v>
      </c>
      <c r="C10" s="10">
        <f t="shared" si="6"/>
        <v>0</v>
      </c>
      <c r="D10" s="89">
        <f t="shared" si="6"/>
        <v>0</v>
      </c>
      <c r="E10" s="89">
        <f t="shared" si="6"/>
        <v>12599.150000000001</v>
      </c>
      <c r="F10" s="89">
        <f t="shared" si="6"/>
        <v>15184.9</v>
      </c>
      <c r="G10" s="89">
        <f t="shared" si="6"/>
        <v>20829.349999999999</v>
      </c>
      <c r="H10" s="89">
        <f>H6-H9</f>
        <v>25517.489999999998</v>
      </c>
      <c r="I10" s="89">
        <f>I6-I9</f>
        <v>35564.870000000003</v>
      </c>
      <c r="J10" s="89">
        <f t="shared" si="6"/>
        <v>8335.76</v>
      </c>
      <c r="K10" s="89">
        <f t="shared" si="6"/>
        <v>9640.8099999999977</v>
      </c>
      <c r="L10" s="89">
        <f t="shared" si="6"/>
        <v>10270.999999999998</v>
      </c>
      <c r="M10" s="89">
        <f>M6-M9</f>
        <v>13059.070000000002</v>
      </c>
      <c r="N10" s="89">
        <f t="shared" si="6"/>
        <v>8265.73</v>
      </c>
      <c r="O10" s="89">
        <f t="shared" ref="O10:P10" si="7">O6-O9</f>
        <v>13281</v>
      </c>
      <c r="P10" s="89">
        <f t="shared" si="7"/>
        <v>14019.51</v>
      </c>
      <c r="Q10" s="89">
        <f t="shared" ref="Q10" si="8">Q6-Q9</f>
        <v>14864.309999999998</v>
      </c>
      <c r="R10" s="11"/>
      <c r="S10" s="42" t="s">
        <v>92</v>
      </c>
      <c r="T10" s="43"/>
      <c r="U10" s="44" t="e">
        <f t="shared" ref="U10:Z10" si="9">D14/D11</f>
        <v>#DIV/0!</v>
      </c>
      <c r="V10" s="44">
        <f t="shared" si="9"/>
        <v>0.34481182605598198</v>
      </c>
      <c r="W10" s="44">
        <f t="shared" si="9"/>
        <v>0.26726987576178673</v>
      </c>
      <c r="X10" s="44">
        <f t="shared" si="9"/>
        <v>0.29616833007051702</v>
      </c>
      <c r="Y10" s="44">
        <f t="shared" si="9"/>
        <v>0.30864844295350746</v>
      </c>
      <c r="Z10" s="44">
        <f t="shared" si="9"/>
        <v>0.28365495645188904</v>
      </c>
      <c r="AA10" s="18"/>
      <c r="AB10" s="18"/>
      <c r="AC10" s="18"/>
      <c r="AD10" s="18"/>
      <c r="AJ10" s="392">
        <v>5</v>
      </c>
      <c r="AK10" s="108" t="s">
        <v>637</v>
      </c>
      <c r="AL10" s="417">
        <v>4.4999999999999997E-3</v>
      </c>
      <c r="AM10" s="417">
        <v>3.5000000000000001E-3</v>
      </c>
      <c r="AN10" s="81"/>
      <c r="AO10" s="81"/>
      <c r="AP10" s="417">
        <v>5.1999999999999998E-3</v>
      </c>
      <c r="AQ10" s="417">
        <v>4.4000000000000003E-3</v>
      </c>
      <c r="AR10" s="417">
        <v>4.4999999999999997E-3</v>
      </c>
    </row>
    <row r="11" spans="1:44" ht="30" x14ac:dyDescent="0.25">
      <c r="A11" s="6" t="s">
        <v>1</v>
      </c>
      <c r="B11" s="10">
        <f>B5-B9</f>
        <v>0</v>
      </c>
      <c r="C11" s="10">
        <f t="shared" ref="C11:N11" si="10">SUM(C6:C8)</f>
        <v>0</v>
      </c>
      <c r="D11" s="89">
        <f t="shared" si="10"/>
        <v>0</v>
      </c>
      <c r="E11" s="89">
        <f t="shared" si="10"/>
        <v>22908.06</v>
      </c>
      <c r="F11" s="89">
        <f t="shared" si="10"/>
        <v>31670.61</v>
      </c>
      <c r="G11" s="89">
        <f t="shared" si="10"/>
        <v>44797.7</v>
      </c>
      <c r="H11" s="89">
        <f>SUM(H6:H8)</f>
        <v>58391.32</v>
      </c>
      <c r="I11" s="89">
        <f>SUM(I6:I8)</f>
        <v>82661.45</v>
      </c>
      <c r="J11" s="89">
        <f t="shared" si="10"/>
        <v>18177.13</v>
      </c>
      <c r="K11" s="89">
        <f t="shared" si="10"/>
        <v>20372.43</v>
      </c>
      <c r="L11" s="89">
        <f t="shared" si="10"/>
        <v>20862.45</v>
      </c>
      <c r="M11" s="89">
        <f>SUM(M6:M8)</f>
        <v>23449.43</v>
      </c>
      <c r="N11" s="89">
        <f t="shared" si="10"/>
        <v>16946.02</v>
      </c>
      <c r="O11" s="89">
        <f t="shared" ref="O11:P11" si="11">SUM(O6:O8)</f>
        <v>25125.91</v>
      </c>
      <c r="P11" s="89">
        <f t="shared" si="11"/>
        <v>28228.06</v>
      </c>
      <c r="Q11" s="89">
        <f t="shared" ref="Q11" si="12">SUM(Q6:Q8)</f>
        <v>30396.38</v>
      </c>
      <c r="R11" s="11"/>
      <c r="S11" s="42" t="s">
        <v>17</v>
      </c>
      <c r="T11" s="43"/>
      <c r="U11" s="44" t="e">
        <f t="shared" ref="U11:Z11" si="13">D14/AVERAGE(C22:D22)</f>
        <v>#DIV/0!</v>
      </c>
      <c r="V11" s="44">
        <f t="shared" si="13"/>
        <v>4.3907772094284162E-2</v>
      </c>
      <c r="W11" s="44">
        <f t="shared" si="13"/>
        <v>3.9724678309934244E-2</v>
      </c>
      <c r="X11" s="44">
        <f t="shared" si="13"/>
        <v>4.6685363341282621E-2</v>
      </c>
      <c r="Y11" s="44">
        <f t="shared" si="13"/>
        <v>4.7955152924055527E-2</v>
      </c>
      <c r="Z11" s="44">
        <f t="shared" si="13"/>
        <v>4.6484609037070024E-2</v>
      </c>
      <c r="AA11" s="18"/>
      <c r="AB11" s="18"/>
      <c r="AC11" s="18"/>
      <c r="AD11" s="18"/>
      <c r="AJ11" s="392">
        <v>6</v>
      </c>
      <c r="AK11" s="413" t="s">
        <v>638</v>
      </c>
      <c r="AL11" s="410">
        <v>236.25</v>
      </c>
      <c r="AM11" s="81"/>
      <c r="AN11" s="81"/>
      <c r="AO11" s="81"/>
      <c r="AP11" s="81"/>
      <c r="AQ11" s="408"/>
      <c r="AR11" s="408"/>
    </row>
    <row r="12" spans="1:44" ht="30" x14ac:dyDescent="0.25">
      <c r="A12" s="6" t="s">
        <v>91</v>
      </c>
      <c r="B12" s="10"/>
      <c r="C12" s="10"/>
      <c r="D12" s="89"/>
      <c r="E12" s="89">
        <v>82.98</v>
      </c>
      <c r="F12" s="89">
        <v>609.22</v>
      </c>
      <c r="G12" s="89">
        <v>1182.8</v>
      </c>
      <c r="H12" s="89">
        <v>2171.3000000000002</v>
      </c>
      <c r="I12" s="89">
        <v>3176.21</v>
      </c>
      <c r="J12" s="89">
        <v>600.72</v>
      </c>
      <c r="K12" s="89">
        <v>658.4</v>
      </c>
      <c r="L12" s="89">
        <v>951.23</v>
      </c>
      <c r="M12" s="89">
        <v>965.86</v>
      </c>
      <c r="N12" s="89">
        <v>755.19</v>
      </c>
      <c r="O12" s="11">
        <v>917.54</v>
      </c>
      <c r="P12" s="11">
        <v>84.34</v>
      </c>
      <c r="Q12" s="11">
        <v>15.13</v>
      </c>
      <c r="R12" s="11"/>
      <c r="S12" s="40" t="s">
        <v>18</v>
      </c>
      <c r="T12" s="45"/>
      <c r="U12" s="45"/>
      <c r="V12" s="45"/>
      <c r="W12" s="46" t="s">
        <v>5</v>
      </c>
      <c r="X12" s="18"/>
      <c r="Y12" s="18"/>
      <c r="Z12" s="18"/>
      <c r="AA12" s="18"/>
      <c r="AB12" s="18"/>
      <c r="AC12" s="53"/>
      <c r="AD12" s="54"/>
      <c r="AJ12" s="392">
        <v>7</v>
      </c>
      <c r="AK12" s="413" t="s">
        <v>639</v>
      </c>
      <c r="AL12" s="410">
        <v>185.46</v>
      </c>
      <c r="AM12" s="81"/>
      <c r="AN12" s="81"/>
      <c r="AO12" s="81"/>
      <c r="AP12" s="81"/>
      <c r="AQ12" s="408"/>
      <c r="AR12" s="408"/>
    </row>
    <row r="13" spans="1:44" x14ac:dyDescent="0.25">
      <c r="A13" s="6" t="s">
        <v>25</v>
      </c>
      <c r="B13" s="7"/>
      <c r="C13" s="7"/>
      <c r="D13" s="88">
        <f t="shared" ref="D13:P13" si="14">D11+D12</f>
        <v>0</v>
      </c>
      <c r="E13" s="88">
        <f t="shared" si="14"/>
        <v>22991.040000000001</v>
      </c>
      <c r="F13" s="88">
        <f t="shared" si="14"/>
        <v>32279.83</v>
      </c>
      <c r="G13" s="88">
        <f t="shared" si="14"/>
        <v>45980.5</v>
      </c>
      <c r="H13" s="88">
        <f t="shared" si="14"/>
        <v>60562.62</v>
      </c>
      <c r="I13" s="88">
        <f t="shared" si="14"/>
        <v>85837.66</v>
      </c>
      <c r="J13" s="88">
        <f t="shared" si="14"/>
        <v>18777.850000000002</v>
      </c>
      <c r="K13" s="88">
        <f t="shared" si="14"/>
        <v>21030.83</v>
      </c>
      <c r="L13" s="88">
        <f t="shared" si="14"/>
        <v>21813.68</v>
      </c>
      <c r="M13" s="88">
        <f t="shared" si="14"/>
        <v>24415.29</v>
      </c>
      <c r="N13" s="88">
        <f t="shared" si="14"/>
        <v>17701.21</v>
      </c>
      <c r="O13" s="88">
        <f t="shared" si="14"/>
        <v>26043.45</v>
      </c>
      <c r="P13" s="88">
        <f t="shared" si="14"/>
        <v>28312.400000000001</v>
      </c>
      <c r="Q13" s="88">
        <f>Q11+Q12</f>
        <v>30411.510000000002</v>
      </c>
      <c r="R13" s="11"/>
      <c r="S13" s="42" t="s">
        <v>19</v>
      </c>
      <c r="T13" s="43"/>
      <c r="U13" s="44" t="e">
        <f t="shared" ref="U13:Z13" si="15">D24/D23</f>
        <v>#DIV/0!</v>
      </c>
      <c r="V13" s="44">
        <f t="shared" si="15"/>
        <v>1.3121851666187904E-2</v>
      </c>
      <c r="W13" s="44">
        <f t="shared" si="15"/>
        <v>1.7984041033451945E-2</v>
      </c>
      <c r="X13" s="44">
        <f t="shared" si="15"/>
        <v>2.1468473066097594E-2</v>
      </c>
      <c r="Y13" s="44">
        <f t="shared" si="15"/>
        <v>1.1495299603624928E-2</v>
      </c>
      <c r="Z13" s="44">
        <f t="shared" si="15"/>
        <v>9.8166650602141605E-3</v>
      </c>
      <c r="AA13" s="48">
        <v>0.01</v>
      </c>
      <c r="AB13" s="48">
        <v>0.01</v>
      </c>
      <c r="AC13" s="48">
        <v>1.2E-2</v>
      </c>
      <c r="AD13" s="80">
        <v>9.7000000000000003E-3</v>
      </c>
      <c r="AE13" s="48">
        <v>1.1299999999999999E-2</v>
      </c>
      <c r="AF13" s="80">
        <v>1.14E-2</v>
      </c>
      <c r="AG13" s="80">
        <v>1.24E-2</v>
      </c>
      <c r="AH13" s="80">
        <v>1.2500000000000001E-2</v>
      </c>
      <c r="AJ13" s="392">
        <v>8</v>
      </c>
      <c r="AK13" s="108" t="s">
        <v>640</v>
      </c>
      <c r="AL13" s="419">
        <f>AL11/AL12</f>
        <v>1.2738595923649303</v>
      </c>
      <c r="AM13" s="81"/>
      <c r="AN13" s="81"/>
      <c r="AO13" s="81"/>
      <c r="AP13" s="81"/>
      <c r="AQ13" s="81"/>
      <c r="AR13" s="81"/>
    </row>
    <row r="14" spans="1:44" x14ac:dyDescent="0.25">
      <c r="A14" s="6" t="s">
        <v>26</v>
      </c>
      <c r="B14" s="7"/>
      <c r="C14" s="7"/>
      <c r="D14" s="85"/>
      <c r="E14" s="85">
        <f>5037.61+586.88+2274.48</f>
        <v>7898.9699999999993</v>
      </c>
      <c r="F14" s="85">
        <f>6168.58+509.84+1786.18</f>
        <v>8464.6</v>
      </c>
      <c r="G14" s="85">
        <f>10140.62+653.9+2473.14</f>
        <v>13267.66</v>
      </c>
      <c r="H14" s="85">
        <f>13455.94+820.25+3746.2</f>
        <v>18022.39</v>
      </c>
      <c r="I14" s="85">
        <f>17942.88+991.36+4513.09</f>
        <v>23447.33</v>
      </c>
      <c r="J14" s="85">
        <f>4143.41+216.98+1113.09</f>
        <v>5473.48</v>
      </c>
      <c r="K14" s="85">
        <f>4298.37+216.74+1116.67</f>
        <v>5631.78</v>
      </c>
      <c r="L14" s="85">
        <f>4573.89+245.3+1080.87</f>
        <v>5900.06</v>
      </c>
      <c r="M14" s="85">
        <f>4927.21+312.24+1202.26</f>
        <v>6441.71</v>
      </c>
      <c r="N14" s="85">
        <f>3624.11+209.96+1016.31</f>
        <v>4850.38</v>
      </c>
      <c r="O14" s="11">
        <f>5290.26+282+1364.07</f>
        <v>6936.33</v>
      </c>
      <c r="P14" s="11">
        <f>5456.1+280.65+1644.82</f>
        <v>7381.57</v>
      </c>
      <c r="Q14" s="11">
        <f>6004.52+298.72+1610.04</f>
        <v>7913.2800000000007</v>
      </c>
      <c r="R14" s="11"/>
      <c r="S14" s="42" t="s">
        <v>20</v>
      </c>
      <c r="T14" s="43"/>
      <c r="U14" s="44" t="e">
        <f t="shared" ref="U14:Z14" si="16">D25/D23</f>
        <v>#DIV/0!</v>
      </c>
      <c r="V14" s="44">
        <f t="shared" si="16"/>
        <v>1.0816079773391041E-2</v>
      </c>
      <c r="W14" s="44">
        <f t="shared" si="16"/>
        <v>1.2272603412957207E-2</v>
      </c>
      <c r="X14" s="44">
        <f t="shared" si="16"/>
        <v>1.6008858836179845E-2</v>
      </c>
      <c r="Y14" s="44">
        <f t="shared" si="16"/>
        <v>8.5078348719628185E-3</v>
      </c>
      <c r="Z14" s="44">
        <f t="shared" si="16"/>
        <v>7.3757711216812767E-3</v>
      </c>
      <c r="AA14" s="48">
        <v>8.0000000000000002E-3</v>
      </c>
      <c r="AB14" s="48">
        <v>7.0000000000000001E-3</v>
      </c>
      <c r="AC14" s="48">
        <v>8.9999999999999993E-3</v>
      </c>
      <c r="AD14" s="80">
        <v>7.3000000000000001E-3</v>
      </c>
      <c r="AE14" s="48">
        <v>8.5000000000000006E-3</v>
      </c>
      <c r="AF14" s="80">
        <v>8.6E-3</v>
      </c>
      <c r="AG14" s="80">
        <v>9.4000000000000004E-3</v>
      </c>
      <c r="AH14" s="80">
        <v>9.4000000000000004E-3</v>
      </c>
      <c r="AJ14" s="392">
        <v>9</v>
      </c>
      <c r="AK14" s="108" t="s">
        <v>641</v>
      </c>
      <c r="AL14" s="417">
        <v>1.4023000000000001</v>
      </c>
      <c r="AM14" s="81"/>
      <c r="AN14" s="81"/>
      <c r="AO14" s="81"/>
      <c r="AP14" s="81"/>
      <c r="AQ14" s="408"/>
      <c r="AR14" s="408"/>
    </row>
    <row r="15" spans="1:44" x14ac:dyDescent="0.25">
      <c r="A15" s="6" t="s">
        <v>54</v>
      </c>
      <c r="B15" s="10"/>
      <c r="C15" s="10"/>
      <c r="D15" s="89">
        <f t="shared" ref="D15:N15" si="17">D11-D14</f>
        <v>0</v>
      </c>
      <c r="E15" s="89">
        <f t="shared" si="17"/>
        <v>15009.090000000002</v>
      </c>
      <c r="F15" s="89">
        <f t="shared" si="17"/>
        <v>23206.010000000002</v>
      </c>
      <c r="G15" s="89">
        <f t="shared" si="17"/>
        <v>31530.039999999997</v>
      </c>
      <c r="H15" s="89">
        <f>H11-H14</f>
        <v>40368.93</v>
      </c>
      <c r="I15" s="89">
        <f>I11-I14</f>
        <v>59214.119999999995</v>
      </c>
      <c r="J15" s="89">
        <f t="shared" si="17"/>
        <v>12703.650000000001</v>
      </c>
      <c r="K15" s="89">
        <f t="shared" si="17"/>
        <v>14740.650000000001</v>
      </c>
      <c r="L15" s="89">
        <f t="shared" si="17"/>
        <v>14962.39</v>
      </c>
      <c r="M15" s="89">
        <f>M11-M14</f>
        <v>17007.72</v>
      </c>
      <c r="N15" s="89">
        <f t="shared" si="17"/>
        <v>12095.64</v>
      </c>
      <c r="O15" s="89">
        <f t="shared" ref="O15" si="18">O11-O14</f>
        <v>18189.580000000002</v>
      </c>
      <c r="P15" s="89">
        <f>P11-P14</f>
        <v>20846.490000000002</v>
      </c>
      <c r="Q15" s="89">
        <f>Q11-Q14</f>
        <v>22483.1</v>
      </c>
      <c r="R15" s="11"/>
      <c r="S15" s="42" t="s">
        <v>21</v>
      </c>
      <c r="T15" s="43"/>
      <c r="U15" s="44" t="e">
        <f t="shared" ref="U15:AA15" si="19">(U13-U14)/U13</f>
        <v>#DIV/0!</v>
      </c>
      <c r="V15" s="44">
        <f t="shared" si="19"/>
        <v>0.17572000899372489</v>
      </c>
      <c r="W15" s="44">
        <f t="shared" si="19"/>
        <v>0.31758366264127996</v>
      </c>
      <c r="X15" s="44">
        <f t="shared" si="19"/>
        <v>0.25430845561808574</v>
      </c>
      <c r="Y15" s="44">
        <f t="shared" si="19"/>
        <v>0.25988576502347471</v>
      </c>
      <c r="Z15" s="44">
        <f t="shared" si="19"/>
        <v>0.24864798009922456</v>
      </c>
      <c r="AA15" s="44">
        <f t="shared" si="19"/>
        <v>0.2</v>
      </c>
      <c r="AB15" s="18"/>
      <c r="AC15" s="18"/>
      <c r="AD15" s="18"/>
      <c r="AJ15" s="392">
        <v>10</v>
      </c>
      <c r="AK15" s="108" t="s">
        <v>642</v>
      </c>
      <c r="AL15" s="417">
        <v>0.71</v>
      </c>
      <c r="AM15" s="81"/>
      <c r="AN15" s="81"/>
      <c r="AO15" s="81"/>
      <c r="AP15" s="81"/>
      <c r="AQ15" s="408"/>
      <c r="AR15" s="408"/>
    </row>
    <row r="16" spans="1:44" x14ac:dyDescent="0.25">
      <c r="A16" s="6" t="s">
        <v>94</v>
      </c>
      <c r="B16" s="10"/>
      <c r="C16" s="10"/>
      <c r="D16" s="89">
        <f t="shared" ref="D16:N16" si="20">D13-D14-D9</f>
        <v>0</v>
      </c>
      <c r="E16" s="89">
        <f t="shared" si="20"/>
        <v>7557.2000000000016</v>
      </c>
      <c r="F16" s="89">
        <f t="shared" si="20"/>
        <v>13280.420000000004</v>
      </c>
      <c r="G16" s="89">
        <f t="shared" si="20"/>
        <v>17878.98</v>
      </c>
      <c r="H16" s="89">
        <f>H13-H14-H9</f>
        <v>21553.270000000004</v>
      </c>
      <c r="I16" s="89">
        <f>I13-I14-I9</f>
        <v>33538.620000000003</v>
      </c>
      <c r="J16" s="89">
        <f t="shared" si="20"/>
        <v>6484.2900000000027</v>
      </c>
      <c r="K16" s="89">
        <f t="shared" si="20"/>
        <v>8244.3500000000022</v>
      </c>
      <c r="L16" s="89">
        <f t="shared" si="20"/>
        <v>8503.6099999999988</v>
      </c>
      <c r="M16" s="89">
        <f>M13-M14-M9</f>
        <v>10506.660000000002</v>
      </c>
      <c r="N16" s="89">
        <f t="shared" si="20"/>
        <v>7272.3899999999985</v>
      </c>
      <c r="O16" s="89">
        <f t="shared" ref="O16" si="21">O13-O14-O9</f>
        <v>11443.330000000002</v>
      </c>
      <c r="P16" s="89">
        <f>P13-P14-P9</f>
        <v>12469.450000000003</v>
      </c>
      <c r="Q16" s="89">
        <f>Q13-Q14-Q9</f>
        <v>13295.030000000002</v>
      </c>
      <c r="R16" s="11"/>
      <c r="S16" s="42" t="s">
        <v>22</v>
      </c>
      <c r="T16" s="43"/>
      <c r="U16" s="44" t="e">
        <f t="shared" ref="U16:Z16" si="22">D17/AVERAGE(C23:D23)</f>
        <v>#DIV/0!</v>
      </c>
      <c r="V16" s="44">
        <f t="shared" si="22"/>
        <v>7.8675321407985967E-3</v>
      </c>
      <c r="W16" s="44">
        <f t="shared" si="22"/>
        <v>1.1329928355141846E-2</v>
      </c>
      <c r="X16" s="44">
        <f t="shared" si="22"/>
        <v>5.0925611007097459E-3</v>
      </c>
      <c r="Y16" s="44">
        <f t="shared" si="22"/>
        <v>4.4648723800192695E-3</v>
      </c>
      <c r="Z16" s="44">
        <f t="shared" si="22"/>
        <v>4.3825025980107277E-3</v>
      </c>
      <c r="AA16" s="44">
        <f t="shared" ref="AA16:AH16" si="23">(J17*4)/J23</f>
        <v>4.2037948717948718E-3</v>
      </c>
      <c r="AB16" s="44">
        <f t="shared" si="23"/>
        <v>4.9799440797061089E-3</v>
      </c>
      <c r="AC16" s="44">
        <f t="shared" si="23"/>
        <v>3.5050190568812257E-3</v>
      </c>
      <c r="AD16" s="44">
        <f t="shared" si="23"/>
        <v>4.4631042084856349E-3</v>
      </c>
      <c r="AE16" s="44">
        <f t="shared" si="23"/>
        <v>5.1825028215830224E-3</v>
      </c>
      <c r="AF16" s="44">
        <f t="shared" si="23"/>
        <v>4.8434714449771231E-3</v>
      </c>
      <c r="AG16" s="44">
        <f t="shared" si="23"/>
        <v>5.3378147720632967E-3</v>
      </c>
      <c r="AH16" s="44">
        <f t="shared" si="23"/>
        <v>5.5796191499400058E-3</v>
      </c>
    </row>
    <row r="17" spans="1:34" x14ac:dyDescent="0.25">
      <c r="A17" s="6" t="s">
        <v>27</v>
      </c>
      <c r="B17" s="7"/>
      <c r="C17" s="7"/>
      <c r="D17" s="88"/>
      <c r="E17" s="85">
        <v>1173.32</v>
      </c>
      <c r="F17" s="85">
        <v>1984.73</v>
      </c>
      <c r="G17" s="85">
        <v>1188.8699999999999</v>
      </c>
      <c r="H17" s="85">
        <v>1406.77</v>
      </c>
      <c r="I17" s="85">
        <v>1917.59</v>
      </c>
      <c r="J17" s="85">
        <v>409.87</v>
      </c>
      <c r="K17" s="85">
        <v>531.12</v>
      </c>
      <c r="L17" s="85">
        <v>411.76</v>
      </c>
      <c r="M17" s="85">
        <v>564.85</v>
      </c>
      <c r="N17" s="85">
        <v>467.61</v>
      </c>
      <c r="O17" s="11">
        <v>664.27</v>
      </c>
      <c r="P17" s="11">
        <v>781.58</v>
      </c>
      <c r="Q17" s="11">
        <v>885.81</v>
      </c>
      <c r="R17" s="11"/>
      <c r="S17" s="18"/>
      <c r="T17" s="18"/>
      <c r="U17" s="18"/>
      <c r="V17" s="18"/>
      <c r="W17" s="18"/>
      <c r="X17" s="18"/>
      <c r="Y17" s="18"/>
      <c r="Z17" s="18"/>
      <c r="AA17" s="18"/>
      <c r="AB17" s="18"/>
      <c r="AC17" s="18"/>
      <c r="AD17" s="18"/>
    </row>
    <row r="18" spans="1:34" x14ac:dyDescent="0.25">
      <c r="A18" s="6" t="s">
        <v>55</v>
      </c>
      <c r="B18" s="7"/>
      <c r="C18" s="7"/>
      <c r="D18" s="88"/>
      <c r="E18" s="89">
        <v>4691.1400000000003</v>
      </c>
      <c r="F18" s="89">
        <v>8738.86</v>
      </c>
      <c r="G18" s="89">
        <v>12844.71</v>
      </c>
      <c r="H18" s="89">
        <v>15497.75</v>
      </c>
      <c r="I18" s="89">
        <v>24687.31</v>
      </c>
      <c r="J18" s="89">
        <v>4695.53</v>
      </c>
      <c r="K18" s="89">
        <v>6003.75</v>
      </c>
      <c r="L18" s="89">
        <v>6213.42</v>
      </c>
      <c r="M18" s="89">
        <v>7774.6</v>
      </c>
      <c r="N18" s="89">
        <v>5291.32</v>
      </c>
      <c r="O18" s="89">
        <v>8332.99</v>
      </c>
      <c r="P18" s="89">
        <v>8986.82</v>
      </c>
      <c r="Q18" s="89">
        <v>9593.2199999999993</v>
      </c>
      <c r="R18" s="11"/>
      <c r="S18" s="40" t="s">
        <v>30</v>
      </c>
      <c r="T18" s="45"/>
      <c r="U18" s="45"/>
      <c r="V18" s="45"/>
      <c r="W18" s="46" t="s">
        <v>5</v>
      </c>
      <c r="X18" s="18"/>
      <c r="Y18" s="18"/>
      <c r="Z18" s="18"/>
      <c r="AA18" s="18"/>
      <c r="AB18" s="18"/>
      <c r="AC18" s="18"/>
      <c r="AD18" s="18"/>
    </row>
    <row r="19" spans="1:34" ht="22.5" x14ac:dyDescent="0.25">
      <c r="A19" s="6" t="s">
        <v>28</v>
      </c>
      <c r="B19" s="7"/>
      <c r="C19" s="7"/>
      <c r="D19" s="88"/>
      <c r="E19" s="85">
        <v>84828.37</v>
      </c>
      <c r="F19" s="85">
        <v>93726.96</v>
      </c>
      <c r="G19" s="85">
        <v>107612.64</v>
      </c>
      <c r="H19" s="85">
        <v>123714.90000000001</v>
      </c>
      <c r="I19" s="85">
        <f>229757.66-304.98</f>
        <v>229452.68</v>
      </c>
      <c r="J19" s="85"/>
      <c r="K19" s="85">
        <f>4502.3+132921.8-425.4</f>
        <v>136998.69999999998</v>
      </c>
      <c r="L19" s="85"/>
      <c r="M19" s="85">
        <v>229452.68</v>
      </c>
      <c r="N19" s="85">
        <f>124016.21-301.31</f>
        <v>123714.90000000001</v>
      </c>
      <c r="O19" s="11"/>
      <c r="P19" s="11">
        <f>248709.11-162.34</f>
        <v>248546.77</v>
      </c>
      <c r="Q19" s="11"/>
      <c r="R19" s="11"/>
      <c r="S19" s="46" t="s">
        <v>95</v>
      </c>
      <c r="T19" s="51"/>
      <c r="U19" s="51"/>
      <c r="V19" s="52">
        <f>E16/AVERAGE(D22:E22)</f>
        <v>4.2007985252624634E-2</v>
      </c>
      <c r="W19" s="52">
        <f>F16/AVERAGE(E22:F22)</f>
        <v>6.2325498230373207E-2</v>
      </c>
      <c r="X19" s="52">
        <f>G16/AVERAGE(F22:G22)</f>
        <v>6.2911370767077618E-2</v>
      </c>
      <c r="Y19" s="52">
        <f>H16/AVERAGE(G22:H22)</f>
        <v>5.7350349141454517E-2</v>
      </c>
      <c r="Z19" s="52">
        <f>I16/AVERAGE(H22:I22)</f>
        <v>6.6490710811971235E-2</v>
      </c>
      <c r="AA19" s="18"/>
      <c r="AB19" s="18"/>
      <c r="AC19" s="18"/>
      <c r="AD19" s="18"/>
    </row>
    <row r="20" spans="1:34" x14ac:dyDescent="0.25">
      <c r="A20" s="6" t="s">
        <v>56</v>
      </c>
      <c r="B20" s="7"/>
      <c r="C20" s="7"/>
      <c r="D20" s="88">
        <f>D19-D71</f>
        <v>0</v>
      </c>
      <c r="E20" s="89">
        <f>E19-F71</f>
        <v>84828.37</v>
      </c>
      <c r="F20" s="89">
        <f>F19-G71</f>
        <v>93726.96</v>
      </c>
      <c r="G20" s="89">
        <f>G19-J71</f>
        <v>107612.64</v>
      </c>
      <c r="H20" s="89">
        <v>123714.90000000001</v>
      </c>
      <c r="I20" s="89">
        <f>I19-L71</f>
        <v>229452.68</v>
      </c>
      <c r="J20" s="89">
        <f>J19-J71</f>
        <v>0</v>
      </c>
      <c r="K20" s="89">
        <f>K19-K71</f>
        <v>136998.69999999998</v>
      </c>
      <c r="L20" s="89">
        <f>L19-L71</f>
        <v>0</v>
      </c>
      <c r="M20" s="89">
        <v>229452.68</v>
      </c>
      <c r="N20" s="89">
        <f>N19-N71</f>
        <v>123714.90000000001</v>
      </c>
      <c r="O20" s="89">
        <f t="shared" ref="O20:Q20" si="24">O19-O71</f>
        <v>0</v>
      </c>
      <c r="P20" s="89">
        <f t="shared" si="24"/>
        <v>248546.77</v>
      </c>
      <c r="Q20" s="89">
        <f t="shared" si="24"/>
        <v>0</v>
      </c>
      <c r="R20" s="11"/>
      <c r="S20" s="42" t="s">
        <v>31</v>
      </c>
      <c r="T20" s="43"/>
      <c r="U20" s="43" t="e">
        <f t="shared" ref="U20:Z20" si="25">D18/AVERAGE(C22:D22)</f>
        <v>#DIV/0!</v>
      </c>
      <c r="V20" s="43">
        <f t="shared" si="25"/>
        <v>2.6076501870798376E-2</v>
      </c>
      <c r="W20" s="43">
        <f t="shared" si="25"/>
        <v>4.1011790550711427E-2</v>
      </c>
      <c r="X20" s="43">
        <f t="shared" si="25"/>
        <v>4.5197114891654309E-2</v>
      </c>
      <c r="Y20" s="43">
        <f t="shared" si="25"/>
        <v>4.1237425848002489E-2</v>
      </c>
      <c r="Z20" s="43">
        <f t="shared" si="25"/>
        <v>4.8942884052339826E-2</v>
      </c>
      <c r="AA20" s="48"/>
      <c r="AB20" s="18"/>
      <c r="AC20" s="18"/>
      <c r="AD20" s="18"/>
    </row>
    <row r="21" spans="1:34" x14ac:dyDescent="0.25">
      <c r="A21" s="6" t="s">
        <v>57</v>
      </c>
      <c r="B21" s="9"/>
      <c r="C21" s="9"/>
      <c r="D21" s="85"/>
      <c r="E21" s="85">
        <f>24588.2+68872.16</f>
        <v>93460.36</v>
      </c>
      <c r="F21" s="85">
        <f>8222.38+140906.65</f>
        <v>149129.03</v>
      </c>
      <c r="G21" s="85">
        <f>18659.85+188341.12</f>
        <v>207000.97</v>
      </c>
      <c r="H21" s="85">
        <v>298886.89999999997</v>
      </c>
      <c r="I21" s="85">
        <f>3000.9+338508.97</f>
        <v>341509.87</v>
      </c>
      <c r="J21" s="85"/>
      <c r="K21" s="85">
        <f>11912.7+316935.4</f>
        <v>328848.10000000003</v>
      </c>
      <c r="L21" s="85"/>
      <c r="M21" s="85">
        <v>341509.87</v>
      </c>
      <c r="N21" s="85">
        <f>17653.41+281233.49</f>
        <v>298886.89999999997</v>
      </c>
      <c r="O21" s="11"/>
      <c r="P21" s="11">
        <f>3000.88+398084.67</f>
        <v>401085.55</v>
      </c>
      <c r="Q21" s="11"/>
      <c r="R21" s="11"/>
      <c r="S21" s="42" t="s">
        <v>32</v>
      </c>
      <c r="T21" s="43"/>
      <c r="U21" s="44" t="e">
        <f t="shared" ref="U21:Z21" si="26">D18/AVERAGE(C19:D19)</f>
        <v>#DIV/0!</v>
      </c>
      <c r="V21" s="44">
        <f t="shared" si="26"/>
        <v>5.5301545933276811E-2</v>
      </c>
      <c r="W21" s="44">
        <f t="shared" si="26"/>
        <v>9.7884056443456491E-2</v>
      </c>
      <c r="X21" s="44">
        <f t="shared" si="26"/>
        <v>0.12759248553190727</v>
      </c>
      <c r="Y21" s="44">
        <f t="shared" si="26"/>
        <v>0.13398966677292293</v>
      </c>
      <c r="Z21" s="44">
        <f t="shared" si="26"/>
        <v>0.13980507497318978</v>
      </c>
      <c r="AA21" s="18"/>
      <c r="AB21" s="18"/>
      <c r="AC21" s="18"/>
      <c r="AD21" s="18"/>
    </row>
    <row r="22" spans="1:34" x14ac:dyDescent="0.25">
      <c r="A22" s="6" t="s">
        <v>29</v>
      </c>
      <c r="B22" s="7"/>
      <c r="C22" s="7"/>
      <c r="D22" s="88"/>
      <c r="E22" s="85">
        <v>179899.13</v>
      </c>
      <c r="F22" s="85">
        <v>246264.17</v>
      </c>
      <c r="G22" s="85">
        <v>322122.11</v>
      </c>
      <c r="H22" s="85">
        <v>429513.07</v>
      </c>
      <c r="I22" s="85">
        <v>579308.15</v>
      </c>
      <c r="J22" s="85"/>
      <c r="K22" s="85">
        <v>475791.1</v>
      </c>
      <c r="L22" s="85"/>
      <c r="M22" s="85">
        <v>579308.15</v>
      </c>
      <c r="N22" s="85">
        <v>429513.07</v>
      </c>
      <c r="O22" s="11"/>
      <c r="P22" s="11">
        <v>659858.06999999995</v>
      </c>
      <c r="Q22" s="11"/>
      <c r="R22" s="11"/>
      <c r="S22" s="40" t="s">
        <v>33</v>
      </c>
      <c r="T22" s="45"/>
      <c r="U22" s="45"/>
      <c r="V22" s="45"/>
      <c r="W22" s="45"/>
      <c r="X22" s="45"/>
      <c r="Y22" s="45"/>
      <c r="Z22" s="45"/>
      <c r="AA22" s="18"/>
      <c r="AB22" s="18"/>
      <c r="AC22" s="18"/>
      <c r="AD22" s="18"/>
    </row>
    <row r="23" spans="1:34" x14ac:dyDescent="0.25">
      <c r="A23" s="6" t="s">
        <v>58</v>
      </c>
      <c r="B23" s="7"/>
      <c r="C23" s="7"/>
      <c r="D23" s="88"/>
      <c r="E23" s="85">
        <v>149134.44</v>
      </c>
      <c r="F23" s="85">
        <v>201217.29</v>
      </c>
      <c r="G23" s="85">
        <v>265687.27</v>
      </c>
      <c r="H23" s="85">
        <v>364462.88</v>
      </c>
      <c r="I23" s="85">
        <v>510648.98</v>
      </c>
      <c r="J23" s="85">
        <v>390000</v>
      </c>
      <c r="K23" s="85">
        <v>426607.2</v>
      </c>
      <c r="L23" s="85">
        <v>469909</v>
      </c>
      <c r="M23" s="85">
        <v>506239.58</v>
      </c>
      <c r="N23" s="85">
        <v>360914.42</v>
      </c>
      <c r="O23" s="11">
        <v>548590</v>
      </c>
      <c r="P23" s="11">
        <v>585692.86</v>
      </c>
      <c r="Q23" s="11">
        <v>635032.59</v>
      </c>
      <c r="R23" s="11"/>
      <c r="S23" s="42" t="s">
        <v>34</v>
      </c>
      <c r="T23" s="43"/>
      <c r="U23" s="44" t="e">
        <f t="shared" ref="U23:Z23" si="27">D6/AVERAGE(C23:D23)</f>
        <v>#DIV/0!</v>
      </c>
      <c r="V23" s="44">
        <f t="shared" si="27"/>
        <v>0.13500583768578203</v>
      </c>
      <c r="W23" s="44">
        <f t="shared" si="27"/>
        <v>0.14682222348381155</v>
      </c>
      <c r="X23" s="44">
        <f t="shared" si="27"/>
        <v>0.15276445361767294</v>
      </c>
      <c r="Y23" s="44">
        <f t="shared" si="27"/>
        <v>0.14759799708053706</v>
      </c>
      <c r="Z23" s="44">
        <f t="shared" si="27"/>
        <v>0.14721907665609743</v>
      </c>
      <c r="AA23" s="18"/>
      <c r="AB23" s="18"/>
      <c r="AC23" s="18"/>
      <c r="AD23" s="18"/>
    </row>
    <row r="24" spans="1:34" x14ac:dyDescent="0.25">
      <c r="A24" s="6" t="s">
        <v>59</v>
      </c>
      <c r="B24" s="10"/>
      <c r="C24" s="10"/>
      <c r="D24" s="89"/>
      <c r="E24" s="89">
        <v>1956.92</v>
      </c>
      <c r="F24" s="89">
        <v>3618.7</v>
      </c>
      <c r="G24" s="89">
        <v>5703.9</v>
      </c>
      <c r="H24" s="89">
        <v>4189.6099999999997</v>
      </c>
      <c r="I24" s="89">
        <v>5012.87</v>
      </c>
      <c r="J24" s="89"/>
      <c r="K24" s="89"/>
      <c r="L24" s="89"/>
      <c r="M24" s="89"/>
      <c r="N24" s="89"/>
      <c r="O24" s="11"/>
      <c r="P24" s="11"/>
      <c r="Q24" s="11"/>
      <c r="R24" s="11"/>
      <c r="S24" s="42" t="s">
        <v>35</v>
      </c>
      <c r="T24" s="43"/>
      <c r="U24" s="44" t="e">
        <f t="shared" ref="U24:Z24" si="28">D9/AVERAGE(C21:D21)</f>
        <v>#DIV/0!</v>
      </c>
      <c r="V24" s="44">
        <f t="shared" si="28"/>
        <v>8.0621024785267253E-2</v>
      </c>
      <c r="W24" s="44">
        <f t="shared" si="28"/>
        <v>8.6853015294691985E-2</v>
      </c>
      <c r="X24" s="44">
        <f t="shared" si="28"/>
        <v>8.3305871451436281E-2</v>
      </c>
      <c r="Y24" s="44">
        <f t="shared" si="28"/>
        <v>8.2970797461500712E-2</v>
      </c>
      <c r="Z24" s="44">
        <f t="shared" si="28"/>
        <v>9.0105732419606052E-2</v>
      </c>
      <c r="AA24" s="18"/>
      <c r="AB24" s="18"/>
      <c r="AC24" s="18"/>
      <c r="AD24" s="18"/>
    </row>
    <row r="25" spans="1:34" x14ac:dyDescent="0.25">
      <c r="A25" s="6" t="s">
        <v>60</v>
      </c>
      <c r="B25" s="10"/>
      <c r="C25" s="10"/>
      <c r="D25" s="89"/>
      <c r="E25" s="89">
        <v>1613.05</v>
      </c>
      <c r="F25" s="89">
        <v>2469.46</v>
      </c>
      <c r="G25" s="89">
        <v>4253.3500000000004</v>
      </c>
      <c r="H25" s="89">
        <v>3100.79</v>
      </c>
      <c r="I25" s="89">
        <v>3766.43</v>
      </c>
      <c r="J25" s="89"/>
      <c r="K25" s="89"/>
      <c r="L25" s="89"/>
      <c r="M25" s="89"/>
      <c r="N25" s="89"/>
      <c r="O25" s="11"/>
      <c r="P25" s="11"/>
      <c r="Q25" s="11"/>
      <c r="R25" s="11"/>
      <c r="S25" s="42" t="s">
        <v>36</v>
      </c>
      <c r="T25" s="43"/>
      <c r="U25" s="48" t="e">
        <f t="shared" ref="U25:Z25" si="29">U23-U24</f>
        <v>#DIV/0!</v>
      </c>
      <c r="V25" s="48">
        <f t="shared" si="29"/>
        <v>5.4384812900514778E-2</v>
      </c>
      <c r="W25" s="48">
        <f t="shared" si="29"/>
        <v>5.9969208189119563E-2</v>
      </c>
      <c r="X25" s="48">
        <f t="shared" si="29"/>
        <v>6.9458582166236654E-2</v>
      </c>
      <c r="Y25" s="48">
        <f t="shared" si="29"/>
        <v>6.4627199619036346E-2</v>
      </c>
      <c r="Z25" s="48">
        <f t="shared" si="29"/>
        <v>5.7113344236491378E-2</v>
      </c>
      <c r="AA25" s="18"/>
      <c r="AB25" s="18"/>
      <c r="AC25" s="18"/>
      <c r="AD25" s="18"/>
    </row>
    <row r="26" spans="1:34" x14ac:dyDescent="0.25">
      <c r="S26" s="407" t="s">
        <v>645</v>
      </c>
      <c r="AG26" s="80">
        <v>2.0415000000000001</v>
      </c>
      <c r="AH26" s="80">
        <v>4.1607000000000003</v>
      </c>
    </row>
    <row r="27" spans="1:34" ht="15" customHeight="1" x14ac:dyDescent="0.25">
      <c r="A27" s="732" t="s">
        <v>268</v>
      </c>
      <c r="B27" s="732"/>
      <c r="C27" s="732"/>
      <c r="D27" s="732"/>
      <c r="E27" s="732"/>
      <c r="F27" s="732"/>
      <c r="G27" s="732"/>
      <c r="H27" s="732"/>
      <c r="I27" s="732"/>
      <c r="J27" s="732"/>
      <c r="K27" s="732"/>
      <c r="L27" s="732"/>
      <c r="M27" s="732"/>
      <c r="N27" s="732"/>
      <c r="O27" s="732"/>
      <c r="P27" s="732"/>
      <c r="Q27" s="732"/>
      <c r="R27" s="732"/>
      <c r="S27" s="732"/>
    </row>
    <row r="28" spans="1:34" x14ac:dyDescent="0.25">
      <c r="A28" s="732"/>
      <c r="B28" s="732"/>
      <c r="C28" s="732"/>
      <c r="D28" s="732"/>
      <c r="E28" s="732"/>
      <c r="F28" s="732"/>
      <c r="G28" s="732"/>
      <c r="H28" s="732"/>
      <c r="I28" s="732"/>
      <c r="J28" s="732"/>
      <c r="K28" s="732"/>
      <c r="L28" s="732"/>
      <c r="M28" s="732"/>
      <c r="N28" s="732"/>
      <c r="O28" s="732"/>
      <c r="P28" s="732"/>
      <c r="Q28" s="732"/>
      <c r="R28" s="732"/>
      <c r="S28" s="732"/>
    </row>
    <row r="29" spans="1:34" x14ac:dyDescent="0.25">
      <c r="A29" s="732"/>
      <c r="B29" s="732"/>
      <c r="C29" s="732"/>
      <c r="D29" s="732"/>
      <c r="E29" s="732"/>
      <c r="F29" s="732"/>
      <c r="G29" s="732"/>
      <c r="H29" s="732"/>
      <c r="I29" s="732"/>
      <c r="J29" s="732"/>
      <c r="K29" s="732"/>
      <c r="L29" s="732"/>
      <c r="M29" s="732"/>
      <c r="N29" s="732"/>
      <c r="O29" s="732"/>
      <c r="P29" s="732"/>
      <c r="Q29" s="732"/>
      <c r="R29" s="732"/>
      <c r="S29" s="732"/>
    </row>
    <row r="30" spans="1:34" x14ac:dyDescent="0.25">
      <c r="A30" s="732"/>
      <c r="B30" s="732"/>
      <c r="C30" s="732"/>
      <c r="D30" s="732"/>
      <c r="E30" s="732"/>
      <c r="F30" s="732"/>
      <c r="G30" s="732"/>
      <c r="H30" s="732"/>
      <c r="I30" s="732"/>
      <c r="J30" s="732"/>
      <c r="K30" s="732"/>
      <c r="L30" s="732"/>
      <c r="M30" s="732"/>
      <c r="N30" s="732"/>
      <c r="O30" s="732"/>
      <c r="P30" s="732"/>
      <c r="Q30" s="732"/>
      <c r="R30" s="732"/>
      <c r="S30" s="732"/>
    </row>
    <row r="31" spans="1:34" x14ac:dyDescent="0.25">
      <c r="A31" s="732"/>
      <c r="B31" s="732"/>
      <c r="C31" s="732"/>
      <c r="D31" s="732"/>
      <c r="E31" s="732"/>
      <c r="F31" s="732"/>
      <c r="G31" s="732"/>
      <c r="H31" s="732"/>
      <c r="I31" s="732"/>
      <c r="J31" s="732"/>
      <c r="K31" s="732"/>
      <c r="L31" s="732"/>
      <c r="M31" s="732"/>
      <c r="N31" s="732"/>
      <c r="O31" s="732"/>
      <c r="P31" s="732"/>
      <c r="Q31" s="732"/>
      <c r="R31" s="732"/>
      <c r="S31" s="732"/>
    </row>
  </sheetData>
  <mergeCells count="5">
    <mergeCell ref="A2:A4"/>
    <mergeCell ref="K1:N1"/>
    <mergeCell ref="A27:S31"/>
    <mergeCell ref="AJ3:AK4"/>
    <mergeCell ref="AL5:AR5"/>
  </mergeCells>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W25"/>
  <sheetViews>
    <sheetView topLeftCell="A12" workbookViewId="0">
      <selection activeCell="AG6" sqref="AG6"/>
    </sheetView>
  </sheetViews>
  <sheetFormatPr defaultRowHeight="15" x14ac:dyDescent="0.25"/>
  <cols>
    <col min="1" max="1" width="32.140625" customWidth="1"/>
    <col min="4" max="4" width="12.140625" customWidth="1"/>
    <col min="5" max="5" width="12" customWidth="1"/>
    <col min="6" max="6" width="11.140625" customWidth="1"/>
    <col min="7" max="7" width="11.5703125" customWidth="1"/>
    <col min="14" max="14" width="31" customWidth="1"/>
    <col min="16" max="16" width="14.5703125" customWidth="1"/>
    <col min="17" max="17" width="11.5703125" customWidth="1"/>
    <col min="18" max="18" width="12" customWidth="1"/>
    <col min="19" max="19" width="14.140625" customWidth="1"/>
  </cols>
  <sheetData>
    <row r="1" spans="1:23" x14ac:dyDescent="0.25">
      <c r="H1" t="s">
        <v>493</v>
      </c>
      <c r="I1" s="772" t="s">
        <v>111</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4.0163976337815495E-2</v>
      </c>
      <c r="Q3" s="44">
        <f>E10/AVERAGE(D23:E23)</f>
        <v>5.7808630202436984E-2</v>
      </c>
      <c r="R3" s="44">
        <f>F10/AVERAGE(E23:F23)</f>
        <v>4.8156854078288916E-2</v>
      </c>
      <c r="S3" s="44">
        <f>G10/AVERAGE(F23:G23)</f>
        <v>5.3878128203019626E-2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1759.91</v>
      </c>
      <c r="E5">
        <v>2190.4699999999998</v>
      </c>
      <c r="F5" s="85">
        <v>1619.41</v>
      </c>
      <c r="G5" s="90">
        <v>1833.08</v>
      </c>
      <c r="H5" s="85">
        <v>406.52</v>
      </c>
      <c r="I5" s="85">
        <v>533.58000000000004</v>
      </c>
      <c r="J5" s="85">
        <v>489.69</v>
      </c>
      <c r="K5" s="85"/>
      <c r="L5" s="11"/>
      <c r="M5" s="11"/>
      <c r="N5" s="42" t="s">
        <v>13</v>
      </c>
      <c r="O5" s="46"/>
      <c r="P5" s="47">
        <f>D21/D20</f>
        <v>2.4700563422132316</v>
      </c>
      <c r="Q5" s="47">
        <f>E21/E20</f>
        <v>2.0145588218609247</v>
      </c>
      <c r="R5" s="47">
        <f>F21/F20</f>
        <v>1.7181432838443291</v>
      </c>
      <c r="S5" s="47">
        <f>G21/G20</f>
        <v>1.493277181510176</v>
      </c>
      <c r="T5" s="18"/>
      <c r="U5" s="18"/>
      <c r="V5" s="18"/>
      <c r="W5" s="18"/>
    </row>
    <row r="6" spans="1:23" x14ac:dyDescent="0.25">
      <c r="A6" s="6" t="s">
        <v>50</v>
      </c>
      <c r="B6" s="7"/>
      <c r="C6" s="8"/>
      <c r="D6">
        <v>1463.05</v>
      </c>
      <c r="E6">
        <v>1962.17</v>
      </c>
      <c r="F6" s="85">
        <v>1589.98</v>
      </c>
      <c r="G6" s="85">
        <v>1577</v>
      </c>
      <c r="H6" s="85">
        <v>392.87</v>
      </c>
      <c r="I6" s="85">
        <v>509.44</v>
      </c>
      <c r="J6" s="85">
        <v>337.79</v>
      </c>
      <c r="K6" s="85"/>
      <c r="L6" s="11"/>
      <c r="M6" s="11"/>
      <c r="N6" s="42" t="s">
        <v>14</v>
      </c>
      <c r="O6" s="43"/>
      <c r="P6" s="43"/>
      <c r="Q6" s="43"/>
      <c r="R6" s="43">
        <v>0.3448</v>
      </c>
      <c r="S6" s="48">
        <v>0.4773</v>
      </c>
      <c r="T6" s="48"/>
      <c r="U6" s="48">
        <v>0.50219999999999998</v>
      </c>
      <c r="V6" s="48">
        <v>0.46949999999999997</v>
      </c>
      <c r="W6" s="18"/>
    </row>
    <row r="7" spans="1:23" x14ac:dyDescent="0.25">
      <c r="A7" s="6" t="s">
        <v>51</v>
      </c>
      <c r="B7" s="7"/>
      <c r="C7" s="8"/>
      <c r="D7" s="87"/>
      <c r="E7" s="85"/>
      <c r="F7" s="85">
        <v>0</v>
      </c>
      <c r="G7" s="85">
        <v>0</v>
      </c>
      <c r="H7" s="85"/>
      <c r="I7" s="85"/>
      <c r="J7" s="85"/>
      <c r="K7" s="85"/>
      <c r="L7" s="11"/>
      <c r="M7" s="11"/>
      <c r="N7" s="42" t="s">
        <v>15</v>
      </c>
      <c r="O7" s="43"/>
      <c r="P7" s="44">
        <f>D20/D23</f>
        <v>0.27617981088685217</v>
      </c>
      <c r="Q7" s="44">
        <f>E20/E23</f>
        <v>0.36803526898530681</v>
      </c>
      <c r="R7" s="44">
        <f>F20/F23</f>
        <v>0.36020100120879189</v>
      </c>
      <c r="S7" s="44">
        <f>G20/G23</f>
        <v>0.4625297937042821</v>
      </c>
      <c r="T7" s="18"/>
      <c r="U7" s="18"/>
      <c r="V7" s="18"/>
      <c r="W7" s="18"/>
    </row>
    <row r="8" spans="1:23" x14ac:dyDescent="0.25">
      <c r="A8" s="6" t="s">
        <v>52</v>
      </c>
      <c r="B8" s="7"/>
      <c r="C8" s="8"/>
      <c r="D8" s="85">
        <f t="shared" ref="D8:J8" si="0">D5-D6-D7</f>
        <v>296.86000000000013</v>
      </c>
      <c r="E8" s="85">
        <f t="shared" si="0"/>
        <v>228.29999999999973</v>
      </c>
      <c r="F8" s="85">
        <f t="shared" si="0"/>
        <v>29.430000000000064</v>
      </c>
      <c r="G8" s="85">
        <f t="shared" si="0"/>
        <v>256.07999999999993</v>
      </c>
      <c r="H8" s="85">
        <f t="shared" si="0"/>
        <v>13.649999999999977</v>
      </c>
      <c r="I8" s="85">
        <f t="shared" si="0"/>
        <v>24.140000000000043</v>
      </c>
      <c r="J8" s="85">
        <f t="shared" si="0"/>
        <v>151.89999999999998</v>
      </c>
      <c r="K8" s="85"/>
      <c r="L8" s="11"/>
      <c r="M8" s="11"/>
      <c r="N8" s="40" t="s">
        <v>16</v>
      </c>
      <c r="O8" s="45"/>
      <c r="P8" s="45"/>
      <c r="Q8" s="45"/>
      <c r="R8" s="46" t="s">
        <v>5</v>
      </c>
      <c r="S8" s="18"/>
      <c r="T8" s="18"/>
      <c r="U8" s="18"/>
      <c r="V8" s="18"/>
      <c r="W8" s="18"/>
    </row>
    <row r="9" spans="1:23" ht="33.75" x14ac:dyDescent="0.25">
      <c r="A9" s="6" t="s">
        <v>24</v>
      </c>
      <c r="B9" s="7"/>
      <c r="C9" s="7"/>
      <c r="D9" s="88">
        <v>826.8</v>
      </c>
      <c r="E9" s="85">
        <v>1158.18</v>
      </c>
      <c r="F9" s="85">
        <v>997.29</v>
      </c>
      <c r="G9" s="85">
        <v>941.48</v>
      </c>
      <c r="H9" s="85">
        <v>207.28</v>
      </c>
      <c r="I9" s="85">
        <v>220.02</v>
      </c>
      <c r="J9" s="85">
        <v>211.1</v>
      </c>
      <c r="K9" s="85"/>
      <c r="L9" s="11"/>
      <c r="M9" s="11"/>
      <c r="N9" s="49" t="s">
        <v>93</v>
      </c>
      <c r="O9" s="45"/>
      <c r="P9" s="50">
        <f>D14/(D11-D9)</f>
        <v>5.5416831884772429E-2</v>
      </c>
      <c r="Q9" s="50">
        <f>E14/(E11-E9)</f>
        <v>5.1274351199759774E-2</v>
      </c>
      <c r="R9" s="50">
        <f>F14/(F11-F9)</f>
        <v>6.567864720632674E-2</v>
      </c>
      <c r="S9" s="50">
        <f>G14/(G11-G9)</f>
        <v>4.3674293405114403E-2</v>
      </c>
      <c r="T9" s="18"/>
      <c r="U9" s="18"/>
      <c r="V9" s="18"/>
      <c r="W9" s="18"/>
    </row>
    <row r="10" spans="1:23" ht="22.5" x14ac:dyDescent="0.25">
      <c r="A10" s="6" t="s">
        <v>53</v>
      </c>
      <c r="B10" s="10">
        <f t="shared" ref="B10:H10" si="1">B6-B9</f>
        <v>0</v>
      </c>
      <c r="C10" s="10">
        <f t="shared" si="1"/>
        <v>0</v>
      </c>
      <c r="D10" s="89">
        <f t="shared" si="1"/>
        <v>636.25</v>
      </c>
      <c r="E10" s="89">
        <f t="shared" si="1"/>
        <v>803.99</v>
      </c>
      <c r="F10" s="89">
        <f t="shared" si="1"/>
        <v>592.69000000000005</v>
      </c>
      <c r="G10" s="89">
        <f t="shared" si="1"/>
        <v>635.52</v>
      </c>
      <c r="H10" s="89">
        <f t="shared" si="1"/>
        <v>185.59</v>
      </c>
      <c r="I10" s="89">
        <f>I6-I9</f>
        <v>289.41999999999996</v>
      </c>
      <c r="J10" s="89">
        <f>J6-J9</f>
        <v>126.69000000000003</v>
      </c>
      <c r="K10" s="89"/>
      <c r="L10" s="11"/>
      <c r="M10" s="11"/>
      <c r="N10" s="42" t="s">
        <v>92</v>
      </c>
      <c r="O10" s="43"/>
      <c r="P10" s="44">
        <f>D14/D11</f>
        <v>2.9382184316243447E-2</v>
      </c>
      <c r="Q10" s="44">
        <f>E14/E11</f>
        <v>2.4163763941072013E-2</v>
      </c>
      <c r="R10" s="44">
        <f>F14/F11</f>
        <v>2.5231411439968876E-2</v>
      </c>
      <c r="S10" s="44">
        <f>G14/G11</f>
        <v>2.1242935387435356E-2</v>
      </c>
      <c r="T10" s="18"/>
      <c r="U10" s="18"/>
      <c r="V10" s="18"/>
      <c r="W10" s="18"/>
    </row>
    <row r="11" spans="1:23" ht="22.5" x14ac:dyDescent="0.25">
      <c r="A11" s="6" t="s">
        <v>1</v>
      </c>
      <c r="B11" s="10">
        <f>B5-B9</f>
        <v>0</v>
      </c>
      <c r="C11" s="10">
        <f t="shared" ref="C11:H11" si="2">SUM(C6:C8)</f>
        <v>0</v>
      </c>
      <c r="D11" s="89">
        <f t="shared" si="2"/>
        <v>1759.91</v>
      </c>
      <c r="E11" s="89">
        <f t="shared" si="2"/>
        <v>2190.4699999999998</v>
      </c>
      <c r="F11" s="89">
        <f>SUM(F6:F8)</f>
        <v>1619.41</v>
      </c>
      <c r="G11" s="89">
        <f>SUM(G6:G8)</f>
        <v>1833.08</v>
      </c>
      <c r="H11" s="89">
        <f t="shared" si="2"/>
        <v>406.52</v>
      </c>
      <c r="I11" s="89">
        <f>SUM(I6:I8)</f>
        <v>533.58000000000004</v>
      </c>
      <c r="J11" s="89">
        <f>SUM(J6:J8)</f>
        <v>489.69</v>
      </c>
      <c r="K11" s="89"/>
      <c r="L11" s="11"/>
      <c r="M11" s="11"/>
      <c r="N11" s="42" t="s">
        <v>17</v>
      </c>
      <c r="O11" s="43"/>
      <c r="P11" s="44">
        <f>D14/AVERAGE(C22:D22)</f>
        <v>3.0337235539211948E-3</v>
      </c>
      <c r="Q11" s="44">
        <f>E14/AVERAGE(D22:E22)</f>
        <v>3.166393278847201E-3</v>
      </c>
      <c r="R11" s="44">
        <f>F14/AVERAGE(E22:F22)</f>
        <v>2.5331240375244574E-3</v>
      </c>
      <c r="S11" s="44">
        <f>G14/AVERAGE(F22:G22)</f>
        <v>2.6839522195850627E-3</v>
      </c>
      <c r="T11" s="18"/>
      <c r="U11" s="18"/>
      <c r="V11" s="18"/>
      <c r="W11" s="18"/>
    </row>
    <row r="12" spans="1:23" x14ac:dyDescent="0.25">
      <c r="A12" s="6" t="s">
        <v>91</v>
      </c>
      <c r="B12" s="10"/>
      <c r="C12" s="10"/>
      <c r="D12" s="89">
        <v>0.81</v>
      </c>
      <c r="E12" s="89">
        <v>0.81</v>
      </c>
      <c r="F12" s="89">
        <v>13.53</v>
      </c>
      <c r="G12" s="89">
        <v>8.8000000000000007</v>
      </c>
      <c r="H12" s="89">
        <v>0.1</v>
      </c>
      <c r="I12" s="89">
        <v>0.12</v>
      </c>
      <c r="J12" s="89">
        <v>0.01</v>
      </c>
      <c r="K12" s="89"/>
      <c r="L12" s="11"/>
      <c r="M12" s="11"/>
      <c r="N12" s="40" t="s">
        <v>18</v>
      </c>
      <c r="O12" s="45"/>
      <c r="P12" s="45"/>
      <c r="Q12" s="45"/>
      <c r="R12" s="46" t="s">
        <v>5</v>
      </c>
      <c r="S12" s="18"/>
      <c r="T12" s="18"/>
      <c r="U12" s="18"/>
      <c r="V12" s="53"/>
      <c r="W12" s="54"/>
    </row>
    <row r="13" spans="1:23" x14ac:dyDescent="0.25">
      <c r="A13" s="6" t="s">
        <v>25</v>
      </c>
      <c r="B13" s="7"/>
      <c r="C13" s="7"/>
      <c r="D13" s="88">
        <f>D11+D12</f>
        <v>1760.72</v>
      </c>
      <c r="E13" s="88">
        <f t="shared" ref="E13:J13" si="3">E11+E12</f>
        <v>2191.2799999999997</v>
      </c>
      <c r="F13" s="88">
        <f t="shared" si="3"/>
        <v>1632.94</v>
      </c>
      <c r="G13" s="88">
        <f t="shared" si="3"/>
        <v>1841.8799999999999</v>
      </c>
      <c r="H13" s="88">
        <f t="shared" si="3"/>
        <v>406.62</v>
      </c>
      <c r="I13" s="88">
        <f t="shared" si="3"/>
        <v>533.70000000000005</v>
      </c>
      <c r="J13" s="88">
        <f t="shared" si="3"/>
        <v>489.7</v>
      </c>
      <c r="K13" s="88"/>
      <c r="L13" s="11"/>
      <c r="M13" s="11"/>
      <c r="N13" s="42" t="s">
        <v>19</v>
      </c>
      <c r="O13" s="43"/>
      <c r="P13" s="44">
        <f>D24/D23</f>
        <v>1.2435840217759769E-2</v>
      </c>
      <c r="Q13" s="44">
        <f>E24/E23</f>
        <v>2.9009725861973933E-2</v>
      </c>
      <c r="R13" s="44">
        <f>F24/F23</f>
        <v>4.9063660930706486E-2</v>
      </c>
      <c r="S13" s="44">
        <f>G24/G23</f>
        <v>2.3810306566943374E-2</v>
      </c>
      <c r="T13" s="48"/>
      <c r="U13" s="48">
        <v>3.4200000000000001E-2</v>
      </c>
      <c r="V13" s="48">
        <v>3.5799999999999998E-2</v>
      </c>
      <c r="W13" s="18"/>
    </row>
    <row r="14" spans="1:23" x14ac:dyDescent="0.25">
      <c r="A14" s="6" t="s">
        <v>26</v>
      </c>
      <c r="B14" s="7"/>
      <c r="C14" s="7"/>
      <c r="D14" s="85">
        <f>32.17+5.06+14.48</f>
        <v>51.710000000000008</v>
      </c>
      <c r="E14" s="85">
        <f>27.62+8.87+16.44</f>
        <v>52.930000000000007</v>
      </c>
      <c r="F14" s="85">
        <f>20.6+4.54+15.72</f>
        <v>40.86</v>
      </c>
      <c r="G14" s="85">
        <f>24.15+1.64+13.15</f>
        <v>38.94</v>
      </c>
      <c r="H14" s="85">
        <f>1.54+0.41+2.97</f>
        <v>4.92</v>
      </c>
      <c r="I14" s="85">
        <f>7.33+0.42+2.84</f>
        <v>10.59</v>
      </c>
      <c r="J14" s="85">
        <f>11.18+0.4+4.19</f>
        <v>15.77</v>
      </c>
      <c r="K14" s="85"/>
      <c r="L14" s="11"/>
      <c r="M14" s="11"/>
      <c r="N14" s="42" t="s">
        <v>20</v>
      </c>
      <c r="O14" s="43"/>
      <c r="P14" s="44">
        <f>D25/D23</f>
        <v>9.3836936465481711E-3</v>
      </c>
      <c r="Q14" s="44">
        <f>E25/E23</f>
        <v>2.260849522225173E-2</v>
      </c>
      <c r="R14" s="44">
        <f>F25/F23</f>
        <v>3.2023492332715231E-2</v>
      </c>
      <c r="S14" s="44">
        <f>G25/G23</f>
        <v>1.7857045012465413E-2</v>
      </c>
      <c r="T14" s="48"/>
      <c r="U14" s="48">
        <v>2.5499999999999998E-2</v>
      </c>
      <c r="V14" s="48">
        <v>2.4E-2</v>
      </c>
      <c r="W14" s="18"/>
    </row>
    <row r="15" spans="1:23" x14ac:dyDescent="0.25">
      <c r="A15" s="6" t="s">
        <v>54</v>
      </c>
      <c r="B15" s="10"/>
      <c r="C15" s="10"/>
      <c r="D15" s="89">
        <f t="shared" ref="D15:J15" si="4">D11-D14</f>
        <v>1708.2</v>
      </c>
      <c r="E15" s="89">
        <f t="shared" si="4"/>
        <v>2137.54</v>
      </c>
      <c r="F15" s="89">
        <f t="shared" si="4"/>
        <v>1578.5500000000002</v>
      </c>
      <c r="G15" s="89">
        <f t="shared" si="4"/>
        <v>1794.1399999999999</v>
      </c>
      <c r="H15" s="89">
        <f t="shared" si="4"/>
        <v>401.59999999999997</v>
      </c>
      <c r="I15" s="89">
        <f t="shared" si="4"/>
        <v>522.99</v>
      </c>
      <c r="J15" s="89">
        <f t="shared" si="4"/>
        <v>473.92</v>
      </c>
      <c r="K15" s="89"/>
      <c r="L15" s="11"/>
      <c r="M15" s="11"/>
      <c r="N15" s="42" t="s">
        <v>21</v>
      </c>
      <c r="O15" s="43"/>
      <c r="P15" s="44">
        <f>(P13-P14)/P13</f>
        <v>0.24543147208121824</v>
      </c>
      <c r="Q15" s="44">
        <f>(Q13-Q14)/Q13</f>
        <v>0.22065808791778216</v>
      </c>
      <c r="R15" s="44">
        <f>(R13-R14)/R13</f>
        <v>0.34730732021928407</v>
      </c>
      <c r="S15" s="44">
        <f>(S13-S14)/S13</f>
        <v>0.25002876538948343</v>
      </c>
      <c r="T15" s="44" t="e">
        <f>(T13-T14)/T13</f>
        <v>#DIV/0!</v>
      </c>
      <c r="U15" s="18"/>
      <c r="V15" s="18"/>
      <c r="W15" s="18"/>
    </row>
    <row r="16" spans="1:23" x14ac:dyDescent="0.25">
      <c r="A16" s="6" t="s">
        <v>94</v>
      </c>
      <c r="B16" s="10"/>
      <c r="C16" s="10"/>
      <c r="D16" s="89">
        <f t="shared" ref="D16:J16" si="5">D13-D14-D9</f>
        <v>882.21</v>
      </c>
      <c r="E16" s="89">
        <f t="shared" si="5"/>
        <v>980.16999999999985</v>
      </c>
      <c r="F16" s="89">
        <f t="shared" si="5"/>
        <v>594.79000000000019</v>
      </c>
      <c r="G16" s="89">
        <f t="shared" si="5"/>
        <v>861.45999999999981</v>
      </c>
      <c r="H16" s="89">
        <f t="shared" si="5"/>
        <v>194.42</v>
      </c>
      <c r="I16" s="89">
        <f t="shared" si="5"/>
        <v>303.09000000000003</v>
      </c>
      <c r="J16" s="89">
        <f t="shared" si="5"/>
        <v>262.83000000000004</v>
      </c>
      <c r="K16" s="89"/>
      <c r="L16" s="11"/>
      <c r="M16" s="11"/>
      <c r="N16" s="42" t="s">
        <v>22</v>
      </c>
      <c r="O16" s="43"/>
      <c r="P16" s="44">
        <f>D17/AVERAGE(C23:D23)</f>
        <v>2.2372518434397158E-2</v>
      </c>
      <c r="Q16" s="44">
        <f>E17/AVERAGE(D23:E23)</f>
        <v>6.8517021222286659E-2</v>
      </c>
      <c r="R16" s="44">
        <f>F17/AVERAGE(E23:F23)</f>
        <v>3.4684570127621474E-2</v>
      </c>
      <c r="S16" s="44">
        <f>G17/AVERAGE(F23:G23)</f>
        <v>2.1102945103687761E-2</v>
      </c>
      <c r="T16" s="18"/>
      <c r="U16" s="18"/>
      <c r="V16" s="18"/>
      <c r="W16" s="18"/>
    </row>
    <row r="17" spans="1:23" x14ac:dyDescent="0.25">
      <c r="A17" s="6" t="s">
        <v>27</v>
      </c>
      <c r="B17" s="7"/>
      <c r="C17" s="7"/>
      <c r="D17" s="88">
        <v>354.41</v>
      </c>
      <c r="E17" s="85">
        <v>952.92</v>
      </c>
      <c r="F17" s="85">
        <v>426.88</v>
      </c>
      <c r="G17" s="85">
        <v>248.92</v>
      </c>
      <c r="H17" s="85">
        <v>12.58</v>
      </c>
      <c r="I17" s="85">
        <v>170.59</v>
      </c>
      <c r="J17" s="85">
        <v>171.4</v>
      </c>
      <c r="K17" s="85"/>
      <c r="L17" s="11"/>
      <c r="M17" s="11"/>
      <c r="N17" s="18"/>
      <c r="O17" s="18"/>
      <c r="P17" s="18"/>
      <c r="Q17" s="18"/>
      <c r="R17" s="18"/>
      <c r="S17" s="18"/>
      <c r="T17" s="18"/>
      <c r="U17" s="18"/>
      <c r="V17" s="18"/>
      <c r="W17" s="18"/>
    </row>
    <row r="18" spans="1:23" x14ac:dyDescent="0.25">
      <c r="A18" s="6" t="s">
        <v>55</v>
      </c>
      <c r="B18" s="7"/>
      <c r="C18" s="7"/>
      <c r="D18" s="88">
        <v>323</v>
      </c>
      <c r="E18" s="85">
        <v>19.809999999999999</v>
      </c>
      <c r="F18" s="89">
        <v>139.04</v>
      </c>
      <c r="G18" s="89">
        <v>508.22</v>
      </c>
      <c r="H18" s="89">
        <v>135.30000000000001</v>
      </c>
      <c r="I18" s="89">
        <v>101.6</v>
      </c>
      <c r="J18" s="89">
        <v>64.540000000000006</v>
      </c>
      <c r="K18" s="89"/>
      <c r="L18" s="11"/>
      <c r="M18" s="11"/>
      <c r="N18" s="40" t="s">
        <v>30</v>
      </c>
      <c r="O18" s="45"/>
      <c r="P18" s="45"/>
      <c r="Q18" s="45"/>
      <c r="R18" s="46" t="s">
        <v>5</v>
      </c>
      <c r="S18" s="18"/>
      <c r="T18" s="18"/>
      <c r="U18" s="18"/>
      <c r="V18" s="18"/>
      <c r="W18" s="18"/>
    </row>
    <row r="19" spans="1:23" ht="22.5" x14ac:dyDescent="0.25">
      <c r="A19" s="6" t="s">
        <v>28</v>
      </c>
      <c r="B19" s="7"/>
      <c r="C19" s="7"/>
      <c r="D19" s="88">
        <f>247.8+4127.25</f>
        <v>4375.05</v>
      </c>
      <c r="E19" s="85">
        <f>247.8+4159.15</f>
        <v>4406.95</v>
      </c>
      <c r="F19" s="85">
        <f>4305.4+247.8</f>
        <v>4553.2</v>
      </c>
      <c r="G19" s="85">
        <f>4817.04+247.8</f>
        <v>5064.84</v>
      </c>
      <c r="H19" s="85"/>
      <c r="I19" s="85">
        <v>5272.53</v>
      </c>
      <c r="J19" s="85">
        <v>5339.3</v>
      </c>
      <c r="K19" s="85"/>
      <c r="L19" s="11"/>
      <c r="M19" s="11"/>
      <c r="N19" s="46" t="s">
        <v>95</v>
      </c>
      <c r="O19" s="51"/>
      <c r="P19" s="51"/>
      <c r="Q19" s="52">
        <f>E16/AVERAGE(D22:E22)</f>
        <v>5.8636004158844894E-2</v>
      </c>
      <c r="R19" s="52">
        <f>F16/AVERAGE(E22:F22)</f>
        <v>3.6874127417502997E-2</v>
      </c>
      <c r="S19" s="52">
        <f>G16/AVERAGE(F22:G22)</f>
        <v>5.9376411892237996E-2</v>
      </c>
      <c r="T19" s="18"/>
      <c r="U19" s="18"/>
      <c r="V19" s="18"/>
      <c r="W19" s="18"/>
    </row>
    <row r="20" spans="1:23" x14ac:dyDescent="0.25">
      <c r="A20" s="6" t="s">
        <v>56</v>
      </c>
      <c r="B20" s="7"/>
      <c r="C20" s="7"/>
      <c r="D20" s="88">
        <f>D19-D71</f>
        <v>4375.05</v>
      </c>
      <c r="E20" s="89">
        <f>E19-E71</f>
        <v>4406.95</v>
      </c>
      <c r="F20" s="89">
        <f>F19-F71</f>
        <v>4553.2</v>
      </c>
      <c r="G20" s="89">
        <f>G19-G71</f>
        <v>5064.84</v>
      </c>
      <c r="H20" s="89"/>
      <c r="I20" s="89">
        <f>I19-I71</f>
        <v>5272.53</v>
      </c>
      <c r="J20" s="89">
        <f>J19-J71</f>
        <v>5339.3</v>
      </c>
      <c r="K20" s="89"/>
      <c r="L20" s="11"/>
      <c r="M20" s="11"/>
      <c r="N20" s="42" t="s">
        <v>31</v>
      </c>
      <c r="O20" s="43"/>
      <c r="P20" s="43">
        <v>4.4699999999999997E-2</v>
      </c>
      <c r="Q20" s="44">
        <f>E18/AVERAGE(D22:E22)</f>
        <v>1.1850793662188371E-3</v>
      </c>
      <c r="R20" s="44">
        <f>F18/AVERAGE(E22:F22)</f>
        <v>8.6198131712530712E-3</v>
      </c>
      <c r="S20" s="44">
        <f>G18/AVERAGE(F22:G22)</f>
        <v>3.5029229507897296E-2</v>
      </c>
      <c r="T20" s="48"/>
      <c r="U20" s="18"/>
      <c r="V20" s="18"/>
      <c r="W20" s="18"/>
    </row>
    <row r="21" spans="1:23" x14ac:dyDescent="0.25">
      <c r="A21" s="6" t="s">
        <v>57</v>
      </c>
      <c r="B21" s="9"/>
      <c r="C21" s="9"/>
      <c r="D21" s="85">
        <f>2215.22+8247.44+343.96</f>
        <v>10806.619999999999</v>
      </c>
      <c r="E21" s="85">
        <f>2440.38+6088.82+348.86</f>
        <v>8878.0600000000013</v>
      </c>
      <c r="F21" s="85">
        <f>2192.77+5280.88+349.4</f>
        <v>7823.0499999999993</v>
      </c>
      <c r="G21" s="85">
        <f>2159.42+5053.79+350</f>
        <v>7563.21</v>
      </c>
      <c r="H21" s="85"/>
      <c r="I21" s="85">
        <f>2661.56+4523.22+350.2</f>
        <v>7534.9800000000005</v>
      </c>
      <c r="J21" s="85"/>
      <c r="K21" s="85"/>
      <c r="L21" s="11"/>
      <c r="M21" s="11"/>
      <c r="N21" s="42" t="s">
        <v>32</v>
      </c>
      <c r="O21" s="43"/>
      <c r="P21" s="44">
        <f>D18/AVERAGE(C19:D19)</f>
        <v>7.3827727683112188E-2</v>
      </c>
      <c r="Q21" s="44">
        <f>E18/AVERAGE(D19:E19)</f>
        <v>4.5115007970849465E-3</v>
      </c>
      <c r="R21" s="44">
        <f>F18/AVERAGE(E19:F19)</f>
        <v>3.1035194723302621E-2</v>
      </c>
      <c r="S21" s="44">
        <f>G18/AVERAGE(F19:G19)</f>
        <v>0.10568057525233832</v>
      </c>
      <c r="T21" s="18"/>
      <c r="U21" s="18"/>
      <c r="V21" s="18"/>
      <c r="W21" s="18"/>
    </row>
    <row r="22" spans="1:23" x14ac:dyDescent="0.25">
      <c r="A22" s="6" t="s">
        <v>29</v>
      </c>
      <c r="B22" s="7"/>
      <c r="C22" s="7"/>
      <c r="D22" s="88">
        <v>17045.060000000001</v>
      </c>
      <c r="E22" s="85">
        <v>16387.3</v>
      </c>
      <c r="F22" s="85">
        <v>15873.26</v>
      </c>
      <c r="G22" s="85">
        <v>13143.65</v>
      </c>
      <c r="H22" s="85"/>
      <c r="I22" s="85">
        <v>7789.39</v>
      </c>
      <c r="J22" s="85"/>
      <c r="K22" s="85"/>
      <c r="L22" s="11"/>
      <c r="M22" s="11"/>
      <c r="N22" s="40" t="s">
        <v>33</v>
      </c>
      <c r="O22" s="45"/>
      <c r="P22" s="45"/>
      <c r="Q22" s="45"/>
      <c r="R22" s="46" t="s">
        <v>5</v>
      </c>
      <c r="S22" s="18"/>
      <c r="T22" s="18"/>
      <c r="U22" s="18"/>
      <c r="V22" s="18"/>
      <c r="W22" s="18"/>
    </row>
    <row r="23" spans="1:23" x14ac:dyDescent="0.25">
      <c r="A23" s="6" t="s">
        <v>58</v>
      </c>
      <c r="B23" s="7"/>
      <c r="C23" s="7"/>
      <c r="D23" s="88">
        <v>15841.31</v>
      </c>
      <c r="E23" s="85">
        <v>11974.26</v>
      </c>
      <c r="F23" s="85">
        <v>12640.72</v>
      </c>
      <c r="G23" s="85">
        <v>10950.3</v>
      </c>
      <c r="H23" s="85"/>
      <c r="I23" s="85">
        <v>8691.4</v>
      </c>
      <c r="J23" s="85"/>
      <c r="K23" s="85"/>
      <c r="L23" s="11"/>
      <c r="M23" s="11"/>
      <c r="N23" s="42" t="s">
        <v>34</v>
      </c>
      <c r="O23" s="43"/>
      <c r="P23" s="44">
        <f>D6/AVERAGE(C23:D23)</f>
        <v>9.2356629596920967E-2</v>
      </c>
      <c r="Q23" s="44">
        <f>E6/AVERAGE(D23:E23)</f>
        <v>0.14108429199904945</v>
      </c>
      <c r="R23" s="44">
        <f>F6/AVERAGE(E23:F23)</f>
        <v>0.12918799852772581</v>
      </c>
      <c r="S23" s="44">
        <f>G6/AVERAGE(F23:G23)</f>
        <v>0.1336949398542327</v>
      </c>
      <c r="T23" s="18"/>
      <c r="U23" s="18"/>
      <c r="V23" s="18"/>
      <c r="W23" s="18"/>
    </row>
    <row r="24" spans="1:23" x14ac:dyDescent="0.25">
      <c r="A24" s="6" t="s">
        <v>59</v>
      </c>
      <c r="B24" s="10"/>
      <c r="C24" s="10"/>
      <c r="D24" s="89">
        <v>197</v>
      </c>
      <c r="E24" s="89">
        <v>347.37</v>
      </c>
      <c r="F24" s="89">
        <v>620.20000000000005</v>
      </c>
      <c r="G24" s="89">
        <v>260.73</v>
      </c>
      <c r="H24" s="89"/>
      <c r="I24" s="89"/>
      <c r="J24" s="89"/>
      <c r="K24" s="89"/>
      <c r="L24" s="11"/>
      <c r="M24" s="11"/>
      <c r="N24" s="42" t="s">
        <v>35</v>
      </c>
      <c r="O24" s="43"/>
      <c r="P24" s="44">
        <f>D9/AVERAGE(C21:D21)</f>
        <v>7.650865858149912E-2</v>
      </c>
      <c r="Q24" s="44">
        <f>E9/AVERAGE(D21:E21)</f>
        <v>0.11767323624260086</v>
      </c>
      <c r="R24" s="44">
        <f>F9/AVERAGE(E21:F21)</f>
        <v>0.11942799011562703</v>
      </c>
      <c r="S24" s="44">
        <f>G9/AVERAGE(F21:G21)</f>
        <v>0.12237931765094313</v>
      </c>
      <c r="T24" s="18"/>
      <c r="U24" s="18"/>
      <c r="V24" s="18"/>
      <c r="W24" s="18"/>
    </row>
    <row r="25" spans="1:23" x14ac:dyDescent="0.25">
      <c r="A25" s="6" t="s">
        <v>60</v>
      </c>
      <c r="B25" s="10"/>
      <c r="C25" s="10"/>
      <c r="D25" s="89">
        <v>148.65</v>
      </c>
      <c r="E25" s="89">
        <v>270.72000000000003</v>
      </c>
      <c r="F25" s="89">
        <v>404.8</v>
      </c>
      <c r="G25" s="89">
        <v>195.54</v>
      </c>
      <c r="H25" s="89"/>
      <c r="I25" s="89"/>
      <c r="J25" s="89"/>
      <c r="K25" s="89"/>
      <c r="L25" s="11"/>
      <c r="M25" s="11"/>
      <c r="N25" s="42" t="s">
        <v>36</v>
      </c>
      <c r="O25" s="43"/>
      <c r="P25" s="48">
        <f>P23-P24</f>
        <v>1.5847971015421847E-2</v>
      </c>
      <c r="Q25" s="48">
        <f>Q23-Q24</f>
        <v>2.3411055756448598E-2</v>
      </c>
      <c r="R25" s="48">
        <f>R23-R24</f>
        <v>9.7600084120987723E-3</v>
      </c>
      <c r="S25" s="48">
        <f>S23-S24</f>
        <v>1.1315622203289563E-2</v>
      </c>
      <c r="T25" s="18"/>
      <c r="U25" s="18"/>
      <c r="V25" s="18"/>
      <c r="W25" s="18"/>
    </row>
  </sheetData>
  <mergeCells count="2">
    <mergeCell ref="A2:A4"/>
    <mergeCell ref="I1:K1"/>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W29"/>
  <sheetViews>
    <sheetView topLeftCell="F1" workbookViewId="0">
      <selection activeCell="AG6" sqref="AG6"/>
    </sheetView>
  </sheetViews>
  <sheetFormatPr defaultRowHeight="15" x14ac:dyDescent="0.25"/>
  <cols>
    <col min="1" max="1" width="30.42578125" customWidth="1"/>
    <col min="4" max="4" width="13.7109375" customWidth="1"/>
    <col min="5" max="5" width="13.5703125" customWidth="1"/>
    <col min="6" max="7" width="12.7109375" customWidth="1"/>
    <col min="14" max="14" width="29.85546875" customWidth="1"/>
    <col min="16" max="16" width="13.85546875" customWidth="1"/>
    <col min="17" max="17" width="12.28515625" customWidth="1"/>
    <col min="18" max="18" width="13.140625" customWidth="1"/>
    <col min="19" max="19" width="12.42578125" customWidth="1"/>
  </cols>
  <sheetData>
    <row r="1" spans="1:23" x14ac:dyDescent="0.25">
      <c r="I1" s="772" t="s">
        <v>113</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f>E10/AVERAGE(D23:E23)</f>
        <v>3.3528991945468052E-3</v>
      </c>
      <c r="R3" s="44">
        <f>F10/AVERAGE(E23:F23)</f>
        <v>2.9767891403163483E-2</v>
      </c>
      <c r="S3" s="44">
        <f>G10/AVERAGE(F23:G23)</f>
        <v>2.9759469973169052E-2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E5">
        <v>193208</v>
      </c>
      <c r="F5" s="85">
        <v>200792</v>
      </c>
      <c r="G5" s="90">
        <v>156797</v>
      </c>
      <c r="H5" s="85"/>
      <c r="I5" s="85"/>
      <c r="J5" s="85"/>
      <c r="K5" s="85"/>
      <c r="L5" s="11"/>
      <c r="M5" s="11"/>
      <c r="N5" s="42" t="s">
        <v>13</v>
      </c>
      <c r="O5" s="46"/>
      <c r="P5" s="47" t="e">
        <f>D21/D20</f>
        <v>#DIV/0!</v>
      </c>
      <c r="Q5" s="47">
        <f>E21/E20</f>
        <v>2.2562284749673411</v>
      </c>
      <c r="R5" s="47">
        <f>F21/F20</f>
        <v>1.4866307694967544</v>
      </c>
      <c r="S5" s="47">
        <f>G21/G20</f>
        <v>0.32383313414229165</v>
      </c>
      <c r="T5" s="18"/>
      <c r="U5" s="18"/>
      <c r="V5" s="18"/>
      <c r="W5" s="18"/>
    </row>
    <row r="6" spans="1:23" x14ac:dyDescent="0.25">
      <c r="A6" s="6" t="s">
        <v>50</v>
      </c>
      <c r="B6" s="7"/>
      <c r="C6" s="8"/>
      <c r="E6">
        <v>123140</v>
      </c>
      <c r="F6" s="85">
        <v>135056</v>
      </c>
      <c r="G6" s="85">
        <v>109438</v>
      </c>
      <c r="H6" s="85"/>
      <c r="I6" s="85"/>
      <c r="J6" s="85"/>
      <c r="K6" s="85"/>
      <c r="L6" s="11"/>
      <c r="M6" s="11"/>
      <c r="N6" s="42" t="s">
        <v>14</v>
      </c>
      <c r="O6" s="43"/>
      <c r="P6" s="43"/>
      <c r="Q6" s="43">
        <v>0.28899999999999998</v>
      </c>
      <c r="R6" s="43">
        <v>0.39100000000000001</v>
      </c>
      <c r="S6" s="48">
        <v>0.50419999999999998</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f>E20/E23</f>
        <v>0.45787416675163006</v>
      </c>
      <c r="R7" s="44">
        <f>F20/F23</f>
        <v>0.57393905382266974</v>
      </c>
      <c r="S7" s="44">
        <f>G20/G23</f>
        <v>0.72206585532550027</v>
      </c>
      <c r="T7" s="18"/>
      <c r="U7" s="18"/>
      <c r="V7" s="18"/>
      <c r="W7" s="18"/>
    </row>
    <row r="8" spans="1:23" x14ac:dyDescent="0.25">
      <c r="A8" s="6" t="s">
        <v>52</v>
      </c>
      <c r="B8" s="7"/>
      <c r="C8" s="8"/>
      <c r="D8" s="85">
        <f>D5-D6-D7</f>
        <v>0</v>
      </c>
      <c r="E8" s="85">
        <f>E5-E6-E7</f>
        <v>70068</v>
      </c>
      <c r="F8" s="85">
        <f>F5-F6-F7</f>
        <v>65736</v>
      </c>
      <c r="G8" s="85">
        <f>G5-G6-G7</f>
        <v>47359</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c r="E9" s="85">
        <v>119687</v>
      </c>
      <c r="F9" s="85">
        <v>106228</v>
      </c>
      <c r="G9" s="85">
        <v>84338</v>
      </c>
      <c r="H9" s="85"/>
      <c r="I9" s="85"/>
      <c r="J9" s="85"/>
      <c r="K9" s="85"/>
      <c r="L9" s="11"/>
      <c r="M9" s="11"/>
      <c r="N9" s="49" t="s">
        <v>93</v>
      </c>
      <c r="O9" s="45"/>
      <c r="P9" s="93" t="e">
        <f>D14/(D11-D9)</f>
        <v>#DIV/0!</v>
      </c>
      <c r="Q9" s="93">
        <f>E14/(E11-E9)</f>
        <v>0.21793773207654957</v>
      </c>
      <c r="R9" s="93">
        <f>F14/(F11-F9)</f>
        <v>0.17835539951778689</v>
      </c>
      <c r="S9" s="93">
        <f>G14/(G11-G9)</f>
        <v>0</v>
      </c>
      <c r="T9" s="18"/>
      <c r="U9" s="18"/>
      <c r="V9" s="18"/>
      <c r="W9" s="18"/>
    </row>
    <row r="10" spans="1:23" ht="22.5" x14ac:dyDescent="0.25">
      <c r="A10" s="6" t="s">
        <v>53</v>
      </c>
      <c r="B10" s="10">
        <f t="shared" ref="B10:H10" si="0">B6-B9</f>
        <v>0</v>
      </c>
      <c r="C10" s="10">
        <f t="shared" si="0"/>
        <v>0</v>
      </c>
      <c r="D10" s="89">
        <f t="shared" si="0"/>
        <v>0</v>
      </c>
      <c r="E10" s="89">
        <f t="shared" si="0"/>
        <v>3453</v>
      </c>
      <c r="F10" s="89">
        <f t="shared" si="0"/>
        <v>28828</v>
      </c>
      <c r="G10" s="89">
        <f t="shared" si="0"/>
        <v>25100</v>
      </c>
      <c r="H10" s="89">
        <f t="shared" si="0"/>
        <v>0</v>
      </c>
      <c r="I10" s="89"/>
      <c r="J10" s="89"/>
      <c r="K10" s="89"/>
      <c r="L10" s="11"/>
      <c r="M10" s="11"/>
      <c r="N10" s="42" t="s">
        <v>92</v>
      </c>
      <c r="O10" s="43"/>
      <c r="P10" s="44" t="e">
        <f>D14/D11</f>
        <v>#DIV/0!</v>
      </c>
      <c r="Q10" s="44">
        <f>E14/E11</f>
        <v>8.2931348598401719E-2</v>
      </c>
      <c r="R10" s="44">
        <f>F14/F11</f>
        <v>8.3997370413163866E-2</v>
      </c>
      <c r="S10" s="44">
        <f>G14/G11</f>
        <v>0</v>
      </c>
      <c r="T10" s="18"/>
      <c r="U10" s="18"/>
      <c r="V10" s="18"/>
      <c r="W10" s="18"/>
    </row>
    <row r="11" spans="1:23" ht="22.5" x14ac:dyDescent="0.25">
      <c r="A11" s="6" t="s">
        <v>1</v>
      </c>
      <c r="B11" s="10">
        <f>B5-B9</f>
        <v>0</v>
      </c>
      <c r="C11" s="10">
        <f t="shared" ref="C11:H11" si="1">SUM(C6:C8)</f>
        <v>0</v>
      </c>
      <c r="D11" s="89">
        <f t="shared" si="1"/>
        <v>0</v>
      </c>
      <c r="E11" s="89">
        <f t="shared" si="1"/>
        <v>193208</v>
      </c>
      <c r="F11" s="89">
        <f>SUM(F6:F8)</f>
        <v>200792</v>
      </c>
      <c r="G11" s="89">
        <f>SUM(G6:G8)</f>
        <v>156797</v>
      </c>
      <c r="H11" s="89">
        <f t="shared" si="1"/>
        <v>0</v>
      </c>
      <c r="I11" s="89"/>
      <c r="J11" s="89"/>
      <c r="K11" s="89"/>
      <c r="L11" s="11"/>
      <c r="M11" s="11"/>
      <c r="N11" s="42" t="s">
        <v>17</v>
      </c>
      <c r="O11" s="43"/>
      <c r="P11" s="44" t="e">
        <f>D14/AVERAGE(C22:D22)</f>
        <v>#DIV/0!</v>
      </c>
      <c r="Q11" s="44">
        <f>E14/AVERAGE(D22:E22)</f>
        <v>1.0391502095097517E-2</v>
      </c>
      <c r="R11" s="44">
        <f>F14/AVERAGE(E22:F22)</f>
        <v>1.1868851513039305E-2</v>
      </c>
      <c r="S11" s="44">
        <f>G14/AVERAGE(F22:G22)</f>
        <v>0</v>
      </c>
      <c r="T11" s="18"/>
      <c r="U11" s="18"/>
      <c r="V11" s="18"/>
      <c r="W11" s="18"/>
    </row>
    <row r="12" spans="1:23" x14ac:dyDescent="0.25">
      <c r="A12" s="6" t="s">
        <v>91</v>
      </c>
      <c r="B12" s="10"/>
      <c r="C12" s="10"/>
      <c r="D12" s="89"/>
      <c r="E12" s="89">
        <v>65</v>
      </c>
      <c r="F12" s="89">
        <v>0</v>
      </c>
      <c r="G12" s="89">
        <v>257</v>
      </c>
      <c r="H12" s="89">
        <v>0</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193273</v>
      </c>
      <c r="F13" s="88">
        <f>F11+F12</f>
        <v>200792</v>
      </c>
      <c r="G13" s="88">
        <f>G11+G12</f>
        <v>157054</v>
      </c>
      <c r="H13" s="88">
        <f>H11+H12</f>
        <v>0</v>
      </c>
      <c r="I13" s="88"/>
      <c r="J13" s="88"/>
      <c r="K13" s="88"/>
      <c r="L13" s="11"/>
      <c r="M13" s="11"/>
      <c r="N13" s="42" t="s">
        <v>19</v>
      </c>
      <c r="O13" s="43"/>
      <c r="P13" s="44" t="e">
        <f>D24/D23</f>
        <v>#DIV/0!</v>
      </c>
      <c r="Q13" s="44">
        <f>E24/E23</f>
        <v>6.1222210893766595E-3</v>
      </c>
      <c r="R13" s="44">
        <f>F24/F23</f>
        <v>5.5588938000897467E-2</v>
      </c>
      <c r="S13" s="44">
        <f>G24/G23</f>
        <v>8.8810698316751313E-2</v>
      </c>
      <c r="T13" s="48"/>
      <c r="U13" s="18"/>
      <c r="V13" s="18"/>
      <c r="W13" s="18"/>
    </row>
    <row r="14" spans="1:23" x14ac:dyDescent="0.25">
      <c r="A14" s="6" t="s">
        <v>26</v>
      </c>
      <c r="B14" s="7"/>
      <c r="C14" s="7"/>
      <c r="D14" s="85"/>
      <c r="E14" s="85">
        <f>7147+1693+83+7100</f>
        <v>16023</v>
      </c>
      <c r="F14" s="85">
        <f>6816+2912+241+6897</f>
        <v>16866</v>
      </c>
      <c r="G14" s="85"/>
      <c r="H14" s="85"/>
      <c r="I14" s="85"/>
      <c r="J14" s="85"/>
      <c r="K14" s="85"/>
      <c r="L14" s="11"/>
      <c r="M14" s="11"/>
      <c r="N14" s="42" t="s">
        <v>20</v>
      </c>
      <c r="O14" s="43"/>
      <c r="P14" s="44" t="e">
        <f>D25/D23</f>
        <v>#DIV/0!</v>
      </c>
      <c r="Q14" s="44">
        <f>E25/E23</f>
        <v>5.2036451733496461E-3</v>
      </c>
      <c r="R14" s="44">
        <f>F25/F23</f>
        <v>2.6521587171732652E-2</v>
      </c>
      <c r="S14" s="44">
        <f>G25/G23</f>
        <v>3.6053860880336366E-2</v>
      </c>
      <c r="T14" s="48"/>
      <c r="U14" s="18"/>
      <c r="V14" s="18"/>
      <c r="W14" s="18"/>
    </row>
    <row r="15" spans="1:23" x14ac:dyDescent="0.25">
      <c r="A15" s="6" t="s">
        <v>54</v>
      </c>
      <c r="B15" s="10"/>
      <c r="C15" s="10"/>
      <c r="D15" s="89">
        <f>D11-D14</f>
        <v>0</v>
      </c>
      <c r="E15" s="89">
        <f>E11-E14</f>
        <v>177185</v>
      </c>
      <c r="F15" s="89">
        <f>F11-F14</f>
        <v>183926</v>
      </c>
      <c r="G15" s="89">
        <f>G11-G14</f>
        <v>156797</v>
      </c>
      <c r="H15" s="89">
        <f>H11-H14</f>
        <v>0</v>
      </c>
      <c r="I15" s="89"/>
      <c r="J15" s="89"/>
      <c r="K15" s="89"/>
      <c r="L15" s="11"/>
      <c r="M15" s="11"/>
      <c r="N15" s="42" t="s">
        <v>21</v>
      </c>
      <c r="O15" s="43"/>
      <c r="P15" s="44" t="e">
        <f>(P13-P14)/P13</f>
        <v>#DIV/0!</v>
      </c>
      <c r="Q15" s="44">
        <f>(Q13-Q14)/Q13</f>
        <v>0.1500396510705789</v>
      </c>
      <c r="R15" s="44">
        <f>(R13-R14)/R13</f>
        <v>0.52289811380630313</v>
      </c>
      <c r="S15" s="44">
        <f>(S13-S14)/S13</f>
        <v>0.59403696217152757</v>
      </c>
      <c r="T15" s="44" t="e">
        <f>(T13-T14)/T13</f>
        <v>#DIV/0!</v>
      </c>
      <c r="U15" s="18"/>
      <c r="V15" s="18"/>
      <c r="W15" s="18"/>
    </row>
    <row r="16" spans="1:23" x14ac:dyDescent="0.25">
      <c r="A16" s="6" t="s">
        <v>94</v>
      </c>
      <c r="B16" s="10"/>
      <c r="C16" s="10"/>
      <c r="D16" s="89">
        <f>D13-D14-D9</f>
        <v>0</v>
      </c>
      <c r="E16" s="89">
        <f>E13-E14-E9</f>
        <v>57563</v>
      </c>
      <c r="F16" s="89">
        <f>F13-F14-F9</f>
        <v>77698</v>
      </c>
      <c r="G16" s="89">
        <f>G13-G14-G9</f>
        <v>72716</v>
      </c>
      <c r="H16" s="89">
        <f>H13-H14-H9</f>
        <v>0</v>
      </c>
      <c r="I16" s="89"/>
      <c r="J16" s="89"/>
      <c r="K16" s="89"/>
      <c r="L16" s="11"/>
      <c r="M16" s="11"/>
      <c r="N16" s="42" t="s">
        <v>22</v>
      </c>
      <c r="O16" s="43"/>
      <c r="P16" s="44" t="e">
        <f>D17/AVERAGE(C23:D23)</f>
        <v>#DIV/0!</v>
      </c>
      <c r="Q16" s="44">
        <f>E17/AVERAGE(D23:E23)</f>
        <v>4.0964019206587335E-2</v>
      </c>
      <c r="R16" s="44">
        <f>F17/AVERAGE(E23:F23)</f>
        <v>9.1189208055132767E-3</v>
      </c>
      <c r="S16" s="44">
        <f>G17/AVERAGE(F23:G23)</f>
        <v>3.7264547460426427E-3</v>
      </c>
      <c r="T16" s="18"/>
      <c r="U16" s="18"/>
      <c r="V16" s="18"/>
      <c r="W16" s="18"/>
    </row>
    <row r="17" spans="1:23" x14ac:dyDescent="0.25">
      <c r="A17" s="6" t="s">
        <v>27</v>
      </c>
      <c r="B17" s="7"/>
      <c r="C17" s="7"/>
      <c r="D17" s="88"/>
      <c r="E17" s="85">
        <v>42187</v>
      </c>
      <c r="F17" s="85">
        <v>8831</v>
      </c>
      <c r="G17" s="85">
        <v>3143</v>
      </c>
      <c r="H17" s="85"/>
      <c r="I17" s="85"/>
      <c r="J17" s="85"/>
      <c r="K17" s="85"/>
      <c r="L17" s="11"/>
      <c r="M17" s="11"/>
      <c r="N17" s="18"/>
      <c r="O17" s="18"/>
      <c r="P17" s="18"/>
      <c r="Q17" s="18"/>
      <c r="R17" s="18"/>
      <c r="S17" s="18"/>
      <c r="T17" s="18"/>
      <c r="U17" s="18"/>
      <c r="V17" s="18"/>
      <c r="W17" s="18"/>
    </row>
    <row r="18" spans="1:23" x14ac:dyDescent="0.25">
      <c r="A18" s="6" t="s">
        <v>55</v>
      </c>
      <c r="B18" s="7"/>
      <c r="C18" s="7"/>
      <c r="D18" s="88"/>
      <c r="E18" s="85">
        <v>8877</v>
      </c>
      <c r="F18" s="89">
        <v>49067</v>
      </c>
      <c r="G18" s="89">
        <v>42528</v>
      </c>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f>62868+408676</f>
        <v>471544</v>
      </c>
      <c r="F19" s="85">
        <f>62868+457693</f>
        <v>520561</v>
      </c>
      <c r="G19" s="85">
        <f>500243+62868</f>
        <v>563111</v>
      </c>
      <c r="H19" s="85"/>
      <c r="I19" s="85"/>
      <c r="J19" s="85"/>
      <c r="K19" s="85"/>
      <c r="L19" s="11"/>
      <c r="M19" s="11"/>
      <c r="N19" s="46" t="s">
        <v>95</v>
      </c>
      <c r="O19" s="51"/>
      <c r="P19" s="51"/>
      <c r="Q19" s="52">
        <f>E16/AVERAGE(D22:E22)</f>
        <v>3.7331712856524896E-2</v>
      </c>
      <c r="R19" s="52">
        <f>F16/AVERAGE(E22:F22)</f>
        <v>5.4677221917474678E-2</v>
      </c>
      <c r="S19" s="52">
        <f>G16/AVERAGE(F22:G22)</f>
        <v>6.0395198350834671E-2</v>
      </c>
      <c r="T19" s="18"/>
      <c r="U19" s="18"/>
      <c r="V19" s="18"/>
      <c r="W19" s="18"/>
    </row>
    <row r="20" spans="1:23" x14ac:dyDescent="0.25">
      <c r="A20" s="6" t="s">
        <v>56</v>
      </c>
      <c r="B20" s="7"/>
      <c r="C20" s="7"/>
      <c r="D20" s="88">
        <f>D19-D71</f>
        <v>0</v>
      </c>
      <c r="E20" s="89">
        <f>E19-E71</f>
        <v>471544</v>
      </c>
      <c r="F20" s="89">
        <f>F19-F71</f>
        <v>520561</v>
      </c>
      <c r="G20" s="89">
        <f>G19-G71</f>
        <v>563111</v>
      </c>
      <c r="H20" s="89">
        <f>H19-H71</f>
        <v>0</v>
      </c>
      <c r="I20" s="89"/>
      <c r="J20" s="89"/>
      <c r="K20" s="89"/>
      <c r="L20" s="11"/>
      <c r="M20" s="11"/>
      <c r="N20" s="42" t="s">
        <v>31</v>
      </c>
      <c r="O20" s="43"/>
      <c r="P20" s="43">
        <v>4.4699999999999997E-2</v>
      </c>
      <c r="Q20" s="44">
        <f>E18/AVERAGE(D22:E22)</f>
        <v>5.7570594831292928E-3</v>
      </c>
      <c r="R20" s="44">
        <f>F18/AVERAGE(E22:F22)</f>
        <v>3.4529167389440271E-2</v>
      </c>
      <c r="S20" s="44">
        <f>G18/AVERAGE(F22:G22)</f>
        <v>3.5322171124158329E-2</v>
      </c>
      <c r="T20" s="48"/>
      <c r="U20" s="18"/>
      <c r="V20" s="18"/>
      <c r="W20" s="18"/>
    </row>
    <row r="21" spans="1:23" x14ac:dyDescent="0.25">
      <c r="A21" s="6" t="s">
        <v>57</v>
      </c>
      <c r="B21" s="9"/>
      <c r="C21" s="9"/>
      <c r="D21" s="85"/>
      <c r="E21" s="85">
        <f>230344+26637+806930</f>
        <v>1063911</v>
      </c>
      <c r="F21" s="85">
        <f>283743+490139</f>
        <v>773882</v>
      </c>
      <c r="G21" s="85">
        <f>141755+40599</f>
        <v>182354</v>
      </c>
      <c r="H21" s="85"/>
      <c r="I21" s="85"/>
      <c r="J21" s="85"/>
      <c r="K21" s="85"/>
      <c r="L21" s="11"/>
      <c r="M21" s="11"/>
      <c r="N21" s="42" t="s">
        <v>32</v>
      </c>
      <c r="O21" s="43"/>
      <c r="P21" s="44" t="e">
        <f>D18/AVERAGE(C19:D19)</f>
        <v>#DIV/0!</v>
      </c>
      <c r="Q21" s="44">
        <f>E18/AVERAGE(D19:E19)</f>
        <v>1.8825390631627165E-2</v>
      </c>
      <c r="R21" s="44">
        <f>F18/AVERAGE(E19:F19)</f>
        <v>9.8914933399186583E-2</v>
      </c>
      <c r="S21" s="44">
        <f>G18/AVERAGE(F19:G19)</f>
        <v>7.8488693995969264E-2</v>
      </c>
      <c r="T21" s="18"/>
      <c r="U21" s="18"/>
      <c r="V21" s="18"/>
      <c r="W21" s="18"/>
    </row>
    <row r="22" spans="1:23" x14ac:dyDescent="0.25">
      <c r="A22" s="6" t="s">
        <v>29</v>
      </c>
      <c r="B22" s="7"/>
      <c r="C22" s="7"/>
      <c r="D22" s="88"/>
      <c r="E22" s="85">
        <v>1541933</v>
      </c>
      <c r="F22" s="85">
        <v>1300128</v>
      </c>
      <c r="G22" s="85">
        <v>1107878</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v>1029855</v>
      </c>
      <c r="F23" s="85">
        <v>906997</v>
      </c>
      <c r="G23" s="85">
        <v>779861</v>
      </c>
      <c r="H23" s="85"/>
      <c r="I23" s="85"/>
      <c r="J23" s="85"/>
      <c r="K23" s="85"/>
      <c r="L23" s="11"/>
      <c r="M23" s="11"/>
      <c r="N23" s="42" t="s">
        <v>34</v>
      </c>
      <c r="O23" s="43"/>
      <c r="P23" s="44" t="e">
        <f>D6/AVERAGE(C23:D23)</f>
        <v>#DIV/0!</v>
      </c>
      <c r="Q23" s="44">
        <f>E6/AVERAGE(D23:E23)</f>
        <v>0.11957023076064106</v>
      </c>
      <c r="R23" s="44">
        <f>F6/AVERAGE(E23:F23)</f>
        <v>0.13945928754494408</v>
      </c>
      <c r="S23" s="44">
        <f>G6/AVERAGE(F23:G23)</f>
        <v>0.12975366035552488</v>
      </c>
      <c r="T23" s="18"/>
      <c r="U23" s="18"/>
      <c r="V23" s="18"/>
      <c r="W23" s="18"/>
    </row>
    <row r="24" spans="1:23" x14ac:dyDescent="0.25">
      <c r="A24" s="6" t="s">
        <v>59</v>
      </c>
      <c r="B24" s="10"/>
      <c r="C24" s="10"/>
      <c r="D24" s="89"/>
      <c r="E24" s="89">
        <v>6305</v>
      </c>
      <c r="F24" s="89">
        <v>50419</v>
      </c>
      <c r="G24" s="89">
        <v>69260</v>
      </c>
      <c r="H24" s="89"/>
      <c r="I24" s="89"/>
      <c r="J24" s="89"/>
      <c r="K24" s="89"/>
      <c r="L24" s="11"/>
      <c r="M24" s="11"/>
      <c r="N24" s="42" t="s">
        <v>35</v>
      </c>
      <c r="O24" s="43"/>
      <c r="P24" s="44" t="e">
        <f>D9/AVERAGE(C21:D21)</f>
        <v>#DIV/0!</v>
      </c>
      <c r="Q24" s="44">
        <f>E9/AVERAGE(D21:E21)</f>
        <v>0.11249719196436544</v>
      </c>
      <c r="R24" s="44">
        <f>F9/AVERAGE(E21:F21)</f>
        <v>0.11560387921817093</v>
      </c>
      <c r="S24" s="44">
        <f>G9/AVERAGE(F21:G21)</f>
        <v>0.17639578514090665</v>
      </c>
      <c r="T24" s="18"/>
      <c r="U24" s="18"/>
      <c r="V24" s="18"/>
      <c r="W24" s="18"/>
    </row>
    <row r="25" spans="1:23" x14ac:dyDescent="0.25">
      <c r="A25" s="6" t="s">
        <v>60</v>
      </c>
      <c r="B25" s="10"/>
      <c r="C25" s="10"/>
      <c r="D25" s="89"/>
      <c r="E25" s="89">
        <v>5359</v>
      </c>
      <c r="F25" s="89">
        <v>24055</v>
      </c>
      <c r="G25" s="89">
        <v>28117</v>
      </c>
      <c r="H25" s="89"/>
      <c r="I25" s="89"/>
      <c r="J25" s="89"/>
      <c r="K25" s="89"/>
      <c r="L25" s="11"/>
      <c r="M25" s="11"/>
      <c r="N25" s="42" t="s">
        <v>36</v>
      </c>
      <c r="O25" s="43"/>
      <c r="P25" s="48" t="e">
        <f>P23-P24</f>
        <v>#DIV/0!</v>
      </c>
      <c r="Q25" s="48">
        <f>Q23-Q24</f>
        <v>7.0730387962756186E-3</v>
      </c>
      <c r="R25" s="48">
        <f>R23-R24</f>
        <v>2.3855408326773145E-2</v>
      </c>
      <c r="S25" s="48">
        <f>S23-S24</f>
        <v>-4.6642124785381767E-2</v>
      </c>
      <c r="T25" s="18"/>
      <c r="U25" s="18"/>
      <c r="V25" s="18"/>
      <c r="W25" s="18"/>
    </row>
    <row r="27" spans="1:23" x14ac:dyDescent="0.25">
      <c r="A27" s="732" t="s">
        <v>272</v>
      </c>
      <c r="B27" s="732"/>
      <c r="C27" s="732"/>
      <c r="D27" s="732"/>
      <c r="E27" s="732"/>
      <c r="F27" s="732"/>
      <c r="G27" s="732"/>
      <c r="H27" s="732"/>
      <c r="I27" s="732"/>
      <c r="J27" s="732"/>
      <c r="K27" s="732"/>
      <c r="L27" s="732"/>
      <c r="M27" s="732"/>
    </row>
    <row r="28" spans="1:23" x14ac:dyDescent="0.25">
      <c r="A28" s="732"/>
      <c r="B28" s="732"/>
      <c r="C28" s="732"/>
      <c r="D28" s="732"/>
      <c r="E28" s="732"/>
      <c r="F28" s="732"/>
      <c r="G28" s="732"/>
      <c r="H28" s="732"/>
      <c r="I28" s="732"/>
      <c r="J28" s="732"/>
      <c r="K28" s="732"/>
      <c r="L28" s="732"/>
      <c r="M28" s="732"/>
    </row>
    <row r="29" spans="1:23" x14ac:dyDescent="0.25">
      <c r="A29" s="732"/>
      <c r="B29" s="732"/>
      <c r="C29" s="732"/>
      <c r="D29" s="732"/>
      <c r="E29" s="732"/>
      <c r="F29" s="732"/>
      <c r="G29" s="732"/>
      <c r="H29" s="732"/>
      <c r="I29" s="732"/>
      <c r="J29" s="732"/>
      <c r="K29" s="732"/>
      <c r="L29" s="732"/>
      <c r="M29" s="732"/>
    </row>
  </sheetData>
  <mergeCells count="2">
    <mergeCell ref="I1:K1"/>
    <mergeCell ref="A27:M29"/>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B34"/>
  <sheetViews>
    <sheetView zoomScale="106" zoomScaleNormal="106" workbookViewId="0"/>
  </sheetViews>
  <sheetFormatPr defaultRowHeight="15" x14ac:dyDescent="0.25"/>
  <cols>
    <col min="1" max="1" width="32.140625" customWidth="1"/>
    <col min="4" max="5" width="11.7109375" customWidth="1"/>
    <col min="6" max="6" width="12.28515625" customWidth="1"/>
    <col min="7" max="7" width="13.7109375" customWidth="1"/>
    <col min="8" max="8" width="9.85546875" customWidth="1"/>
    <col min="9" max="11" width="10.140625" bestFit="1" customWidth="1"/>
    <col min="12" max="12" width="11.140625" customWidth="1"/>
    <col min="15" max="15" width="31.140625" customWidth="1"/>
    <col min="16" max="16" width="27" customWidth="1"/>
    <col min="17" max="18" width="13.7109375" customWidth="1"/>
    <col min="19" max="19" width="11.5703125" customWidth="1"/>
    <col min="20" max="20" width="12.140625" customWidth="1"/>
    <col min="21" max="21" width="11.7109375" customWidth="1"/>
    <col min="22" max="22" width="12.28515625" customWidth="1"/>
  </cols>
  <sheetData>
    <row r="1" spans="1:28" x14ac:dyDescent="0.25">
      <c r="I1" s="772" t="s">
        <v>113</v>
      </c>
      <c r="J1" s="772"/>
      <c r="K1" s="772"/>
    </row>
    <row r="2" spans="1:28" ht="22.5" x14ac:dyDescent="0.25">
      <c r="A2" s="3" t="s">
        <v>4</v>
      </c>
      <c r="B2" s="1" t="s">
        <v>43</v>
      </c>
      <c r="C2" s="1" t="s">
        <v>41</v>
      </c>
      <c r="D2" s="2" t="s">
        <v>44</v>
      </c>
      <c r="E2" s="2" t="s">
        <v>0</v>
      </c>
      <c r="F2" s="3" t="s">
        <v>45</v>
      </c>
      <c r="G2" s="3" t="s">
        <v>42</v>
      </c>
      <c r="H2" s="3" t="s">
        <v>366</v>
      </c>
      <c r="I2" s="3" t="s">
        <v>37</v>
      </c>
      <c r="J2" s="3" t="s">
        <v>38</v>
      </c>
      <c r="K2" s="3" t="s">
        <v>39</v>
      </c>
      <c r="L2" s="3" t="s">
        <v>40</v>
      </c>
      <c r="M2" s="11"/>
      <c r="N2" s="11"/>
      <c r="O2" s="11"/>
      <c r="P2" s="40" t="s">
        <v>6</v>
      </c>
      <c r="Q2" s="41" t="s">
        <v>7</v>
      </c>
      <c r="R2" s="41" t="s">
        <v>8</v>
      </c>
      <c r="S2" s="41" t="s">
        <v>9</v>
      </c>
      <c r="T2" s="40" t="s">
        <v>10</v>
      </c>
      <c r="U2" s="41" t="s">
        <v>90</v>
      </c>
      <c r="V2" s="41" t="s">
        <v>492</v>
      </c>
      <c r="W2" s="40" t="s">
        <v>37</v>
      </c>
      <c r="X2" s="41" t="s">
        <v>38</v>
      </c>
      <c r="Y2" s="41" t="s">
        <v>39</v>
      </c>
      <c r="Z2" s="41" t="s">
        <v>40</v>
      </c>
    </row>
    <row r="3" spans="1:28" x14ac:dyDescent="0.25">
      <c r="A3" s="3"/>
      <c r="B3" s="1" t="s">
        <v>46</v>
      </c>
      <c r="C3" s="4" t="s">
        <v>47</v>
      </c>
      <c r="D3" s="5" t="s">
        <v>47</v>
      </c>
      <c r="E3" s="5" t="s">
        <v>47</v>
      </c>
      <c r="F3" s="1" t="s">
        <v>46</v>
      </c>
      <c r="G3" s="1" t="s">
        <v>46</v>
      </c>
      <c r="H3" s="1" t="s">
        <v>46</v>
      </c>
      <c r="I3" s="1" t="s">
        <v>96</v>
      </c>
      <c r="J3" s="1"/>
      <c r="K3" s="1"/>
      <c r="L3" s="1"/>
      <c r="M3" s="11"/>
      <c r="N3" s="11"/>
      <c r="O3" s="11"/>
      <c r="P3" s="42" t="s">
        <v>11</v>
      </c>
      <c r="Q3" s="43"/>
      <c r="R3" s="44" t="e">
        <f>D10/AVERAGE(C23:D23)</f>
        <v>#DIV/0!</v>
      </c>
      <c r="S3" s="44">
        <f>E10/AVERAGE(D23:E23)</f>
        <v>5.3944824088980395E-2</v>
      </c>
      <c r="T3" s="44">
        <f>F10/AVERAGE(E23:F23)</f>
        <v>6.4462230030649811E-2</v>
      </c>
      <c r="U3" s="44">
        <f>G10/AVERAGE(F23:G23)</f>
        <v>8.2242714037706194E-2</v>
      </c>
      <c r="V3" s="44">
        <f>H10/AVERAGE(G23:H23)</f>
        <v>8.207687498459583E-2</v>
      </c>
      <c r="W3" s="18"/>
      <c r="X3" s="18"/>
      <c r="Y3" s="18"/>
      <c r="Z3" s="18"/>
    </row>
    <row r="4" spans="1:28" x14ac:dyDescent="0.25">
      <c r="A4" s="3"/>
      <c r="B4" s="1" t="s">
        <v>48</v>
      </c>
      <c r="C4" s="1" t="s">
        <v>48</v>
      </c>
      <c r="D4" s="5" t="s">
        <v>49</v>
      </c>
      <c r="E4" s="5" t="s">
        <v>49</v>
      </c>
      <c r="F4" s="5" t="s">
        <v>49</v>
      </c>
      <c r="G4" s="5" t="s">
        <v>49</v>
      </c>
      <c r="H4" s="5" t="s">
        <v>49</v>
      </c>
      <c r="I4" s="5"/>
      <c r="J4" s="5"/>
      <c r="K4" s="5"/>
      <c r="L4" s="5"/>
      <c r="M4" s="11"/>
      <c r="N4" s="11"/>
      <c r="O4" s="11"/>
      <c r="P4" s="40" t="s">
        <v>12</v>
      </c>
      <c r="Q4" s="45"/>
      <c r="R4" s="45"/>
      <c r="S4" s="45"/>
      <c r="T4" s="46" t="s">
        <v>5</v>
      </c>
      <c r="U4" s="18"/>
      <c r="V4" s="18"/>
      <c r="W4" s="18"/>
      <c r="X4" s="18"/>
      <c r="Y4" s="18"/>
      <c r="Z4" s="18"/>
    </row>
    <row r="5" spans="1:28" x14ac:dyDescent="0.25">
      <c r="A5" s="6" t="s">
        <v>23</v>
      </c>
      <c r="B5" s="7"/>
      <c r="C5" s="8"/>
      <c r="E5">
        <v>9567.73</v>
      </c>
      <c r="F5" s="85">
        <v>13217.82</v>
      </c>
      <c r="G5" s="90">
        <v>14461</v>
      </c>
      <c r="H5" s="90">
        <v>20829.669999999998</v>
      </c>
      <c r="I5" s="85">
        <v>5926</v>
      </c>
      <c r="J5" s="85">
        <v>7904</v>
      </c>
      <c r="K5" s="85">
        <v>6810</v>
      </c>
      <c r="L5" s="85">
        <v>8365</v>
      </c>
      <c r="M5" s="11">
        <v>8533</v>
      </c>
      <c r="N5" s="11">
        <v>9195</v>
      </c>
      <c r="O5" s="11"/>
      <c r="P5" s="42" t="s">
        <v>13</v>
      </c>
      <c r="Q5" s="46"/>
      <c r="R5" s="47" t="e">
        <f>D21/D20</f>
        <v>#DIV/0!</v>
      </c>
      <c r="S5" s="47">
        <f>E21/E20</f>
        <v>3.1295343373199977</v>
      </c>
      <c r="T5" s="47">
        <f>F21/F20</f>
        <v>2.9719712206156261</v>
      </c>
      <c r="U5" s="47">
        <f>G21/G20</f>
        <v>1.5691361396768471</v>
      </c>
      <c r="V5" s="47">
        <f>H21/H20</f>
        <v>1.5637023329714508</v>
      </c>
      <c r="W5" s="47"/>
      <c r="X5" s="47">
        <f>J21/J20</f>
        <v>1.8227763893633471</v>
      </c>
      <c r="Y5" s="18"/>
      <c r="Z5" s="18"/>
    </row>
    <row r="6" spans="1:28" x14ac:dyDescent="0.25">
      <c r="A6" s="6" t="s">
        <v>50</v>
      </c>
      <c r="B6" s="7"/>
      <c r="C6" s="8"/>
      <c r="E6">
        <v>8674.16</v>
      </c>
      <c r="F6" s="85">
        <v>10835.88</v>
      </c>
      <c r="G6" s="85">
        <v>13524.97</v>
      </c>
      <c r="H6" s="85">
        <v>17063.22</v>
      </c>
      <c r="I6" s="85">
        <v>5080</v>
      </c>
      <c r="J6" s="85">
        <v>5577</v>
      </c>
      <c r="K6" s="85">
        <v>5939</v>
      </c>
      <c r="L6" s="85">
        <v>6581</v>
      </c>
      <c r="M6" s="11">
        <v>7074</v>
      </c>
      <c r="N6" s="11">
        <v>7584</v>
      </c>
      <c r="O6" s="11"/>
      <c r="P6" s="42" t="s">
        <v>14</v>
      </c>
      <c r="Q6" s="43"/>
      <c r="R6" s="43"/>
      <c r="S6" s="43">
        <v>0.46800000000000003</v>
      </c>
      <c r="T6" s="43">
        <v>0.49199999999999999</v>
      </c>
      <c r="U6" s="48">
        <v>0.83199999999999996</v>
      </c>
      <c r="V6" s="48">
        <v>0.80500000000000005</v>
      </c>
      <c r="W6" s="48"/>
      <c r="X6" s="48">
        <v>0.7077</v>
      </c>
      <c r="Y6" s="48">
        <v>0.6663</v>
      </c>
      <c r="Z6" s="48">
        <v>0.57350000000000001</v>
      </c>
      <c r="AA6" s="80">
        <v>0.56159999999999999</v>
      </c>
      <c r="AB6" s="80">
        <v>0.55679999999999996</v>
      </c>
    </row>
    <row r="7" spans="1:28" x14ac:dyDescent="0.25">
      <c r="A7" s="6" t="s">
        <v>51</v>
      </c>
      <c r="B7" s="7"/>
      <c r="C7" s="8"/>
      <c r="D7" s="87"/>
      <c r="E7" s="85"/>
      <c r="F7" s="85">
        <v>0</v>
      </c>
      <c r="G7" s="85">
        <v>0</v>
      </c>
      <c r="H7" s="85"/>
      <c r="I7" s="85"/>
      <c r="J7" s="85"/>
      <c r="K7" s="85"/>
      <c r="L7" s="85"/>
      <c r="M7" s="11"/>
      <c r="N7" s="11"/>
      <c r="O7" s="11"/>
      <c r="P7" s="42" t="s">
        <v>15</v>
      </c>
      <c r="Q7" s="43"/>
      <c r="R7" s="44" t="e">
        <f>D20/D23</f>
        <v>#DIV/0!</v>
      </c>
      <c r="S7" s="44">
        <f>E20/E23</f>
        <v>0.24765619988208448</v>
      </c>
      <c r="T7" s="44">
        <f>F20/F23</f>
        <v>0.25223022467730644</v>
      </c>
      <c r="U7" s="44">
        <f>G20/G23</f>
        <v>0.40380698659376024</v>
      </c>
      <c r="V7" s="44">
        <f>H20/H23</f>
        <v>0.40071922275492983</v>
      </c>
      <c r="W7" s="18"/>
      <c r="X7" s="18"/>
      <c r="Y7" s="18"/>
      <c r="Z7" s="18"/>
    </row>
    <row r="8" spans="1:28" x14ac:dyDescent="0.25">
      <c r="A8" s="6" t="s">
        <v>52</v>
      </c>
      <c r="B8" s="7"/>
      <c r="C8" s="8"/>
      <c r="D8" s="85">
        <f t="shared" ref="D8:N8" si="0">D5-D6-D7</f>
        <v>0</v>
      </c>
      <c r="E8" s="85">
        <f t="shared" si="0"/>
        <v>893.56999999999971</v>
      </c>
      <c r="F8" s="85">
        <f t="shared" si="0"/>
        <v>2381.9400000000005</v>
      </c>
      <c r="G8" s="85">
        <f t="shared" si="0"/>
        <v>936.03000000000065</v>
      </c>
      <c r="H8" s="85">
        <f t="shared" si="0"/>
        <v>3766.4499999999971</v>
      </c>
      <c r="I8" s="85">
        <f t="shared" si="0"/>
        <v>846</v>
      </c>
      <c r="J8" s="85">
        <f t="shared" si="0"/>
        <v>2327</v>
      </c>
      <c r="K8" s="85">
        <f t="shared" si="0"/>
        <v>871</v>
      </c>
      <c r="L8" s="85">
        <f t="shared" si="0"/>
        <v>1784</v>
      </c>
      <c r="M8" s="85">
        <f t="shared" si="0"/>
        <v>1459</v>
      </c>
      <c r="N8" s="85">
        <f t="shared" si="0"/>
        <v>1611</v>
      </c>
      <c r="O8" s="11"/>
      <c r="P8" s="40" t="s">
        <v>16</v>
      </c>
      <c r="Q8" s="45"/>
      <c r="R8" s="45"/>
      <c r="S8" s="45"/>
      <c r="T8" s="46" t="s">
        <v>5</v>
      </c>
      <c r="U8" s="18"/>
      <c r="V8" s="18"/>
      <c r="W8" s="18"/>
      <c r="X8" s="18"/>
      <c r="Y8" s="18"/>
      <c r="Z8" s="18"/>
    </row>
    <row r="9" spans="1:28" ht="33.75" x14ac:dyDescent="0.25">
      <c r="A9" s="6" t="s">
        <v>24</v>
      </c>
      <c r="B9" s="7"/>
      <c r="C9" s="7"/>
      <c r="D9" s="88"/>
      <c r="E9" s="85">
        <v>4612.59</v>
      </c>
      <c r="F9" s="85">
        <v>5658.05</v>
      </c>
      <c r="G9" s="85">
        <v>4933.3500000000004</v>
      </c>
      <c r="H9" s="85">
        <v>6523.33</v>
      </c>
      <c r="I9" s="85">
        <v>2269</v>
      </c>
      <c r="J9" s="85">
        <v>2438</v>
      </c>
      <c r="K9" s="85">
        <v>2711</v>
      </c>
      <c r="L9" s="85">
        <v>3346</v>
      </c>
      <c r="M9" s="11">
        <v>3630</v>
      </c>
      <c r="N9" s="11">
        <v>4039</v>
      </c>
      <c r="O9" s="11"/>
      <c r="P9" s="49" t="s">
        <v>93</v>
      </c>
      <c r="Q9" s="45"/>
      <c r="R9" s="93" t="e">
        <f>D14/(D11-D9)</f>
        <v>#DIV/0!</v>
      </c>
      <c r="S9" s="93">
        <f>E14/(E11-E9)</f>
        <v>0.73697413191151029</v>
      </c>
      <c r="T9" s="93">
        <f>F14/(F11-F9)</f>
        <v>0.38709775561954929</v>
      </c>
      <c r="U9" s="93">
        <f>G14/(G11-G9)</f>
        <v>0.45427256458832982</v>
      </c>
      <c r="V9" s="93">
        <f>H14/(H11-H9)</f>
        <v>0.65008171202417964</v>
      </c>
      <c r="W9" s="18"/>
      <c r="X9" s="18"/>
      <c r="Y9" s="18"/>
      <c r="Z9" s="18"/>
    </row>
    <row r="10" spans="1:28" ht="22.5" x14ac:dyDescent="0.25">
      <c r="A10" s="6" t="s">
        <v>53</v>
      </c>
      <c r="B10" s="10">
        <f t="shared" ref="B10:I10" si="1">B6-B9</f>
        <v>0</v>
      </c>
      <c r="C10" s="10">
        <f t="shared" si="1"/>
        <v>0</v>
      </c>
      <c r="D10" s="89">
        <f t="shared" si="1"/>
        <v>0</v>
      </c>
      <c r="E10" s="89">
        <f t="shared" si="1"/>
        <v>4061.5699999999997</v>
      </c>
      <c r="F10" s="89">
        <f t="shared" si="1"/>
        <v>5177.829999999999</v>
      </c>
      <c r="G10" s="89">
        <f t="shared" si="1"/>
        <v>8591.619999999999</v>
      </c>
      <c r="H10" s="89">
        <f>H6-H9</f>
        <v>10539.890000000001</v>
      </c>
      <c r="I10" s="89">
        <f t="shared" si="1"/>
        <v>2811</v>
      </c>
      <c r="J10" s="89">
        <f>J6-J9</f>
        <v>3139</v>
      </c>
      <c r="K10" s="89">
        <f>K6-K9</f>
        <v>3228</v>
      </c>
      <c r="L10" s="89">
        <f>L6-L9</f>
        <v>3235</v>
      </c>
      <c r="M10" s="89">
        <f>M6-M9</f>
        <v>3444</v>
      </c>
      <c r="N10" s="89">
        <f>N6-N9</f>
        <v>3545</v>
      </c>
      <c r="O10" s="11"/>
      <c r="P10" s="42" t="s">
        <v>92</v>
      </c>
      <c r="Q10" s="43"/>
      <c r="R10" s="44" t="e">
        <f>D14/D11</f>
        <v>#DIV/0!</v>
      </c>
      <c r="S10" s="44">
        <f>E14/E11</f>
        <v>0.38167987599984537</v>
      </c>
      <c r="T10" s="44">
        <f>F14/F11</f>
        <v>0.22139581262265637</v>
      </c>
      <c r="U10" s="44">
        <f>G14/G11</f>
        <v>0.2992981121637508</v>
      </c>
      <c r="V10" s="44">
        <f>H14/H11</f>
        <v>0.44649243122910742</v>
      </c>
      <c r="W10" s="18"/>
      <c r="X10" s="18"/>
      <c r="Y10" s="18"/>
      <c r="Z10" s="18"/>
    </row>
    <row r="11" spans="1:28" ht="22.5" x14ac:dyDescent="0.25">
      <c r="A11" s="6" t="s">
        <v>1</v>
      </c>
      <c r="B11" s="10">
        <f>B5-B9</f>
        <v>0</v>
      </c>
      <c r="C11" s="10">
        <f t="shared" ref="C11:I11" si="2">SUM(C6:C8)</f>
        <v>0</v>
      </c>
      <c r="D11" s="89">
        <f t="shared" si="2"/>
        <v>0</v>
      </c>
      <c r="E11" s="89">
        <f t="shared" si="2"/>
        <v>9567.73</v>
      </c>
      <c r="F11" s="89">
        <f>SUM(F6:F8)</f>
        <v>13217.82</v>
      </c>
      <c r="G11" s="89">
        <f>SUM(G6:G8)</f>
        <v>14461</v>
      </c>
      <c r="H11" s="89">
        <f>SUM(H6:H8)</f>
        <v>20829.669999999998</v>
      </c>
      <c r="I11" s="89">
        <f t="shared" si="2"/>
        <v>5926</v>
      </c>
      <c r="J11" s="89">
        <f>SUM(J6:J8)</f>
        <v>7904</v>
      </c>
      <c r="K11" s="89">
        <f>SUM(K6:K8)</f>
        <v>6810</v>
      </c>
      <c r="L11" s="89">
        <f>SUM(L6:L8)</f>
        <v>8365</v>
      </c>
      <c r="M11" s="89">
        <f>SUM(M6:M8)</f>
        <v>8533</v>
      </c>
      <c r="N11" s="89">
        <f>SUM(N6:N8)</f>
        <v>9195</v>
      </c>
      <c r="O11" s="11"/>
      <c r="P11" s="42" t="s">
        <v>17</v>
      </c>
      <c r="Q11" s="43"/>
      <c r="R11" s="44" t="e">
        <f>D14/AVERAGE(C22:D22)</f>
        <v>#DIV/0!</v>
      </c>
      <c r="S11" s="44">
        <f>E14/AVERAGE(D22:E22)</f>
        <v>4.6021254305737933E-2</v>
      </c>
      <c r="T11" s="44">
        <f>F14/AVERAGE(E22:F22)</f>
        <v>3.4758073831376364E-2</v>
      </c>
      <c r="U11" s="44">
        <f>G14/AVERAGE(F22:G22)</f>
        <v>3.957297051321567E-2</v>
      </c>
      <c r="V11" s="44">
        <f>H14/AVERAGE(G22:H22)</f>
        <v>6.7605176563222832E-2</v>
      </c>
      <c r="W11" s="18"/>
      <c r="X11" s="18"/>
      <c r="Y11" s="18"/>
      <c r="Z11" s="18"/>
    </row>
    <row r="12" spans="1:28" x14ac:dyDescent="0.25">
      <c r="A12" s="6" t="s">
        <v>91</v>
      </c>
      <c r="B12" s="10"/>
      <c r="C12" s="10"/>
      <c r="D12" s="89"/>
      <c r="E12" s="89">
        <v>146.16999999999999</v>
      </c>
      <c r="F12" s="89">
        <v>188.93</v>
      </c>
      <c r="G12" s="89">
        <v>21.3</v>
      </c>
      <c r="H12" s="89">
        <v>94.5</v>
      </c>
      <c r="I12" s="89">
        <v>18</v>
      </c>
      <c r="J12" s="89">
        <v>2</v>
      </c>
      <c r="K12" s="89">
        <v>-4</v>
      </c>
      <c r="L12" s="89">
        <v>21</v>
      </c>
      <c r="M12" s="11">
        <v>3</v>
      </c>
      <c r="N12" s="11">
        <v>265</v>
      </c>
      <c r="O12" s="11"/>
      <c r="P12" s="40" t="s">
        <v>18</v>
      </c>
      <c r="Q12" s="45"/>
      <c r="R12" s="45"/>
      <c r="S12" s="45"/>
      <c r="T12" s="46" t="s">
        <v>5</v>
      </c>
      <c r="U12" s="18"/>
      <c r="V12" s="18"/>
      <c r="W12" s="18"/>
      <c r="X12" s="18"/>
      <c r="Y12" s="53"/>
      <c r="Z12" s="54"/>
    </row>
    <row r="13" spans="1:28" x14ac:dyDescent="0.25">
      <c r="A13" s="6" t="s">
        <v>25</v>
      </c>
      <c r="B13" s="7"/>
      <c r="C13" s="7"/>
      <c r="D13" s="88">
        <f t="shared" ref="D13:N13" si="3">D11+D12</f>
        <v>0</v>
      </c>
      <c r="E13" s="88">
        <f t="shared" si="3"/>
        <v>9713.9</v>
      </c>
      <c r="F13" s="88">
        <f t="shared" si="3"/>
        <v>13406.75</v>
      </c>
      <c r="G13" s="88">
        <f t="shared" si="3"/>
        <v>14482.3</v>
      </c>
      <c r="H13" s="88">
        <f t="shared" si="3"/>
        <v>20924.169999999998</v>
      </c>
      <c r="I13" s="88">
        <f t="shared" si="3"/>
        <v>5944</v>
      </c>
      <c r="J13" s="88">
        <f t="shared" si="3"/>
        <v>7906</v>
      </c>
      <c r="K13" s="88">
        <f t="shared" si="3"/>
        <v>6806</v>
      </c>
      <c r="L13" s="88">
        <f t="shared" si="3"/>
        <v>8386</v>
      </c>
      <c r="M13" s="88">
        <f t="shared" si="3"/>
        <v>8536</v>
      </c>
      <c r="N13" s="88">
        <f t="shared" si="3"/>
        <v>9460</v>
      </c>
      <c r="O13" s="11"/>
      <c r="P13" s="42" t="s">
        <v>19</v>
      </c>
      <c r="Q13" s="43"/>
      <c r="R13" s="44" t="e">
        <f>D24/D23</f>
        <v>#DIV/0!</v>
      </c>
      <c r="S13" s="44">
        <f>E24/E23</f>
        <v>8.4205071004987437E-3</v>
      </c>
      <c r="T13" s="44">
        <f>F24/F23</f>
        <v>1.816983624418976E-2</v>
      </c>
      <c r="U13" s="44">
        <f>G24/G23</f>
        <v>1.7999307802963854E-2</v>
      </c>
      <c r="V13" s="44">
        <f>H24/H23</f>
        <v>1.2514692067326779E-2</v>
      </c>
      <c r="W13" s="48"/>
      <c r="X13" s="48">
        <v>1.2500000000000001E-2</v>
      </c>
      <c r="Y13" s="48">
        <v>1.24E-2</v>
      </c>
      <c r="Z13" s="48">
        <v>1.1299999999999999E-2</v>
      </c>
      <c r="AA13" s="80">
        <v>1.34E-2</v>
      </c>
      <c r="AB13" s="80">
        <v>1.41E-2</v>
      </c>
    </row>
    <row r="14" spans="1:28" x14ac:dyDescent="0.25">
      <c r="A14" s="6" t="s">
        <v>26</v>
      </c>
      <c r="B14" s="7"/>
      <c r="C14" s="7"/>
      <c r="D14" s="85"/>
      <c r="E14" s="85">
        <f>2365.58+186.55+1099.68</f>
        <v>3651.8100000000004</v>
      </c>
      <c r="F14" s="85">
        <f>1808.4+200.82+917.15</f>
        <v>2926.37</v>
      </c>
      <c r="G14" s="85">
        <f>2876.59+156.55+1295.01</f>
        <v>4328.1500000000005</v>
      </c>
      <c r="H14" s="85">
        <f>4525.83+321.59+4452.87</f>
        <v>9300.2900000000009</v>
      </c>
      <c r="I14" s="85">
        <f>1437+120+960</f>
        <v>2517</v>
      </c>
      <c r="J14" s="85">
        <f>1671+133+1640</f>
        <v>3444</v>
      </c>
      <c r="K14" s="85">
        <f>1734+145+1235</f>
        <v>3114</v>
      </c>
      <c r="L14" s="85">
        <f>1335+157+1396</f>
        <v>2888</v>
      </c>
      <c r="M14" s="11">
        <f>1710+160+958</f>
        <v>2828</v>
      </c>
      <c r="N14" s="11">
        <f>1896+171+1281</f>
        <v>3348</v>
      </c>
      <c r="O14" s="11"/>
      <c r="P14" s="42" t="s">
        <v>20</v>
      </c>
      <c r="Q14" s="43"/>
      <c r="R14" s="44" t="e">
        <f>D25/D23</f>
        <v>#DIV/0!</v>
      </c>
      <c r="S14" s="44">
        <f>E25/E23</f>
        <v>6.7002527121699101E-3</v>
      </c>
      <c r="T14" s="44">
        <f>F25/F23</f>
        <v>1.4061384265266253E-2</v>
      </c>
      <c r="U14" s="44">
        <f>G25/G23</f>
        <v>1.1362664393761553E-2</v>
      </c>
      <c r="V14" s="44">
        <f>H25/H23</f>
        <v>9.0520095055855749E-3</v>
      </c>
      <c r="W14" s="48"/>
      <c r="X14" s="48">
        <v>9.5999999999999992E-3</v>
      </c>
      <c r="Y14" s="48">
        <v>9.2999999999999992E-3</v>
      </c>
      <c r="Z14" s="48">
        <v>8.0999999999999996E-3</v>
      </c>
      <c r="AA14" s="80">
        <v>1.0500000000000001E-2</v>
      </c>
      <c r="AB14" s="80">
        <v>1.11E-2</v>
      </c>
    </row>
    <row r="15" spans="1:28" x14ac:dyDescent="0.25">
      <c r="A15" s="6" t="s">
        <v>54</v>
      </c>
      <c r="B15" s="10"/>
      <c r="C15" s="10"/>
      <c r="D15" s="89">
        <f t="shared" ref="D15:L15" si="4">D11-D14</f>
        <v>0</v>
      </c>
      <c r="E15" s="89">
        <f t="shared" si="4"/>
        <v>5915.9199999999992</v>
      </c>
      <c r="F15" s="89">
        <f t="shared" si="4"/>
        <v>10291.450000000001</v>
      </c>
      <c r="G15" s="89">
        <f t="shared" si="4"/>
        <v>10132.849999999999</v>
      </c>
      <c r="H15" s="89">
        <f>H11-H14</f>
        <v>11529.379999999997</v>
      </c>
      <c r="I15" s="89">
        <f t="shared" si="4"/>
        <v>3409</v>
      </c>
      <c r="J15" s="89">
        <f t="shared" si="4"/>
        <v>4460</v>
      </c>
      <c r="K15" s="89">
        <f t="shared" si="4"/>
        <v>3696</v>
      </c>
      <c r="L15" s="89">
        <f t="shared" si="4"/>
        <v>5477</v>
      </c>
      <c r="M15" s="89">
        <f t="shared" ref="M15:N15" si="5">M11-M14</f>
        <v>5705</v>
      </c>
      <c r="N15" s="89">
        <f t="shared" si="5"/>
        <v>5847</v>
      </c>
      <c r="O15" s="11"/>
      <c r="P15" s="42" t="s">
        <v>21</v>
      </c>
      <c r="Q15" s="43"/>
      <c r="R15" s="44" t="e">
        <f t="shared" ref="R15:W15" si="6">(R13-R14)/R13</f>
        <v>#DIV/0!</v>
      </c>
      <c r="S15" s="44">
        <f t="shared" si="6"/>
        <v>0.20429344311424469</v>
      </c>
      <c r="T15" s="44">
        <f t="shared" si="6"/>
        <v>0.22611386936617456</v>
      </c>
      <c r="U15" s="44">
        <f t="shared" si="6"/>
        <v>0.36871659076297808</v>
      </c>
      <c r="V15" s="44">
        <f t="shared" si="6"/>
        <v>0.27668939380310742</v>
      </c>
      <c r="W15" s="44" t="e">
        <f t="shared" si="6"/>
        <v>#DIV/0!</v>
      </c>
      <c r="X15" s="18"/>
      <c r="Y15" s="18"/>
      <c r="Z15" s="18"/>
    </row>
    <row r="16" spans="1:28" x14ac:dyDescent="0.25">
      <c r="A16" s="6" t="s">
        <v>94</v>
      </c>
      <c r="B16" s="10"/>
      <c r="C16" s="10"/>
      <c r="D16" s="89">
        <f t="shared" ref="D16:L16" si="7">D13-D14-D9</f>
        <v>0</v>
      </c>
      <c r="E16" s="89">
        <f t="shared" si="7"/>
        <v>1449.4999999999991</v>
      </c>
      <c r="F16" s="89">
        <f t="shared" si="7"/>
        <v>4822.3300000000008</v>
      </c>
      <c r="G16" s="89">
        <f t="shared" si="7"/>
        <v>5220.7999999999975</v>
      </c>
      <c r="H16" s="89">
        <f>H13-H14-H9</f>
        <v>5100.5499999999975</v>
      </c>
      <c r="I16" s="89">
        <f t="shared" si="7"/>
        <v>1158</v>
      </c>
      <c r="J16" s="89">
        <f t="shared" si="7"/>
        <v>2024</v>
      </c>
      <c r="K16" s="89">
        <f t="shared" si="7"/>
        <v>981</v>
      </c>
      <c r="L16" s="89">
        <f t="shared" si="7"/>
        <v>2152</v>
      </c>
      <c r="M16" s="89">
        <f t="shared" ref="M16:N16" si="8">M13-M14-M9</f>
        <v>2078</v>
      </c>
      <c r="N16" s="89">
        <f t="shared" si="8"/>
        <v>2073</v>
      </c>
      <c r="O16" s="11"/>
      <c r="P16" s="42" t="s">
        <v>22</v>
      </c>
      <c r="Q16" s="43"/>
      <c r="R16" s="44" t="e">
        <f>D17/AVERAGE(C23:D23)</f>
        <v>#DIV/0!</v>
      </c>
      <c r="S16" s="44">
        <f>E17/AVERAGE(D23:E23)</f>
        <v>6.6127258713801701E-3</v>
      </c>
      <c r="T16" s="44">
        <f>F17/AVERAGE(E23:F23)</f>
        <v>1.1890671555897672E-2</v>
      </c>
      <c r="U16" s="44">
        <f>G17/AVERAGE(F23:G23)</f>
        <v>5.8593824784639384E-3</v>
      </c>
      <c r="V16" s="44">
        <f>H17/AVERAGE(G23:H23)</f>
        <v>-1.7614784520061951E-4</v>
      </c>
      <c r="W16" s="18"/>
      <c r="X16" s="44">
        <f>(J17*4)/J23</f>
        <v>3.0292672792220413E-3</v>
      </c>
      <c r="Y16" s="44" t="e">
        <f t="shared" ref="Y16:AB16" si="9">(K17*4)/K23</f>
        <v>#DIV/0!</v>
      </c>
      <c r="Z16" s="44">
        <f t="shared" si="9"/>
        <v>4.1480571071142473E-3</v>
      </c>
      <c r="AA16" s="44"/>
      <c r="AB16" s="44">
        <f t="shared" si="9"/>
        <v>4.782200881596789E-3</v>
      </c>
    </row>
    <row r="17" spans="1:26" x14ac:dyDescent="0.25">
      <c r="A17" s="6" t="s">
        <v>27</v>
      </c>
      <c r="B17" s="7"/>
      <c r="C17" s="7"/>
      <c r="D17" s="88"/>
      <c r="E17" s="85">
        <v>497.88</v>
      </c>
      <c r="F17" s="85">
        <v>955.1</v>
      </c>
      <c r="G17" s="85">
        <v>612.11</v>
      </c>
      <c r="H17" s="85">
        <v>-22.62</v>
      </c>
      <c r="I17" s="85">
        <v>90</v>
      </c>
      <c r="J17" s="85">
        <v>113</v>
      </c>
      <c r="K17" s="85">
        <v>138</v>
      </c>
      <c r="L17" s="85">
        <v>189</v>
      </c>
      <c r="M17" s="11">
        <v>190</v>
      </c>
      <c r="N17" s="11">
        <v>246</v>
      </c>
      <c r="O17" s="11"/>
      <c r="P17" s="18"/>
      <c r="Q17" s="18"/>
      <c r="R17" s="18"/>
      <c r="S17" s="18"/>
      <c r="T17" s="18"/>
      <c r="U17" s="18"/>
      <c r="V17" s="18"/>
      <c r="W17" s="18"/>
      <c r="X17" s="18"/>
      <c r="Y17" s="18"/>
      <c r="Z17" s="18"/>
    </row>
    <row r="18" spans="1:26" x14ac:dyDescent="0.25">
      <c r="A18" s="6" t="s">
        <v>55</v>
      </c>
      <c r="B18" s="7"/>
      <c r="C18" s="7"/>
      <c r="D18" s="88"/>
      <c r="E18" s="85">
        <v>1419.73</v>
      </c>
      <c r="F18" s="89">
        <v>2795.13</v>
      </c>
      <c r="G18" s="89">
        <v>3430.83</v>
      </c>
      <c r="H18" s="89">
        <v>3777.54</v>
      </c>
      <c r="I18" s="89">
        <v>797</v>
      </c>
      <c r="J18" s="89">
        <v>1419</v>
      </c>
      <c r="K18" s="89">
        <v>625</v>
      </c>
      <c r="L18" s="89">
        <v>1567</v>
      </c>
      <c r="M18" s="11">
        <v>1409</v>
      </c>
      <c r="N18" s="11">
        <v>1367</v>
      </c>
      <c r="O18" s="11"/>
      <c r="P18" s="40" t="s">
        <v>30</v>
      </c>
      <c r="Q18" s="45"/>
      <c r="R18" s="45"/>
      <c r="S18" s="45"/>
      <c r="T18" s="46" t="s">
        <v>5</v>
      </c>
      <c r="U18" s="18"/>
      <c r="V18" s="18"/>
      <c r="W18" s="18"/>
      <c r="X18" s="18"/>
      <c r="Y18" s="18"/>
      <c r="Z18" s="18"/>
    </row>
    <row r="19" spans="1:26" ht="22.5" x14ac:dyDescent="0.25">
      <c r="A19" s="6" t="s">
        <v>28</v>
      </c>
      <c r="B19" s="7"/>
      <c r="C19" s="7"/>
      <c r="D19" s="88"/>
      <c r="E19" s="85">
        <v>18646.330000000002</v>
      </c>
      <c r="F19" s="85">
        <v>21529.3</v>
      </c>
      <c r="G19" s="85">
        <v>49901.47</v>
      </c>
      <c r="H19" s="85">
        <f>53713.5-316.79</f>
        <v>53396.71</v>
      </c>
      <c r="I19" s="85"/>
      <c r="J19" s="85">
        <f>45000+10918-299</f>
        <v>55619</v>
      </c>
      <c r="K19" s="85"/>
      <c r="L19" s="85">
        <f>45000+13114-219</f>
        <v>57895</v>
      </c>
      <c r="M19" s="11"/>
      <c r="N19" s="11">
        <f>61162-246</f>
        <v>60916</v>
      </c>
      <c r="O19" s="11"/>
      <c r="P19" s="46" t="s">
        <v>95</v>
      </c>
      <c r="Q19" s="51"/>
      <c r="R19" s="51"/>
      <c r="S19" s="52">
        <f>E16/AVERAGE(D22:E22)</f>
        <v>1.8267053356052772E-2</v>
      </c>
      <c r="T19" s="52">
        <f>F16/AVERAGE(E22:F22)</f>
        <v>5.7277412691922484E-2</v>
      </c>
      <c r="U19" s="52">
        <f>G16/AVERAGE(F22:G22)</f>
        <v>4.7734612815035576E-2</v>
      </c>
      <c r="V19" s="52">
        <f>H16/AVERAGE(G22:H22)</f>
        <v>3.7076648504460186E-2</v>
      </c>
      <c r="W19" s="18"/>
      <c r="X19" s="18"/>
      <c r="Y19" s="18"/>
      <c r="Z19" s="18"/>
    </row>
    <row r="20" spans="1:26" x14ac:dyDescent="0.25">
      <c r="A20" s="6" t="s">
        <v>56</v>
      </c>
      <c r="B20" s="7"/>
      <c r="C20" s="7"/>
      <c r="D20" s="88">
        <f>D19-D71</f>
        <v>0</v>
      </c>
      <c r="E20" s="89">
        <f>E19-E71</f>
        <v>18646.330000000002</v>
      </c>
      <c r="F20" s="89">
        <f>F19-F71</f>
        <v>21529.3</v>
      </c>
      <c r="G20" s="89">
        <f>G19-G71</f>
        <v>49901.47</v>
      </c>
      <c r="H20" s="89">
        <f>H19-H71</f>
        <v>53396.71</v>
      </c>
      <c r="I20" s="89">
        <f t="shared" ref="I20:N20" si="10">I19-H71</f>
        <v>0</v>
      </c>
      <c r="J20" s="89">
        <f t="shared" si="10"/>
        <v>55619</v>
      </c>
      <c r="K20" s="89">
        <f t="shared" si="10"/>
        <v>0</v>
      </c>
      <c r="L20" s="89">
        <f t="shared" si="10"/>
        <v>57895</v>
      </c>
      <c r="M20" s="89">
        <f t="shared" si="10"/>
        <v>0</v>
      </c>
      <c r="N20" s="89">
        <f t="shared" si="10"/>
        <v>60916</v>
      </c>
      <c r="O20" s="11"/>
      <c r="P20" s="42" t="s">
        <v>31</v>
      </c>
      <c r="Q20" s="43"/>
      <c r="R20" s="43">
        <v>4.4699999999999997E-2</v>
      </c>
      <c r="S20" s="44">
        <f>E18/AVERAGE(D22:E22)</f>
        <v>1.7891882484435198E-2</v>
      </c>
      <c r="T20" s="44">
        <f>F18/AVERAGE(E22:F22)</f>
        <v>3.3199265611763042E-2</v>
      </c>
      <c r="U20" s="44">
        <f>G18/AVERAGE(F22:G22)</f>
        <v>3.1368629651434374E-2</v>
      </c>
      <c r="V20" s="44">
        <f>H18/AVERAGE(G22:H22)</f>
        <v>2.7459494131326739E-2</v>
      </c>
      <c r="W20" s="48"/>
      <c r="X20" s="18"/>
      <c r="Y20" s="18"/>
      <c r="Z20" s="18"/>
    </row>
    <row r="21" spans="1:26" x14ac:dyDescent="0.25">
      <c r="A21" s="6" t="s">
        <v>57</v>
      </c>
      <c r="B21" s="9"/>
      <c r="C21" s="9"/>
      <c r="D21" s="85"/>
      <c r="E21" s="85">
        <v>58354.33</v>
      </c>
      <c r="F21" s="85">
        <v>63984.46</v>
      </c>
      <c r="G21" s="85">
        <f>74045.2+4257</f>
        <v>78302.2</v>
      </c>
      <c r="H21" s="85">
        <v>83496.56</v>
      </c>
      <c r="I21" s="85"/>
      <c r="J21" s="85">
        <f>98247+3134</f>
        <v>101381</v>
      </c>
      <c r="K21" s="85"/>
      <c r="L21" s="85">
        <f>146893+5329</f>
        <v>152222</v>
      </c>
      <c r="M21" s="11"/>
      <c r="N21" s="11">
        <f>187031+7541</f>
        <v>194572</v>
      </c>
      <c r="O21" s="11"/>
      <c r="P21" s="42" t="s">
        <v>32</v>
      </c>
      <c r="Q21" s="43"/>
      <c r="R21" s="44" t="e">
        <f>D18/AVERAGE(C19:D19)</f>
        <v>#DIV/0!</v>
      </c>
      <c r="S21" s="44">
        <f>E18/AVERAGE(D19:E19)</f>
        <v>7.6139916004918928E-2</v>
      </c>
      <c r="T21" s="44">
        <f>F18/AVERAGE(E19:F19)</f>
        <v>0.13914554669086707</v>
      </c>
      <c r="U21" s="44">
        <f>G18/AVERAGE(F19:G19)</f>
        <v>9.6060283264481114E-2</v>
      </c>
      <c r="V21" s="44">
        <f>H18/AVERAGE(G19:H19)</f>
        <v>7.3138558685157867E-2</v>
      </c>
      <c r="W21" s="18"/>
      <c r="X21" s="18"/>
      <c r="Y21" s="18"/>
      <c r="Z21" s="18"/>
    </row>
    <row r="22" spans="1:26" x14ac:dyDescent="0.25">
      <c r="A22" s="6" t="s">
        <v>29</v>
      </c>
      <c r="B22" s="7"/>
      <c r="C22" s="7"/>
      <c r="D22" s="88"/>
      <c r="E22" s="85">
        <v>79350.509999999995</v>
      </c>
      <c r="F22" s="85">
        <v>89034.54</v>
      </c>
      <c r="G22" s="85">
        <v>129708.2</v>
      </c>
      <c r="H22" s="85">
        <v>145427.24</v>
      </c>
      <c r="I22" s="85"/>
      <c r="J22" s="85">
        <v>167730</v>
      </c>
      <c r="K22" s="85"/>
      <c r="L22" s="85">
        <v>219829</v>
      </c>
      <c r="M22" s="11"/>
      <c r="N22" s="11">
        <f>260059</f>
        <v>260059</v>
      </c>
      <c r="O22" s="11"/>
      <c r="P22" s="40" t="s">
        <v>33</v>
      </c>
      <c r="Q22" s="45"/>
      <c r="R22" s="45"/>
      <c r="S22" s="45"/>
      <c r="T22" s="46" t="s">
        <v>5</v>
      </c>
      <c r="U22" s="18"/>
      <c r="V22" s="18"/>
      <c r="W22" s="18"/>
      <c r="X22" s="18"/>
      <c r="Y22" s="18"/>
      <c r="Z22" s="18"/>
    </row>
    <row r="23" spans="1:26" x14ac:dyDescent="0.25">
      <c r="A23" s="6" t="s">
        <v>58</v>
      </c>
      <c r="B23" s="7"/>
      <c r="C23" s="7"/>
      <c r="D23" s="88"/>
      <c r="E23" s="85">
        <v>75291.19</v>
      </c>
      <c r="F23" s="85">
        <v>85355.75</v>
      </c>
      <c r="G23" s="85">
        <v>123577.53</v>
      </c>
      <c r="H23" s="85">
        <v>133252.18</v>
      </c>
      <c r="I23" s="85"/>
      <c r="J23" s="85">
        <v>149211</v>
      </c>
      <c r="K23" s="85"/>
      <c r="L23" s="85">
        <v>182254</v>
      </c>
      <c r="M23" s="11"/>
      <c r="N23" s="11">
        <v>205763</v>
      </c>
      <c r="O23" s="11"/>
      <c r="P23" s="42" t="s">
        <v>34</v>
      </c>
      <c r="Q23" s="43"/>
      <c r="R23" s="44" t="e">
        <f>D6/AVERAGE(C23:D23)</f>
        <v>#DIV/0!</v>
      </c>
      <c r="S23" s="44">
        <f>E6/AVERAGE(D23:E23)</f>
        <v>0.11520816711756049</v>
      </c>
      <c r="T23" s="44">
        <f>F6/AVERAGE(E23:F23)</f>
        <v>0.13490303643505441</v>
      </c>
      <c r="U23" s="44">
        <f>G6/AVERAGE(F23:G23)</f>
        <v>0.12946688052760191</v>
      </c>
      <c r="V23" s="44">
        <f>H6/AVERAGE(G23:H23)</f>
        <v>0.13287574868187954</v>
      </c>
      <c r="W23" s="44"/>
      <c r="X23" s="44">
        <f>(J6/AVERAGE(I23:J23))*4</f>
        <v>0.14950640368337456</v>
      </c>
      <c r="Y23" s="18"/>
      <c r="Z23" s="18"/>
    </row>
    <row r="24" spans="1:26" x14ac:dyDescent="0.25">
      <c r="A24" s="6" t="s">
        <v>59</v>
      </c>
      <c r="B24" s="10"/>
      <c r="C24" s="10"/>
      <c r="D24" s="89"/>
      <c r="E24" s="89">
        <v>633.99</v>
      </c>
      <c r="F24" s="89">
        <v>1550.9</v>
      </c>
      <c r="G24" s="89">
        <v>2224.31</v>
      </c>
      <c r="H24" s="89">
        <v>1667.61</v>
      </c>
      <c r="I24" s="89"/>
      <c r="J24" s="89"/>
      <c r="K24" s="89"/>
      <c r="L24" s="89"/>
      <c r="M24" s="11"/>
      <c r="N24" s="11"/>
      <c r="O24" s="11"/>
      <c r="P24" s="42" t="s">
        <v>35</v>
      </c>
      <c r="Q24" s="43"/>
      <c r="R24" s="44" t="e">
        <f>D9/AVERAGE(C21:D21)</f>
        <v>#DIV/0!</v>
      </c>
      <c r="S24" s="44">
        <f>E9/AVERAGE(D21:E21)</f>
        <v>7.9044519918230569E-2</v>
      </c>
      <c r="T24" s="44">
        <f>F9/AVERAGE(E21:F21)</f>
        <v>9.2498053969636285E-2</v>
      </c>
      <c r="U24" s="44">
        <f>G9/AVERAGE(F21:G21)</f>
        <v>6.9343816208771794E-2</v>
      </c>
      <c r="V24" s="44">
        <f>H9/AVERAGE(G21:H21)</f>
        <v>8.0635104990915876E-2</v>
      </c>
      <c r="W24" s="18"/>
      <c r="X24" s="18"/>
      <c r="Y24" s="18"/>
      <c r="Z24" s="18"/>
    </row>
    <row r="25" spans="1:26" x14ac:dyDescent="0.25">
      <c r="A25" s="6" t="s">
        <v>60</v>
      </c>
      <c r="B25" s="10"/>
      <c r="C25" s="10"/>
      <c r="D25" s="89"/>
      <c r="E25" s="89">
        <v>504.47</v>
      </c>
      <c r="F25" s="89">
        <v>1200.22</v>
      </c>
      <c r="G25" s="89">
        <v>1404.17</v>
      </c>
      <c r="H25" s="89">
        <v>1206.2</v>
      </c>
      <c r="I25" s="89"/>
      <c r="J25" s="89"/>
      <c r="K25" s="89"/>
      <c r="L25" s="89"/>
      <c r="M25" s="11"/>
      <c r="N25" s="11"/>
      <c r="O25" s="11"/>
      <c r="P25" s="42" t="s">
        <v>36</v>
      </c>
      <c r="Q25" s="43"/>
      <c r="R25" s="48" t="e">
        <f>R23-R24</f>
        <v>#DIV/0!</v>
      </c>
      <c r="S25" s="48">
        <f>S23-S24</f>
        <v>3.6163647199329921E-2</v>
      </c>
      <c r="T25" s="48">
        <f>T23-T24</f>
        <v>4.2404982465418128E-2</v>
      </c>
      <c r="U25" s="48">
        <f>U23-U24</f>
        <v>6.0123064318830119E-2</v>
      </c>
      <c r="V25" s="48">
        <f>V23-V24</f>
        <v>5.2240643690963665E-2</v>
      </c>
      <c r="W25" s="18"/>
      <c r="X25" s="18"/>
      <c r="Y25" s="18"/>
      <c r="Z25" s="18"/>
    </row>
    <row r="27" spans="1:26" ht="15" customHeight="1" x14ac:dyDescent="0.25">
      <c r="A27" s="739" t="s">
        <v>273</v>
      </c>
      <c r="B27" s="739"/>
      <c r="C27" s="739"/>
      <c r="D27" s="739"/>
      <c r="E27" s="739"/>
      <c r="F27" s="739"/>
      <c r="G27" s="739"/>
      <c r="H27" s="739"/>
      <c r="I27" s="739"/>
      <c r="J27" s="739"/>
      <c r="K27" s="739"/>
      <c r="L27" s="739"/>
      <c r="M27" s="739"/>
      <c r="N27" s="739"/>
      <c r="O27" s="739"/>
    </row>
    <row r="28" spans="1:26" x14ac:dyDescent="0.25">
      <c r="A28" s="739"/>
      <c r="B28" s="739"/>
      <c r="C28" s="739"/>
      <c r="D28" s="739"/>
      <c r="E28" s="739"/>
      <c r="F28" s="739"/>
      <c r="G28" s="739"/>
      <c r="H28" s="739"/>
      <c r="I28" s="739"/>
      <c r="J28" s="739"/>
      <c r="K28" s="739"/>
      <c r="L28" s="739"/>
      <c r="M28" s="739"/>
      <c r="N28" s="739"/>
      <c r="O28" s="739"/>
    </row>
    <row r="29" spans="1:26" x14ac:dyDescent="0.25">
      <c r="A29" s="739"/>
      <c r="B29" s="739"/>
      <c r="C29" s="739"/>
      <c r="D29" s="739"/>
      <c r="E29" s="739"/>
      <c r="F29" s="739"/>
      <c r="G29" s="739"/>
      <c r="H29" s="739"/>
      <c r="I29" s="739"/>
      <c r="J29" s="739"/>
      <c r="K29" s="739"/>
      <c r="L29" s="739"/>
      <c r="M29" s="739"/>
      <c r="N29" s="739"/>
      <c r="O29" s="739"/>
    </row>
    <row r="30" spans="1:26" x14ac:dyDescent="0.25">
      <c r="A30" s="739"/>
      <c r="B30" s="739"/>
      <c r="C30" s="739"/>
      <c r="D30" s="739"/>
      <c r="E30" s="739"/>
      <c r="F30" s="739"/>
      <c r="G30" s="739"/>
      <c r="H30" s="739"/>
      <c r="I30" s="739"/>
      <c r="J30" s="739"/>
      <c r="K30" s="739"/>
      <c r="L30" s="739"/>
      <c r="M30" s="739"/>
      <c r="N30" s="739"/>
      <c r="O30" s="739"/>
    </row>
    <row r="31" spans="1:26" x14ac:dyDescent="0.25">
      <c r="A31" s="739"/>
      <c r="B31" s="739"/>
      <c r="C31" s="739"/>
      <c r="D31" s="739"/>
      <c r="E31" s="739"/>
      <c r="F31" s="739"/>
      <c r="G31" s="739"/>
      <c r="H31" s="739"/>
      <c r="I31" s="739"/>
      <c r="J31" s="739"/>
      <c r="K31" s="739"/>
      <c r="L31" s="739"/>
      <c r="M31" s="739"/>
      <c r="N31" s="739"/>
      <c r="O31" s="739"/>
    </row>
    <row r="32" spans="1:26" x14ac:dyDescent="0.25">
      <c r="A32" s="739"/>
      <c r="B32" s="739"/>
      <c r="C32" s="739"/>
      <c r="D32" s="739"/>
      <c r="E32" s="739"/>
      <c r="F32" s="739"/>
      <c r="G32" s="739"/>
      <c r="H32" s="739"/>
      <c r="I32" s="739"/>
      <c r="J32" s="739"/>
      <c r="K32" s="739"/>
      <c r="L32" s="739"/>
      <c r="M32" s="739"/>
      <c r="N32" s="739"/>
      <c r="O32" s="739"/>
    </row>
    <row r="33" spans="1:15" x14ac:dyDescent="0.25">
      <c r="A33" s="739"/>
      <c r="B33" s="739"/>
      <c r="C33" s="739"/>
      <c r="D33" s="739"/>
      <c r="E33" s="739"/>
      <c r="F33" s="739"/>
      <c r="G33" s="739"/>
      <c r="H33" s="739"/>
      <c r="I33" s="739"/>
      <c r="J33" s="739"/>
      <c r="K33" s="739"/>
      <c r="L33" s="739"/>
      <c r="M33" s="739"/>
      <c r="N33" s="739"/>
      <c r="O33" s="739"/>
    </row>
    <row r="34" spans="1:15" x14ac:dyDescent="0.25">
      <c r="A34" s="739"/>
      <c r="B34" s="739"/>
      <c r="C34" s="739"/>
      <c r="D34" s="739"/>
      <c r="E34" s="739"/>
      <c r="F34" s="739"/>
      <c r="G34" s="739"/>
      <c r="H34" s="739"/>
      <c r="I34" s="739"/>
      <c r="J34" s="739"/>
      <c r="K34" s="739"/>
      <c r="L34" s="739"/>
      <c r="M34" s="739"/>
      <c r="N34" s="739"/>
      <c r="O34" s="739"/>
    </row>
  </sheetData>
  <mergeCells count="2">
    <mergeCell ref="I1:K1"/>
    <mergeCell ref="A27:O34"/>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R41"/>
  <sheetViews>
    <sheetView topLeftCell="W12" workbookViewId="0">
      <selection activeCell="AI8" sqref="AI8"/>
    </sheetView>
  </sheetViews>
  <sheetFormatPr defaultRowHeight="15" x14ac:dyDescent="0.25"/>
  <cols>
    <col min="1" max="1" width="31" customWidth="1"/>
    <col min="4" max="4" width="13.7109375" customWidth="1"/>
    <col min="5" max="5" width="13.42578125" customWidth="1"/>
    <col min="6" max="6" width="13.85546875" customWidth="1"/>
    <col min="7" max="9" width="13" customWidth="1"/>
    <col min="10" max="14" width="10.140625" bestFit="1" customWidth="1"/>
    <col min="15" max="17" width="10.140625" customWidth="1"/>
    <col min="19" max="19" width="29.5703125" customWidth="1"/>
    <col min="21" max="21" width="12.85546875" customWidth="1"/>
    <col min="22" max="22" width="13.85546875" customWidth="1"/>
    <col min="23" max="23" width="13.28515625" customWidth="1"/>
    <col min="24" max="26" width="12.42578125" customWidth="1"/>
    <col min="32" max="34" width="12.140625"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119</v>
      </c>
      <c r="L1" s="772"/>
      <c r="M1" s="772"/>
    </row>
    <row r="2" spans="1:44" ht="45" x14ac:dyDescent="0.25">
      <c r="A2" s="3" t="s">
        <v>4</v>
      </c>
      <c r="B2" s="1" t="s">
        <v>43</v>
      </c>
      <c r="C2" s="1" t="s">
        <v>41</v>
      </c>
      <c r="D2" s="2" t="s">
        <v>44</v>
      </c>
      <c r="E2" s="2" t="s">
        <v>0</v>
      </c>
      <c r="F2" s="3" t="s">
        <v>45</v>
      </c>
      <c r="G2" s="3" t="s">
        <v>42</v>
      </c>
      <c r="H2" s="3" t="s">
        <v>366</v>
      </c>
      <c r="I2" s="3" t="s">
        <v>556</v>
      </c>
      <c r="J2" s="3" t="s">
        <v>37</v>
      </c>
      <c r="K2" s="3" t="s">
        <v>38</v>
      </c>
      <c r="L2" s="3" t="s">
        <v>39</v>
      </c>
      <c r="M2" s="3" t="s">
        <v>40</v>
      </c>
      <c r="N2" s="11" t="s">
        <v>648</v>
      </c>
      <c r="O2" s="11" t="s">
        <v>683</v>
      </c>
      <c r="P2" s="11" t="s">
        <v>686</v>
      </c>
      <c r="Q2" s="11"/>
      <c r="R2" s="11"/>
      <c r="S2" s="40" t="s">
        <v>6</v>
      </c>
      <c r="T2" s="41" t="s">
        <v>7</v>
      </c>
      <c r="U2" s="41" t="s">
        <v>8</v>
      </c>
      <c r="V2" s="41" t="s">
        <v>9</v>
      </c>
      <c r="W2" s="40" t="s">
        <v>10</v>
      </c>
      <c r="X2" s="41" t="s">
        <v>90</v>
      </c>
      <c r="Y2" s="41" t="s">
        <v>492</v>
      </c>
      <c r="Z2" s="41" t="s">
        <v>623</v>
      </c>
      <c r="AA2" s="40" t="s">
        <v>37</v>
      </c>
      <c r="AB2" s="41" t="s">
        <v>38</v>
      </c>
      <c r="AC2" s="41" t="s">
        <v>39</v>
      </c>
      <c r="AD2" s="41" t="s">
        <v>40</v>
      </c>
      <c r="AF2" s="441" t="s">
        <v>683</v>
      </c>
      <c r="AG2" s="443" t="s">
        <v>686</v>
      </c>
      <c r="AH2" s="443"/>
      <c r="AL2" s="403"/>
      <c r="AM2" s="403"/>
      <c r="AN2" s="403"/>
      <c r="AO2" s="403"/>
      <c r="AP2" s="403"/>
    </row>
    <row r="3" spans="1:44" x14ac:dyDescent="0.25">
      <c r="A3" s="3"/>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t="e">
        <f t="shared" ref="U3:Z3" si="0">D10/AVERAGE(C23:D23)</f>
        <v>#DIV/0!</v>
      </c>
      <c r="V3" s="44">
        <f t="shared" si="0"/>
        <v>-1.8591059552437273E-2</v>
      </c>
      <c r="W3" s="44">
        <f t="shared" si="0"/>
        <v>2.0813568334337677E-2</v>
      </c>
      <c r="X3" s="44">
        <f t="shared" si="0"/>
        <v>6.2026786245962535E-2</v>
      </c>
      <c r="Y3" s="44">
        <f t="shared" si="0"/>
        <v>0.10120582845893428</v>
      </c>
      <c r="Z3" s="44">
        <f t="shared" si="0"/>
        <v>0.11073605505998409</v>
      </c>
      <c r="AA3" s="44">
        <f t="shared" ref="AA3:AH3" si="1">(J10*4)/J23</f>
        <v>9.7869920907023317E-2</v>
      </c>
      <c r="AB3" s="44">
        <f t="shared" si="1"/>
        <v>0.10341585412557194</v>
      </c>
      <c r="AC3" s="44">
        <f t="shared" si="1"/>
        <v>0.11081128298453138</v>
      </c>
      <c r="AD3" s="44">
        <f t="shared" si="1"/>
        <v>0.11598475865036029</v>
      </c>
      <c r="AE3" s="44">
        <f t="shared" si="1"/>
        <v>0.10002378088967705</v>
      </c>
      <c r="AF3" s="44">
        <f t="shared" si="1"/>
        <v>0.11543011144173916</v>
      </c>
      <c r="AG3" s="44">
        <f t="shared" si="1"/>
        <v>0.11410675265650501</v>
      </c>
      <c r="AH3" s="44">
        <f t="shared" si="1"/>
        <v>0.11554844594217238</v>
      </c>
      <c r="AJ3" s="741" t="s">
        <v>624</v>
      </c>
      <c r="AK3" s="742"/>
      <c r="AL3" s="404" t="s">
        <v>625</v>
      </c>
      <c r="AM3" s="404" t="s">
        <v>626</v>
      </c>
      <c r="AN3" s="404" t="s">
        <v>627</v>
      </c>
      <c r="AO3" s="404" t="s">
        <v>628</v>
      </c>
      <c r="AP3" s="404" t="s">
        <v>629</v>
      </c>
      <c r="AQ3" s="404" t="s">
        <v>630</v>
      </c>
      <c r="AR3" s="404" t="s">
        <v>631</v>
      </c>
    </row>
    <row r="4" spans="1:44" x14ac:dyDescent="0.25">
      <c r="A4" s="3"/>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E5">
        <v>44469.74</v>
      </c>
      <c r="F5" s="85">
        <v>50727.39</v>
      </c>
      <c r="G5" s="90">
        <v>53138.07</v>
      </c>
      <c r="H5" s="90">
        <v>73281.2</v>
      </c>
      <c r="I5" s="90">
        <v>101854</v>
      </c>
      <c r="J5" s="85">
        <v>22958.6</v>
      </c>
      <c r="K5" s="85">
        <v>24630.9</v>
      </c>
      <c r="L5" s="85">
        <v>26384.400000000001</v>
      </c>
      <c r="M5" s="85">
        <v>27880.1</v>
      </c>
      <c r="N5" s="11">
        <v>20755.7</v>
      </c>
      <c r="O5" s="11">
        <v>29749.5</v>
      </c>
      <c r="P5" s="11">
        <v>31388.9</v>
      </c>
      <c r="Q5" s="11">
        <v>33316</v>
      </c>
      <c r="R5" s="11"/>
      <c r="S5" s="42" t="s">
        <v>13</v>
      </c>
      <c r="T5" s="46"/>
      <c r="U5" s="47" t="e">
        <f t="shared" ref="U5:Z5" si="2">D21/D20</f>
        <v>#DIV/0!</v>
      </c>
      <c r="V5" s="47">
        <f t="shared" si="2"/>
        <v>3.0229904311394735</v>
      </c>
      <c r="W5" s="47">
        <f t="shared" si="2"/>
        <v>2.3044161703471957</v>
      </c>
      <c r="X5" s="47">
        <f t="shared" si="2"/>
        <v>2.2920626103440305</v>
      </c>
      <c r="Y5" s="47">
        <f t="shared" si="2"/>
        <v>2.1646508364363921</v>
      </c>
      <c r="Z5" s="47">
        <f t="shared" si="2"/>
        <v>1.5870684783087883</v>
      </c>
      <c r="AA5" s="47"/>
      <c r="AB5" s="47">
        <f>K21/K20</f>
        <v>1.4067358449773915</v>
      </c>
      <c r="AC5" s="47"/>
      <c r="AD5" s="47">
        <f>M21/M20</f>
        <v>1.5870684783087883</v>
      </c>
      <c r="AE5" s="47">
        <f>N21/N20</f>
        <v>2.1646508364363921</v>
      </c>
      <c r="AF5" s="47" t="e">
        <f>O21/O20</f>
        <v>#DIV/0!</v>
      </c>
      <c r="AG5" s="47">
        <f>P21/P20</f>
        <v>1.6300349185688927</v>
      </c>
      <c r="AH5" s="461"/>
      <c r="AJ5" s="406" t="s">
        <v>632</v>
      </c>
      <c r="AK5" s="406" t="s">
        <v>557</v>
      </c>
      <c r="AL5" s="745" t="s">
        <v>633</v>
      </c>
      <c r="AM5" s="745"/>
      <c r="AN5" s="745"/>
      <c r="AO5" s="745"/>
      <c r="AP5" s="745"/>
      <c r="AQ5" s="745"/>
      <c r="AR5" s="745"/>
    </row>
    <row r="6" spans="1:44" x14ac:dyDescent="0.25">
      <c r="A6" s="6" t="s">
        <v>50</v>
      </c>
      <c r="B6" s="7"/>
      <c r="C6" s="8"/>
      <c r="E6">
        <v>21455.19</v>
      </c>
      <c r="F6" s="85">
        <v>27756.75</v>
      </c>
      <c r="G6" s="85">
        <v>38253.82</v>
      </c>
      <c r="H6" s="85">
        <v>65415.199999999997</v>
      </c>
      <c r="I6" s="85">
        <v>91825.9</v>
      </c>
      <c r="J6" s="85">
        <v>20393.5</v>
      </c>
      <c r="K6" s="85">
        <v>21998.9</v>
      </c>
      <c r="L6" s="85">
        <v>23680.3</v>
      </c>
      <c r="M6" s="85">
        <v>25753.200000000001</v>
      </c>
      <c r="N6" s="11">
        <v>18911</v>
      </c>
      <c r="O6" s="11">
        <v>27111.9</v>
      </c>
      <c r="P6" s="11">
        <v>28852.7</v>
      </c>
      <c r="Q6" s="11">
        <v>30731.3</v>
      </c>
      <c r="R6" s="11"/>
      <c r="S6" s="42" t="s">
        <v>14</v>
      </c>
      <c r="T6" s="43"/>
      <c r="U6" s="43"/>
      <c r="V6" s="43">
        <v>0.21890000000000001</v>
      </c>
      <c r="W6" s="43">
        <v>0.26250000000000001</v>
      </c>
      <c r="X6" s="48">
        <v>0.2621</v>
      </c>
      <c r="Y6" s="48">
        <v>0.318</v>
      </c>
      <c r="Z6" s="48">
        <v>0.4052</v>
      </c>
      <c r="AA6" s="48">
        <v>0.33550000000000002</v>
      </c>
      <c r="AB6" s="48">
        <v>0.45040000000000002</v>
      </c>
      <c r="AC6" s="48">
        <v>0.4153</v>
      </c>
      <c r="AD6" s="48">
        <v>0.4052</v>
      </c>
      <c r="AF6" s="80">
        <v>0.40839999999999999</v>
      </c>
      <c r="AG6" s="80">
        <v>0.38640000000000002</v>
      </c>
      <c r="AH6" s="80">
        <v>0.3836</v>
      </c>
      <c r="AJ6" s="392">
        <v>1</v>
      </c>
      <c r="AK6" s="108" t="s">
        <v>646</v>
      </c>
      <c r="AL6" s="418">
        <v>0.11600000000000001</v>
      </c>
      <c r="AM6" s="418">
        <v>0.1108</v>
      </c>
      <c r="AN6" s="81"/>
      <c r="AO6" s="81"/>
      <c r="AP6" s="417">
        <v>0.1</v>
      </c>
      <c r="AQ6" s="417">
        <v>0.11070000000000001</v>
      </c>
      <c r="AR6" s="417">
        <v>0.1012</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3">D20/D23</f>
        <v>#DIV/0!</v>
      </c>
      <c r="V7" s="44">
        <f t="shared" si="3"/>
        <v>0.63838764327011832</v>
      </c>
      <c r="W7" s="44">
        <f t="shared" si="3"/>
        <v>0.5548914498789157</v>
      </c>
      <c r="X7" s="44">
        <f t="shared" si="3"/>
        <v>0.42220388645997442</v>
      </c>
      <c r="Y7" s="44">
        <f t="shared" si="3"/>
        <v>0.39121330099132334</v>
      </c>
      <c r="Z7" s="44">
        <f t="shared" si="3"/>
        <v>0.43140013408741656</v>
      </c>
      <c r="AA7" s="18"/>
      <c r="AB7" s="18"/>
      <c r="AC7" s="18"/>
      <c r="AD7" s="18"/>
      <c r="AJ7" s="392">
        <v>2</v>
      </c>
      <c r="AK7" s="108" t="s">
        <v>634</v>
      </c>
      <c r="AL7" s="410">
        <v>73.430000000000007</v>
      </c>
      <c r="AM7" s="410">
        <v>64.02</v>
      </c>
      <c r="AN7" s="410">
        <v>52.61</v>
      </c>
      <c r="AO7" s="410">
        <v>46.97</v>
      </c>
      <c r="AP7" s="81"/>
      <c r="AQ7" s="411">
        <v>237.02</v>
      </c>
      <c r="AR7" s="412">
        <v>149.80000000000001</v>
      </c>
    </row>
    <row r="8" spans="1:44" x14ac:dyDescent="0.25">
      <c r="A8" s="6" t="s">
        <v>52</v>
      </c>
      <c r="B8" s="7"/>
      <c r="C8" s="8"/>
      <c r="D8" s="85">
        <f t="shared" ref="D8:Q8" si="4">D5-D6-D7</f>
        <v>0</v>
      </c>
      <c r="E8" s="85">
        <f t="shared" si="4"/>
        <v>23014.55</v>
      </c>
      <c r="F8" s="85">
        <f t="shared" si="4"/>
        <v>22970.639999999999</v>
      </c>
      <c r="G8" s="85">
        <f t="shared" si="4"/>
        <v>14884.25</v>
      </c>
      <c r="H8" s="85">
        <f t="shared" si="4"/>
        <v>7866</v>
      </c>
      <c r="I8" s="85">
        <f t="shared" si="4"/>
        <v>10028.100000000006</v>
      </c>
      <c r="J8" s="85">
        <f t="shared" si="4"/>
        <v>2565.0999999999985</v>
      </c>
      <c r="K8" s="85">
        <f t="shared" si="4"/>
        <v>2632</v>
      </c>
      <c r="L8" s="85">
        <f t="shared" si="4"/>
        <v>2704.1000000000022</v>
      </c>
      <c r="M8" s="85">
        <f t="shared" si="4"/>
        <v>2126.8999999999978</v>
      </c>
      <c r="N8" s="85">
        <f t="shared" si="4"/>
        <v>1844.7000000000007</v>
      </c>
      <c r="O8" s="85">
        <f t="shared" si="4"/>
        <v>2637.5999999999985</v>
      </c>
      <c r="P8" s="85">
        <f t="shared" si="4"/>
        <v>2536.2000000000007</v>
      </c>
      <c r="Q8" s="85">
        <f t="shared" si="4"/>
        <v>2584.7000000000007</v>
      </c>
      <c r="R8" s="11"/>
      <c r="S8" s="40" t="s">
        <v>16</v>
      </c>
      <c r="T8" s="45"/>
      <c r="U8" s="45"/>
      <c r="V8" s="45"/>
      <c r="W8" s="46" t="s">
        <v>5</v>
      </c>
      <c r="X8" s="18"/>
      <c r="Y8" s="18"/>
      <c r="Z8" s="18"/>
      <c r="AA8" s="18"/>
      <c r="AB8" s="18"/>
      <c r="AC8" s="18"/>
      <c r="AD8" s="18"/>
      <c r="AJ8" s="392">
        <v>3</v>
      </c>
      <c r="AK8" s="108" t="s">
        <v>635</v>
      </c>
      <c r="AL8" s="417">
        <v>2.4299999999999999E-2</v>
      </c>
      <c r="AM8" s="417">
        <v>2.3800000000000002E-2</v>
      </c>
      <c r="AN8" s="81"/>
      <c r="AO8" s="81"/>
      <c r="AP8" s="417">
        <v>2.5700000000000001E-2</v>
      </c>
      <c r="AQ8" s="417">
        <v>2.4299999999999999E-2</v>
      </c>
      <c r="AR8" s="417">
        <v>2.5700000000000001E-2</v>
      </c>
    </row>
    <row r="9" spans="1:44" ht="33.75" x14ac:dyDescent="0.25">
      <c r="A9" s="6" t="s">
        <v>24</v>
      </c>
      <c r="B9" s="7"/>
      <c r="C9" s="7"/>
      <c r="D9" s="88"/>
      <c r="E9" s="85">
        <v>24403.73</v>
      </c>
      <c r="F9" s="85">
        <v>23845.54</v>
      </c>
      <c r="G9" s="85">
        <v>22061.68</v>
      </c>
      <c r="H9" s="85">
        <v>27645.200000000001</v>
      </c>
      <c r="I9" s="85">
        <v>35063.699999999997</v>
      </c>
      <c r="J9" s="85">
        <v>8860.9</v>
      </c>
      <c r="K9" s="85">
        <v>8915.6</v>
      </c>
      <c r="L9" s="85">
        <v>8457.6</v>
      </c>
      <c r="M9" s="85">
        <v>8829.6</v>
      </c>
      <c r="N9" s="11">
        <v>7870.1</v>
      </c>
      <c r="O9" s="11">
        <v>9476.2999999999993</v>
      </c>
      <c r="P9" s="11">
        <v>10037.9</v>
      </c>
      <c r="Q9" s="11">
        <v>10610.8</v>
      </c>
      <c r="R9" s="11"/>
      <c r="S9" s="49" t="s">
        <v>93</v>
      </c>
      <c r="T9" s="45"/>
      <c r="U9" s="93" t="e">
        <f t="shared" ref="U9:Z9" si="5">D14/(D11-D9)</f>
        <v>#DIV/0!</v>
      </c>
      <c r="V9" s="93">
        <f t="shared" si="5"/>
        <v>0.56822208301500909</v>
      </c>
      <c r="W9" s="93">
        <f t="shared" si="5"/>
        <v>0.48514369360739684</v>
      </c>
      <c r="X9" s="93">
        <f t="shared" si="5"/>
        <v>0.5683063573342978</v>
      </c>
      <c r="Y9" s="93">
        <f t="shared" si="5"/>
        <v>0.50487991936190724</v>
      </c>
      <c r="Z9" s="93">
        <f t="shared" si="5"/>
        <v>0.4582940936034125</v>
      </c>
      <c r="AA9" s="18"/>
      <c r="AB9" s="18"/>
      <c r="AC9" s="18"/>
      <c r="AD9" s="18"/>
      <c r="AJ9" s="392">
        <v>4</v>
      </c>
      <c r="AK9" s="108" t="s">
        <v>636</v>
      </c>
      <c r="AL9" s="417">
        <v>1.3599999999999999E-2</v>
      </c>
      <c r="AM9" s="417">
        <v>1.3599999999999999E-2</v>
      </c>
      <c r="AN9" s="81"/>
      <c r="AO9" s="81"/>
      <c r="AP9" s="417">
        <v>1.5800000000000002E-2</v>
      </c>
      <c r="AQ9" s="417">
        <v>1.3599999999999999E-2</v>
      </c>
      <c r="AR9" s="417">
        <v>1.5800000000000002E-2</v>
      </c>
    </row>
    <row r="10" spans="1:44" ht="22.5" x14ac:dyDescent="0.25">
      <c r="A10" s="6" t="s">
        <v>53</v>
      </c>
      <c r="B10" s="10">
        <f t="shared" ref="B10:J10" si="6">B6-B9</f>
        <v>0</v>
      </c>
      <c r="C10" s="10">
        <f t="shared" si="6"/>
        <v>0</v>
      </c>
      <c r="D10" s="89">
        <f t="shared" si="6"/>
        <v>0</v>
      </c>
      <c r="E10" s="89">
        <f t="shared" si="6"/>
        <v>-2948.5400000000009</v>
      </c>
      <c r="F10" s="89">
        <f t="shared" si="6"/>
        <v>3911.2099999999991</v>
      </c>
      <c r="G10" s="89">
        <f t="shared" si="6"/>
        <v>16192.14</v>
      </c>
      <c r="H10" s="89">
        <f>H6-H9</f>
        <v>37770</v>
      </c>
      <c r="I10" s="89">
        <f>I6-I9</f>
        <v>56762.2</v>
      </c>
      <c r="J10" s="89">
        <f t="shared" si="6"/>
        <v>11532.6</v>
      </c>
      <c r="K10" s="89">
        <f t="shared" ref="K10:P10" si="7">K6-K9</f>
        <v>13083.300000000001</v>
      </c>
      <c r="L10" s="89">
        <f t="shared" si="7"/>
        <v>15222.699999999999</v>
      </c>
      <c r="M10" s="89">
        <f t="shared" si="7"/>
        <v>16923.599999999999</v>
      </c>
      <c r="N10" s="89">
        <f t="shared" si="7"/>
        <v>11040.9</v>
      </c>
      <c r="O10" s="89">
        <f t="shared" si="7"/>
        <v>17635.600000000002</v>
      </c>
      <c r="P10" s="89">
        <f t="shared" si="7"/>
        <v>18814.800000000003</v>
      </c>
      <c r="Q10" s="89">
        <f t="shared" ref="Q10" si="8">Q6-Q9</f>
        <v>20120.5</v>
      </c>
      <c r="R10" s="11"/>
      <c r="S10" s="42" t="s">
        <v>92</v>
      </c>
      <c r="T10" s="43"/>
      <c r="U10" s="44" t="e">
        <f t="shared" ref="U10:Z10" si="9">D14/D11</f>
        <v>#DIV/0!</v>
      </c>
      <c r="V10" s="44">
        <f t="shared" si="9"/>
        <v>0.2563979461089721</v>
      </c>
      <c r="W10" s="44">
        <f t="shared" si="9"/>
        <v>0.2570910902374437</v>
      </c>
      <c r="X10" s="44">
        <f t="shared" si="9"/>
        <v>0.33235889071620406</v>
      </c>
      <c r="Y10" s="44">
        <f t="shared" si="9"/>
        <v>0.3144148840357418</v>
      </c>
      <c r="Z10" s="44">
        <f t="shared" si="9"/>
        <v>0.30052427985155222</v>
      </c>
      <c r="AA10" s="18"/>
      <c r="AB10" s="18"/>
      <c r="AC10" s="18"/>
      <c r="AD10" s="18"/>
      <c r="AJ10" s="392">
        <v>5</v>
      </c>
      <c r="AK10" s="108" t="s">
        <v>637</v>
      </c>
      <c r="AL10" s="417">
        <v>9.2999999999999992E-3</v>
      </c>
      <c r="AM10" s="417">
        <v>8.8999999999999999E-3</v>
      </c>
      <c r="AN10" s="81"/>
      <c r="AO10" s="81"/>
      <c r="AP10" s="417">
        <v>6.6E-3</v>
      </c>
      <c r="AQ10" s="417">
        <v>9.1999999999999998E-3</v>
      </c>
      <c r="AR10" s="417">
        <v>8.6E-3</v>
      </c>
    </row>
    <row r="11" spans="1:44" ht="30" x14ac:dyDescent="0.25">
      <c r="A11" s="6" t="s">
        <v>1</v>
      </c>
      <c r="B11" s="10">
        <f>B5-B9</f>
        <v>0</v>
      </c>
      <c r="C11" s="10">
        <f t="shared" ref="C11:J11" si="10">SUM(C6:C8)</f>
        <v>0</v>
      </c>
      <c r="D11" s="89">
        <f t="shared" si="10"/>
        <v>0</v>
      </c>
      <c r="E11" s="89">
        <f t="shared" si="10"/>
        <v>44469.74</v>
      </c>
      <c r="F11" s="89">
        <f>SUM(F6:F8)</f>
        <v>50727.39</v>
      </c>
      <c r="G11" s="89">
        <f>SUM(G6:G8)</f>
        <v>53138.07</v>
      </c>
      <c r="H11" s="89">
        <f>SUM(H6:H8)</f>
        <v>73281.2</v>
      </c>
      <c r="I11" s="89">
        <f>SUM(I6:I8)</f>
        <v>101854</v>
      </c>
      <c r="J11" s="89">
        <f t="shared" si="10"/>
        <v>22958.6</v>
      </c>
      <c r="K11" s="89">
        <f t="shared" ref="K11:P11" si="11">SUM(K6:K8)</f>
        <v>24630.9</v>
      </c>
      <c r="L11" s="89">
        <f t="shared" si="11"/>
        <v>26384.400000000001</v>
      </c>
      <c r="M11" s="89">
        <f t="shared" si="11"/>
        <v>27880.1</v>
      </c>
      <c r="N11" s="89">
        <f t="shared" si="11"/>
        <v>20755.7</v>
      </c>
      <c r="O11" s="89">
        <f t="shared" si="11"/>
        <v>29749.5</v>
      </c>
      <c r="P11" s="89">
        <f t="shared" si="11"/>
        <v>31388.9</v>
      </c>
      <c r="Q11" s="89">
        <f t="shared" ref="Q11" si="12">SUM(Q6:Q8)</f>
        <v>33316</v>
      </c>
      <c r="R11" s="11"/>
      <c r="S11" s="42" t="s">
        <v>17</v>
      </c>
      <c r="T11" s="43"/>
      <c r="U11" s="44" t="e">
        <f t="shared" ref="U11:Z11" si="13">D14/AVERAGE(C22:D22)</f>
        <v>#DIV/0!</v>
      </c>
      <c r="V11" s="44">
        <f t="shared" si="13"/>
        <v>2.7095672429992005E-2</v>
      </c>
      <c r="W11" s="44">
        <f t="shared" si="13"/>
        <v>3.0780485943786334E-2</v>
      </c>
      <c r="X11" s="44">
        <f t="shared" si="13"/>
        <v>4.0225661622520045E-2</v>
      </c>
      <c r="Y11" s="44">
        <f t="shared" si="13"/>
        <v>4.4906881179904927E-2</v>
      </c>
      <c r="Z11" s="44">
        <f t="shared" si="13"/>
        <v>4.7792118896979083E-2</v>
      </c>
      <c r="AA11" s="18"/>
      <c r="AB11" s="18"/>
      <c r="AC11" s="18"/>
      <c r="AD11" s="18"/>
      <c r="AJ11" s="392">
        <v>6</v>
      </c>
      <c r="AK11" s="413" t="s">
        <v>638</v>
      </c>
      <c r="AL11" s="410">
        <v>460</v>
      </c>
      <c r="AM11" s="81"/>
      <c r="AN11" s="81"/>
      <c r="AO11" s="81"/>
      <c r="AP11" s="81"/>
      <c r="AQ11" s="408"/>
      <c r="AR11" s="408"/>
    </row>
    <row r="12" spans="1:44" ht="30" x14ac:dyDescent="0.25">
      <c r="A12" s="6" t="s">
        <v>91</v>
      </c>
      <c r="B12" s="10"/>
      <c r="C12" s="10"/>
      <c r="D12" s="89"/>
      <c r="E12" s="89">
        <v>17.600000000000001</v>
      </c>
      <c r="F12" s="89">
        <v>390.73</v>
      </c>
      <c r="G12" s="89">
        <v>164.93</v>
      </c>
      <c r="H12" s="89">
        <v>754.9</v>
      </c>
      <c r="I12" s="89">
        <v>128</v>
      </c>
      <c r="J12" s="89">
        <v>34.4</v>
      </c>
      <c r="K12" s="89">
        <v>19.899999999999999</v>
      </c>
      <c r="L12" s="89">
        <v>9.1999999999999993</v>
      </c>
      <c r="M12" s="89">
        <v>64.5</v>
      </c>
      <c r="N12" s="11">
        <v>111.6</v>
      </c>
      <c r="O12" s="11">
        <v>1.2</v>
      </c>
      <c r="P12" s="11">
        <v>29.6</v>
      </c>
      <c r="Q12" s="11">
        <v>9</v>
      </c>
      <c r="R12" s="11"/>
      <c r="S12" s="40" t="s">
        <v>18</v>
      </c>
      <c r="T12" s="45"/>
      <c r="U12" s="45"/>
      <c r="V12" s="45"/>
      <c r="W12" s="46" t="s">
        <v>5</v>
      </c>
      <c r="X12" s="18"/>
      <c r="Y12" s="18"/>
      <c r="Z12" s="18"/>
      <c r="AA12" s="18"/>
      <c r="AB12" s="18"/>
      <c r="AC12" s="53"/>
      <c r="AD12" s="54"/>
      <c r="AJ12" s="392">
        <v>7</v>
      </c>
      <c r="AK12" s="413" t="s">
        <v>639</v>
      </c>
      <c r="AL12" s="410">
        <v>309</v>
      </c>
      <c r="AM12" s="81"/>
      <c r="AN12" s="81"/>
      <c r="AO12" s="81"/>
      <c r="AP12" s="81"/>
      <c r="AQ12" s="408"/>
      <c r="AR12" s="408"/>
    </row>
    <row r="13" spans="1:44" x14ac:dyDescent="0.25">
      <c r="A13" s="6" t="s">
        <v>25</v>
      </c>
      <c r="B13" s="7"/>
      <c r="C13" s="7"/>
      <c r="D13" s="88">
        <f t="shared" ref="D13:Q13" si="14">D11+D12</f>
        <v>0</v>
      </c>
      <c r="E13" s="88">
        <f t="shared" si="14"/>
        <v>44487.34</v>
      </c>
      <c r="F13" s="88">
        <f t="shared" si="14"/>
        <v>51118.12</v>
      </c>
      <c r="G13" s="88">
        <f t="shared" si="14"/>
        <v>53303</v>
      </c>
      <c r="H13" s="88">
        <f t="shared" si="14"/>
        <v>74036.099999999991</v>
      </c>
      <c r="I13" s="88">
        <f t="shared" si="14"/>
        <v>101982</v>
      </c>
      <c r="J13" s="88">
        <f t="shared" si="14"/>
        <v>22993</v>
      </c>
      <c r="K13" s="88">
        <f t="shared" si="14"/>
        <v>24650.800000000003</v>
      </c>
      <c r="L13" s="88">
        <f t="shared" si="14"/>
        <v>26393.600000000002</v>
      </c>
      <c r="M13" s="88">
        <f t="shared" si="14"/>
        <v>27944.6</v>
      </c>
      <c r="N13" s="88">
        <f t="shared" si="14"/>
        <v>20867.3</v>
      </c>
      <c r="O13" s="88">
        <f t="shared" si="14"/>
        <v>29750.7</v>
      </c>
      <c r="P13" s="88">
        <f t="shared" si="14"/>
        <v>31418.5</v>
      </c>
      <c r="Q13" s="88">
        <f t="shared" si="14"/>
        <v>33325</v>
      </c>
      <c r="R13" s="11"/>
      <c r="S13" s="42" t="s">
        <v>19</v>
      </c>
      <c r="T13" s="43"/>
      <c r="U13" s="44" t="e">
        <f>D24/D23</f>
        <v>#DIV/0!</v>
      </c>
      <c r="V13" s="44">
        <f>E24/E23</f>
        <v>2.2500898329752939E-2</v>
      </c>
      <c r="W13" s="44">
        <f>F24/F23</f>
        <v>3.0683483707319933E-2</v>
      </c>
      <c r="X13" s="44">
        <f>G24/G23</f>
        <v>2.7217257789992871E-2</v>
      </c>
      <c r="Y13" s="44">
        <v>2.5700000000000001E-2</v>
      </c>
      <c r="Z13" s="44">
        <f>I24/I23</f>
        <v>0</v>
      </c>
      <c r="AA13" s="48">
        <v>2.5399999999999999E-2</v>
      </c>
      <c r="AB13" s="48">
        <v>2.3699999999999999E-2</v>
      </c>
      <c r="AC13" s="48">
        <v>2.3800000000000002E-2</v>
      </c>
      <c r="AD13" s="48">
        <v>2.4299999999999999E-2</v>
      </c>
      <c r="AF13" s="80">
        <v>2.5999999999999999E-2</v>
      </c>
      <c r="AG13" s="80">
        <v>2.69E-2</v>
      </c>
      <c r="AH13" s="80">
        <v>2.7E-2</v>
      </c>
      <c r="AJ13" s="392">
        <v>8</v>
      </c>
      <c r="AK13" s="108" t="s">
        <v>640</v>
      </c>
      <c r="AL13" s="419">
        <f>AL11/AL12</f>
        <v>1.4886731391585761</v>
      </c>
      <c r="AM13" s="81"/>
      <c r="AN13" s="81"/>
      <c r="AO13" s="81"/>
      <c r="AP13" s="81"/>
      <c r="AQ13" s="81"/>
      <c r="AR13" s="81"/>
    </row>
    <row r="14" spans="1:44" x14ac:dyDescent="0.25">
      <c r="A14" s="6" t="s">
        <v>26</v>
      </c>
      <c r="B14" s="7"/>
      <c r="C14" s="7"/>
      <c r="D14" s="85"/>
      <c r="E14" s="85">
        <f>7362.87+793.71+3245.37</f>
        <v>11401.95</v>
      </c>
      <c r="F14" s="85">
        <f>8418.27+930.06+3693.23</f>
        <v>13041.56</v>
      </c>
      <c r="G14" s="85">
        <f>10953.45+1178.12+5529.34</f>
        <v>17660.91</v>
      </c>
      <c r="H14" s="85">
        <f>16012.3+1271.4+5757</f>
        <v>23040.7</v>
      </c>
      <c r="I14" s="85">
        <f>21713.2+1341.4+7555</f>
        <v>30609.600000000002</v>
      </c>
      <c r="J14" s="85">
        <f>4675+311.6+1854.1</f>
        <v>6840.7000000000007</v>
      </c>
      <c r="K14" s="85">
        <f>5334.1+325.2+1915.1</f>
        <v>7574.4</v>
      </c>
      <c r="L14" s="85">
        <f>5702.8+341.6+2090</f>
        <v>8134.4000000000005</v>
      </c>
      <c r="M14" s="85">
        <f>6001.3+363+1695.8</f>
        <v>8060.1</v>
      </c>
      <c r="N14" s="11">
        <f>4612+308+1540.1</f>
        <v>6460.1</v>
      </c>
      <c r="O14" s="11">
        <f>6077.1+375.5+1828.4</f>
        <v>8281</v>
      </c>
      <c r="P14" s="11">
        <f>5987.2+384.6+2102.3</f>
        <v>8474.1</v>
      </c>
      <c r="Q14" s="11">
        <f>6433.4+465+2156.9</f>
        <v>9055.2999999999993</v>
      </c>
      <c r="R14" s="11"/>
      <c r="S14" s="42" t="s">
        <v>20</v>
      </c>
      <c r="T14" s="43"/>
      <c r="U14" s="44" t="e">
        <f>D25/D23</f>
        <v>#DIV/0!</v>
      </c>
      <c r="V14" s="44">
        <f>E25/E23</f>
        <v>1.5569619878046573E-2</v>
      </c>
      <c r="W14" s="44">
        <f>F25/F23</f>
        <v>1.8946813886280448E-2</v>
      </c>
      <c r="X14" s="44">
        <f>G25/G23</f>
        <v>1.6193922170429434E-2</v>
      </c>
      <c r="Y14" s="44">
        <v>1.5800000000000002E-2</v>
      </c>
      <c r="Z14" s="44">
        <f>I25/I23</f>
        <v>0</v>
      </c>
      <c r="AA14" s="48">
        <v>1.55E-2</v>
      </c>
      <c r="AB14" s="48">
        <v>1.3299999999999999E-2</v>
      </c>
      <c r="AC14" s="48">
        <v>1.3599999999999999E-2</v>
      </c>
      <c r="AD14" s="48">
        <v>1.3599999999999999E-2</v>
      </c>
      <c r="AF14" s="80">
        <v>1.5100000000000001E-2</v>
      </c>
      <c r="AG14" s="80">
        <v>1.6299999999999999E-2</v>
      </c>
      <c r="AH14" s="80">
        <v>1.6299999999999999E-2</v>
      </c>
      <c r="AJ14" s="392">
        <v>9</v>
      </c>
      <c r="AK14" s="108" t="s">
        <v>641</v>
      </c>
      <c r="AL14" s="417">
        <v>2.3677999999999999</v>
      </c>
      <c r="AM14" s="81"/>
      <c r="AN14" s="81"/>
      <c r="AO14" s="81"/>
      <c r="AP14" s="81"/>
      <c r="AQ14" s="408"/>
      <c r="AR14" s="408"/>
    </row>
    <row r="15" spans="1:44" x14ac:dyDescent="0.25">
      <c r="A15" s="6" t="s">
        <v>54</v>
      </c>
      <c r="B15" s="10"/>
      <c r="C15" s="10"/>
      <c r="D15" s="89">
        <f t="shared" ref="D15:K15" si="15">D11-D14</f>
        <v>0</v>
      </c>
      <c r="E15" s="89">
        <f t="shared" si="15"/>
        <v>33067.789999999994</v>
      </c>
      <c r="F15" s="89">
        <f t="shared" si="15"/>
        <v>37685.83</v>
      </c>
      <c r="G15" s="89">
        <f t="shared" si="15"/>
        <v>35477.160000000003</v>
      </c>
      <c r="H15" s="89">
        <f>H11-H14</f>
        <v>50240.5</v>
      </c>
      <c r="I15" s="89">
        <f>I11-I14</f>
        <v>71244.399999999994</v>
      </c>
      <c r="J15" s="89">
        <f t="shared" si="15"/>
        <v>16117.899999999998</v>
      </c>
      <c r="K15" s="89">
        <f t="shared" si="15"/>
        <v>17056.5</v>
      </c>
      <c r="L15" s="89">
        <f t="shared" ref="L15:Q15" si="16">L11-L14</f>
        <v>18250</v>
      </c>
      <c r="M15" s="89">
        <f t="shared" si="16"/>
        <v>19820</v>
      </c>
      <c r="N15" s="89">
        <f t="shared" si="16"/>
        <v>14295.6</v>
      </c>
      <c r="O15" s="89">
        <f t="shared" si="16"/>
        <v>21468.5</v>
      </c>
      <c r="P15" s="89">
        <f t="shared" si="16"/>
        <v>22914.800000000003</v>
      </c>
      <c r="Q15" s="89">
        <f t="shared" si="16"/>
        <v>24260.7</v>
      </c>
      <c r="R15" s="11"/>
      <c r="S15" s="42" t="s">
        <v>21</v>
      </c>
      <c r="T15" s="43"/>
      <c r="U15" s="44" t="e">
        <f t="shared" ref="U15:Z15" si="17">(U13-U14)/U13</f>
        <v>#DIV/0!</v>
      </c>
      <c r="V15" s="44">
        <f t="shared" si="17"/>
        <v>0.30804452116212339</v>
      </c>
      <c r="W15" s="44">
        <f t="shared" si="17"/>
        <v>0.38250773389983594</v>
      </c>
      <c r="X15" s="44">
        <f t="shared" si="17"/>
        <v>0.4050127204077279</v>
      </c>
      <c r="Y15" s="44">
        <f t="shared" si="17"/>
        <v>0.38521400778210113</v>
      </c>
      <c r="Z15" s="44" t="e">
        <f t="shared" si="17"/>
        <v>#DIV/0!</v>
      </c>
      <c r="AA15" s="44"/>
      <c r="AB15" s="44">
        <f>(AB13-AB14)/AB13</f>
        <v>0.43881856540084391</v>
      </c>
      <c r="AC15" s="44">
        <f>(AC13-AC14)/AC13</f>
        <v>0.42857142857142866</v>
      </c>
      <c r="AD15" s="44">
        <f>(AD13-AD14)/AD13</f>
        <v>0.44032921810699588</v>
      </c>
      <c r="AJ15" s="392">
        <v>10</v>
      </c>
      <c r="AK15" s="108" t="s">
        <v>642</v>
      </c>
      <c r="AL15" s="417">
        <v>0.4052</v>
      </c>
      <c r="AM15" s="81"/>
      <c r="AN15" s="81"/>
      <c r="AO15" s="81"/>
      <c r="AP15" s="81"/>
      <c r="AQ15" s="408"/>
      <c r="AR15" s="408"/>
    </row>
    <row r="16" spans="1:44" x14ac:dyDescent="0.25">
      <c r="A16" s="6" t="s">
        <v>94</v>
      </c>
      <c r="B16" s="10"/>
      <c r="C16" s="10"/>
      <c r="D16" s="89">
        <f t="shared" ref="D16:K16" si="18">D13-D14-D9</f>
        <v>0</v>
      </c>
      <c r="E16" s="89">
        <f t="shared" si="18"/>
        <v>8681.66</v>
      </c>
      <c r="F16" s="89">
        <f t="shared" si="18"/>
        <v>14231.020000000004</v>
      </c>
      <c r="G16" s="89">
        <f t="shared" si="18"/>
        <v>13580.409999999996</v>
      </c>
      <c r="H16" s="89">
        <f>H13-H14-H9</f>
        <v>23350.199999999993</v>
      </c>
      <c r="I16" s="89">
        <f>I13-I14-I9</f>
        <v>36308.699999999997</v>
      </c>
      <c r="J16" s="89">
        <f t="shared" si="18"/>
        <v>7291.4</v>
      </c>
      <c r="K16" s="89">
        <f t="shared" si="18"/>
        <v>8160.8000000000011</v>
      </c>
      <c r="L16" s="89">
        <f t="shared" ref="L16:Q16" si="19">L13-L14-L9</f>
        <v>9801.6</v>
      </c>
      <c r="M16" s="89">
        <f t="shared" si="19"/>
        <v>11054.9</v>
      </c>
      <c r="N16" s="89">
        <f t="shared" si="19"/>
        <v>6537.0999999999985</v>
      </c>
      <c r="O16" s="89">
        <f t="shared" si="19"/>
        <v>11993.400000000001</v>
      </c>
      <c r="P16" s="89">
        <f t="shared" si="19"/>
        <v>12906.500000000002</v>
      </c>
      <c r="Q16" s="89">
        <f t="shared" si="19"/>
        <v>13658.900000000001</v>
      </c>
      <c r="R16" s="11"/>
      <c r="S16" s="42" t="s">
        <v>22</v>
      </c>
      <c r="T16" s="43"/>
      <c r="U16" s="44" t="e">
        <f t="shared" ref="U16:Z16" si="20">D17/AVERAGE(C23:D23)</f>
        <v>#DIV/0!</v>
      </c>
      <c r="V16" s="44">
        <f t="shared" si="20"/>
        <v>1.7846544534173382E-2</v>
      </c>
      <c r="W16" s="44">
        <f t="shared" si="20"/>
        <v>1.4995554405161957E-2</v>
      </c>
      <c r="X16" s="44">
        <f t="shared" si="20"/>
        <v>1.8881959606592225E-2</v>
      </c>
      <c r="Y16" s="44">
        <f t="shared" si="20"/>
        <v>8.5894997010314989E-3</v>
      </c>
      <c r="Z16" s="44">
        <f t="shared" si="20"/>
        <v>9.1741929052270924E-3</v>
      </c>
      <c r="AA16" s="44">
        <f t="shared" ref="AA16:AH16" si="21">(J17*4)/J23</f>
        <v>8.5949964357242264E-3</v>
      </c>
      <c r="AB16" s="44">
        <f t="shared" si="21"/>
        <v>8.6806303456087603E-3</v>
      </c>
      <c r="AC16" s="44">
        <f t="shared" si="21"/>
        <v>8.9412192902638757E-3</v>
      </c>
      <c r="AD16" s="44">
        <f t="shared" si="21"/>
        <v>9.3432852033867603E-3</v>
      </c>
      <c r="AE16" s="44">
        <f t="shared" si="21"/>
        <v>6.5988571583875198E-3</v>
      </c>
      <c r="AF16" s="44">
        <f t="shared" si="21"/>
        <v>9.6942286089704826E-3</v>
      </c>
      <c r="AG16" s="44">
        <f t="shared" si="21"/>
        <v>1.1483573365387472E-2</v>
      </c>
      <c r="AH16" s="44">
        <f t="shared" si="21"/>
        <v>1.0978552427009812E-2</v>
      </c>
      <c r="AK16" s="414"/>
    </row>
    <row r="17" spans="1:37" x14ac:dyDescent="0.25">
      <c r="A17" s="6" t="s">
        <v>27</v>
      </c>
      <c r="B17" s="7"/>
      <c r="C17" s="7"/>
      <c r="D17" s="88"/>
      <c r="E17" s="85">
        <v>2830.46</v>
      </c>
      <c r="F17" s="85">
        <v>2817.91</v>
      </c>
      <c r="G17" s="85">
        <v>4929.1499999999996</v>
      </c>
      <c r="H17" s="85">
        <v>3205.6</v>
      </c>
      <c r="I17" s="85">
        <v>4702.6000000000004</v>
      </c>
      <c r="J17" s="85">
        <v>1012.8</v>
      </c>
      <c r="K17" s="85">
        <v>1098.2</v>
      </c>
      <c r="L17" s="85">
        <v>1228.3</v>
      </c>
      <c r="M17" s="85">
        <v>1363.3</v>
      </c>
      <c r="N17" s="11">
        <v>728.4</v>
      </c>
      <c r="O17" s="11">
        <v>1481.1</v>
      </c>
      <c r="P17" s="11">
        <v>1893.5</v>
      </c>
      <c r="Q17" s="11">
        <v>1911.7</v>
      </c>
      <c r="R17" s="11"/>
      <c r="S17" s="18"/>
      <c r="T17" s="18"/>
      <c r="U17" s="18"/>
      <c r="V17" s="18"/>
      <c r="W17" s="18"/>
      <c r="X17" s="18"/>
      <c r="Y17" s="18"/>
      <c r="Z17" s="18"/>
      <c r="AA17" s="18"/>
      <c r="AB17" s="18"/>
      <c r="AC17" s="18"/>
      <c r="AD17" s="18"/>
      <c r="AK17" s="415" t="s">
        <v>643</v>
      </c>
    </row>
    <row r="18" spans="1:37" x14ac:dyDescent="0.25">
      <c r="A18" s="6" t="s">
        <v>55</v>
      </c>
      <c r="B18" s="7"/>
      <c r="C18" s="7"/>
      <c r="D18" s="88"/>
      <c r="E18" s="85">
        <v>3542.63</v>
      </c>
      <c r="F18" s="89">
        <v>8514.8799999999992</v>
      </c>
      <c r="G18" s="89">
        <v>6421.89</v>
      </c>
      <c r="H18" s="89">
        <v>14979.6</v>
      </c>
      <c r="I18" s="89">
        <v>23702.1</v>
      </c>
      <c r="J18" s="89">
        <v>4696.8999999999996</v>
      </c>
      <c r="K18" s="89">
        <v>5260.7</v>
      </c>
      <c r="L18" s="89">
        <v>6401.8</v>
      </c>
      <c r="M18" s="89">
        <v>7342.7</v>
      </c>
      <c r="N18" s="11">
        <v>4276.2</v>
      </c>
      <c r="O18" s="11">
        <v>7871.5</v>
      </c>
      <c r="P18" s="11">
        <v>8398.4</v>
      </c>
      <c r="Q18" s="11">
        <v>8807.7999999999993</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c r="E19" s="85">
        <v>101248.21</v>
      </c>
      <c r="F19" s="85">
        <v>120540.64</v>
      </c>
      <c r="G19" s="85">
        <v>128716.75</v>
      </c>
      <c r="H19" s="85">
        <v>172732.79999999999</v>
      </c>
      <c r="I19" s="85">
        <f>277825.5-26039.2</f>
        <v>251786.3</v>
      </c>
      <c r="J19" s="85"/>
      <c r="K19" s="85">
        <v>259946.6</v>
      </c>
      <c r="L19" s="85"/>
      <c r="M19" s="85">
        <f>277825.5-26039.2</f>
        <v>251786.3</v>
      </c>
      <c r="N19" s="85">
        <v>172732.79999999999</v>
      </c>
      <c r="O19" s="439"/>
      <c r="P19" s="439">
        <f>296783.4-26039.2</f>
        <v>270744.2</v>
      </c>
      <c r="Q19" s="439"/>
      <c r="R19" s="11"/>
      <c r="S19" s="46" t="s">
        <v>95</v>
      </c>
      <c r="T19" s="51"/>
      <c r="U19" s="51"/>
      <c r="V19" s="52">
        <f>E16/AVERAGE(D22:E22)</f>
        <v>2.0631156557305057E-2</v>
      </c>
      <c r="W19" s="52">
        <f>F16/AVERAGE(E22:F22)</f>
        <v>3.3587830832794721E-2</v>
      </c>
      <c r="X19" s="52">
        <f>G16/AVERAGE(F22:G22)</f>
        <v>3.0931643802900716E-2</v>
      </c>
      <c r="Y19" s="52">
        <f>H16/AVERAGE(G22:H22)</f>
        <v>4.5510104160334353E-2</v>
      </c>
      <c r="Z19" s="52">
        <f>I16/AVERAGE(H22:I22)</f>
        <v>5.669037515664184E-2</v>
      </c>
      <c r="AA19" s="18"/>
      <c r="AB19" s="18"/>
      <c r="AC19" s="18"/>
      <c r="AD19" s="18"/>
    </row>
    <row r="20" spans="1:37" x14ac:dyDescent="0.25">
      <c r="A20" s="6" t="s">
        <v>56</v>
      </c>
      <c r="B20" s="7"/>
      <c r="C20" s="7"/>
      <c r="D20" s="88">
        <f t="shared" ref="D20:P20" si="22">D19-D71</f>
        <v>0</v>
      </c>
      <c r="E20" s="89">
        <f t="shared" si="22"/>
        <v>101248.21</v>
      </c>
      <c r="F20" s="89">
        <f t="shared" si="22"/>
        <v>120540.64</v>
      </c>
      <c r="G20" s="89">
        <f t="shared" si="22"/>
        <v>128716.75</v>
      </c>
      <c r="H20" s="85">
        <v>172732.79999999999</v>
      </c>
      <c r="I20" s="89">
        <f>I19-I71</f>
        <v>251786.3</v>
      </c>
      <c r="J20" s="89">
        <f t="shared" si="22"/>
        <v>0</v>
      </c>
      <c r="K20" s="89">
        <f t="shared" si="22"/>
        <v>259946.6</v>
      </c>
      <c r="L20" s="89">
        <f t="shared" si="22"/>
        <v>0</v>
      </c>
      <c r="M20" s="89">
        <f t="shared" si="22"/>
        <v>251786.3</v>
      </c>
      <c r="N20" s="89">
        <f t="shared" si="22"/>
        <v>172732.79999999999</v>
      </c>
      <c r="O20" s="89">
        <f t="shared" si="22"/>
        <v>0</v>
      </c>
      <c r="P20" s="89">
        <f t="shared" si="22"/>
        <v>270744.2</v>
      </c>
      <c r="Q20" s="440"/>
      <c r="R20" s="11"/>
      <c r="S20" s="42" t="s">
        <v>31</v>
      </c>
      <c r="T20" s="43"/>
      <c r="U20" s="43">
        <v>4.4699999999999997E-2</v>
      </c>
      <c r="V20" s="44">
        <f>E18/AVERAGE(D22:E22)</f>
        <v>8.418730306716183E-3</v>
      </c>
      <c r="W20" s="44">
        <f>F18/AVERAGE(E22:F22)</f>
        <v>2.0096686604442058E-2</v>
      </c>
      <c r="X20" s="44">
        <f>G18/AVERAGE(F22:G22)</f>
        <v>1.4626923194617111E-2</v>
      </c>
      <c r="Y20" s="44">
        <f>H18/AVERAGE(G22:H22)</f>
        <v>2.9195602447950969E-2</v>
      </c>
      <c r="Z20" s="44">
        <f>I18/AVERAGE(H22:I22)</f>
        <v>3.7007134405810195E-2</v>
      </c>
      <c r="AA20" s="48"/>
      <c r="AB20" s="18"/>
      <c r="AC20" s="18"/>
      <c r="AD20" s="18"/>
    </row>
    <row r="21" spans="1:37" x14ac:dyDescent="0.25">
      <c r="A21" s="6" t="s">
        <v>57</v>
      </c>
      <c r="B21" s="9"/>
      <c r="C21" s="9"/>
      <c r="D21" s="85"/>
      <c r="E21" s="85">
        <f>32428.68+273643.69</f>
        <v>306072.37</v>
      </c>
      <c r="F21" s="85">
        <f>15000+262775.8</f>
        <v>277775.8</v>
      </c>
      <c r="G21" s="85">
        <f>4300+290726.85</f>
        <v>295026.84999999998</v>
      </c>
      <c r="H21" s="85">
        <f>4540.3+369365.9</f>
        <v>373906.2</v>
      </c>
      <c r="I21" s="85">
        <f>39495.9+360106.2</f>
        <v>399602.10000000003</v>
      </c>
      <c r="J21" s="85"/>
      <c r="K21" s="85">
        <f>4356.5+361319.7</f>
        <v>365676.2</v>
      </c>
      <c r="L21" s="85"/>
      <c r="M21" s="85">
        <f>39495.9+360106.2</f>
        <v>399602.10000000003</v>
      </c>
      <c r="N21" s="85">
        <f>4540.3+369365.9</f>
        <v>373906.2</v>
      </c>
      <c r="O21" s="439"/>
      <c r="P21" s="439">
        <f>76710.9+364611.6</f>
        <v>441322.5</v>
      </c>
      <c r="Q21" s="439"/>
      <c r="R21" s="11"/>
      <c r="S21" s="42" t="s">
        <v>32</v>
      </c>
      <c r="T21" s="43"/>
      <c r="U21" s="44" t="e">
        <f t="shared" ref="U21:Z21" si="23">D18/AVERAGE(C19:D19)</f>
        <v>#DIV/0!</v>
      </c>
      <c r="V21" s="44">
        <f t="shared" si="23"/>
        <v>3.49895568524125E-2</v>
      </c>
      <c r="W21" s="44">
        <f t="shared" si="23"/>
        <v>7.6783661577216333E-2</v>
      </c>
      <c r="X21" s="44">
        <f t="shared" si="23"/>
        <v>5.1528181371071888E-2</v>
      </c>
      <c r="Y21" s="44">
        <f t="shared" si="23"/>
        <v>9.9383794071014539E-2</v>
      </c>
      <c r="Z21" s="44">
        <f t="shared" si="23"/>
        <v>0.11166564708160363</v>
      </c>
      <c r="AA21" s="18"/>
      <c r="AB21" s="18"/>
      <c r="AC21" s="18"/>
      <c r="AD21" s="18"/>
    </row>
    <row r="22" spans="1:37" x14ac:dyDescent="0.25">
      <c r="A22" s="6" t="s">
        <v>29</v>
      </c>
      <c r="B22" s="7"/>
      <c r="C22" s="7"/>
      <c r="D22" s="88"/>
      <c r="E22" s="85">
        <v>420803.36</v>
      </c>
      <c r="F22" s="85">
        <v>426588.07</v>
      </c>
      <c r="G22" s="85">
        <v>451503.64</v>
      </c>
      <c r="H22" s="85">
        <v>574650.9</v>
      </c>
      <c r="I22" s="85">
        <v>706296.7</v>
      </c>
      <c r="J22" s="85"/>
      <c r="K22" s="85">
        <v>658033.9</v>
      </c>
      <c r="L22" s="85"/>
      <c r="M22" s="85">
        <v>706296.7</v>
      </c>
      <c r="N22" s="85">
        <v>574650.9</v>
      </c>
      <c r="O22" s="439"/>
      <c r="P22" s="439">
        <v>753336.4</v>
      </c>
      <c r="Q22" s="439"/>
      <c r="R22" s="11"/>
      <c r="S22" s="40" t="s">
        <v>33</v>
      </c>
      <c r="T22" s="45"/>
      <c r="U22" s="45"/>
      <c r="V22" s="45"/>
      <c r="W22" s="46" t="s">
        <v>5</v>
      </c>
      <c r="X22" s="18"/>
      <c r="Y22" s="18"/>
      <c r="Z22" s="18"/>
      <c r="AA22" s="18"/>
      <c r="AB22" s="18"/>
      <c r="AC22" s="18"/>
      <c r="AD22" s="18"/>
    </row>
    <row r="23" spans="1:37" x14ac:dyDescent="0.25">
      <c r="A23" s="6" t="s">
        <v>58</v>
      </c>
      <c r="B23" s="7"/>
      <c r="C23" s="7"/>
      <c r="D23" s="88"/>
      <c r="E23" s="85">
        <v>158599.89000000001</v>
      </c>
      <c r="F23" s="85">
        <v>217232.83</v>
      </c>
      <c r="G23" s="85">
        <v>304868.7</v>
      </c>
      <c r="H23" s="85">
        <v>441531</v>
      </c>
      <c r="I23" s="85">
        <v>583649.1</v>
      </c>
      <c r="J23" s="85">
        <v>471344</v>
      </c>
      <c r="K23" s="85">
        <v>506046.2</v>
      </c>
      <c r="L23" s="85">
        <v>549500</v>
      </c>
      <c r="M23" s="85">
        <v>583649.1</v>
      </c>
      <c r="N23" s="85">
        <v>441531</v>
      </c>
      <c r="O23" s="439">
        <v>611126.5</v>
      </c>
      <c r="P23" s="439">
        <v>659550.80000000005</v>
      </c>
      <c r="Q23" s="439">
        <v>696521.7</v>
      </c>
      <c r="R23" s="11"/>
      <c r="S23" s="42" t="s">
        <v>34</v>
      </c>
      <c r="T23" s="43"/>
      <c r="U23" s="44" t="e">
        <f t="shared" ref="U23:Z23" si="24">D6/AVERAGE(C23:D23)</f>
        <v>#DIV/0!</v>
      </c>
      <c r="V23" s="44">
        <f t="shared" si="24"/>
        <v>0.1352787192979768</v>
      </c>
      <c r="W23" s="44">
        <f t="shared" si="24"/>
        <v>0.14770800158112898</v>
      </c>
      <c r="X23" s="44">
        <f t="shared" si="24"/>
        <v>0.14653785825910143</v>
      </c>
      <c r="Y23" s="44">
        <f t="shared" si="24"/>
        <v>0.17528195683894299</v>
      </c>
      <c r="Z23" s="44">
        <f t="shared" si="24"/>
        <v>0.17914101141838396</v>
      </c>
      <c r="AA23" s="18"/>
      <c r="AB23" s="18"/>
      <c r="AC23" s="18"/>
      <c r="AD23" s="18"/>
    </row>
    <row r="24" spans="1:37" x14ac:dyDescent="0.25">
      <c r="A24" s="6" t="s">
        <v>59</v>
      </c>
      <c r="B24" s="10"/>
      <c r="C24" s="10"/>
      <c r="D24" s="89"/>
      <c r="E24" s="89">
        <v>3568.64</v>
      </c>
      <c r="F24" s="89">
        <v>6665.46</v>
      </c>
      <c r="G24" s="89">
        <v>8297.69</v>
      </c>
      <c r="H24" s="89"/>
      <c r="I24" s="89"/>
      <c r="J24" s="89"/>
      <c r="K24" s="89"/>
      <c r="L24" s="89"/>
      <c r="M24" s="89"/>
      <c r="N24" s="11"/>
      <c r="O24" s="11"/>
      <c r="P24" s="11"/>
      <c r="Q24" s="11"/>
      <c r="R24" s="11"/>
      <c r="S24" s="42" t="s">
        <v>35</v>
      </c>
      <c r="T24" s="43"/>
      <c r="U24" s="44" t="e">
        <f t="shared" ref="U24:Z24" si="25">D9/AVERAGE(C21:D21)</f>
        <v>#DIV/0!</v>
      </c>
      <c r="V24" s="44">
        <f t="shared" si="25"/>
        <v>7.9731894780309634E-2</v>
      </c>
      <c r="W24" s="44">
        <f t="shared" si="25"/>
        <v>8.1684044672093448E-2</v>
      </c>
      <c r="X24" s="44">
        <f t="shared" si="25"/>
        <v>7.7030649212254887E-2</v>
      </c>
      <c r="Y24" s="44">
        <f t="shared" si="25"/>
        <v>8.2654609456058417E-2</v>
      </c>
      <c r="Z24" s="44">
        <f t="shared" si="25"/>
        <v>9.0661470600897229E-2</v>
      </c>
      <c r="AA24" s="18"/>
      <c r="AB24" s="18"/>
      <c r="AC24" s="18"/>
      <c r="AD24" s="18"/>
    </row>
    <row r="25" spans="1:37" x14ac:dyDescent="0.25">
      <c r="A25" s="6" t="s">
        <v>60</v>
      </c>
      <c r="B25" s="10"/>
      <c r="C25" s="10"/>
      <c r="D25" s="89"/>
      <c r="E25" s="89">
        <v>2469.34</v>
      </c>
      <c r="F25" s="89">
        <v>4115.87</v>
      </c>
      <c r="G25" s="89">
        <v>4937.0200000000004</v>
      </c>
      <c r="H25" s="89"/>
      <c r="I25" s="89"/>
      <c r="J25" s="89"/>
      <c r="K25" s="89"/>
      <c r="L25" s="89"/>
      <c r="M25" s="89"/>
      <c r="N25" s="11"/>
      <c r="O25" s="11"/>
      <c r="P25" s="11"/>
      <c r="Q25" s="11"/>
      <c r="R25" s="11"/>
      <c r="S25" s="42" t="s">
        <v>36</v>
      </c>
      <c r="T25" s="43"/>
      <c r="U25" s="48" t="e">
        <f t="shared" ref="U25:Z25" si="26">U23-U24</f>
        <v>#DIV/0!</v>
      </c>
      <c r="V25" s="48">
        <f t="shared" si="26"/>
        <v>5.5546824517667168E-2</v>
      </c>
      <c r="W25" s="48">
        <f t="shared" si="26"/>
        <v>6.6023956909035536E-2</v>
      </c>
      <c r="X25" s="48">
        <f t="shared" si="26"/>
        <v>6.9507209046846541E-2</v>
      </c>
      <c r="Y25" s="48">
        <f t="shared" si="26"/>
        <v>9.262734738288457E-2</v>
      </c>
      <c r="Z25" s="48">
        <f t="shared" si="26"/>
        <v>8.8479540817486727E-2</v>
      </c>
      <c r="AA25" s="18"/>
      <c r="AB25" s="18"/>
      <c r="AC25" s="18"/>
      <c r="AD25" s="18"/>
    </row>
    <row r="26" spans="1:37" x14ac:dyDescent="0.25">
      <c r="S26" s="407" t="s">
        <v>645</v>
      </c>
      <c r="AF26" s="80">
        <v>3.3532999999999999</v>
      </c>
      <c r="AG26" s="80">
        <v>3.9540000000000002</v>
      </c>
      <c r="AH26" s="80">
        <v>2.8506</v>
      </c>
    </row>
    <row r="27" spans="1:37" ht="15" customHeight="1" x14ac:dyDescent="0.25">
      <c r="A27" s="739" t="s">
        <v>274</v>
      </c>
      <c r="B27" s="739"/>
      <c r="C27" s="739"/>
      <c r="D27" s="739"/>
      <c r="E27" s="739"/>
      <c r="F27" s="739"/>
      <c r="G27" s="739"/>
      <c r="H27" s="739"/>
      <c r="I27" s="739"/>
      <c r="J27" s="739"/>
      <c r="K27" s="739"/>
      <c r="L27" s="739"/>
      <c r="M27" s="739"/>
      <c r="N27" s="739"/>
      <c r="O27" s="739"/>
      <c r="P27" s="739"/>
      <c r="Q27" s="739"/>
      <c r="R27" s="739"/>
      <c r="S27" s="739"/>
    </row>
    <row r="28" spans="1:37" x14ac:dyDescent="0.25">
      <c r="A28" s="739"/>
      <c r="B28" s="739"/>
      <c r="C28" s="739"/>
      <c r="D28" s="739"/>
      <c r="E28" s="739"/>
      <c r="F28" s="739"/>
      <c r="G28" s="739"/>
      <c r="H28" s="739"/>
      <c r="I28" s="739"/>
      <c r="J28" s="739"/>
      <c r="K28" s="739"/>
      <c r="L28" s="739"/>
      <c r="M28" s="739"/>
      <c r="N28" s="739"/>
      <c r="O28" s="739"/>
      <c r="P28" s="739"/>
      <c r="Q28" s="739"/>
      <c r="R28" s="739"/>
      <c r="S28" s="739"/>
    </row>
    <row r="29" spans="1:37" x14ac:dyDescent="0.25">
      <c r="A29" s="739"/>
      <c r="B29" s="739"/>
      <c r="C29" s="739"/>
      <c r="D29" s="739"/>
      <c r="E29" s="739"/>
      <c r="F29" s="739"/>
      <c r="G29" s="739"/>
      <c r="H29" s="739"/>
      <c r="I29" s="739"/>
      <c r="J29" s="739"/>
      <c r="K29" s="739"/>
      <c r="L29" s="739"/>
      <c r="M29" s="739"/>
      <c r="N29" s="739"/>
      <c r="O29" s="739"/>
      <c r="P29" s="739"/>
      <c r="Q29" s="739"/>
      <c r="R29" s="739"/>
      <c r="S29" s="739"/>
    </row>
    <row r="30" spans="1:37" x14ac:dyDescent="0.25">
      <c r="A30" s="739"/>
      <c r="B30" s="739"/>
      <c r="C30" s="739"/>
      <c r="D30" s="739"/>
      <c r="E30" s="739"/>
      <c r="F30" s="739"/>
      <c r="G30" s="739"/>
      <c r="H30" s="739"/>
      <c r="I30" s="739"/>
      <c r="J30" s="739"/>
      <c r="K30" s="739"/>
      <c r="L30" s="739"/>
      <c r="M30" s="739"/>
      <c r="N30" s="739"/>
      <c r="O30" s="739"/>
      <c r="P30" s="739"/>
      <c r="Q30" s="739"/>
      <c r="R30" s="739"/>
      <c r="S30" s="739"/>
    </row>
    <row r="31" spans="1:37" x14ac:dyDescent="0.25">
      <c r="A31" s="739"/>
      <c r="B31" s="739"/>
      <c r="C31" s="739"/>
      <c r="D31" s="739"/>
      <c r="E31" s="739"/>
      <c r="F31" s="739"/>
      <c r="G31" s="739"/>
      <c r="H31" s="739"/>
      <c r="I31" s="739"/>
      <c r="J31" s="739"/>
      <c r="K31" s="739"/>
      <c r="L31" s="739"/>
      <c r="M31" s="739"/>
      <c r="N31" s="739"/>
      <c r="O31" s="739"/>
      <c r="P31" s="739"/>
      <c r="Q31" s="739"/>
      <c r="R31" s="739"/>
      <c r="S31" s="739"/>
    </row>
    <row r="32" spans="1:37" x14ac:dyDescent="0.25">
      <c r="A32" s="739"/>
      <c r="B32" s="739"/>
      <c r="C32" s="739"/>
      <c r="D32" s="739"/>
      <c r="E32" s="739"/>
      <c r="F32" s="739"/>
      <c r="G32" s="739"/>
      <c r="H32" s="739"/>
      <c r="I32" s="739"/>
      <c r="J32" s="739"/>
      <c r="K32" s="739"/>
      <c r="L32" s="739"/>
      <c r="M32" s="739"/>
      <c r="N32" s="739"/>
      <c r="O32" s="739"/>
      <c r="P32" s="739"/>
      <c r="Q32" s="739"/>
      <c r="R32" s="739"/>
      <c r="S32" s="739"/>
    </row>
    <row r="33" spans="1:19" x14ac:dyDescent="0.25">
      <c r="A33" s="739"/>
      <c r="B33" s="739"/>
      <c r="C33" s="739"/>
      <c r="D33" s="739"/>
      <c r="E33" s="739"/>
      <c r="F33" s="739"/>
      <c r="G33" s="739"/>
      <c r="H33" s="739"/>
      <c r="I33" s="739"/>
      <c r="J33" s="739"/>
      <c r="K33" s="739"/>
      <c r="L33" s="739"/>
      <c r="M33" s="739"/>
      <c r="N33" s="739"/>
      <c r="O33" s="739"/>
      <c r="P33" s="739"/>
      <c r="Q33" s="739"/>
      <c r="R33" s="739"/>
      <c r="S33" s="739"/>
    </row>
    <row r="34" spans="1:19" x14ac:dyDescent="0.25">
      <c r="A34" s="739"/>
      <c r="B34" s="739"/>
      <c r="C34" s="739"/>
      <c r="D34" s="739"/>
      <c r="E34" s="739"/>
      <c r="F34" s="739"/>
      <c r="G34" s="739"/>
      <c r="H34" s="739"/>
      <c r="I34" s="739"/>
      <c r="J34" s="739"/>
      <c r="K34" s="739"/>
      <c r="L34" s="739"/>
      <c r="M34" s="739"/>
      <c r="N34" s="739"/>
      <c r="O34" s="739"/>
      <c r="P34" s="739"/>
      <c r="Q34" s="739"/>
      <c r="R34" s="739"/>
      <c r="S34" s="739"/>
    </row>
    <row r="35" spans="1:19" x14ac:dyDescent="0.25">
      <c r="A35" s="739"/>
      <c r="B35" s="739"/>
      <c r="C35" s="739"/>
      <c r="D35" s="739"/>
      <c r="E35" s="739"/>
      <c r="F35" s="739"/>
      <c r="G35" s="739"/>
      <c r="H35" s="739"/>
      <c r="I35" s="739"/>
      <c r="J35" s="739"/>
      <c r="K35" s="739"/>
      <c r="L35" s="739"/>
      <c r="M35" s="739"/>
      <c r="N35" s="739"/>
      <c r="O35" s="739"/>
      <c r="P35" s="739"/>
      <c r="Q35" s="739"/>
      <c r="R35" s="739"/>
      <c r="S35" s="739"/>
    </row>
    <row r="36" spans="1:19" x14ac:dyDescent="0.25">
      <c r="A36" s="739"/>
      <c r="B36" s="739"/>
      <c r="C36" s="739"/>
      <c r="D36" s="739"/>
      <c r="E36" s="739"/>
      <c r="F36" s="739"/>
      <c r="G36" s="739"/>
      <c r="H36" s="739"/>
      <c r="I36" s="739"/>
      <c r="J36" s="739"/>
      <c r="K36" s="739"/>
      <c r="L36" s="739"/>
      <c r="M36" s="739"/>
      <c r="N36" s="739"/>
      <c r="O36" s="739"/>
      <c r="P36" s="739"/>
      <c r="Q36" s="739"/>
      <c r="R36" s="739"/>
      <c r="S36" s="739"/>
    </row>
    <row r="37" spans="1:19" x14ac:dyDescent="0.25">
      <c r="A37" s="739"/>
      <c r="B37" s="739"/>
      <c r="C37" s="739"/>
      <c r="D37" s="739"/>
      <c r="E37" s="739"/>
      <c r="F37" s="739"/>
      <c r="G37" s="739"/>
      <c r="H37" s="739"/>
      <c r="I37" s="739"/>
      <c r="J37" s="739"/>
      <c r="K37" s="739"/>
      <c r="L37" s="739"/>
      <c r="M37" s="739"/>
      <c r="N37" s="739"/>
      <c r="O37" s="739"/>
      <c r="P37" s="739"/>
      <c r="Q37" s="739"/>
      <c r="R37" s="739"/>
      <c r="S37" s="739"/>
    </row>
    <row r="38" spans="1:19" x14ac:dyDescent="0.25">
      <c r="A38" s="739"/>
      <c r="B38" s="739"/>
      <c r="C38" s="739"/>
      <c r="D38" s="739"/>
      <c r="E38" s="739"/>
      <c r="F38" s="739"/>
      <c r="G38" s="739"/>
      <c r="H38" s="739"/>
      <c r="I38" s="739"/>
      <c r="J38" s="739"/>
      <c r="K38" s="739"/>
      <c r="L38" s="739"/>
      <c r="M38" s="739"/>
      <c r="N38" s="739"/>
      <c r="O38" s="739"/>
      <c r="P38" s="739"/>
      <c r="Q38" s="739"/>
      <c r="R38" s="739"/>
      <c r="S38" s="739"/>
    </row>
    <row r="39" spans="1:19" x14ac:dyDescent="0.25">
      <c r="A39" s="739"/>
      <c r="B39" s="739"/>
      <c r="C39" s="739"/>
      <c r="D39" s="739"/>
      <c r="E39" s="739"/>
      <c r="F39" s="739"/>
      <c r="G39" s="739"/>
      <c r="H39" s="739"/>
      <c r="I39" s="739"/>
      <c r="J39" s="739"/>
      <c r="K39" s="739"/>
      <c r="L39" s="739"/>
      <c r="M39" s="739"/>
      <c r="N39" s="739"/>
      <c r="O39" s="739"/>
      <c r="P39" s="739"/>
      <c r="Q39" s="739"/>
      <c r="R39" s="739"/>
      <c r="S39" s="739"/>
    </row>
    <row r="40" spans="1:19" x14ac:dyDescent="0.25">
      <c r="A40" s="739"/>
      <c r="B40" s="739"/>
      <c r="C40" s="739"/>
      <c r="D40" s="739"/>
      <c r="E40" s="739"/>
      <c r="F40" s="739"/>
      <c r="G40" s="739"/>
      <c r="H40" s="739"/>
      <c r="I40" s="739"/>
      <c r="J40" s="739"/>
      <c r="K40" s="739"/>
      <c r="L40" s="739"/>
      <c r="M40" s="739"/>
      <c r="N40" s="739"/>
      <c r="O40" s="739"/>
      <c r="P40" s="739"/>
      <c r="Q40" s="739"/>
      <c r="R40" s="739"/>
      <c r="S40" s="739"/>
    </row>
    <row r="41" spans="1:19" x14ac:dyDescent="0.25">
      <c r="A41" s="739"/>
      <c r="B41" s="739"/>
      <c r="C41" s="739"/>
      <c r="D41" s="739"/>
      <c r="E41" s="739"/>
      <c r="F41" s="739"/>
      <c r="G41" s="739"/>
      <c r="H41" s="739"/>
      <c r="I41" s="739"/>
      <c r="J41" s="739"/>
      <c r="K41" s="739"/>
      <c r="L41" s="739"/>
      <c r="M41" s="739"/>
      <c r="N41" s="739"/>
      <c r="O41" s="739"/>
      <c r="P41" s="739"/>
      <c r="Q41" s="739"/>
      <c r="R41" s="739"/>
      <c r="S41" s="739"/>
    </row>
  </sheetData>
  <mergeCells count="4">
    <mergeCell ref="K1:M1"/>
    <mergeCell ref="A27:S41"/>
    <mergeCell ref="AJ3:AK4"/>
    <mergeCell ref="AL5:AR5"/>
  </mergeCells>
  <pageMargins left="0.7" right="0.7" top="0.75" bottom="0.75" header="0.3" footer="0.3"/>
  <pageSetup paperSize="9"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D29"/>
  <sheetViews>
    <sheetView topLeftCell="G10" workbookViewId="0">
      <selection activeCell="AD21" sqref="AD21"/>
    </sheetView>
  </sheetViews>
  <sheetFormatPr defaultRowHeight="15" x14ac:dyDescent="0.25"/>
  <cols>
    <col min="1" max="1" width="30.5703125" customWidth="1"/>
    <col min="4" max="4" width="13.140625" customWidth="1"/>
    <col min="5" max="5" width="12.28515625" customWidth="1"/>
    <col min="6" max="6" width="12.140625" customWidth="1"/>
    <col min="7" max="9" width="12.5703125" customWidth="1"/>
    <col min="11" max="13" width="10.140625" bestFit="1" customWidth="1"/>
    <col min="15" max="15" width="10.140625" bestFit="1" customWidth="1"/>
    <col min="17" max="17" width="30.28515625" customWidth="1"/>
    <col min="19" max="19" width="12.7109375" customWidth="1"/>
    <col min="20" max="20" width="13.7109375" customWidth="1"/>
    <col min="21" max="24" width="11.7109375" customWidth="1"/>
  </cols>
  <sheetData>
    <row r="1" spans="1:30" x14ac:dyDescent="0.25">
      <c r="K1" s="772" t="s">
        <v>113</v>
      </c>
      <c r="L1" s="772"/>
      <c r="M1" s="772"/>
    </row>
    <row r="2" spans="1:30" ht="45" x14ac:dyDescent="0.25">
      <c r="A2" s="3" t="s">
        <v>4</v>
      </c>
      <c r="B2" s="1" t="s">
        <v>43</v>
      </c>
      <c r="C2" s="1" t="s">
        <v>41</v>
      </c>
      <c r="D2" s="2" t="s">
        <v>44</v>
      </c>
      <c r="E2" s="2" t="s">
        <v>0</v>
      </c>
      <c r="F2" s="3" t="s">
        <v>45</v>
      </c>
      <c r="G2" s="3" t="s">
        <v>42</v>
      </c>
      <c r="H2" s="3" t="s">
        <v>366</v>
      </c>
      <c r="I2" s="3" t="s">
        <v>556</v>
      </c>
      <c r="J2" s="3" t="s">
        <v>37</v>
      </c>
      <c r="K2" s="3" t="s">
        <v>38</v>
      </c>
      <c r="L2" s="3" t="s">
        <v>39</v>
      </c>
      <c r="M2" s="3" t="s">
        <v>40</v>
      </c>
      <c r="N2" s="11"/>
      <c r="O2" s="11"/>
      <c r="P2" s="11"/>
      <c r="Q2" s="40" t="s">
        <v>6</v>
      </c>
      <c r="R2" s="41" t="s">
        <v>7</v>
      </c>
      <c r="S2" s="41" t="s">
        <v>8</v>
      </c>
      <c r="T2" s="41" t="s">
        <v>9</v>
      </c>
      <c r="U2" s="40" t="s">
        <v>10</v>
      </c>
      <c r="V2" s="41" t="s">
        <v>90</v>
      </c>
      <c r="W2" s="41" t="s">
        <v>545</v>
      </c>
      <c r="X2" s="41" t="s">
        <v>684</v>
      </c>
      <c r="Y2" s="40" t="s">
        <v>37</v>
      </c>
      <c r="Z2" s="41" t="s">
        <v>38</v>
      </c>
      <c r="AA2" s="41" t="s">
        <v>39</v>
      </c>
      <c r="AB2" s="41" t="s">
        <v>40</v>
      </c>
    </row>
    <row r="3" spans="1:30" x14ac:dyDescent="0.25">
      <c r="A3" s="3"/>
      <c r="B3" s="1" t="s">
        <v>46</v>
      </c>
      <c r="C3" s="4" t="s">
        <v>47</v>
      </c>
      <c r="D3" s="5" t="s">
        <v>47</v>
      </c>
      <c r="E3" s="5" t="s">
        <v>47</v>
      </c>
      <c r="F3" s="1" t="s">
        <v>46</v>
      </c>
      <c r="G3" s="1" t="s">
        <v>46</v>
      </c>
      <c r="H3" s="1" t="s">
        <v>46</v>
      </c>
      <c r="I3" s="1" t="s">
        <v>46</v>
      </c>
      <c r="J3" s="1" t="s">
        <v>96</v>
      </c>
      <c r="K3" s="1"/>
      <c r="L3" s="1"/>
      <c r="M3" s="1"/>
      <c r="N3" s="11"/>
      <c r="O3" s="11"/>
      <c r="P3" s="11"/>
      <c r="Q3" s="42" t="s">
        <v>11</v>
      </c>
      <c r="R3" s="43"/>
      <c r="S3" s="44" t="e">
        <f t="shared" ref="S3:X3" si="0">D10/AVERAGE(C23:D23)</f>
        <v>#DIV/0!</v>
      </c>
      <c r="T3" s="44">
        <f t="shared" si="0"/>
        <v>9.2389318033271703E-2</v>
      </c>
      <c r="U3" s="44">
        <f t="shared" si="0"/>
        <v>8.5220657727237734E-2</v>
      </c>
      <c r="V3" s="44">
        <f t="shared" si="0"/>
        <v>7.3578108011740112E-2</v>
      </c>
      <c r="W3" s="44">
        <f t="shared" si="0"/>
        <v>9.5186972417843255E-2</v>
      </c>
      <c r="X3" s="44">
        <f t="shared" si="0"/>
        <v>0.10946084212128067</v>
      </c>
      <c r="Y3" s="44" t="e">
        <f>(J10*4)/J23</f>
        <v>#DIV/0!</v>
      </c>
      <c r="Z3" s="44">
        <f t="shared" ref="Z3:AD3" si="1">(K10*4)/K23</f>
        <v>0.1165249796660081</v>
      </c>
      <c r="AA3" s="44" t="e">
        <f t="shared" si="1"/>
        <v>#DIV/0!</v>
      </c>
      <c r="AB3" s="44" t="e">
        <f t="shared" si="1"/>
        <v>#DIV/0!</v>
      </c>
      <c r="AC3" s="44" t="e">
        <f t="shared" si="1"/>
        <v>#DIV/0!</v>
      </c>
      <c r="AD3" s="44">
        <f t="shared" si="1"/>
        <v>0.11310530835062516</v>
      </c>
    </row>
    <row r="4" spans="1:30" x14ac:dyDescent="0.25">
      <c r="A4" s="3"/>
      <c r="B4" s="1" t="s">
        <v>48</v>
      </c>
      <c r="C4" s="1" t="s">
        <v>48</v>
      </c>
      <c r="D4" s="5" t="s">
        <v>49</v>
      </c>
      <c r="E4" s="5" t="s">
        <v>49</v>
      </c>
      <c r="F4" s="5" t="s">
        <v>49</v>
      </c>
      <c r="G4" s="5" t="s">
        <v>49</v>
      </c>
      <c r="H4" s="5" t="s">
        <v>49</v>
      </c>
      <c r="I4" s="5" t="s">
        <v>49</v>
      </c>
      <c r="J4" s="5"/>
      <c r="K4" s="5"/>
      <c r="L4" s="5"/>
      <c r="M4" s="5"/>
      <c r="N4" s="11"/>
      <c r="O4" s="11"/>
      <c r="P4" s="11"/>
      <c r="Q4" s="40" t="s">
        <v>12</v>
      </c>
      <c r="R4" s="45"/>
      <c r="S4" s="45"/>
      <c r="T4" s="45"/>
      <c r="U4" s="46" t="s">
        <v>5</v>
      </c>
      <c r="V4" s="18"/>
      <c r="W4" s="18"/>
      <c r="X4" s="18"/>
      <c r="Y4" s="18"/>
      <c r="Z4" s="18"/>
      <c r="AA4" s="18"/>
      <c r="AB4" s="18"/>
    </row>
    <row r="5" spans="1:30" x14ac:dyDescent="0.25">
      <c r="A5" s="6" t="s">
        <v>23</v>
      </c>
      <c r="B5" s="7"/>
      <c r="C5" s="8"/>
      <c r="E5">
        <v>32374.28</v>
      </c>
      <c r="F5" s="85">
        <v>38537.82</v>
      </c>
      <c r="G5" s="90">
        <v>48791.66</v>
      </c>
      <c r="H5" s="90">
        <v>86375.37</v>
      </c>
      <c r="I5" s="90">
        <v>126918.59</v>
      </c>
      <c r="J5" s="85">
        <v>26694.36</v>
      </c>
      <c r="K5" s="85">
        <v>31203.59</v>
      </c>
      <c r="L5" s="85">
        <v>33428.71</v>
      </c>
      <c r="M5" s="85">
        <v>35591.93</v>
      </c>
      <c r="N5" s="11">
        <v>38539.629999999997</v>
      </c>
      <c r="O5" s="11">
        <v>42753.29</v>
      </c>
      <c r="P5" s="11"/>
      <c r="Q5" s="42" t="s">
        <v>13</v>
      </c>
      <c r="R5" s="46"/>
      <c r="S5" s="47" t="e">
        <f t="shared" ref="S5:X5" si="2">D21/D20</f>
        <v>#DIV/0!</v>
      </c>
      <c r="T5" s="47">
        <f t="shared" si="2"/>
        <v>1.097623315907688</v>
      </c>
      <c r="U5" s="47">
        <f t="shared" si="2"/>
        <v>1.5993253822766829</v>
      </c>
      <c r="V5" s="47">
        <f t="shared" si="2"/>
        <v>2.5315617598765243</v>
      </c>
      <c r="W5" s="47">
        <f t="shared" si="2"/>
        <v>1.5754722409031041</v>
      </c>
      <c r="X5" s="47">
        <f t="shared" si="2"/>
        <v>1.7380880560871956</v>
      </c>
      <c r="Y5" s="47"/>
      <c r="Z5" s="47">
        <f>K21/K20</f>
        <v>1.7724226152673221</v>
      </c>
      <c r="AA5" s="47"/>
      <c r="AB5" s="47"/>
      <c r="AC5" s="47"/>
      <c r="AD5" s="47">
        <f t="shared" ref="AD5" si="3">O21/O20</f>
        <v>2.1458064164357076</v>
      </c>
    </row>
    <row r="6" spans="1:30" x14ac:dyDescent="0.25">
      <c r="A6" s="6" t="s">
        <v>50</v>
      </c>
      <c r="B6" s="7"/>
      <c r="C6" s="8"/>
      <c r="E6">
        <v>31024.84</v>
      </c>
      <c r="F6" s="85">
        <v>35496.519999999997</v>
      </c>
      <c r="G6" s="85">
        <v>45746.66</v>
      </c>
      <c r="H6" s="85">
        <v>80205.440000000002</v>
      </c>
      <c r="I6" s="85">
        <v>116642.49</v>
      </c>
      <c r="J6" s="85">
        <v>25579.89</v>
      </c>
      <c r="K6" s="85">
        <v>28939.22</v>
      </c>
      <c r="L6" s="85">
        <v>30433.86</v>
      </c>
      <c r="M6" s="85">
        <v>34388.35</v>
      </c>
      <c r="N6" s="11">
        <v>35872.61</v>
      </c>
      <c r="O6" s="11">
        <v>39314.269999999997</v>
      </c>
      <c r="P6" s="11"/>
      <c r="Q6" s="42" t="s">
        <v>14</v>
      </c>
      <c r="R6" s="43"/>
      <c r="S6" s="43"/>
      <c r="T6" s="43">
        <v>0.46889999999999998</v>
      </c>
      <c r="U6" s="43">
        <v>0.372</v>
      </c>
      <c r="V6" s="48">
        <v>0.28050000000000003</v>
      </c>
      <c r="W6" s="48">
        <v>0.33400000000000002</v>
      </c>
      <c r="X6" s="48">
        <v>0.3044</v>
      </c>
      <c r="Y6" s="48">
        <v>0.33610000000000001</v>
      </c>
      <c r="Z6" s="48">
        <v>0.31009999999999999</v>
      </c>
      <c r="AA6" s="48">
        <v>0.33739999999999998</v>
      </c>
      <c r="AB6" s="18" t="s">
        <v>494</v>
      </c>
      <c r="AC6" s="80">
        <v>0.32050000000000001</v>
      </c>
      <c r="AD6" s="80">
        <v>0.29320000000000002</v>
      </c>
    </row>
    <row r="7" spans="1:30" x14ac:dyDescent="0.25">
      <c r="A7" s="6" t="s">
        <v>51</v>
      </c>
      <c r="B7" s="7"/>
      <c r="C7" s="8"/>
      <c r="D7" s="87"/>
      <c r="E7" s="85"/>
      <c r="F7" s="85">
        <v>0</v>
      </c>
      <c r="G7" s="85">
        <v>0</v>
      </c>
      <c r="H7" s="85"/>
      <c r="I7" s="85"/>
      <c r="J7" s="85"/>
      <c r="K7" s="85"/>
      <c r="L7" s="85"/>
      <c r="M7" s="85"/>
      <c r="N7" s="11"/>
      <c r="O7" s="11"/>
      <c r="P7" s="11"/>
      <c r="Q7" s="42" t="s">
        <v>15</v>
      </c>
      <c r="R7" s="43"/>
      <c r="S7" s="44" t="e">
        <f t="shared" ref="S7:X7" si="4">D20/D23</f>
        <v>#DIV/0!</v>
      </c>
      <c r="T7" s="44">
        <f t="shared" si="4"/>
        <v>0.48731351598800043</v>
      </c>
      <c r="U7" s="44">
        <f t="shared" si="4"/>
        <v>0.39542051599848499</v>
      </c>
      <c r="V7" s="44">
        <f t="shared" si="4"/>
        <v>0.2909351326107435</v>
      </c>
      <c r="W7" s="44">
        <f t="shared" si="4"/>
        <v>0.44732222079238831</v>
      </c>
      <c r="X7" s="44">
        <f t="shared" si="4"/>
        <v>0.3872236955340031</v>
      </c>
      <c r="Y7" s="18"/>
      <c r="Z7" s="18"/>
      <c r="AA7" s="18"/>
      <c r="AB7" s="18"/>
    </row>
    <row r="8" spans="1:30" x14ac:dyDescent="0.25">
      <c r="A8" s="6" t="s">
        <v>52</v>
      </c>
      <c r="B8" s="7"/>
      <c r="C8" s="8"/>
      <c r="D8" s="85">
        <f t="shared" ref="D8:O8" si="5">D5-D6-D7</f>
        <v>0</v>
      </c>
      <c r="E8" s="85">
        <f t="shared" si="5"/>
        <v>1349.4399999999987</v>
      </c>
      <c r="F8" s="85">
        <f t="shared" si="5"/>
        <v>3041.3000000000029</v>
      </c>
      <c r="G8" s="85">
        <f t="shared" si="5"/>
        <v>3045</v>
      </c>
      <c r="H8" s="85">
        <f t="shared" si="5"/>
        <v>6169.929999999993</v>
      </c>
      <c r="I8" s="85">
        <f t="shared" si="5"/>
        <v>10276.099999999991</v>
      </c>
      <c r="J8" s="85">
        <f t="shared" si="5"/>
        <v>1114.4700000000012</v>
      </c>
      <c r="K8" s="85">
        <f t="shared" si="5"/>
        <v>2264.369999999999</v>
      </c>
      <c r="L8" s="85">
        <f t="shared" si="5"/>
        <v>2994.8499999999985</v>
      </c>
      <c r="M8" s="85">
        <f t="shared" si="5"/>
        <v>1203.5800000000017</v>
      </c>
      <c r="N8" s="85">
        <f t="shared" si="5"/>
        <v>2667.0199999999968</v>
      </c>
      <c r="O8" s="85">
        <f t="shared" si="5"/>
        <v>3439.0200000000041</v>
      </c>
      <c r="P8" s="11"/>
      <c r="Q8" s="40" t="s">
        <v>16</v>
      </c>
      <c r="R8" s="45"/>
      <c r="S8" s="45"/>
      <c r="T8" s="45"/>
      <c r="U8" s="46" t="s">
        <v>5</v>
      </c>
      <c r="V8" s="18"/>
      <c r="W8" s="18"/>
      <c r="X8" s="18"/>
      <c r="Y8" s="18"/>
      <c r="Z8" s="18"/>
      <c r="AA8" s="18"/>
      <c r="AB8" s="18"/>
    </row>
    <row r="9" spans="1:30" ht="33.75" x14ac:dyDescent="0.25">
      <c r="A9" s="6" t="s">
        <v>24</v>
      </c>
      <c r="B9" s="7"/>
      <c r="C9" s="7"/>
      <c r="D9" s="88"/>
      <c r="E9" s="85">
        <v>11605.69</v>
      </c>
      <c r="F9" s="85">
        <v>15271.4</v>
      </c>
      <c r="G9" s="85">
        <v>21951.919999999998</v>
      </c>
      <c r="H9" s="85">
        <v>35583.910000000003</v>
      </c>
      <c r="I9" s="85">
        <v>45484.42</v>
      </c>
      <c r="J9" s="85">
        <v>9740.36</v>
      </c>
      <c r="K9" s="85">
        <v>10807.04</v>
      </c>
      <c r="L9" s="85">
        <v>12614.42</v>
      </c>
      <c r="M9" s="85">
        <v>12322.6</v>
      </c>
      <c r="N9" s="11">
        <v>12719.72</v>
      </c>
      <c r="O9" s="11">
        <v>14185.52</v>
      </c>
      <c r="P9" s="11"/>
      <c r="Q9" s="49" t="s">
        <v>93</v>
      </c>
      <c r="R9" s="45"/>
      <c r="S9" s="93" t="e">
        <f t="shared" ref="S9:X9" si="6">D14/(D11-D9)</f>
        <v>#DIV/0!</v>
      </c>
      <c r="T9" s="93">
        <f t="shared" si="6"/>
        <v>0.70354848355136301</v>
      </c>
      <c r="U9" s="93">
        <f t="shared" si="6"/>
        <v>0.59343379858181877</v>
      </c>
      <c r="V9" s="93">
        <f t="shared" si="6"/>
        <v>0.7434896910327744</v>
      </c>
      <c r="W9" s="93">
        <f t="shared" si="6"/>
        <v>0.55440186204531239</v>
      </c>
      <c r="X9" s="93">
        <f t="shared" si="6"/>
        <v>0.48661624475327742</v>
      </c>
      <c r="Y9" s="18"/>
      <c r="Z9" s="18"/>
      <c r="AA9" s="18"/>
      <c r="AB9" s="18"/>
    </row>
    <row r="10" spans="1:30" ht="22.5" x14ac:dyDescent="0.25">
      <c r="A10" s="6" t="s">
        <v>53</v>
      </c>
      <c r="B10" s="10">
        <f t="shared" ref="B10:J10" si="7">B6-B9</f>
        <v>0</v>
      </c>
      <c r="C10" s="10">
        <f t="shared" si="7"/>
        <v>0</v>
      </c>
      <c r="D10" s="89">
        <f t="shared" si="7"/>
        <v>0</v>
      </c>
      <c r="E10" s="89">
        <f t="shared" si="7"/>
        <v>19419.150000000001</v>
      </c>
      <c r="F10" s="89">
        <f t="shared" si="7"/>
        <v>20225.119999999995</v>
      </c>
      <c r="G10" s="89">
        <f t="shared" si="7"/>
        <v>23794.740000000005</v>
      </c>
      <c r="H10" s="89">
        <f>H6-H9</f>
        <v>44621.53</v>
      </c>
      <c r="I10" s="89">
        <f>I6-I9</f>
        <v>71158.070000000007</v>
      </c>
      <c r="J10" s="89">
        <f t="shared" si="7"/>
        <v>15839.529999999999</v>
      </c>
      <c r="K10" s="89">
        <f>K6-K9</f>
        <v>18132.18</v>
      </c>
      <c r="L10" s="89">
        <f>L6-L9</f>
        <v>17819.440000000002</v>
      </c>
      <c r="M10" s="89">
        <f>M6-M9</f>
        <v>22065.75</v>
      </c>
      <c r="N10" s="89">
        <f>N6-N9</f>
        <v>23152.89</v>
      </c>
      <c r="O10" s="89">
        <f>O6-O9</f>
        <v>25128.749999999996</v>
      </c>
      <c r="P10" s="11"/>
      <c r="Q10" s="42" t="s">
        <v>92</v>
      </c>
      <c r="R10" s="43"/>
      <c r="S10" s="44" t="e">
        <f t="shared" ref="S10:X10" si="8">D14/D11</f>
        <v>#DIV/0!</v>
      </c>
      <c r="T10" s="44">
        <f t="shared" si="8"/>
        <v>0.45133698726272831</v>
      </c>
      <c r="U10" s="44">
        <f t="shared" si="8"/>
        <v>0.35827350898416155</v>
      </c>
      <c r="V10" s="44">
        <f t="shared" si="8"/>
        <v>0.40898526510473304</v>
      </c>
      <c r="W10" s="44">
        <f t="shared" si="8"/>
        <v>0.32600589728298701</v>
      </c>
      <c r="X10" s="44">
        <f t="shared" si="8"/>
        <v>0.31222526187850025</v>
      </c>
      <c r="Y10" s="18"/>
      <c r="Z10" s="18"/>
      <c r="AA10" s="18"/>
      <c r="AB10" s="18"/>
    </row>
    <row r="11" spans="1:30" ht="22.5" x14ac:dyDescent="0.25">
      <c r="A11" s="6" t="s">
        <v>1</v>
      </c>
      <c r="B11" s="10">
        <f>B5-B9</f>
        <v>0</v>
      </c>
      <c r="C11" s="10">
        <f t="shared" ref="C11:J11" si="9">SUM(C6:C8)</f>
        <v>0</v>
      </c>
      <c r="D11" s="89">
        <f t="shared" si="9"/>
        <v>0</v>
      </c>
      <c r="E11" s="89">
        <f t="shared" si="9"/>
        <v>32374.28</v>
      </c>
      <c r="F11" s="89">
        <f>SUM(F6:F8)</f>
        <v>38537.82</v>
      </c>
      <c r="G11" s="89">
        <f>SUM(G6:G8)</f>
        <v>48791.66</v>
      </c>
      <c r="H11" s="89">
        <f>SUM(H6:H8)</f>
        <v>86375.37</v>
      </c>
      <c r="I11" s="89">
        <f>SUM(I6:I8)</f>
        <v>126918.59</v>
      </c>
      <c r="J11" s="89">
        <f t="shared" si="9"/>
        <v>26694.36</v>
      </c>
      <c r="K11" s="89">
        <f>SUM(K6:K8)</f>
        <v>31203.59</v>
      </c>
      <c r="L11" s="89">
        <f>SUM(L6:L8)</f>
        <v>33428.71</v>
      </c>
      <c r="M11" s="89">
        <f>SUM(M6:M8)</f>
        <v>35591.93</v>
      </c>
      <c r="N11" s="89">
        <f>SUM(N6:N8)</f>
        <v>38539.629999999997</v>
      </c>
      <c r="O11" s="89">
        <f>SUM(O6:O8)</f>
        <v>42753.29</v>
      </c>
      <c r="P11" s="11"/>
      <c r="Q11" s="42" t="s">
        <v>17</v>
      </c>
      <c r="R11" s="43"/>
      <c r="S11" s="44" t="e">
        <f t="shared" ref="S11:X11" si="10">D14/AVERAGE(C22:D22)</f>
        <v>#DIV/0!</v>
      </c>
      <c r="T11" s="44">
        <f t="shared" si="10"/>
        <v>6.6286198474126021E-2</v>
      </c>
      <c r="U11" s="44">
        <f t="shared" si="10"/>
        <v>5.5275395843624175E-2</v>
      </c>
      <c r="V11" s="44">
        <f t="shared" si="10"/>
        <v>5.8559644681688512E-2</v>
      </c>
      <c r="W11" s="44">
        <f t="shared" si="10"/>
        <v>5.2745507722349677E-2</v>
      </c>
      <c r="X11" s="44">
        <f t="shared" si="10"/>
        <v>5.1708505310884431E-2</v>
      </c>
      <c r="Y11" s="18"/>
      <c r="Z11" s="18"/>
      <c r="AA11" s="18"/>
      <c r="AB11" s="18"/>
    </row>
    <row r="12" spans="1:30" x14ac:dyDescent="0.25">
      <c r="A12" s="6" t="s">
        <v>91</v>
      </c>
      <c r="B12" s="10"/>
      <c r="C12" s="10"/>
      <c r="D12" s="89"/>
      <c r="E12" s="89">
        <v>782.37</v>
      </c>
      <c r="F12" s="89">
        <v>647.09</v>
      </c>
      <c r="G12" s="89">
        <v>3330.04</v>
      </c>
      <c r="H12" s="89">
        <v>1278.0999999999999</v>
      </c>
      <c r="I12" s="89">
        <v>2313.37</v>
      </c>
      <c r="J12" s="89">
        <v>488.42</v>
      </c>
      <c r="K12" s="89">
        <v>316.85000000000002</v>
      </c>
      <c r="L12" s="89">
        <v>817.31</v>
      </c>
      <c r="M12" s="89">
        <v>690.79</v>
      </c>
      <c r="N12" s="11">
        <v>700.06</v>
      </c>
      <c r="O12" s="11">
        <v>94.7</v>
      </c>
      <c r="P12" s="11"/>
      <c r="Q12" s="40" t="s">
        <v>18</v>
      </c>
      <c r="R12" s="45"/>
      <c r="S12" s="45"/>
      <c r="T12" s="45"/>
      <c r="U12" s="46" t="s">
        <v>5</v>
      </c>
      <c r="V12" s="18"/>
      <c r="W12" s="18"/>
      <c r="X12" s="18"/>
      <c r="Y12" s="18"/>
      <c r="Z12" s="18"/>
      <c r="AA12" s="53"/>
      <c r="AB12" s="54"/>
    </row>
    <row r="13" spans="1:30" x14ac:dyDescent="0.25">
      <c r="A13" s="6" t="s">
        <v>25</v>
      </c>
      <c r="B13" s="7"/>
      <c r="C13" s="7"/>
      <c r="D13" s="88">
        <f t="shared" ref="D13:O13" si="11">D11+D12</f>
        <v>0</v>
      </c>
      <c r="E13" s="88">
        <f t="shared" si="11"/>
        <v>33156.65</v>
      </c>
      <c r="F13" s="88">
        <f t="shared" si="11"/>
        <v>39184.909999999996</v>
      </c>
      <c r="G13" s="88">
        <f t="shared" si="11"/>
        <v>52121.700000000004</v>
      </c>
      <c r="H13" s="88">
        <f t="shared" si="11"/>
        <v>87653.47</v>
      </c>
      <c r="I13" s="88">
        <f t="shared" si="11"/>
        <v>129231.95999999999</v>
      </c>
      <c r="J13" s="88">
        <f t="shared" si="11"/>
        <v>27182.78</v>
      </c>
      <c r="K13" s="88">
        <f t="shared" si="11"/>
        <v>31520.44</v>
      </c>
      <c r="L13" s="88">
        <f t="shared" si="11"/>
        <v>34246.019999999997</v>
      </c>
      <c r="M13" s="88">
        <f t="shared" si="11"/>
        <v>36282.720000000001</v>
      </c>
      <c r="N13" s="88">
        <f t="shared" si="11"/>
        <v>39239.689999999995</v>
      </c>
      <c r="O13" s="88">
        <f t="shared" si="11"/>
        <v>42847.99</v>
      </c>
      <c r="P13" s="11"/>
      <c r="Q13" s="42" t="s">
        <v>19</v>
      </c>
      <c r="R13" s="43"/>
      <c r="S13" s="44" t="e">
        <f t="shared" ref="S13:X13" si="12">D24/D23</f>
        <v>#DIV/0!</v>
      </c>
      <c r="T13" s="44">
        <f t="shared" si="12"/>
        <v>2.8274937905666094E-2</v>
      </c>
      <c r="U13" s="44">
        <f t="shared" si="12"/>
        <v>3.4169660355087804E-2</v>
      </c>
      <c r="V13" s="44">
        <f t="shared" si="12"/>
        <v>2.8278016137366271E-2</v>
      </c>
      <c r="W13" s="44">
        <f t="shared" si="12"/>
        <v>2.0606862128061704E-2</v>
      </c>
      <c r="X13" s="44">
        <f t="shared" si="12"/>
        <v>2.1393251342616524E-2</v>
      </c>
      <c r="Y13" s="48">
        <v>2.4400000000000002E-2</v>
      </c>
      <c r="Z13" s="48">
        <v>2.5700000000000001E-2</v>
      </c>
      <c r="AA13" s="48">
        <v>2.6100000000000002E-2</v>
      </c>
      <c r="AB13" s="48">
        <v>2.06E-2</v>
      </c>
      <c r="AC13" s="80">
        <v>2.1299999999999999E-2</v>
      </c>
      <c r="AD13" s="80">
        <v>1.95E-2</v>
      </c>
    </row>
    <row r="14" spans="1:30" x14ac:dyDescent="0.25">
      <c r="A14" s="6" t="s">
        <v>26</v>
      </c>
      <c r="B14" s="7"/>
      <c r="C14" s="7"/>
      <c r="D14" s="85"/>
      <c r="E14" s="85">
        <f>9240.58+1099.89+4271.24</f>
        <v>14611.71</v>
      </c>
      <c r="F14" s="85">
        <f>9159.37+841.79+3805.92</f>
        <v>13807.08</v>
      </c>
      <c r="G14" s="85">
        <f>13687.26+1070.98+5196.83</f>
        <v>19955.07</v>
      </c>
      <c r="H14" s="85">
        <f>18990.23+1166.32+8002.33</f>
        <v>28158.879999999997</v>
      </c>
      <c r="I14" s="85">
        <f>26117.34+1723.11+11786.74</f>
        <v>39627.19</v>
      </c>
      <c r="J14" s="85">
        <f>5278.5+375.49+2006.85</f>
        <v>7660.84</v>
      </c>
      <c r="K14" s="85">
        <f>5989.84+397.54+2481.56</f>
        <v>8868.94</v>
      </c>
      <c r="L14" s="85">
        <f>7230.14+407.24+3308.22</f>
        <v>10945.6</v>
      </c>
      <c r="M14" s="85">
        <f>7618.86+542.84+3990.11</f>
        <v>12151.81</v>
      </c>
      <c r="N14" s="11">
        <f>7565.92+429.98+3939.02</f>
        <v>11934.92</v>
      </c>
      <c r="O14" s="11">
        <f>7195.42+438.5+3880.2</f>
        <v>11514.119999999999</v>
      </c>
      <c r="P14" s="11"/>
      <c r="Q14" s="42" t="s">
        <v>20</v>
      </c>
      <c r="R14" s="43"/>
      <c r="S14" s="44" t="e">
        <f t="shared" ref="S14:X14" si="13">D25/D23</f>
        <v>#DIV/0!</v>
      </c>
      <c r="T14" s="44">
        <f t="shared" si="13"/>
        <v>1.3241510253712552E-2</v>
      </c>
      <c r="U14" s="44">
        <f t="shared" si="13"/>
        <v>1.6730170408734656E-2</v>
      </c>
      <c r="V14" s="44">
        <f t="shared" si="13"/>
        <v>1.4135817056665443E-2</v>
      </c>
      <c r="W14" s="44">
        <f t="shared" si="13"/>
        <v>9.0291518916747436E-3</v>
      </c>
      <c r="X14" s="44">
        <f t="shared" si="13"/>
        <v>8.4049226111162414E-3</v>
      </c>
      <c r="Y14" s="48">
        <v>1.14E-2</v>
      </c>
      <c r="Z14" s="48">
        <v>1.23E-2</v>
      </c>
      <c r="AA14" s="48">
        <v>1.17E-2</v>
      </c>
      <c r="AB14" s="48">
        <v>9.1000000000000004E-3</v>
      </c>
      <c r="AC14" s="80">
        <v>8.6E-3</v>
      </c>
      <c r="AD14" s="80">
        <v>7.9000000000000008E-3</v>
      </c>
    </row>
    <row r="15" spans="1:30" x14ac:dyDescent="0.25">
      <c r="A15" s="6" t="s">
        <v>54</v>
      </c>
      <c r="B15" s="10"/>
      <c r="C15" s="10"/>
      <c r="D15" s="89">
        <f t="shared" ref="D15:K15" si="14">D11-D14</f>
        <v>0</v>
      </c>
      <c r="E15" s="89">
        <f t="shared" si="14"/>
        <v>17762.57</v>
      </c>
      <c r="F15" s="89">
        <f t="shared" si="14"/>
        <v>24730.739999999998</v>
      </c>
      <c r="G15" s="89">
        <f t="shared" si="14"/>
        <v>28836.590000000004</v>
      </c>
      <c r="H15" s="89">
        <f>H11-H14</f>
        <v>58216.49</v>
      </c>
      <c r="I15" s="89">
        <f>I11-I14</f>
        <v>87291.4</v>
      </c>
      <c r="J15" s="89">
        <f t="shared" si="14"/>
        <v>19033.52</v>
      </c>
      <c r="K15" s="89">
        <f t="shared" si="14"/>
        <v>22334.65</v>
      </c>
      <c r="L15" s="89">
        <f>L11-L14</f>
        <v>22483.11</v>
      </c>
      <c r="M15" s="89">
        <f>M11-M14</f>
        <v>23440.120000000003</v>
      </c>
      <c r="N15" s="89">
        <f>N11-N14</f>
        <v>26604.71</v>
      </c>
      <c r="O15" s="89">
        <f>O11-O14</f>
        <v>31239.170000000002</v>
      </c>
      <c r="P15" s="11"/>
      <c r="Q15" s="42" t="s">
        <v>21</v>
      </c>
      <c r="R15" s="43"/>
      <c r="S15" s="44" t="e">
        <f t="shared" ref="S15:Y15" si="15">(S13-S14)/S13</f>
        <v>#DIV/0!</v>
      </c>
      <c r="T15" s="44">
        <f t="shared" si="15"/>
        <v>0.53168737990193604</v>
      </c>
      <c r="U15" s="44">
        <f t="shared" si="15"/>
        <v>0.51037937647385589</v>
      </c>
      <c r="V15" s="44">
        <f t="shared" si="15"/>
        <v>0.50011284426751124</v>
      </c>
      <c r="W15" s="44">
        <f t="shared" si="15"/>
        <v>0.56183761333661952</v>
      </c>
      <c r="X15" s="44">
        <f t="shared" ref="X15" si="16">(X13-X14)/X13</f>
        <v>0.60712271003084151</v>
      </c>
      <c r="Y15" s="44">
        <f t="shared" si="15"/>
        <v>0.53278688524590168</v>
      </c>
      <c r="Z15" s="18"/>
      <c r="AA15" s="18"/>
      <c r="AB15" s="18"/>
    </row>
    <row r="16" spans="1:30" x14ac:dyDescent="0.25">
      <c r="A16" s="6" t="s">
        <v>94</v>
      </c>
      <c r="B16" s="10"/>
      <c r="C16" s="10"/>
      <c r="D16" s="89">
        <f t="shared" ref="D16:K16" si="17">D13-D14-D9</f>
        <v>0</v>
      </c>
      <c r="E16" s="89">
        <f t="shared" si="17"/>
        <v>6939.2500000000018</v>
      </c>
      <c r="F16" s="89">
        <f t="shared" si="17"/>
        <v>10106.429999999995</v>
      </c>
      <c r="G16" s="89">
        <f t="shared" si="17"/>
        <v>10214.710000000006</v>
      </c>
      <c r="H16" s="89">
        <f>H13-H14-H9</f>
        <v>23910.68</v>
      </c>
      <c r="I16" s="89">
        <f>I13-I14-I9</f>
        <v>44120.349999999991</v>
      </c>
      <c r="J16" s="89">
        <f t="shared" si="17"/>
        <v>9781.5799999999981</v>
      </c>
      <c r="K16" s="89">
        <f t="shared" si="17"/>
        <v>11844.46</v>
      </c>
      <c r="L16" s="89">
        <f>L13-L14-L9</f>
        <v>10685.999999999998</v>
      </c>
      <c r="M16" s="89">
        <f>M13-M14-M9</f>
        <v>11808.310000000003</v>
      </c>
      <c r="N16" s="89">
        <f>N13-N14-N9</f>
        <v>14585.049999999997</v>
      </c>
      <c r="O16" s="89">
        <f>O13-O14-O9</f>
        <v>17148.349999999999</v>
      </c>
      <c r="P16" s="11"/>
      <c r="Q16" s="42" t="s">
        <v>22</v>
      </c>
      <c r="R16" s="43"/>
      <c r="S16" s="44" t="e">
        <f t="shared" ref="S16:X16" si="18">D17/AVERAGE(C23:D23)</f>
        <v>#DIV/0!</v>
      </c>
      <c r="T16" s="44">
        <f t="shared" si="18"/>
        <v>2.6808062448397448E-2</v>
      </c>
      <c r="U16" s="44">
        <f t="shared" si="18"/>
        <v>3.7355163400529724E-2</v>
      </c>
      <c r="V16" s="44">
        <f t="shared" si="18"/>
        <v>1.345614358249801E-2</v>
      </c>
      <c r="W16" s="44">
        <f t="shared" si="18"/>
        <v>-2.5508039311596944E-3</v>
      </c>
      <c r="X16" s="44">
        <f t="shared" si="18"/>
        <v>-2.9948412640910427E-3</v>
      </c>
      <c r="Y16" s="44" t="e">
        <f>(J17*4)/J23</f>
        <v>#DIV/0!</v>
      </c>
      <c r="Z16" s="44">
        <f t="shared" ref="Z16:AD16" si="19">(K17*4)/K23</f>
        <v>-3.6899853230237729E-3</v>
      </c>
      <c r="AA16" s="44" t="e">
        <f t="shared" si="19"/>
        <v>#DIV/0!</v>
      </c>
      <c r="AB16" s="44" t="e">
        <f t="shared" si="19"/>
        <v>#DIV/0!</v>
      </c>
      <c r="AC16" s="44" t="e">
        <f t="shared" si="19"/>
        <v>#DIV/0!</v>
      </c>
      <c r="AD16" s="44">
        <f t="shared" si="19"/>
        <v>2.4751895238299713E-2</v>
      </c>
    </row>
    <row r="17" spans="1:28" x14ac:dyDescent="0.25">
      <c r="A17" s="6" t="s">
        <v>27</v>
      </c>
      <c r="B17" s="7"/>
      <c r="C17" s="7"/>
      <c r="D17" s="88"/>
      <c r="E17" s="85">
        <v>5634.74</v>
      </c>
      <c r="F17" s="85">
        <v>8865.3700000000008</v>
      </c>
      <c r="G17" s="85">
        <v>4351.6400000000003</v>
      </c>
      <c r="H17" s="85">
        <v>-1195.76</v>
      </c>
      <c r="I17" s="85">
        <v>-1946.88</v>
      </c>
      <c r="J17" s="85">
        <v>1481.88</v>
      </c>
      <c r="K17" s="85">
        <v>-574.19000000000005</v>
      </c>
      <c r="L17" s="85">
        <v>-2151.62</v>
      </c>
      <c r="M17" s="85">
        <v>-702.95</v>
      </c>
      <c r="N17" s="11">
        <v>2025.01</v>
      </c>
      <c r="O17" s="11">
        <v>5499.16</v>
      </c>
      <c r="P17" s="11"/>
      <c r="Q17" s="18"/>
      <c r="R17" s="18"/>
      <c r="S17" s="18"/>
      <c r="T17" s="18"/>
      <c r="U17" s="18"/>
      <c r="V17" s="18"/>
      <c r="W17" s="18"/>
      <c r="X17" s="18"/>
      <c r="Y17" s="18"/>
      <c r="Z17" s="18"/>
      <c r="AA17" s="18"/>
      <c r="AB17" s="18"/>
    </row>
    <row r="18" spans="1:28" x14ac:dyDescent="0.25">
      <c r="A18" s="6" t="s">
        <v>55</v>
      </c>
      <c r="B18" s="7"/>
      <c r="C18" s="7"/>
      <c r="D18" s="88"/>
      <c r="E18" s="85">
        <v>275.41000000000003</v>
      </c>
      <c r="F18" s="89">
        <v>1023.44</v>
      </c>
      <c r="G18" s="89">
        <v>3611.77</v>
      </c>
      <c r="H18" s="89">
        <v>12080.11</v>
      </c>
      <c r="I18" s="89">
        <v>31489.55</v>
      </c>
      <c r="J18" s="89">
        <v>8299.7000000000007</v>
      </c>
      <c r="K18" s="89">
        <v>8653.4699999999993</v>
      </c>
      <c r="L18" s="89">
        <v>12837.62</v>
      </c>
      <c r="M18" s="89">
        <v>9013.34</v>
      </c>
      <c r="N18" s="11">
        <v>9323.59</v>
      </c>
      <c r="O18" s="11">
        <v>8599.32</v>
      </c>
      <c r="P18" s="11"/>
      <c r="Q18" s="40" t="s">
        <v>30</v>
      </c>
      <c r="R18" s="45"/>
      <c r="S18" s="45"/>
      <c r="T18" s="45"/>
      <c r="U18" s="46" t="s">
        <v>5</v>
      </c>
      <c r="V18" s="18"/>
      <c r="W18" s="18"/>
      <c r="X18" s="18"/>
      <c r="Y18" s="18"/>
      <c r="Z18" s="18"/>
      <c r="AA18" s="18"/>
      <c r="AB18" s="18"/>
    </row>
    <row r="19" spans="1:28" ht="22.5" x14ac:dyDescent="0.25">
      <c r="A19" s="6" t="s">
        <v>28</v>
      </c>
      <c r="B19" s="7"/>
      <c r="C19" s="7"/>
      <c r="D19" s="88"/>
      <c r="E19" s="85">
        <f>38615.3+63812.28</f>
        <v>102427.58</v>
      </c>
      <c r="F19" s="85">
        <f>38624.42+65950.36</f>
        <v>104574.78</v>
      </c>
      <c r="G19" s="85">
        <v>111231.44</v>
      </c>
      <c r="H19" s="85">
        <v>248367.41</v>
      </c>
      <c r="I19" s="85">
        <f>332040.2-6126.09-37461.82</f>
        <v>288452.28999999998</v>
      </c>
      <c r="J19" s="85"/>
      <c r="K19" s="85">
        <v>262340.83</v>
      </c>
      <c r="L19" s="85"/>
      <c r="M19" s="85"/>
      <c r="N19" s="11"/>
      <c r="O19" s="11">
        <f>351229.68-6126.09-31483.99</f>
        <v>313619.59999999998</v>
      </c>
      <c r="P19" s="11"/>
      <c r="Q19" s="46" t="s">
        <v>95</v>
      </c>
      <c r="R19" s="51"/>
      <c r="S19" s="51"/>
      <c r="T19" s="52">
        <f>E16/AVERAGE(D22:E22)</f>
        <v>3.1479991237273332E-2</v>
      </c>
      <c r="U19" s="52">
        <f>F16/AVERAGE(E22:F22)</f>
        <v>4.0460178315464126E-2</v>
      </c>
      <c r="V19" s="52">
        <f>G16/AVERAGE(F22:G22)</f>
        <v>2.9975830108663653E-2</v>
      </c>
      <c r="W19" s="52">
        <f>H16/AVERAGE(G22:H22)</f>
        <v>4.4788036902981658E-2</v>
      </c>
      <c r="X19" s="52">
        <f>I16/AVERAGE(H22:I22)</f>
        <v>5.7571514717371569E-2</v>
      </c>
      <c r="Y19" s="18"/>
      <c r="Z19" s="18"/>
      <c r="AA19" s="18"/>
      <c r="AB19" s="18"/>
    </row>
    <row r="20" spans="1:28" x14ac:dyDescent="0.25">
      <c r="A20" s="6" t="s">
        <v>56</v>
      </c>
      <c r="B20" s="7"/>
      <c r="C20" s="7"/>
      <c r="D20" s="88">
        <f t="shared" ref="D20:O20" si="20">D19-D71</f>
        <v>0</v>
      </c>
      <c r="E20" s="89">
        <f t="shared" si="20"/>
        <v>102427.58</v>
      </c>
      <c r="F20" s="89">
        <f t="shared" si="20"/>
        <v>104574.78</v>
      </c>
      <c r="G20" s="89">
        <f t="shared" si="20"/>
        <v>111231.44</v>
      </c>
      <c r="H20" s="89">
        <f t="shared" si="20"/>
        <v>248367.41</v>
      </c>
      <c r="I20" s="89">
        <f t="shared" si="20"/>
        <v>288452.28999999998</v>
      </c>
      <c r="J20" s="89">
        <f t="shared" si="20"/>
        <v>0</v>
      </c>
      <c r="K20" s="89">
        <f t="shared" si="20"/>
        <v>262340.83</v>
      </c>
      <c r="L20" s="89">
        <f t="shared" si="20"/>
        <v>0</v>
      </c>
      <c r="M20" s="89">
        <f t="shared" si="20"/>
        <v>0</v>
      </c>
      <c r="N20" s="89">
        <f t="shared" si="20"/>
        <v>0</v>
      </c>
      <c r="O20" s="89">
        <f t="shared" si="20"/>
        <v>313619.59999999998</v>
      </c>
      <c r="P20" s="11"/>
      <c r="Q20" s="42" t="s">
        <v>31</v>
      </c>
      <c r="R20" s="43"/>
      <c r="S20" s="43">
        <v>4.4699999999999997E-2</v>
      </c>
      <c r="T20" s="44">
        <f>E18/AVERAGE(D22:E22)</f>
        <v>1.249400783464704E-3</v>
      </c>
      <c r="U20" s="44">
        <f>F18/AVERAGE(E22:F22)</f>
        <v>4.0972494634780657E-3</v>
      </c>
      <c r="V20" s="44">
        <f>G18/AVERAGE(F22:G22)</f>
        <v>1.0599009067469176E-2</v>
      </c>
      <c r="W20" s="44">
        <f>H18/AVERAGE(G22:H22)</f>
        <v>2.2627730055024688E-2</v>
      </c>
      <c r="X20" s="44">
        <f>I18/AVERAGE(H22:I22)</f>
        <v>4.1089907293763717E-2</v>
      </c>
      <c r="Y20" s="48"/>
      <c r="Z20" s="18"/>
      <c r="AA20" s="18"/>
      <c r="AB20" s="18"/>
    </row>
    <row r="21" spans="1:28" x14ac:dyDescent="0.25">
      <c r="A21" s="6" t="s">
        <v>57</v>
      </c>
      <c r="B21" s="9"/>
      <c r="C21" s="9"/>
      <c r="D21" s="85"/>
      <c r="E21" s="85">
        <f>42105.62+70321.28</f>
        <v>112426.9</v>
      </c>
      <c r="F21" s="85">
        <f>73827.02+93422.08</f>
        <v>167249.1</v>
      </c>
      <c r="G21" s="85">
        <f>106523.77+175065.49</f>
        <v>281589.26</v>
      </c>
      <c r="H21" s="85">
        <f>115190.08+276105.88</f>
        <v>391295.96</v>
      </c>
      <c r="I21" s="85">
        <f>96989.55+404365.93</f>
        <v>501355.48</v>
      </c>
      <c r="J21" s="85"/>
      <c r="K21" s="85">
        <f>102651.62+362327.2</f>
        <v>464978.82</v>
      </c>
      <c r="L21" s="85"/>
      <c r="M21" s="85"/>
      <c r="N21" s="11"/>
      <c r="O21" s="11">
        <f>144279.83+528687.12</f>
        <v>672966.95</v>
      </c>
      <c r="P21" s="11"/>
      <c r="Q21" s="42" t="s">
        <v>32</v>
      </c>
      <c r="R21" s="43"/>
      <c r="S21" s="44" t="e">
        <f t="shared" ref="S21:X21" si="21">D18/AVERAGE(C19:D19)</f>
        <v>#DIV/0!</v>
      </c>
      <c r="T21" s="44">
        <f t="shared" si="21"/>
        <v>2.6888265836213258E-3</v>
      </c>
      <c r="U21" s="44">
        <f t="shared" si="21"/>
        <v>9.8881964437506908E-3</v>
      </c>
      <c r="V21" s="44">
        <f t="shared" si="21"/>
        <v>3.3472343846252438E-2</v>
      </c>
      <c r="W21" s="44">
        <f t="shared" si="21"/>
        <v>6.7186588611170481E-2</v>
      </c>
      <c r="X21" s="44">
        <f t="shared" si="21"/>
        <v>0.11731890614297501</v>
      </c>
      <c r="Y21" s="18"/>
      <c r="Z21" s="18"/>
      <c r="AA21" s="18"/>
      <c r="AB21" s="18"/>
    </row>
    <row r="22" spans="1:28" x14ac:dyDescent="0.25">
      <c r="A22" s="6" t="s">
        <v>29</v>
      </c>
      <c r="B22" s="7"/>
      <c r="C22" s="7"/>
      <c r="D22" s="88"/>
      <c r="E22" s="85">
        <v>220433.67</v>
      </c>
      <c r="F22" s="85">
        <v>279140.5</v>
      </c>
      <c r="G22" s="85">
        <v>402389.25</v>
      </c>
      <c r="H22" s="85">
        <v>665336.93999999994</v>
      </c>
      <c r="I22" s="85">
        <v>867377.64</v>
      </c>
      <c r="J22" s="85"/>
      <c r="K22" s="85">
        <v>756798.43</v>
      </c>
      <c r="L22" s="85"/>
      <c r="M22" s="85"/>
      <c r="N22" s="11"/>
      <c r="O22" s="11">
        <v>1058012.3400000001</v>
      </c>
      <c r="P22" s="11"/>
      <c r="Q22" s="40" t="s">
        <v>33</v>
      </c>
      <c r="R22" s="45"/>
      <c r="S22" s="45"/>
      <c r="T22" s="45"/>
      <c r="U22" s="46" t="s">
        <v>5</v>
      </c>
      <c r="V22" s="18"/>
      <c r="W22" s="18"/>
      <c r="X22" s="18"/>
      <c r="Y22" s="18"/>
      <c r="Z22" s="18"/>
      <c r="AA22" s="18"/>
      <c r="AB22" s="18"/>
    </row>
    <row r="23" spans="1:28" x14ac:dyDescent="0.25">
      <c r="A23" s="6" t="s">
        <v>58</v>
      </c>
      <c r="B23" s="7"/>
      <c r="C23" s="7"/>
      <c r="D23" s="88"/>
      <c r="E23" s="85">
        <v>210188.26</v>
      </c>
      <c r="F23" s="85">
        <v>264464.73</v>
      </c>
      <c r="G23" s="85">
        <v>382323.85</v>
      </c>
      <c r="H23" s="85">
        <v>555231.55000000005</v>
      </c>
      <c r="I23" s="85">
        <v>744924.17</v>
      </c>
      <c r="J23" s="85"/>
      <c r="K23" s="85">
        <v>622430.66</v>
      </c>
      <c r="L23" s="85"/>
      <c r="M23" s="85"/>
      <c r="N23" s="11"/>
      <c r="O23" s="11">
        <v>888685.08</v>
      </c>
      <c r="P23" s="11"/>
      <c r="Q23" s="42" t="s">
        <v>34</v>
      </c>
      <c r="R23" s="43"/>
      <c r="S23" s="44" t="e">
        <f t="shared" ref="S23:X23" si="22">D6/AVERAGE(C23:D23)</f>
        <v>#DIV/0!</v>
      </c>
      <c r="T23" s="44">
        <f t="shared" si="22"/>
        <v>0.14760500895720816</v>
      </c>
      <c r="U23" s="44">
        <f t="shared" si="22"/>
        <v>0.14956829830567378</v>
      </c>
      <c r="V23" s="44">
        <f t="shared" si="22"/>
        <v>0.14145784701393463</v>
      </c>
      <c r="W23" s="44">
        <f t="shared" si="22"/>
        <v>0.17109482810295798</v>
      </c>
      <c r="X23" s="44">
        <f t="shared" si="22"/>
        <v>0.1794284918425002</v>
      </c>
      <c r="Y23" s="18"/>
      <c r="Z23" s="18"/>
      <c r="AA23" s="18"/>
      <c r="AB23" s="18"/>
    </row>
    <row r="24" spans="1:28" x14ac:dyDescent="0.25">
      <c r="A24" s="6" t="s">
        <v>59</v>
      </c>
      <c r="B24" s="10"/>
      <c r="C24" s="10"/>
      <c r="D24" s="89"/>
      <c r="E24" s="89">
        <v>5943.06</v>
      </c>
      <c r="F24" s="89">
        <v>9036.67</v>
      </c>
      <c r="G24" s="89">
        <v>10811.36</v>
      </c>
      <c r="H24" s="89">
        <v>11441.58</v>
      </c>
      <c r="I24" s="89">
        <v>15936.35</v>
      </c>
      <c r="J24" s="89"/>
      <c r="K24" s="89"/>
      <c r="L24" s="89"/>
      <c r="M24" s="89"/>
      <c r="N24" s="11"/>
      <c r="O24" s="11"/>
      <c r="P24" s="11"/>
      <c r="Q24" s="42" t="s">
        <v>35</v>
      </c>
      <c r="R24" s="43"/>
      <c r="S24" s="44" t="e">
        <f t="shared" ref="S24:X24" si="23">D9/AVERAGE(C21:D21)</f>
        <v>#DIV/0!</v>
      </c>
      <c r="T24" s="44">
        <f t="shared" si="23"/>
        <v>0.10322876464618344</v>
      </c>
      <c r="U24" s="44">
        <f t="shared" si="23"/>
        <v>0.10920779759435918</v>
      </c>
      <c r="V24" s="44">
        <f t="shared" si="23"/>
        <v>9.7816594820460526E-2</v>
      </c>
      <c r="W24" s="44">
        <f t="shared" si="23"/>
        <v>0.10576517046993544</v>
      </c>
      <c r="X24" s="44">
        <f t="shared" si="23"/>
        <v>0.10190857923222529</v>
      </c>
      <c r="Y24" s="18"/>
      <c r="Z24" s="18"/>
      <c r="AA24" s="18"/>
      <c r="AB24" s="18"/>
    </row>
    <row r="25" spans="1:28" x14ac:dyDescent="0.25">
      <c r="A25" s="6" t="s">
        <v>60</v>
      </c>
      <c r="B25" s="10"/>
      <c r="C25" s="10"/>
      <c r="D25" s="89"/>
      <c r="E25" s="89">
        <v>2783.21</v>
      </c>
      <c r="F25" s="89">
        <v>4424.54</v>
      </c>
      <c r="G25" s="89">
        <v>5404.46</v>
      </c>
      <c r="H25" s="89">
        <v>5013.2700000000004</v>
      </c>
      <c r="I25" s="89">
        <v>6261.03</v>
      </c>
      <c r="J25" s="89"/>
      <c r="K25" s="89"/>
      <c r="L25" s="89"/>
      <c r="M25" s="89"/>
      <c r="N25" s="11"/>
      <c r="O25" s="11"/>
      <c r="P25" s="11"/>
      <c r="Q25" s="42" t="s">
        <v>36</v>
      </c>
      <c r="R25" s="43"/>
      <c r="S25" s="48" t="e">
        <f t="shared" ref="S25:X25" si="24">S23-S24</f>
        <v>#DIV/0!</v>
      </c>
      <c r="T25" s="48">
        <f t="shared" si="24"/>
        <v>4.4376244311024715E-2</v>
      </c>
      <c r="U25" s="48">
        <f t="shared" si="24"/>
        <v>4.0360500711314598E-2</v>
      </c>
      <c r="V25" s="48">
        <f t="shared" si="24"/>
        <v>4.3641252193474103E-2</v>
      </c>
      <c r="W25" s="48">
        <f t="shared" si="24"/>
        <v>6.5329657633022536E-2</v>
      </c>
      <c r="X25" s="48">
        <f t="shared" si="24"/>
        <v>7.751991261027491E-2</v>
      </c>
      <c r="Y25" s="18"/>
      <c r="Z25" s="18"/>
      <c r="AA25" s="18"/>
      <c r="AB25" s="18"/>
    </row>
    <row r="27" spans="1:28" x14ac:dyDescent="0.25">
      <c r="A27" s="732" t="s">
        <v>275</v>
      </c>
      <c r="B27" s="732"/>
      <c r="C27" s="732"/>
      <c r="D27" s="732"/>
      <c r="E27" s="732"/>
      <c r="F27" s="732"/>
      <c r="G27" s="732"/>
      <c r="H27" s="732"/>
      <c r="I27" s="732"/>
      <c r="J27" s="732"/>
      <c r="K27" s="732"/>
      <c r="L27" s="732"/>
      <c r="M27" s="732"/>
      <c r="N27" s="732"/>
      <c r="O27" s="732"/>
      <c r="P27" s="732"/>
    </row>
    <row r="28" spans="1:28" x14ac:dyDescent="0.25">
      <c r="A28" s="732"/>
      <c r="B28" s="732"/>
      <c r="C28" s="732"/>
      <c r="D28" s="732"/>
      <c r="E28" s="732"/>
      <c r="F28" s="732"/>
      <c r="G28" s="732"/>
      <c r="H28" s="732"/>
      <c r="I28" s="732"/>
      <c r="J28" s="732"/>
      <c r="K28" s="732"/>
      <c r="L28" s="732"/>
      <c r="M28" s="732"/>
      <c r="N28" s="732"/>
      <c r="O28" s="732"/>
      <c r="P28" s="732"/>
    </row>
    <row r="29" spans="1:28" x14ac:dyDescent="0.25">
      <c r="A29" s="732"/>
      <c r="B29" s="732"/>
      <c r="C29" s="732"/>
      <c r="D29" s="732"/>
      <c r="E29" s="732"/>
      <c r="F29" s="732"/>
      <c r="G29" s="732"/>
      <c r="H29" s="732"/>
      <c r="I29" s="732"/>
      <c r="J29" s="732"/>
      <c r="K29" s="732"/>
      <c r="L29" s="732"/>
      <c r="M29" s="732"/>
      <c r="N29" s="732"/>
      <c r="O29" s="732"/>
      <c r="P29" s="732"/>
    </row>
  </sheetData>
  <mergeCells count="2">
    <mergeCell ref="K1:M1"/>
    <mergeCell ref="A27:P29"/>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Y31"/>
  <sheetViews>
    <sheetView topLeftCell="B1" workbookViewId="0">
      <selection activeCell="A12" sqref="A12"/>
    </sheetView>
  </sheetViews>
  <sheetFormatPr defaultRowHeight="15" x14ac:dyDescent="0.25"/>
  <cols>
    <col min="1" max="1" width="30.5703125" customWidth="1"/>
    <col min="4" max="4" width="11.140625" customWidth="1"/>
    <col min="5" max="5" width="11.28515625" customWidth="1"/>
    <col min="6" max="6" width="11.7109375" customWidth="1"/>
    <col min="7" max="8" width="14.85546875" customWidth="1"/>
    <col min="9" max="12" width="11.28515625" bestFit="1" customWidth="1"/>
    <col min="15" max="15" width="29.140625" customWidth="1"/>
    <col min="17" max="17" width="13.42578125" customWidth="1"/>
    <col min="18" max="18" width="13.7109375" customWidth="1"/>
    <col min="19" max="19" width="12.5703125" customWidth="1"/>
    <col min="20" max="21" width="13.7109375" customWidth="1"/>
  </cols>
  <sheetData>
    <row r="1" spans="1:25" x14ac:dyDescent="0.25">
      <c r="J1" s="772" t="s">
        <v>119</v>
      </c>
      <c r="K1" s="772"/>
      <c r="L1" s="772"/>
    </row>
    <row r="2" spans="1:25" ht="45" x14ac:dyDescent="0.25">
      <c r="A2" s="3"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1" t="s">
        <v>492</v>
      </c>
      <c r="V2" s="40" t="s">
        <v>37</v>
      </c>
      <c r="W2" s="41" t="s">
        <v>38</v>
      </c>
      <c r="X2" s="41" t="s">
        <v>39</v>
      </c>
      <c r="Y2" s="41" t="s">
        <v>40</v>
      </c>
    </row>
    <row r="3" spans="1:25" x14ac:dyDescent="0.25">
      <c r="A3" s="3"/>
      <c r="B3" s="1" t="s">
        <v>46</v>
      </c>
      <c r="C3" s="4" t="s">
        <v>47</v>
      </c>
      <c r="D3" s="5" t="s">
        <v>47</v>
      </c>
      <c r="E3" s="5" t="s">
        <v>47</v>
      </c>
      <c r="F3" s="1" t="s">
        <v>46</v>
      </c>
      <c r="G3" s="1" t="s">
        <v>46</v>
      </c>
      <c r="H3" s="1" t="s">
        <v>46</v>
      </c>
      <c r="I3" s="1" t="s">
        <v>96</v>
      </c>
      <c r="J3" s="1"/>
      <c r="K3" s="1"/>
      <c r="L3" s="1"/>
      <c r="M3" s="11"/>
      <c r="N3" s="11"/>
      <c r="O3" s="42" t="s">
        <v>11</v>
      </c>
      <c r="P3" s="43"/>
      <c r="Q3" s="44">
        <f>D10/AVERAGE(C23:D23)</f>
        <v>3.5690211229671844E-2</v>
      </c>
      <c r="R3" s="44">
        <f>E10/AVERAGE(D23:E23)</f>
        <v>4.0374231988407519E-2</v>
      </c>
      <c r="S3" s="44">
        <f>F10/AVERAGE(E23:F23)</f>
        <v>4.6271370579277937E-2</v>
      </c>
      <c r="T3" s="44">
        <f>G10/AVERAGE(F23:G23)</f>
        <v>5.32199071060225E-2</v>
      </c>
      <c r="U3" s="44">
        <f>H10/AVERAGE(G23:H23)</f>
        <v>5.5905227417467618E-2</v>
      </c>
      <c r="V3" s="18"/>
      <c r="W3" s="18"/>
      <c r="X3" s="18"/>
      <c r="Y3" s="18"/>
    </row>
    <row r="4" spans="1:25" x14ac:dyDescent="0.25">
      <c r="A4" s="3"/>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D5">
        <v>561625.91</v>
      </c>
      <c r="E5">
        <v>620173.96</v>
      </c>
      <c r="F5" s="85">
        <v>551799.78</v>
      </c>
      <c r="G5" s="90">
        <v>578485.6</v>
      </c>
      <c r="H5" s="90">
        <v>823686.83</v>
      </c>
      <c r="I5" s="85">
        <v>161205.22</v>
      </c>
      <c r="J5" s="85">
        <v>184237.86</v>
      </c>
      <c r="K5" s="85">
        <v>221002.92</v>
      </c>
      <c r="L5" s="85">
        <v>249103.11</v>
      </c>
      <c r="M5" s="11"/>
      <c r="N5" s="11"/>
      <c r="O5" s="42" t="s">
        <v>13</v>
      </c>
      <c r="P5" s="46"/>
      <c r="Q5" s="47">
        <f>D21/D20</f>
        <v>6.0874384642218784</v>
      </c>
      <c r="R5" s="47">
        <f>E21/E20</f>
        <v>5.3736433404359492</v>
      </c>
      <c r="S5" s="47">
        <f>F21/F20</f>
        <v>4.6634698138107655</v>
      </c>
      <c r="T5" s="47">
        <f>G21/G20</f>
        <v>4.6636703337924823</v>
      </c>
      <c r="U5" s="47">
        <f>H21/H20</f>
        <v>6.193718315011381</v>
      </c>
      <c r="V5" s="18"/>
      <c r="W5" s="18"/>
      <c r="X5" s="18"/>
      <c r="Y5" s="18"/>
    </row>
    <row r="6" spans="1:25" x14ac:dyDescent="0.25">
      <c r="A6" s="6" t="s">
        <v>50</v>
      </c>
      <c r="B6" s="7"/>
      <c r="C6" s="8"/>
      <c r="D6">
        <v>509701.92</v>
      </c>
      <c r="E6">
        <v>557426.53</v>
      </c>
      <c r="F6" s="85">
        <v>522908.44</v>
      </c>
      <c r="G6" s="85">
        <v>545792.81999999995</v>
      </c>
      <c r="H6" s="85">
        <v>762284.2</v>
      </c>
      <c r="I6" s="85">
        <v>154028.26</v>
      </c>
      <c r="J6" s="85">
        <v>174321.77</v>
      </c>
      <c r="K6" s="85">
        <v>209704.64</v>
      </c>
      <c r="L6" s="85">
        <v>234411.42</v>
      </c>
      <c r="M6" s="11"/>
      <c r="N6" s="11"/>
      <c r="O6" s="42" t="s">
        <v>14</v>
      </c>
      <c r="P6" s="43"/>
      <c r="Q6" s="43">
        <v>0.17449999999999999</v>
      </c>
      <c r="R6" s="43">
        <v>0.1908</v>
      </c>
      <c r="S6" s="43">
        <v>0.22700000000000001</v>
      </c>
      <c r="T6" s="48">
        <v>0.2177</v>
      </c>
      <c r="U6" s="48">
        <v>0.1638</v>
      </c>
      <c r="V6" s="48">
        <v>0.2099</v>
      </c>
      <c r="W6" s="154">
        <v>0.19</v>
      </c>
      <c r="X6" s="48">
        <v>0.17469999999999999</v>
      </c>
      <c r="Y6" s="48">
        <v>0.1638</v>
      </c>
    </row>
    <row r="7" spans="1:25" x14ac:dyDescent="0.25">
      <c r="A7" s="6" t="s">
        <v>51</v>
      </c>
      <c r="B7" s="7"/>
      <c r="C7" s="8"/>
      <c r="D7" s="87"/>
      <c r="E7" s="85"/>
      <c r="F7" s="85">
        <v>0</v>
      </c>
      <c r="G7" s="85">
        <v>0</v>
      </c>
      <c r="H7" s="85"/>
      <c r="I7" s="85"/>
      <c r="J7" s="85"/>
      <c r="K7" s="85"/>
      <c r="L7" s="85"/>
      <c r="M7" s="11"/>
      <c r="N7" s="11"/>
      <c r="O7" s="42" t="s">
        <v>15</v>
      </c>
      <c r="P7" s="43"/>
      <c r="Q7" s="44">
        <f>D20/D23</f>
        <v>0.14373367199224649</v>
      </c>
      <c r="R7" s="44">
        <f>E20/E23</f>
        <v>0.17235473315615518</v>
      </c>
      <c r="S7" s="44">
        <f>F20/F23</f>
        <v>0.18177972517159119</v>
      </c>
      <c r="T7" s="44">
        <f>G20/G23</f>
        <v>0.18032201305850687</v>
      </c>
      <c r="U7" s="44">
        <f>H20/H23</f>
        <v>0.14276747510988311</v>
      </c>
      <c r="V7" s="18"/>
      <c r="W7" s="18"/>
      <c r="X7" s="18"/>
      <c r="Y7" s="18"/>
    </row>
    <row r="8" spans="1:25" x14ac:dyDescent="0.25">
      <c r="A8" s="6" t="s">
        <v>52</v>
      </c>
      <c r="B8" s="7"/>
      <c r="C8" s="8"/>
      <c r="D8" s="85">
        <f t="shared" ref="D8:L8" si="0">D5-D6-D7</f>
        <v>51923.990000000049</v>
      </c>
      <c r="E8" s="85">
        <f t="shared" si="0"/>
        <v>62747.429999999935</v>
      </c>
      <c r="F8" s="85">
        <f t="shared" si="0"/>
        <v>28891.340000000026</v>
      </c>
      <c r="G8" s="85">
        <f t="shared" si="0"/>
        <v>32692.780000000028</v>
      </c>
      <c r="H8" s="85">
        <f t="shared" si="0"/>
        <v>61402.630000000005</v>
      </c>
      <c r="I8" s="85">
        <f t="shared" si="0"/>
        <v>7176.9599999999919</v>
      </c>
      <c r="J8" s="85">
        <f t="shared" si="0"/>
        <v>9916.0899999999965</v>
      </c>
      <c r="K8" s="85">
        <f t="shared" si="0"/>
        <v>11298.279999999999</v>
      </c>
      <c r="L8" s="85">
        <f t="shared" si="0"/>
        <v>14691.689999999973</v>
      </c>
      <c r="M8" s="11"/>
      <c r="N8" s="11"/>
      <c r="O8" s="40" t="s">
        <v>16</v>
      </c>
      <c r="P8" s="45"/>
      <c r="Q8" s="45"/>
      <c r="R8" s="45"/>
      <c r="S8" s="46" t="s">
        <v>5</v>
      </c>
      <c r="T8" s="18"/>
      <c r="U8" s="18"/>
      <c r="V8" s="18"/>
      <c r="W8" s="18"/>
      <c r="X8" s="18"/>
      <c r="Y8" s="18"/>
    </row>
    <row r="9" spans="1:25" ht="33.75" x14ac:dyDescent="0.25">
      <c r="A9" s="6" t="s">
        <v>24</v>
      </c>
      <c r="B9" s="7"/>
      <c r="C9" s="7"/>
      <c r="D9" s="88">
        <v>328754.87</v>
      </c>
      <c r="E9" s="85">
        <v>360463.51</v>
      </c>
      <c r="F9" s="85">
        <v>301990.53000000003</v>
      </c>
      <c r="G9" s="85">
        <v>270909.59000000003</v>
      </c>
      <c r="H9" s="85">
        <v>385717.77</v>
      </c>
      <c r="I9" s="85">
        <v>72890.48</v>
      </c>
      <c r="J9" s="85">
        <v>85142.68</v>
      </c>
      <c r="K9" s="85">
        <v>104001.24</v>
      </c>
      <c r="L9" s="85">
        <v>123683.37</v>
      </c>
      <c r="M9" s="11"/>
      <c r="N9" s="11"/>
      <c r="O9" s="49" t="s">
        <v>93</v>
      </c>
      <c r="P9" s="45"/>
      <c r="Q9" s="50">
        <f>D14/(D11-D9)</f>
        <v>0.35825583979871428</v>
      </c>
      <c r="R9" s="50">
        <f>E14/(E11-E9)</f>
        <v>0.32732140735961923</v>
      </c>
      <c r="S9" s="50">
        <f>F14/(F11-F9)</f>
        <v>0.31819073953426469</v>
      </c>
      <c r="T9" s="50">
        <f>G14/(G11-G9)</f>
        <v>0.30795646253425296</v>
      </c>
      <c r="U9" s="50">
        <f>H14/(H11-H9)</f>
        <v>0.32350234968652808</v>
      </c>
      <c r="V9" s="18"/>
      <c r="W9" s="18"/>
      <c r="X9" s="18"/>
      <c r="Y9" s="18"/>
    </row>
    <row r="10" spans="1:25" ht="22.5" x14ac:dyDescent="0.25">
      <c r="A10" s="6" t="s">
        <v>53</v>
      </c>
      <c r="B10" s="10">
        <f t="shared" ref="B10:I10" si="1">B6-B9</f>
        <v>0</v>
      </c>
      <c r="C10" s="10">
        <f t="shared" si="1"/>
        <v>0</v>
      </c>
      <c r="D10" s="89">
        <f t="shared" si="1"/>
        <v>180947.05</v>
      </c>
      <c r="E10" s="89">
        <f t="shared" si="1"/>
        <v>196963.02000000002</v>
      </c>
      <c r="F10" s="89">
        <f t="shared" si="1"/>
        <v>220917.90999999997</v>
      </c>
      <c r="G10" s="89">
        <f t="shared" si="1"/>
        <v>274883.22999999992</v>
      </c>
      <c r="H10" s="89">
        <f>H6-H9</f>
        <v>376566.42999999993</v>
      </c>
      <c r="I10" s="89">
        <f t="shared" si="1"/>
        <v>81137.780000000013</v>
      </c>
      <c r="J10" s="89">
        <f>J6-J9</f>
        <v>89179.09</v>
      </c>
      <c r="K10" s="89">
        <f>K6-K9</f>
        <v>105703.40000000001</v>
      </c>
      <c r="L10" s="89">
        <f>L6-L9</f>
        <v>110728.05000000002</v>
      </c>
      <c r="M10" s="11"/>
      <c r="N10" s="11"/>
      <c r="O10" s="42" t="s">
        <v>92</v>
      </c>
      <c r="P10" s="43"/>
      <c r="Q10" s="44">
        <f>D14/D11</f>
        <v>0.14854622714966978</v>
      </c>
      <c r="R10" s="44">
        <f>E14/E11</f>
        <v>0.13707249172474126</v>
      </c>
      <c r="S10" s="44">
        <f>F14/F11</f>
        <v>0.14405041988237111</v>
      </c>
      <c r="T10" s="44">
        <f>G14/G11</f>
        <v>0.16373790462545654</v>
      </c>
      <c r="U10" s="44">
        <f>H14/H11</f>
        <v>0.17201200121167409</v>
      </c>
      <c r="V10" s="18"/>
      <c r="W10" s="18"/>
      <c r="X10" s="18"/>
      <c r="Y10" s="18"/>
    </row>
    <row r="11" spans="1:25" ht="22.5" x14ac:dyDescent="0.25">
      <c r="A11" s="6" t="s">
        <v>1</v>
      </c>
      <c r="B11" s="10">
        <f>B5-B9</f>
        <v>0</v>
      </c>
      <c r="C11" s="10">
        <f t="shared" ref="C11:I11" si="2">SUM(C6:C8)</f>
        <v>0</v>
      </c>
      <c r="D11" s="89">
        <f t="shared" si="2"/>
        <v>561625.91</v>
      </c>
      <c r="E11" s="89">
        <f t="shared" si="2"/>
        <v>620173.96</v>
      </c>
      <c r="F11" s="89">
        <f>SUM(F6:F8)</f>
        <v>551799.78</v>
      </c>
      <c r="G11" s="89">
        <f>SUM(G6:G8)</f>
        <v>578485.6</v>
      </c>
      <c r="H11" s="89">
        <f>SUM(H6:H8)</f>
        <v>823686.83</v>
      </c>
      <c r="I11" s="89">
        <f t="shared" si="2"/>
        <v>161205.22</v>
      </c>
      <c r="J11" s="89">
        <f>SUM(J6:J8)</f>
        <v>184237.86</v>
      </c>
      <c r="K11" s="89">
        <f>SUM(K6:K8)</f>
        <v>221002.92</v>
      </c>
      <c r="L11" s="89">
        <f>SUM(L6:L8)</f>
        <v>249103.11</v>
      </c>
      <c r="M11" s="11"/>
      <c r="N11" s="11"/>
      <c r="O11" s="42" t="s">
        <v>17</v>
      </c>
      <c r="P11" s="43"/>
      <c r="Q11" s="44">
        <f>D14/AVERAGE(C22:D22)</f>
        <v>1.5981905094260038E-2</v>
      </c>
      <c r="R11" s="44">
        <f>E14/AVERAGE(D22:E22)</f>
        <v>1.6320266354531293E-2</v>
      </c>
      <c r="S11" s="44">
        <f>F14/AVERAGE(E22:F22)</f>
        <v>1.5474971331865869E-2</v>
      </c>
      <c r="T11" s="44">
        <f>G14/AVERAGE(F22:G22)</f>
        <v>1.7585624554038951E-2</v>
      </c>
      <c r="U11" s="44">
        <f>H14/AVERAGE(G22:H22)</f>
        <v>2.0083915669327778E-2</v>
      </c>
      <c r="V11" s="18"/>
      <c r="W11" s="18"/>
      <c r="X11" s="18"/>
      <c r="Y11" s="18"/>
    </row>
    <row r="12" spans="1:25" x14ac:dyDescent="0.25">
      <c r="A12" s="6" t="s">
        <v>91</v>
      </c>
      <c r="B12" s="10"/>
      <c r="C12" s="10"/>
      <c r="D12" s="89">
        <v>600.13</v>
      </c>
      <c r="E12" s="89">
        <v>1296.07</v>
      </c>
      <c r="F12" s="89">
        <v>996.48</v>
      </c>
      <c r="G12" s="89">
        <v>1201.6500000000001</v>
      </c>
      <c r="H12" s="89">
        <v>3080.88</v>
      </c>
      <c r="I12" s="89">
        <v>676.09</v>
      </c>
      <c r="J12" s="89">
        <v>726.78</v>
      </c>
      <c r="K12" s="89">
        <v>2602.2600000000002</v>
      </c>
      <c r="L12" s="89">
        <v>1709.89</v>
      </c>
      <c r="M12" s="11"/>
      <c r="N12" s="11"/>
      <c r="O12" s="40" t="s">
        <v>18</v>
      </c>
      <c r="P12" s="45"/>
      <c r="Q12" s="45"/>
      <c r="R12" s="45"/>
      <c r="S12" s="46" t="s">
        <v>5</v>
      </c>
      <c r="T12" s="18"/>
      <c r="U12" s="18"/>
      <c r="V12" s="18"/>
      <c r="W12" s="18"/>
      <c r="X12" s="53"/>
      <c r="Y12" s="54"/>
    </row>
    <row r="13" spans="1:25" x14ac:dyDescent="0.25">
      <c r="A13" s="6" t="s">
        <v>25</v>
      </c>
      <c r="B13" s="7"/>
      <c r="C13" s="7"/>
      <c r="D13" s="88">
        <f t="shared" ref="D13:L13" si="3">D11+D12</f>
        <v>562226.04</v>
      </c>
      <c r="E13" s="88">
        <f t="shared" si="3"/>
        <v>621470.02999999991</v>
      </c>
      <c r="F13" s="88">
        <f t="shared" si="3"/>
        <v>552796.26</v>
      </c>
      <c r="G13" s="88">
        <f t="shared" si="3"/>
        <v>579687.25</v>
      </c>
      <c r="H13" s="88">
        <f t="shared" si="3"/>
        <v>826767.71</v>
      </c>
      <c r="I13" s="88">
        <f t="shared" si="3"/>
        <v>161881.31</v>
      </c>
      <c r="J13" s="88">
        <f t="shared" si="3"/>
        <v>184964.63999999998</v>
      </c>
      <c r="K13" s="88">
        <f t="shared" si="3"/>
        <v>223605.18000000002</v>
      </c>
      <c r="L13" s="88">
        <f t="shared" si="3"/>
        <v>250813</v>
      </c>
      <c r="M13" s="11"/>
      <c r="N13" s="11"/>
      <c r="O13" s="42" t="s">
        <v>19</v>
      </c>
      <c r="P13" s="43"/>
      <c r="Q13" s="44">
        <f>D24/D23</f>
        <v>1.6043606176668574E-2</v>
      </c>
      <c r="R13" s="44">
        <f>E24/E23</f>
        <v>3.8982473298694004E-2</v>
      </c>
      <c r="S13" s="44">
        <f>F24/F23</f>
        <v>2.9257769905320696E-2</v>
      </c>
      <c r="T13" s="44">
        <f>G24/G23</f>
        <v>3.5770891470876802E-2</v>
      </c>
      <c r="U13" s="44">
        <f>H24/H23</f>
        <v>3.1325532309232754E-2</v>
      </c>
      <c r="V13" s="48"/>
      <c r="W13" s="48">
        <v>3.5299999999999998E-2</v>
      </c>
      <c r="X13" s="48">
        <v>3.6200000000000003E-2</v>
      </c>
      <c r="Y13" s="48">
        <v>3.1199999999999999E-2</v>
      </c>
    </row>
    <row r="14" spans="1:25" x14ac:dyDescent="0.25">
      <c r="A14" s="6" t="s">
        <v>26</v>
      </c>
      <c r="B14" s="7"/>
      <c r="C14" s="7"/>
      <c r="D14" s="85">
        <f>45510.84+2912.72+35003.85</f>
        <v>83427.41</v>
      </c>
      <c r="E14" s="85">
        <f>42274.69+4976.64+37757.46</f>
        <v>85008.790000000008</v>
      </c>
      <c r="F14" s="85">
        <f>44892.29+5850.05+28744.65</f>
        <v>79486.990000000005</v>
      </c>
      <c r="G14" s="85">
        <f>52072.8+6835.39+35811.83</f>
        <v>94720.02</v>
      </c>
      <c r="H14" s="85">
        <f>72283.39+8613.28+60787.35</f>
        <v>141684.01999999999</v>
      </c>
      <c r="I14" s="85">
        <f>15148.72+1840.92+11420.46</f>
        <v>28410.1</v>
      </c>
      <c r="J14" s="85">
        <f>17592.95+2004.1+12146.56</f>
        <v>31743.61</v>
      </c>
      <c r="K14" s="85">
        <f>20154.14+2241.35+14033.39</f>
        <v>36428.879999999997</v>
      </c>
      <c r="L14" s="85">
        <f>19387.58+2526.91+17683.36</f>
        <v>39597.850000000006</v>
      </c>
      <c r="M14" s="11"/>
      <c r="N14" s="11"/>
      <c r="O14" s="42" t="s">
        <v>20</v>
      </c>
      <c r="P14" s="43"/>
      <c r="Q14" s="44">
        <f>D25/D23</f>
        <v>9.8707834116460082E-3</v>
      </c>
      <c r="R14" s="44">
        <f>E25/E23</f>
        <v>2.6914789963285859E-2</v>
      </c>
      <c r="S14" s="44">
        <f>F25/F23</f>
        <v>1.7123414821063585E-2</v>
      </c>
      <c r="T14" s="44">
        <f>G25/G23</f>
        <v>2.1636763883982137E-2</v>
      </c>
      <c r="U14" s="44">
        <f>H25/H23</f>
        <v>1.68573283582533E-2</v>
      </c>
      <c r="V14" s="48"/>
      <c r="W14" s="48">
        <v>2.0400000000000001E-2</v>
      </c>
      <c r="X14" s="48">
        <v>2.1000000000000001E-2</v>
      </c>
      <c r="Y14" s="48">
        <v>1.7000000000000001E-2</v>
      </c>
    </row>
    <row r="15" spans="1:25" x14ac:dyDescent="0.25">
      <c r="A15" s="6" t="s">
        <v>54</v>
      </c>
      <c r="B15" s="10"/>
      <c r="C15" s="10"/>
      <c r="D15" s="89">
        <f t="shared" ref="D15:J15" si="4">D11-D14</f>
        <v>478198.5</v>
      </c>
      <c r="E15" s="89">
        <f t="shared" si="4"/>
        <v>535165.16999999993</v>
      </c>
      <c r="F15" s="89">
        <f t="shared" si="4"/>
        <v>472312.79000000004</v>
      </c>
      <c r="G15" s="89">
        <f t="shared" si="4"/>
        <v>483765.57999999996</v>
      </c>
      <c r="H15" s="89">
        <f>H11-H14</f>
        <v>682002.80999999994</v>
      </c>
      <c r="I15" s="89">
        <f t="shared" si="4"/>
        <v>132795.12</v>
      </c>
      <c r="J15" s="89">
        <f t="shared" si="4"/>
        <v>152494.25</v>
      </c>
      <c r="K15" s="89">
        <f>K11-K14</f>
        <v>184574.04</v>
      </c>
      <c r="L15" s="89">
        <f>L11-L14</f>
        <v>209505.25999999998</v>
      </c>
      <c r="M15" s="11"/>
      <c r="N15" s="11"/>
      <c r="O15" s="42" t="s">
        <v>21</v>
      </c>
      <c r="P15" s="43"/>
      <c r="Q15" s="44">
        <f t="shared" ref="Q15:V15" si="5">(Q13-Q14)/Q13</f>
        <v>0.38475282284100176</v>
      </c>
      <c r="R15" s="44">
        <f t="shared" si="5"/>
        <v>0.30956689799906661</v>
      </c>
      <c r="S15" s="44">
        <f t="shared" si="5"/>
        <v>0.41473957596646516</v>
      </c>
      <c r="T15" s="44">
        <f t="shared" si="5"/>
        <v>0.39512930781728195</v>
      </c>
      <c r="U15" s="44">
        <f t="shared" si="5"/>
        <v>0.46186618021859305</v>
      </c>
      <c r="V15" s="44" t="e">
        <f t="shared" si="5"/>
        <v>#DIV/0!</v>
      </c>
      <c r="W15" s="18"/>
      <c r="X15" s="18"/>
      <c r="Y15" s="18"/>
    </row>
    <row r="16" spans="1:25" x14ac:dyDescent="0.25">
      <c r="A16" s="6" t="s">
        <v>94</v>
      </c>
      <c r="B16" s="10"/>
      <c r="C16" s="10"/>
      <c r="D16" s="89">
        <f t="shared" ref="D16:J16" si="6">D13-D14-D9</f>
        <v>150043.76</v>
      </c>
      <c r="E16" s="89">
        <f t="shared" si="6"/>
        <v>175997.72999999986</v>
      </c>
      <c r="F16" s="89">
        <f t="shared" si="6"/>
        <v>171318.74</v>
      </c>
      <c r="G16" s="89">
        <f t="shared" si="6"/>
        <v>214057.63999999996</v>
      </c>
      <c r="H16" s="89">
        <f>H13-H14-H9</f>
        <v>299365.91999999993</v>
      </c>
      <c r="I16" s="89">
        <f t="shared" si="6"/>
        <v>60580.729999999996</v>
      </c>
      <c r="J16" s="89">
        <f t="shared" si="6"/>
        <v>68078.349999999977</v>
      </c>
      <c r="K16" s="89">
        <f>K13-K14-K9</f>
        <v>83175.060000000012</v>
      </c>
      <c r="L16" s="89">
        <f>L13-L14-L9</f>
        <v>87531.78</v>
      </c>
      <c r="M16" s="11"/>
      <c r="N16" s="11"/>
      <c r="O16" s="42" t="s">
        <v>22</v>
      </c>
      <c r="P16" s="43"/>
      <c r="Q16" s="44">
        <f>D17/AVERAGE(C23:D23)</f>
        <v>4.083137184696474E-3</v>
      </c>
      <c r="R16" s="44">
        <f>E17/AVERAGE(D23:E23)</f>
        <v>1.4493790871018986E-2</v>
      </c>
      <c r="S16" s="44">
        <f>F17/AVERAGE(E23:F23)</f>
        <v>1.427981475283026E-2</v>
      </c>
      <c r="T16" s="44">
        <f>G17/AVERAGE(F23:G23)</f>
        <v>1.2651583182248502E-2</v>
      </c>
      <c r="U16" s="44">
        <f>H17/AVERAGE(G23:H23)</f>
        <v>1.3413037827903972E-2</v>
      </c>
      <c r="V16" s="18"/>
      <c r="W16" s="18"/>
      <c r="X16" s="18"/>
      <c r="Y16" s="18"/>
    </row>
    <row r="17" spans="1:25" x14ac:dyDescent="0.25">
      <c r="A17" s="6" t="s">
        <v>27</v>
      </c>
      <c r="B17" s="7"/>
      <c r="C17" s="7"/>
      <c r="D17" s="88">
        <v>20701.240000000002</v>
      </c>
      <c r="E17" s="85">
        <v>70707</v>
      </c>
      <c r="F17" s="85">
        <v>68177.509999999995</v>
      </c>
      <c r="G17" s="85">
        <v>65346</v>
      </c>
      <c r="H17" s="85">
        <v>90347.54</v>
      </c>
      <c r="I17" s="85">
        <v>14728.96</v>
      </c>
      <c r="J17" s="85">
        <v>19292.650000000001</v>
      </c>
      <c r="K17" s="85">
        <v>29201.03</v>
      </c>
      <c r="L17" s="85">
        <v>27124.9</v>
      </c>
      <c r="M17" s="11"/>
      <c r="N17" s="11"/>
      <c r="O17" s="18"/>
      <c r="P17" s="18"/>
      <c r="Q17" s="18"/>
      <c r="R17" s="18"/>
      <c r="S17" s="18"/>
      <c r="T17" s="18"/>
      <c r="U17" s="18"/>
      <c r="V17" s="18"/>
      <c r="W17" s="18"/>
      <c r="X17" s="18"/>
      <c r="Y17" s="18"/>
    </row>
    <row r="18" spans="1:25" x14ac:dyDescent="0.25">
      <c r="A18" s="6" t="s">
        <v>55</v>
      </c>
      <c r="B18" s="7"/>
      <c r="C18" s="7"/>
      <c r="D18" s="88">
        <v>83413.37</v>
      </c>
      <c r="E18" s="85">
        <v>80494.600000000006</v>
      </c>
      <c r="F18" s="89">
        <v>76883.210000000006</v>
      </c>
      <c r="G18" s="89">
        <v>110833.06</v>
      </c>
      <c r="H18" s="89">
        <v>155375.75</v>
      </c>
      <c r="I18" s="89">
        <v>33516.79</v>
      </c>
      <c r="J18" s="89">
        <v>35785.410000000003</v>
      </c>
      <c r="K18" s="89">
        <v>40694.839999999997</v>
      </c>
      <c r="L18" s="89">
        <v>45378.71</v>
      </c>
      <c r="M18" s="11"/>
      <c r="N18" s="11"/>
      <c r="O18" s="40" t="s">
        <v>30</v>
      </c>
      <c r="P18" s="45"/>
      <c r="Q18" s="45"/>
      <c r="R18" s="45"/>
      <c r="S18" s="46" t="s">
        <v>5</v>
      </c>
      <c r="T18" s="18"/>
      <c r="U18" s="18"/>
      <c r="V18" s="18"/>
      <c r="W18" s="18"/>
      <c r="X18" s="18"/>
      <c r="Y18" s="18"/>
    </row>
    <row r="19" spans="1:25" ht="22.5" x14ac:dyDescent="0.25">
      <c r="A19" s="6" t="s">
        <v>28</v>
      </c>
      <c r="B19" s="7"/>
      <c r="C19" s="7"/>
      <c r="D19" s="88">
        <v>728720.37</v>
      </c>
      <c r="E19" s="85">
        <v>807815.04</v>
      </c>
      <c r="F19" s="85">
        <v>883787.94</v>
      </c>
      <c r="G19" s="85">
        <v>986041.98</v>
      </c>
      <c r="H19" s="85">
        <v>1142621.1299999999</v>
      </c>
      <c r="I19" s="85">
        <v>1020081.03</v>
      </c>
      <c r="J19" s="85">
        <v>1055739.9099999999</v>
      </c>
      <c r="K19" s="85">
        <v>1096446.8500000001</v>
      </c>
      <c r="L19" s="85">
        <v>1142621.1299999999</v>
      </c>
      <c r="M19" s="11"/>
      <c r="N19" s="11"/>
      <c r="O19" s="46" t="s">
        <v>95</v>
      </c>
      <c r="P19" s="51"/>
      <c r="Q19" s="51"/>
      <c r="R19" s="52">
        <f>E16/AVERAGE(D22:E22)</f>
        <v>3.3788621522467033E-2</v>
      </c>
      <c r="S19" s="52">
        <f>F16/AVERAGE(E22:F22)</f>
        <v>3.3353289514565614E-2</v>
      </c>
      <c r="T19" s="52">
        <f>G16/AVERAGE(F22:G22)</f>
        <v>3.9741728200264628E-2</v>
      </c>
      <c r="U19" s="52">
        <f>H16/AVERAGE(G22:H22)</f>
        <v>4.2435554069899517E-2</v>
      </c>
      <c r="V19" s="18"/>
      <c r="W19" s="18"/>
      <c r="X19" s="18"/>
      <c r="Y19" s="18"/>
    </row>
    <row r="20" spans="1:25" x14ac:dyDescent="0.25">
      <c r="A20" s="6" t="s">
        <v>56</v>
      </c>
      <c r="B20" s="7"/>
      <c r="C20" s="7"/>
      <c r="D20" s="88">
        <f t="shared" ref="D20:L20" si="7">D19-D71</f>
        <v>728720.37</v>
      </c>
      <c r="E20" s="89">
        <f t="shared" si="7"/>
        <v>807815.04</v>
      </c>
      <c r="F20" s="89">
        <f t="shared" si="7"/>
        <v>883787.94</v>
      </c>
      <c r="G20" s="89">
        <f t="shared" si="7"/>
        <v>986041.98</v>
      </c>
      <c r="H20" s="89">
        <v>1142621.1299999999</v>
      </c>
      <c r="I20" s="89">
        <f t="shared" si="7"/>
        <v>1020081.03</v>
      </c>
      <c r="J20" s="89">
        <f t="shared" si="7"/>
        <v>1055739.9099999999</v>
      </c>
      <c r="K20" s="89">
        <f t="shared" si="7"/>
        <v>1096446.8500000001</v>
      </c>
      <c r="L20" s="89">
        <f t="shared" si="7"/>
        <v>1142621.1299999999</v>
      </c>
      <c r="M20" s="11"/>
      <c r="N20" s="11"/>
      <c r="O20" s="42" t="s">
        <v>31</v>
      </c>
      <c r="P20" s="43"/>
      <c r="Q20" s="43">
        <v>4.4699999999999997E-2</v>
      </c>
      <c r="R20" s="44">
        <f>E18/AVERAGE(D22:E22)</f>
        <v>1.5453617350646381E-2</v>
      </c>
      <c r="S20" s="44">
        <f>F18/AVERAGE(E22:F22)</f>
        <v>1.49680528933329E-2</v>
      </c>
      <c r="T20" s="44">
        <f>G18/AVERAGE(F22:G22)</f>
        <v>2.0577155508785493E-2</v>
      </c>
      <c r="U20" s="44">
        <f>H18/AVERAGE(G22:H22)</f>
        <v>2.2024738287765661E-2</v>
      </c>
      <c r="V20" s="48"/>
      <c r="W20" s="18"/>
      <c r="X20" s="18"/>
      <c r="Y20" s="18"/>
    </row>
    <row r="21" spans="1:25" x14ac:dyDescent="0.25">
      <c r="A21" s="6" t="s">
        <v>57</v>
      </c>
      <c r="B21" s="9"/>
      <c r="C21" s="9"/>
      <c r="D21" s="85">
        <f>2264856.32+1966728.62+204455.47</f>
        <v>4436040.4099999992</v>
      </c>
      <c r="E21" s="85">
        <f>1786922.93+2343844.89+210142.09</f>
        <v>4340909.91</v>
      </c>
      <c r="F21" s="85">
        <f>1657875.04+2245460.08+218183.26</f>
        <v>4121518.38</v>
      </c>
      <c r="G21" s="85">
        <f>1578125.7+2771715.04+248733.99</f>
        <v>4598574.7300000004</v>
      </c>
      <c r="H21" s="85">
        <f>2353485.51+4478597.46+244990.45</f>
        <v>7077073.4199999999</v>
      </c>
      <c r="I21" s="85"/>
      <c r="J21" s="85">
        <f>1922237.17+3375931.46+242853.11</f>
        <v>5541021.7400000002</v>
      </c>
      <c r="K21" s="85"/>
      <c r="L21" s="85">
        <f>2353485.51+4478597.46+244990.45</f>
        <v>7077073.4199999999</v>
      </c>
      <c r="M21" s="11"/>
      <c r="N21" s="11"/>
      <c r="O21" s="42" t="s">
        <v>32</v>
      </c>
      <c r="P21" s="43"/>
      <c r="Q21" s="44">
        <f>D18/AVERAGE(C19:D19)</f>
        <v>0.11446553909286218</v>
      </c>
      <c r="R21" s="44">
        <f>E18/AVERAGE(D19:E19)</f>
        <v>0.10477415551392988</v>
      </c>
      <c r="S21" s="44">
        <f>F18/AVERAGE(E19:F19)</f>
        <v>9.0899828043575576E-2</v>
      </c>
      <c r="T21" s="44">
        <f>G18/AVERAGE(F19:G19)</f>
        <v>0.1185488143221069</v>
      </c>
      <c r="U21" s="44">
        <f>H18/AVERAGE(G19:H19)</f>
        <v>0.14598434977341249</v>
      </c>
      <c r="V21" s="18"/>
      <c r="W21" s="18"/>
      <c r="X21" s="18"/>
      <c r="Y21" s="18"/>
    </row>
    <row r="22" spans="1:25" x14ac:dyDescent="0.25">
      <c r="A22" s="6" t="s">
        <v>29</v>
      </c>
      <c r="B22" s="7"/>
      <c r="C22" s="7"/>
      <c r="D22" s="88">
        <v>5220116.72</v>
      </c>
      <c r="E22" s="85">
        <v>5197457.13</v>
      </c>
      <c r="F22" s="85">
        <v>5075516.99</v>
      </c>
      <c r="G22" s="85">
        <v>5696920.4299999997</v>
      </c>
      <c r="H22" s="85">
        <v>8412282.4100000001</v>
      </c>
      <c r="I22" s="85"/>
      <c r="J22" s="85">
        <v>6734672.7400000002</v>
      </c>
      <c r="K22" s="85"/>
      <c r="L22" s="85">
        <v>8412282.4100000001</v>
      </c>
      <c r="M22" s="11"/>
      <c r="N22" s="11"/>
      <c r="O22" s="40" t="s">
        <v>33</v>
      </c>
      <c r="P22" s="45"/>
      <c r="Q22" s="45"/>
      <c r="R22" s="45"/>
      <c r="S22" s="46" t="s">
        <v>5</v>
      </c>
      <c r="T22" s="18"/>
      <c r="U22" s="18"/>
      <c r="V22" s="18"/>
      <c r="W22" s="18"/>
      <c r="X22" s="18"/>
      <c r="Y22" s="18"/>
    </row>
    <row r="23" spans="1:25" x14ac:dyDescent="0.25">
      <c r="A23" s="6" t="s">
        <v>58</v>
      </c>
      <c r="B23" s="7"/>
      <c r="C23" s="7"/>
      <c r="D23" s="88">
        <v>5069934.97</v>
      </c>
      <c r="E23" s="85">
        <v>4686932.7300000004</v>
      </c>
      <c r="F23" s="85">
        <v>4861862.01</v>
      </c>
      <c r="G23" s="85">
        <v>5468228.5499999998</v>
      </c>
      <c r="H23" s="85">
        <v>8003371.4199999999</v>
      </c>
      <c r="I23" s="85"/>
      <c r="J23" s="85">
        <v>6363295.0599999996</v>
      </c>
      <c r="K23" s="85"/>
      <c r="L23" s="85">
        <v>7884950.0999999996</v>
      </c>
      <c r="M23" s="11"/>
      <c r="N23" s="11"/>
      <c r="O23" s="42" t="s">
        <v>34</v>
      </c>
      <c r="P23" s="43"/>
      <c r="Q23" s="44">
        <f>D6/AVERAGE(C23:D23)</f>
        <v>0.10053421257196125</v>
      </c>
      <c r="R23" s="44">
        <f>E6/AVERAGE(D23:E23)</f>
        <v>0.11426341878141898</v>
      </c>
      <c r="S23" s="44">
        <f>F6/AVERAGE(E23:F23)</f>
        <v>0.1095234433743834</v>
      </c>
      <c r="T23" s="44">
        <f>G6/AVERAGE(F23:G23)</f>
        <v>0.10567048116952811</v>
      </c>
      <c r="U23" s="44">
        <f>H6/AVERAGE(G23:H23)</f>
        <v>0.11316906702953414</v>
      </c>
      <c r="V23" s="18"/>
      <c r="W23" s="18"/>
      <c r="X23" s="18"/>
      <c r="Y23" s="18"/>
    </row>
    <row r="24" spans="1:25" x14ac:dyDescent="0.25">
      <c r="A24" s="6" t="s">
        <v>59</v>
      </c>
      <c r="B24" s="10"/>
      <c r="C24" s="10"/>
      <c r="D24" s="89">
        <v>81340.039999999994</v>
      </c>
      <c r="E24" s="89">
        <v>182708.23</v>
      </c>
      <c r="F24" s="89">
        <v>142247.24</v>
      </c>
      <c r="G24" s="89">
        <v>195603.41</v>
      </c>
      <c r="H24" s="89">
        <v>250709.87</v>
      </c>
      <c r="I24" s="89"/>
      <c r="J24" s="89"/>
      <c r="K24" s="89"/>
      <c r="L24" s="89"/>
      <c r="M24" s="11"/>
      <c r="N24" s="11"/>
      <c r="O24" s="42" t="s">
        <v>35</v>
      </c>
      <c r="P24" s="43"/>
      <c r="Q24" s="44">
        <f>D9/AVERAGE(C21:D21)</f>
        <v>7.410998088721199E-2</v>
      </c>
      <c r="R24" s="44">
        <f>E9/AVERAGE(D21:E21)</f>
        <v>8.2138669323127717E-2</v>
      </c>
      <c r="S24" s="44">
        <f>F9/AVERAGE(E21:F21)</f>
        <v>7.1372074220554499E-2</v>
      </c>
      <c r="T24" s="44">
        <f>G9/AVERAGE(F21:G21)</f>
        <v>6.2134563606741133E-2</v>
      </c>
      <c r="U24" s="44">
        <f>H9/AVERAGE(G21:H21)</f>
        <v>6.6072181183363263E-2</v>
      </c>
      <c r="V24" s="18"/>
      <c r="W24" s="18"/>
      <c r="X24" s="18"/>
      <c r="Y24" s="18"/>
    </row>
    <row r="25" spans="1:25" x14ac:dyDescent="0.25">
      <c r="A25" s="6" t="s">
        <v>60</v>
      </c>
      <c r="B25" s="10"/>
      <c r="C25" s="10"/>
      <c r="D25" s="89">
        <v>50044.23</v>
      </c>
      <c r="E25" s="89">
        <v>126147.81</v>
      </c>
      <c r="F25" s="89">
        <v>83251.679999999993</v>
      </c>
      <c r="G25" s="89">
        <v>118314.77</v>
      </c>
      <c r="H25" s="89">
        <v>134915.46</v>
      </c>
      <c r="I25" s="89"/>
      <c r="J25" s="89"/>
      <c r="K25" s="89"/>
      <c r="L25" s="89"/>
      <c r="M25" s="11"/>
      <c r="N25" s="11"/>
      <c r="O25" s="42" t="s">
        <v>36</v>
      </c>
      <c r="P25" s="43"/>
      <c r="Q25" s="48">
        <f>Q23-Q24</f>
        <v>2.6424231684749264E-2</v>
      </c>
      <c r="R25" s="48">
        <f>R23-R24</f>
        <v>3.212474945829126E-2</v>
      </c>
      <c r="S25" s="48">
        <f>S23-S24</f>
        <v>3.8151369153828898E-2</v>
      </c>
      <c r="T25" s="48">
        <f>T23-T24</f>
        <v>4.3535917562786977E-2</v>
      </c>
      <c r="U25" s="48">
        <f>U23-U24</f>
        <v>4.7096885846170874E-2</v>
      </c>
      <c r="V25" s="18"/>
      <c r="W25" s="18"/>
      <c r="X25" s="18"/>
      <c r="Y25" s="18"/>
    </row>
    <row r="27" spans="1:25" ht="15" customHeight="1" x14ac:dyDescent="0.25">
      <c r="A27" s="732" t="s">
        <v>277</v>
      </c>
      <c r="B27" s="732"/>
      <c r="C27" s="732"/>
      <c r="D27" s="732"/>
      <c r="E27" s="732"/>
      <c r="F27" s="732"/>
      <c r="G27" s="732"/>
      <c r="H27" s="732"/>
      <c r="I27" s="732"/>
      <c r="J27" s="732"/>
      <c r="K27" s="732"/>
      <c r="L27" s="732"/>
      <c r="M27" s="129"/>
      <c r="N27" s="129"/>
    </row>
    <row r="28" spans="1:25" x14ac:dyDescent="0.25">
      <c r="A28" s="732"/>
      <c r="B28" s="732"/>
      <c r="C28" s="732"/>
      <c r="D28" s="732"/>
      <c r="E28" s="732"/>
      <c r="F28" s="732"/>
      <c r="G28" s="732"/>
      <c r="H28" s="732"/>
      <c r="I28" s="732"/>
      <c r="J28" s="732"/>
      <c r="K28" s="732"/>
      <c r="L28" s="732"/>
      <c r="M28" s="129"/>
      <c r="N28" s="129"/>
    </row>
    <row r="29" spans="1:25" x14ac:dyDescent="0.25">
      <c r="A29" s="732"/>
      <c r="B29" s="732"/>
      <c r="C29" s="732"/>
      <c r="D29" s="732"/>
      <c r="E29" s="732"/>
      <c r="F29" s="732"/>
      <c r="G29" s="732"/>
      <c r="H29" s="732"/>
      <c r="I29" s="732"/>
      <c r="J29" s="732"/>
      <c r="K29" s="732"/>
      <c r="L29" s="732"/>
      <c r="M29" s="129"/>
      <c r="N29" s="129"/>
    </row>
    <row r="30" spans="1:25" x14ac:dyDescent="0.25">
      <c r="A30" s="129"/>
      <c r="B30" s="129"/>
      <c r="C30" s="129"/>
      <c r="D30" s="129"/>
      <c r="E30" s="129"/>
      <c r="F30" s="129"/>
      <c r="G30" s="129"/>
      <c r="H30" s="129"/>
      <c r="I30" s="129"/>
      <c r="J30" s="129"/>
      <c r="K30" s="129"/>
      <c r="L30" s="129"/>
      <c r="M30" s="129"/>
      <c r="N30" s="129"/>
    </row>
    <row r="31" spans="1:25" x14ac:dyDescent="0.25">
      <c r="A31" s="129"/>
      <c r="B31" s="129"/>
      <c r="C31" s="129"/>
      <c r="D31" s="129"/>
      <c r="E31" s="129"/>
      <c r="F31" s="129"/>
      <c r="G31" s="129"/>
      <c r="H31" s="129"/>
      <c r="I31" s="129"/>
      <c r="J31" s="129"/>
      <c r="K31" s="129"/>
      <c r="L31" s="129"/>
      <c r="M31" s="129"/>
      <c r="N31" s="129"/>
    </row>
  </sheetData>
  <mergeCells count="2">
    <mergeCell ref="J1:L1"/>
    <mergeCell ref="A27:L29"/>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W25"/>
  <sheetViews>
    <sheetView topLeftCell="B1" workbookViewId="0">
      <selection activeCell="AG6" sqref="AG6"/>
    </sheetView>
  </sheetViews>
  <sheetFormatPr defaultRowHeight="15" x14ac:dyDescent="0.25"/>
  <cols>
    <col min="1" max="1" width="30.28515625" customWidth="1"/>
    <col min="4" max="4" width="13" customWidth="1"/>
    <col min="5" max="5" width="13.42578125" customWidth="1"/>
    <col min="6" max="6" width="12.7109375" customWidth="1"/>
    <col min="7" max="7" width="13.5703125" customWidth="1"/>
    <col min="14" max="14" width="31.140625" customWidth="1"/>
    <col min="16" max="16" width="13.140625" customWidth="1"/>
    <col min="17" max="17" width="13" customWidth="1"/>
    <col min="18" max="18" width="12.42578125" customWidth="1"/>
    <col min="19" max="19" width="14" customWidth="1"/>
  </cols>
  <sheetData>
    <row r="1" spans="1:23" x14ac:dyDescent="0.25">
      <c r="I1" s="772" t="s">
        <v>119</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f>E10/AVERAGE(D23:E23)</f>
        <v>0.10946943297242717</v>
      </c>
      <c r="R3" s="44">
        <f>F10/AVERAGE(E23:F23)</f>
        <v>9.3132823925558009E-2</v>
      </c>
      <c r="S3" s="44">
        <f>G10/AVERAGE(F23:G23)</f>
        <v>0.1545808261776567</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E5">
        <v>18313.04</v>
      </c>
      <c r="F5" s="85">
        <v>15036.38</v>
      </c>
      <c r="G5" s="90">
        <v>14265.74</v>
      </c>
      <c r="H5" s="85"/>
      <c r="I5" s="85"/>
      <c r="J5" s="85"/>
      <c r="K5" s="85"/>
      <c r="L5" s="11"/>
      <c r="M5" s="11"/>
      <c r="N5" s="42" t="s">
        <v>13</v>
      </c>
      <c r="O5" s="46"/>
      <c r="P5" s="47" t="e">
        <f>D21/D20</f>
        <v>#DIV/0!</v>
      </c>
      <c r="Q5" s="47">
        <f>E21/E20</f>
        <v>1.4770298809468492</v>
      </c>
      <c r="R5" s="47">
        <f>F21/F20</f>
        <v>1.2867491655090038</v>
      </c>
      <c r="S5" s="47">
        <f>G21/G20</f>
        <v>0.57134091992893121</v>
      </c>
      <c r="T5" s="18"/>
      <c r="U5" s="18"/>
      <c r="V5" s="18"/>
      <c r="W5" s="18"/>
    </row>
    <row r="6" spans="1:23" x14ac:dyDescent="0.25">
      <c r="A6" s="6" t="s">
        <v>50</v>
      </c>
      <c r="B6" s="7"/>
      <c r="C6" s="8"/>
      <c r="E6">
        <v>17647.939999999999</v>
      </c>
      <c r="F6" s="85">
        <v>14805.58</v>
      </c>
      <c r="G6" s="85">
        <v>13504.43</v>
      </c>
      <c r="H6" s="85"/>
      <c r="I6" s="85"/>
      <c r="J6" s="85"/>
      <c r="K6" s="85"/>
      <c r="L6" s="11"/>
      <c r="M6" s="11"/>
      <c r="N6" s="42" t="s">
        <v>14</v>
      </c>
      <c r="O6" s="43"/>
      <c r="P6" s="43"/>
      <c r="Q6" s="43">
        <v>0.2344</v>
      </c>
      <c r="R6" s="43">
        <v>0.41010000000000002</v>
      </c>
      <c r="S6" s="48">
        <v>0.47270000000000001</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f>E20/E23</f>
        <v>0.39699545772238987</v>
      </c>
      <c r="R7" s="44">
        <f>F20/F23</f>
        <v>0.54963841169453842</v>
      </c>
      <c r="S7" s="44">
        <f>G20/G23</f>
        <v>0.88239278136682486</v>
      </c>
      <c r="T7" s="18"/>
      <c r="U7" s="18"/>
      <c r="V7" s="18"/>
      <c r="W7" s="18"/>
    </row>
    <row r="8" spans="1:23" x14ac:dyDescent="0.25">
      <c r="A8" s="6" t="s">
        <v>52</v>
      </c>
      <c r="B8" s="7"/>
      <c r="C8" s="8"/>
      <c r="D8" s="85">
        <f>D5-D6-D7</f>
        <v>0</v>
      </c>
      <c r="E8" s="85">
        <f>E5-E6-E7</f>
        <v>665.10000000000218</v>
      </c>
      <c r="F8" s="85">
        <f>F5-F6-F7</f>
        <v>230.79999999999927</v>
      </c>
      <c r="G8" s="85">
        <f>G5-G6-G7</f>
        <v>761.30999999999949</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c r="E9" s="85">
        <v>6551.04</v>
      </c>
      <c r="F9" s="85">
        <v>6561.97</v>
      </c>
      <c r="G9" s="85">
        <v>3657.99</v>
      </c>
      <c r="H9" s="85"/>
      <c r="I9" s="85"/>
      <c r="J9" s="85"/>
      <c r="K9" s="85"/>
      <c r="L9" s="11"/>
      <c r="M9" s="11"/>
      <c r="N9" s="49" t="s">
        <v>93</v>
      </c>
      <c r="O9" s="45"/>
      <c r="P9" s="93" t="e">
        <f>D14/(D11-D9)</f>
        <v>#DIV/0!</v>
      </c>
      <c r="Q9" s="93">
        <f>E14/(E11-E9)</f>
        <v>0.21902992688318312</v>
      </c>
      <c r="R9" s="93">
        <f>F14/(F11-F9)</f>
        <v>0.28788198824460937</v>
      </c>
      <c r="S9" s="93">
        <f>G14/(G11-G9)</f>
        <v>0.31868775187952203</v>
      </c>
      <c r="T9" s="18"/>
      <c r="U9" s="18"/>
      <c r="V9" s="18"/>
      <c r="W9" s="18"/>
    </row>
    <row r="10" spans="1:23" ht="22.5" x14ac:dyDescent="0.25">
      <c r="A10" s="6" t="s">
        <v>53</v>
      </c>
      <c r="B10" s="10">
        <f t="shared" ref="B10:H10" si="0">B6-B9</f>
        <v>0</v>
      </c>
      <c r="C10" s="10">
        <f t="shared" si="0"/>
        <v>0</v>
      </c>
      <c r="D10" s="89">
        <f t="shared" si="0"/>
        <v>0</v>
      </c>
      <c r="E10" s="89">
        <f t="shared" si="0"/>
        <v>11096.899999999998</v>
      </c>
      <c r="F10" s="89">
        <f t="shared" si="0"/>
        <v>8243.61</v>
      </c>
      <c r="G10" s="89">
        <f t="shared" si="0"/>
        <v>9846.44</v>
      </c>
      <c r="H10" s="89">
        <f t="shared" si="0"/>
        <v>0</v>
      </c>
      <c r="I10" s="89"/>
      <c r="J10" s="89"/>
      <c r="K10" s="89"/>
      <c r="L10" s="11"/>
      <c r="M10" s="11"/>
      <c r="N10" s="42" t="s">
        <v>92</v>
      </c>
      <c r="O10" s="43"/>
      <c r="P10" s="44" t="e">
        <f>D14/D11</f>
        <v>#DIV/0!</v>
      </c>
      <c r="Q10" s="44">
        <f>E14/E11</f>
        <v>0.1406773534050054</v>
      </c>
      <c r="R10" s="44">
        <f>F14/F11</f>
        <v>0.1622484933208658</v>
      </c>
      <c r="S10" s="44">
        <f>G14/G11</f>
        <v>0.23697053219811942</v>
      </c>
      <c r="T10" s="18"/>
      <c r="U10" s="18"/>
      <c r="V10" s="18"/>
      <c r="W10" s="18"/>
    </row>
    <row r="11" spans="1:23" ht="22.5" x14ac:dyDescent="0.25">
      <c r="A11" s="6" t="s">
        <v>1</v>
      </c>
      <c r="B11" s="10">
        <f>B5-B9</f>
        <v>0</v>
      </c>
      <c r="C11" s="10">
        <f t="shared" ref="C11:H11" si="1">SUM(C6:C8)</f>
        <v>0</v>
      </c>
      <c r="D11" s="89">
        <f t="shared" si="1"/>
        <v>0</v>
      </c>
      <c r="E11" s="89">
        <f t="shared" si="1"/>
        <v>18313.04</v>
      </c>
      <c r="F11" s="89">
        <f>SUM(F6:F8)</f>
        <v>15036.38</v>
      </c>
      <c r="G11" s="89">
        <f>SUM(G6:G8)</f>
        <v>14265.74</v>
      </c>
      <c r="H11" s="89">
        <f t="shared" si="1"/>
        <v>0</v>
      </c>
      <c r="I11" s="89"/>
      <c r="J11" s="89"/>
      <c r="K11" s="89"/>
      <c r="L11" s="11"/>
      <c r="M11" s="11"/>
      <c r="N11" s="42" t="s">
        <v>17</v>
      </c>
      <c r="O11" s="43"/>
      <c r="P11" s="44" t="e">
        <f>D14/AVERAGE(C22:D22)</f>
        <v>#DIV/0!</v>
      </c>
      <c r="Q11" s="44">
        <f>E14/AVERAGE(D22:E22)</f>
        <v>2.5500756590184095E-2</v>
      </c>
      <c r="R11" s="44">
        <f>F14/AVERAGE(E22:F22)</f>
        <v>2.4710151041422421E-2</v>
      </c>
      <c r="S11" s="44">
        <f>G14/AVERAGE(F22:G22)</f>
        <v>3.9822576225807961E-2</v>
      </c>
      <c r="T11" s="18"/>
      <c r="U11" s="18"/>
      <c r="V11" s="18"/>
      <c r="W11" s="18"/>
    </row>
    <row r="12" spans="1:23" x14ac:dyDescent="0.25">
      <c r="A12" s="6" t="s">
        <v>91</v>
      </c>
      <c r="B12" s="10"/>
      <c r="C12" s="10"/>
      <c r="D12" s="89"/>
      <c r="E12" s="89">
        <v>3.19</v>
      </c>
      <c r="F12" s="89">
        <v>0</v>
      </c>
      <c r="G12" s="89">
        <v>10.119999999999999</v>
      </c>
      <c r="H12" s="89">
        <v>0</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18316.23</v>
      </c>
      <c r="F13" s="88">
        <f>F11+F12</f>
        <v>15036.38</v>
      </c>
      <c r="G13" s="88">
        <f>G11+G12</f>
        <v>14275.86</v>
      </c>
      <c r="H13" s="88">
        <f>H11+H12</f>
        <v>0</v>
      </c>
      <c r="I13" s="88"/>
      <c r="J13" s="88"/>
      <c r="K13" s="88"/>
      <c r="L13" s="11"/>
      <c r="M13" s="11"/>
      <c r="N13" s="42" t="s">
        <v>19</v>
      </c>
      <c r="O13" s="43"/>
      <c r="P13" s="44" t="e">
        <f>D24/D23</f>
        <v>#DIV/0!</v>
      </c>
      <c r="Q13" s="44">
        <f>E24/E23</f>
        <v>2.5940257384222228E-2</v>
      </c>
      <c r="R13" s="44">
        <f>F24/F23</f>
        <v>2.6698387837574389E-2</v>
      </c>
      <c r="S13" s="44">
        <f>G24/G23</f>
        <v>0</v>
      </c>
      <c r="T13" s="48"/>
      <c r="U13" s="18"/>
      <c r="V13" s="18"/>
      <c r="W13" s="18"/>
    </row>
    <row r="14" spans="1:23" x14ac:dyDescent="0.25">
      <c r="A14" s="6" t="s">
        <v>26</v>
      </c>
      <c r="B14" s="7"/>
      <c r="C14" s="7"/>
      <c r="D14" s="85"/>
      <c r="E14" s="85">
        <f>1900.04+176.84+499.35</f>
        <v>2576.23</v>
      </c>
      <c r="F14" s="85">
        <f>1570.03+239.36+630.24</f>
        <v>2439.63</v>
      </c>
      <c r="G14" s="85">
        <f>2201.81+241.75+937</f>
        <v>3380.56</v>
      </c>
      <c r="H14" s="85"/>
      <c r="I14" s="85"/>
      <c r="J14" s="85"/>
      <c r="K14" s="85"/>
      <c r="L14" s="11"/>
      <c r="M14" s="11"/>
      <c r="N14" s="42" t="s">
        <v>20</v>
      </c>
      <c r="O14" s="43"/>
      <c r="P14" s="44" t="e">
        <f>D25/D23</f>
        <v>#DIV/0!</v>
      </c>
      <c r="Q14" s="44">
        <f>E25/E23</f>
        <v>2.1193185153179174E-2</v>
      </c>
      <c r="R14" s="44">
        <f>F25/F23</f>
        <v>1.669300184709735E-2</v>
      </c>
      <c r="S14" s="44">
        <f>G25/G23</f>
        <v>0</v>
      </c>
      <c r="T14" s="48"/>
      <c r="U14" s="18"/>
      <c r="V14" s="18"/>
      <c r="W14" s="18"/>
    </row>
    <row r="15" spans="1:23" x14ac:dyDescent="0.25">
      <c r="A15" s="6" t="s">
        <v>54</v>
      </c>
      <c r="B15" s="10"/>
      <c r="C15" s="10"/>
      <c r="D15" s="89">
        <f>D11-D14</f>
        <v>0</v>
      </c>
      <c r="E15" s="89">
        <f>E11-E14</f>
        <v>15736.810000000001</v>
      </c>
      <c r="F15" s="89">
        <f>F11-F14</f>
        <v>12596.75</v>
      </c>
      <c r="G15" s="89">
        <f>G11-G14</f>
        <v>10885.18</v>
      </c>
      <c r="H15" s="89">
        <f>H11-H14</f>
        <v>0</v>
      </c>
      <c r="I15" s="89"/>
      <c r="J15" s="89"/>
      <c r="K15" s="89"/>
      <c r="L15" s="11"/>
      <c r="M15" s="11"/>
      <c r="N15" s="42" t="s">
        <v>21</v>
      </c>
      <c r="O15" s="43"/>
      <c r="P15" s="44" t="e">
        <f>(P13-P14)/P13</f>
        <v>#DIV/0!</v>
      </c>
      <c r="Q15" s="44">
        <f>(Q13-Q14)/Q13</f>
        <v>0.18300019775171505</v>
      </c>
      <c r="R15" s="44">
        <f>(R13-R14)/R13</f>
        <v>0.3747561857048089</v>
      </c>
      <c r="S15" s="44" t="e">
        <f>(S13-S14)/S13</f>
        <v>#DIV/0!</v>
      </c>
      <c r="T15" s="44" t="e">
        <f>(T13-T14)/T13</f>
        <v>#DIV/0!</v>
      </c>
      <c r="U15" s="18"/>
      <c r="V15" s="18"/>
      <c r="W15" s="18"/>
    </row>
    <row r="16" spans="1:23" x14ac:dyDescent="0.25">
      <c r="A16" s="6" t="s">
        <v>94</v>
      </c>
      <c r="B16" s="10"/>
      <c r="C16" s="10"/>
      <c r="D16" s="89">
        <f>D13-D14-D9</f>
        <v>0</v>
      </c>
      <c r="E16" s="89">
        <f>E13-E14-E9</f>
        <v>9188.9599999999991</v>
      </c>
      <c r="F16" s="89">
        <f>F13-F14-F9</f>
        <v>6034.78</v>
      </c>
      <c r="G16" s="89">
        <f>G13-G14-G9</f>
        <v>7237.3100000000013</v>
      </c>
      <c r="H16" s="89">
        <f>H13-H14-H9</f>
        <v>0</v>
      </c>
      <c r="I16" s="89"/>
      <c r="J16" s="89"/>
      <c r="K16" s="89"/>
      <c r="L16" s="11"/>
      <c r="M16" s="11"/>
      <c r="N16" s="42" t="s">
        <v>22</v>
      </c>
      <c r="O16" s="43"/>
      <c r="P16" s="44" t="e">
        <f>D17/AVERAGE(C23:D23)</f>
        <v>#DIV/0!</v>
      </c>
      <c r="Q16" s="44">
        <f>E17/AVERAGE(D23:E23)</f>
        <v>6.2196501227929211E-2</v>
      </c>
      <c r="R16" s="44">
        <f>F17/AVERAGE(E23:F23)</f>
        <v>4.7328151134474493E-2</v>
      </c>
      <c r="S16" s="44">
        <f>G17/AVERAGE(F23:G23)</f>
        <v>1.9385164420431009E-2</v>
      </c>
      <c r="T16" s="18"/>
      <c r="U16" s="18"/>
      <c r="V16" s="18"/>
      <c r="W16" s="18"/>
    </row>
    <row r="17" spans="1:23" x14ac:dyDescent="0.25">
      <c r="A17" s="6" t="s">
        <v>27</v>
      </c>
      <c r="B17" s="7"/>
      <c r="C17" s="7"/>
      <c r="D17" s="88"/>
      <c r="E17" s="85">
        <v>6304.85</v>
      </c>
      <c r="F17" s="85">
        <v>4189.2299999999996</v>
      </c>
      <c r="G17" s="85">
        <v>1234.79</v>
      </c>
      <c r="H17" s="85"/>
      <c r="I17" s="85"/>
      <c r="J17" s="85"/>
      <c r="K17" s="85"/>
      <c r="L17" s="11"/>
      <c r="M17" s="11"/>
      <c r="N17" s="18"/>
      <c r="O17" s="18"/>
      <c r="P17" s="18"/>
      <c r="Q17" s="18"/>
      <c r="R17" s="18"/>
      <c r="S17" s="18"/>
      <c r="T17" s="18"/>
      <c r="U17" s="18"/>
      <c r="V17" s="18"/>
      <c r="W17" s="18"/>
    </row>
    <row r="18" spans="1:23" x14ac:dyDescent="0.25">
      <c r="A18" s="6" t="s">
        <v>55</v>
      </c>
      <c r="B18" s="7"/>
      <c r="C18" s="7"/>
      <c r="D18" s="88"/>
      <c r="E18" s="85">
        <v>2203.7600000000002</v>
      </c>
      <c r="F18" s="89">
        <v>1344.1</v>
      </c>
      <c r="G18" s="89">
        <v>4057.7</v>
      </c>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v>40243.370000000003</v>
      </c>
      <c r="F19" s="85">
        <v>41585.230000000003</v>
      </c>
      <c r="G19" s="85">
        <v>45651.57</v>
      </c>
      <c r="H19" s="85"/>
      <c r="I19" s="85"/>
      <c r="J19" s="85"/>
      <c r="K19" s="85"/>
      <c r="L19" s="11"/>
      <c r="M19" s="11"/>
      <c r="N19" s="46" t="s">
        <v>95</v>
      </c>
      <c r="O19" s="51"/>
      <c r="P19" s="51"/>
      <c r="Q19" s="52">
        <f>E16/AVERAGE(D22:E22)</f>
        <v>9.0956720586647152E-2</v>
      </c>
      <c r="R19" s="52">
        <f>F16/AVERAGE(E22:F22)</f>
        <v>6.1124156245723815E-2</v>
      </c>
      <c r="S19" s="52">
        <f>G16/AVERAGE(F22:G22)</f>
        <v>8.5254611408997996E-2</v>
      </c>
      <c r="T19" s="18"/>
      <c r="U19" s="18"/>
      <c r="V19" s="18"/>
      <c r="W19" s="18"/>
    </row>
    <row r="20" spans="1:23" x14ac:dyDescent="0.25">
      <c r="A20" s="6" t="s">
        <v>56</v>
      </c>
      <c r="B20" s="7"/>
      <c r="C20" s="7"/>
      <c r="D20" s="88">
        <f>D19-D71</f>
        <v>0</v>
      </c>
      <c r="E20" s="89">
        <f>E19-E71</f>
        <v>40243.370000000003</v>
      </c>
      <c r="F20" s="89">
        <f>F19-F71</f>
        <v>41585.230000000003</v>
      </c>
      <c r="G20" s="89">
        <f>G19-G71</f>
        <v>45651.57</v>
      </c>
      <c r="H20" s="89">
        <f>H19-H71</f>
        <v>0</v>
      </c>
      <c r="I20" s="89"/>
      <c r="J20" s="89"/>
      <c r="K20" s="89"/>
      <c r="L20" s="11"/>
      <c r="M20" s="11"/>
      <c r="N20" s="42" t="s">
        <v>31</v>
      </c>
      <c r="O20" s="43"/>
      <c r="P20" s="43">
        <v>4.4699999999999997E-2</v>
      </c>
      <c r="Q20" s="44">
        <f>E18/AVERAGE(D22:E22)</f>
        <v>2.1813870401006161E-2</v>
      </c>
      <c r="R20" s="44">
        <f>F18/AVERAGE(E22:F22)</f>
        <v>1.361391441110983E-2</v>
      </c>
      <c r="S20" s="44">
        <f>G18/AVERAGE(F22:G22)</f>
        <v>4.7799201183076456E-2</v>
      </c>
      <c r="T20" s="48"/>
      <c r="U20" s="18"/>
      <c r="V20" s="18"/>
      <c r="W20" s="18"/>
    </row>
    <row r="21" spans="1:23" x14ac:dyDescent="0.25">
      <c r="A21" s="6" t="s">
        <v>57</v>
      </c>
      <c r="B21" s="9"/>
      <c r="C21" s="9"/>
      <c r="D21" s="85"/>
      <c r="E21" s="85">
        <f>59440.66</f>
        <v>59440.66</v>
      </c>
      <c r="F21" s="85">
        <f>7612.95+45896.81</f>
        <v>53509.759999999995</v>
      </c>
      <c r="G21" s="85">
        <v>26082.61</v>
      </c>
      <c r="H21" s="85"/>
      <c r="I21" s="85"/>
      <c r="J21" s="85"/>
      <c r="K21" s="85"/>
      <c r="L21" s="11"/>
      <c r="M21" s="11"/>
      <c r="N21" s="42" t="s">
        <v>32</v>
      </c>
      <c r="O21" s="43"/>
      <c r="P21" s="44" t="e">
        <f>D18/AVERAGE(C19:D19)</f>
        <v>#DIV/0!</v>
      </c>
      <c r="Q21" s="44">
        <f>E18/AVERAGE(D19:E19)</f>
        <v>5.4760821471959237E-2</v>
      </c>
      <c r="R21" s="44">
        <f>F18/AVERAGE(E19:F19)</f>
        <v>3.2851594674722526E-2</v>
      </c>
      <c r="S21" s="44">
        <f>G18/AVERAGE(F19:G19)</f>
        <v>9.3027254553124356E-2</v>
      </c>
      <c r="T21" s="18"/>
      <c r="U21" s="18"/>
      <c r="V21" s="18"/>
      <c r="W21" s="18"/>
    </row>
    <row r="22" spans="1:23" x14ac:dyDescent="0.25">
      <c r="A22" s="6" t="s">
        <v>29</v>
      </c>
      <c r="B22" s="7"/>
      <c r="C22" s="7"/>
      <c r="D22" s="88"/>
      <c r="E22" s="85">
        <v>101025.63</v>
      </c>
      <c r="F22" s="85">
        <v>96434.11</v>
      </c>
      <c r="G22" s="85">
        <v>73346.97</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v>101369.85</v>
      </c>
      <c r="F23" s="85">
        <v>75659.25</v>
      </c>
      <c r="G23" s="85">
        <v>51736.11</v>
      </c>
      <c r="H23" s="85"/>
      <c r="I23" s="85"/>
      <c r="J23" s="85"/>
      <c r="K23" s="85"/>
      <c r="L23" s="11"/>
      <c r="M23" s="11"/>
      <c r="N23" s="42" t="s">
        <v>34</v>
      </c>
      <c r="O23" s="43"/>
      <c r="P23" s="44" t="e">
        <f>D6/AVERAGE(C23:D23)</f>
        <v>#DIV/0!</v>
      </c>
      <c r="Q23" s="44">
        <f>E6/AVERAGE(D23:E23)</f>
        <v>0.17409456559322123</v>
      </c>
      <c r="R23" s="44">
        <f>F6/AVERAGE(E23:F23)</f>
        <v>0.16726718940558361</v>
      </c>
      <c r="S23" s="44">
        <f>G6/AVERAGE(F23:G23)</f>
        <v>0.21200819244908134</v>
      </c>
      <c r="T23" s="18"/>
      <c r="U23" s="18"/>
      <c r="V23" s="18"/>
      <c r="W23" s="18"/>
    </row>
    <row r="24" spans="1:23" x14ac:dyDescent="0.25">
      <c r="A24" s="6" t="s">
        <v>59</v>
      </c>
      <c r="B24" s="10"/>
      <c r="C24" s="10"/>
      <c r="D24" s="89"/>
      <c r="E24" s="89">
        <v>2629.56</v>
      </c>
      <c r="F24" s="89">
        <v>2019.98</v>
      </c>
      <c r="G24" s="89"/>
      <c r="H24" s="89"/>
      <c r="I24" s="89"/>
      <c r="J24" s="89"/>
      <c r="K24" s="89"/>
      <c r="L24" s="11"/>
      <c r="M24" s="11"/>
      <c r="N24" s="42" t="s">
        <v>35</v>
      </c>
      <c r="O24" s="43"/>
      <c r="P24" s="44" t="e">
        <f>D9/AVERAGE(C21:D21)</f>
        <v>#DIV/0!</v>
      </c>
      <c r="Q24" s="44">
        <f>E9/AVERAGE(D21:E21)</f>
        <v>0.11021142766584355</v>
      </c>
      <c r="R24" s="44">
        <f>F9/AVERAGE(E21:F21)</f>
        <v>0.11619204249085573</v>
      </c>
      <c r="S24" s="44">
        <f>G9/AVERAGE(F21:G21)</f>
        <v>9.1918107225604659E-2</v>
      </c>
      <c r="T24" s="18"/>
      <c r="U24" s="18"/>
      <c r="V24" s="18"/>
      <c r="W24" s="18"/>
    </row>
    <row r="25" spans="1:23" x14ac:dyDescent="0.25">
      <c r="A25" s="6" t="s">
        <v>60</v>
      </c>
      <c r="B25" s="10"/>
      <c r="C25" s="10"/>
      <c r="D25" s="89"/>
      <c r="E25" s="89">
        <v>2148.35</v>
      </c>
      <c r="F25" s="89">
        <v>1262.98</v>
      </c>
      <c r="G25" s="89"/>
      <c r="H25" s="89"/>
      <c r="I25" s="89"/>
      <c r="J25" s="89"/>
      <c r="K25" s="89"/>
      <c r="L25" s="11"/>
      <c r="M25" s="11"/>
      <c r="N25" s="42" t="s">
        <v>36</v>
      </c>
      <c r="O25" s="43"/>
      <c r="P25" s="48" t="e">
        <f>P23-P24</f>
        <v>#DIV/0!</v>
      </c>
      <c r="Q25" s="48">
        <f>Q23-Q24</f>
        <v>6.3883137927377681E-2</v>
      </c>
      <c r="R25" s="48">
        <f>R23-R24</f>
        <v>5.1075146914727879E-2</v>
      </c>
      <c r="S25" s="48">
        <f>S23-S24</f>
        <v>0.12009008522347668</v>
      </c>
      <c r="T25" s="18"/>
      <c r="U25" s="18"/>
      <c r="V25" s="18"/>
      <c r="W25" s="18"/>
    </row>
  </sheetData>
  <mergeCells count="1">
    <mergeCell ref="I1:K1"/>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W31"/>
  <sheetViews>
    <sheetView workbookViewId="0">
      <selection activeCell="AG6" sqref="AG6"/>
    </sheetView>
  </sheetViews>
  <sheetFormatPr defaultRowHeight="15" x14ac:dyDescent="0.25"/>
  <cols>
    <col min="1" max="1" width="30" customWidth="1"/>
    <col min="4" max="4" width="13.5703125" customWidth="1"/>
    <col min="5" max="5" width="13.42578125" customWidth="1"/>
    <col min="6" max="6" width="11.85546875" customWidth="1"/>
    <col min="7" max="7" width="13" customWidth="1"/>
    <col min="14" max="14" width="29.42578125" customWidth="1"/>
    <col min="16" max="16" width="15.5703125" customWidth="1"/>
    <col min="17" max="17" width="14.85546875" customWidth="1"/>
    <col min="18" max="18" width="14.42578125" customWidth="1"/>
    <col min="19" max="19" width="15.28515625" customWidth="1"/>
  </cols>
  <sheetData>
    <row r="1" spans="1:23" x14ac:dyDescent="0.25">
      <c r="I1" s="772" t="s">
        <v>111</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f>D10/AVERAGE(C23:D23)</f>
        <v>8.3952738193817891E-2</v>
      </c>
      <c r="Q3" s="44">
        <f>E10/AVERAGE(D23:E23)</f>
        <v>9.2500119570992204E-2</v>
      </c>
      <c r="R3" s="44">
        <f>F10/AVERAGE(E23:F23)</f>
        <v>9.342542779750633E-2</v>
      </c>
      <c r="S3" s="44">
        <f>G10/AVERAGE(F23:G23)</f>
        <v>7.5960322746616765E-2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1279.0899999999999</v>
      </c>
      <c r="E5">
        <v>1309.79</v>
      </c>
      <c r="F5" s="85">
        <v>1167.49</v>
      </c>
      <c r="G5" s="90">
        <v>1122.4000000000001</v>
      </c>
      <c r="H5" s="85">
        <v>272.12</v>
      </c>
      <c r="I5" s="85">
        <v>281.47000000000003</v>
      </c>
      <c r="J5" s="85">
        <v>296.91000000000003</v>
      </c>
      <c r="K5" s="85"/>
      <c r="L5" s="11"/>
      <c r="M5" s="11"/>
      <c r="N5" s="42" t="s">
        <v>13</v>
      </c>
      <c r="O5" s="46"/>
      <c r="P5" s="47">
        <f>D21/D20</f>
        <v>1.9265768397896399</v>
      </c>
      <c r="Q5" s="47">
        <f>E21/E20</f>
        <v>1.474503762985109</v>
      </c>
      <c r="R5" s="47">
        <f>F21/F20</f>
        <v>1.5088551341695295</v>
      </c>
      <c r="S5" s="47">
        <f>G21/G20</f>
        <v>1.2943589301296752</v>
      </c>
      <c r="T5" s="18"/>
      <c r="U5" s="18"/>
      <c r="V5" s="18"/>
      <c r="W5" s="18"/>
    </row>
    <row r="6" spans="1:23" x14ac:dyDescent="0.25">
      <c r="A6" s="6" t="s">
        <v>50</v>
      </c>
      <c r="B6" s="7"/>
      <c r="C6" s="8"/>
      <c r="D6">
        <v>1258.01</v>
      </c>
      <c r="E6">
        <v>1264.1099999999999</v>
      </c>
      <c r="F6" s="85">
        <v>1131.18</v>
      </c>
      <c r="G6" s="85">
        <v>1026.78</v>
      </c>
      <c r="H6" s="85">
        <v>260.63</v>
      </c>
      <c r="I6" s="85">
        <v>259.86</v>
      </c>
      <c r="J6" s="85">
        <v>280.73</v>
      </c>
      <c r="K6" s="85"/>
      <c r="L6" s="11"/>
      <c r="M6" s="11"/>
      <c r="N6" s="42" t="s">
        <v>14</v>
      </c>
      <c r="O6" s="43"/>
      <c r="P6" s="43">
        <v>0.34260000000000002</v>
      </c>
      <c r="Q6" s="43">
        <v>0.40250000000000002</v>
      </c>
      <c r="R6" s="43">
        <v>0.40089999999999998</v>
      </c>
      <c r="S6" s="48">
        <v>0.45279999999999998</v>
      </c>
      <c r="T6" s="48"/>
      <c r="U6" s="18"/>
      <c r="V6" s="48">
        <v>0.42420000000000002</v>
      </c>
      <c r="W6" s="18"/>
    </row>
    <row r="7" spans="1:23" x14ac:dyDescent="0.25">
      <c r="A7" s="6" t="s">
        <v>51</v>
      </c>
      <c r="B7" s="7"/>
      <c r="C7" s="8"/>
      <c r="D7" s="87"/>
      <c r="E7" s="85"/>
      <c r="F7" s="85">
        <v>0</v>
      </c>
      <c r="G7" s="85">
        <v>0</v>
      </c>
      <c r="H7" s="85"/>
      <c r="I7" s="85"/>
      <c r="J7" s="85"/>
      <c r="K7" s="85"/>
      <c r="L7" s="11"/>
      <c r="M7" s="11"/>
      <c r="N7" s="42" t="s">
        <v>15</v>
      </c>
      <c r="O7" s="43"/>
      <c r="P7" s="44">
        <f>D20/D23</f>
        <v>0.35956792030749835</v>
      </c>
      <c r="Q7" s="44">
        <f>E20/E23</f>
        <v>0.44591837287694691</v>
      </c>
      <c r="R7" s="44">
        <f>F20/F23</f>
        <v>0.50551587449983171</v>
      </c>
      <c r="S7" s="44">
        <f>G20/G23</f>
        <v>0.50389924469310299</v>
      </c>
      <c r="T7" s="18"/>
      <c r="U7" s="18"/>
      <c r="V7" s="18"/>
      <c r="W7" s="18"/>
    </row>
    <row r="8" spans="1:23" x14ac:dyDescent="0.25">
      <c r="A8" s="6" t="s">
        <v>52</v>
      </c>
      <c r="B8" s="7"/>
      <c r="C8" s="8"/>
      <c r="D8" s="85">
        <f t="shared" ref="D8:J8" si="0">D5-D6-D7</f>
        <v>21.079999999999927</v>
      </c>
      <c r="E8" s="85">
        <f t="shared" si="0"/>
        <v>45.680000000000064</v>
      </c>
      <c r="F8" s="85">
        <f t="shared" si="0"/>
        <v>36.309999999999945</v>
      </c>
      <c r="G8" s="85">
        <f t="shared" si="0"/>
        <v>95.620000000000118</v>
      </c>
      <c r="H8" s="85">
        <f t="shared" si="0"/>
        <v>11.490000000000009</v>
      </c>
      <c r="I8" s="85">
        <f t="shared" si="0"/>
        <v>21.610000000000014</v>
      </c>
      <c r="J8" s="85">
        <f t="shared" si="0"/>
        <v>16.180000000000007</v>
      </c>
      <c r="K8" s="85"/>
      <c r="L8" s="11"/>
      <c r="M8" s="11"/>
      <c r="N8" s="40" t="s">
        <v>16</v>
      </c>
      <c r="O8" s="45"/>
      <c r="P8" s="45"/>
      <c r="Q8" s="45"/>
      <c r="R8" s="46" t="s">
        <v>5</v>
      </c>
      <c r="S8" s="18"/>
      <c r="T8" s="18"/>
      <c r="U8" s="18"/>
      <c r="V8" s="18"/>
      <c r="W8" s="18"/>
    </row>
    <row r="9" spans="1:23" ht="33.75" x14ac:dyDescent="0.25">
      <c r="A9" s="6" t="s">
        <v>24</v>
      </c>
      <c r="B9" s="7"/>
      <c r="C9" s="7"/>
      <c r="D9" s="88">
        <v>578.74</v>
      </c>
      <c r="E9" s="85">
        <v>548.53</v>
      </c>
      <c r="F9" s="85">
        <v>449.13</v>
      </c>
      <c r="G9" s="85">
        <v>455.43</v>
      </c>
      <c r="H9" s="85">
        <v>113.59</v>
      </c>
      <c r="I9" s="85">
        <v>117.04</v>
      </c>
      <c r="J9" s="85">
        <v>125.93</v>
      </c>
      <c r="K9" s="85"/>
      <c r="L9" s="11"/>
      <c r="M9" s="11"/>
      <c r="N9" s="49" t="s">
        <v>93</v>
      </c>
      <c r="O9" s="45"/>
      <c r="P9" s="50">
        <f>D14/(D11-D9)</f>
        <v>8.2830013564646268E-2</v>
      </c>
      <c r="Q9" s="50">
        <f>E14/(E11-E9)</f>
        <v>0.10679662664529858</v>
      </c>
      <c r="R9" s="50">
        <f>F14/(F11-F9)</f>
        <v>7.6020379753883843E-2</v>
      </c>
      <c r="S9" s="50">
        <f>G14/(G11-G9)</f>
        <v>9.5056749179123504E-2</v>
      </c>
      <c r="T9" s="18"/>
      <c r="U9" s="18"/>
      <c r="V9" s="18"/>
      <c r="W9" s="18"/>
    </row>
    <row r="10" spans="1:23" ht="22.5" x14ac:dyDescent="0.25">
      <c r="A10" s="6" t="s">
        <v>53</v>
      </c>
      <c r="B10" s="10">
        <f t="shared" ref="B10:H10" si="1">B6-B9</f>
        <v>0</v>
      </c>
      <c r="C10" s="10">
        <f t="shared" si="1"/>
        <v>0</v>
      </c>
      <c r="D10" s="89">
        <f t="shared" si="1"/>
        <v>679.27</v>
      </c>
      <c r="E10" s="89">
        <f t="shared" si="1"/>
        <v>715.57999999999993</v>
      </c>
      <c r="F10" s="89">
        <f t="shared" si="1"/>
        <v>682.05000000000007</v>
      </c>
      <c r="G10" s="89">
        <f t="shared" si="1"/>
        <v>571.34999999999991</v>
      </c>
      <c r="H10" s="89">
        <f t="shared" si="1"/>
        <v>147.04</v>
      </c>
      <c r="I10" s="89">
        <f>I6-I9</f>
        <v>142.82</v>
      </c>
      <c r="J10" s="89">
        <f>J6-J9</f>
        <v>154.80000000000001</v>
      </c>
      <c r="K10" s="89"/>
      <c r="L10" s="11"/>
      <c r="M10" s="11"/>
      <c r="N10" s="42" t="s">
        <v>92</v>
      </c>
      <c r="O10" s="43"/>
      <c r="P10" s="44">
        <f>D14/D11</f>
        <v>4.5352555332306567E-2</v>
      </c>
      <c r="Q10" s="44">
        <f>E14/E11</f>
        <v>6.2071019018315909E-2</v>
      </c>
      <c r="R10" s="44">
        <f>F14/F11</f>
        <v>4.6775561246777272E-2</v>
      </c>
      <c r="S10" s="44">
        <f>G14/G11</f>
        <v>5.6486101211689239E-2</v>
      </c>
      <c r="T10" s="18"/>
      <c r="U10" s="18"/>
      <c r="V10" s="18"/>
      <c r="W10" s="18"/>
    </row>
    <row r="11" spans="1:23" ht="22.5" x14ac:dyDescent="0.25">
      <c r="A11" s="6" t="s">
        <v>1</v>
      </c>
      <c r="B11" s="10">
        <f>B5-B9</f>
        <v>0</v>
      </c>
      <c r="C11" s="10">
        <f t="shared" ref="C11:H11" si="2">SUM(C6:C8)</f>
        <v>0</v>
      </c>
      <c r="D11" s="89">
        <f t="shared" si="2"/>
        <v>1279.0899999999999</v>
      </c>
      <c r="E11" s="89">
        <f t="shared" si="2"/>
        <v>1309.79</v>
      </c>
      <c r="F11" s="89">
        <f>SUM(F6:F8)</f>
        <v>1167.49</v>
      </c>
      <c r="G11" s="89">
        <f>SUM(G6:G8)</f>
        <v>1122.4000000000001</v>
      </c>
      <c r="H11" s="89">
        <f t="shared" si="2"/>
        <v>272.12</v>
      </c>
      <c r="I11" s="89">
        <f>SUM(I6:I8)</f>
        <v>281.47000000000003</v>
      </c>
      <c r="J11" s="89">
        <f>SUM(J6:J8)</f>
        <v>296.91000000000003</v>
      </c>
      <c r="K11" s="89"/>
      <c r="L11" s="11"/>
      <c r="M11" s="11"/>
      <c r="N11" s="42" t="s">
        <v>17</v>
      </c>
      <c r="O11" s="43"/>
      <c r="P11" s="44">
        <f>D14/AVERAGE(C22:D22)</f>
        <v>6.7748746864240905E-3</v>
      </c>
      <c r="Q11" s="44">
        <f>E14/AVERAGE(D22:E22)</f>
        <v>9.7003973225471586E-3</v>
      </c>
      <c r="R11" s="44">
        <f>F14/AVERAGE(E22:F22)</f>
        <v>6.2698552112359111E-3</v>
      </c>
      <c r="S11" s="44">
        <f>G14/AVERAGE(F22:G22)</f>
        <v>6.916349803664029E-3</v>
      </c>
      <c r="T11" s="18"/>
      <c r="U11" s="18"/>
      <c r="V11" s="18"/>
      <c r="W11" s="18"/>
    </row>
    <row r="12" spans="1:23" x14ac:dyDescent="0.25">
      <c r="A12" s="6" t="s">
        <v>91</v>
      </c>
      <c r="B12" s="10"/>
      <c r="C12" s="10"/>
      <c r="D12" s="89">
        <v>0</v>
      </c>
      <c r="E12" s="89">
        <v>0</v>
      </c>
      <c r="F12" s="89"/>
      <c r="G12" s="89">
        <v>13.7</v>
      </c>
      <c r="H12" s="89">
        <v>0.02</v>
      </c>
      <c r="I12" s="89"/>
      <c r="J12" s="89"/>
      <c r="K12" s="89"/>
      <c r="L12" s="11"/>
      <c r="M12" s="11"/>
      <c r="N12" s="40" t="s">
        <v>18</v>
      </c>
      <c r="O12" s="45"/>
      <c r="P12" s="45"/>
      <c r="Q12" s="45"/>
      <c r="R12" s="46" t="s">
        <v>5</v>
      </c>
      <c r="S12" s="18"/>
      <c r="T12" s="18"/>
      <c r="U12" s="18"/>
      <c r="V12" s="53"/>
      <c r="W12" s="54"/>
    </row>
    <row r="13" spans="1:23" x14ac:dyDescent="0.25">
      <c r="A13" s="6" t="s">
        <v>25</v>
      </c>
      <c r="B13" s="7"/>
      <c r="C13" s="7"/>
      <c r="D13" s="88">
        <f t="shared" ref="D13:J13" si="3">D11+D12</f>
        <v>1279.0899999999999</v>
      </c>
      <c r="E13" s="88">
        <f t="shared" si="3"/>
        <v>1309.79</v>
      </c>
      <c r="F13" s="88">
        <f t="shared" si="3"/>
        <v>1167.49</v>
      </c>
      <c r="G13" s="88">
        <f t="shared" si="3"/>
        <v>1136.1000000000001</v>
      </c>
      <c r="H13" s="88">
        <f t="shared" si="3"/>
        <v>272.14</v>
      </c>
      <c r="I13" s="88">
        <f t="shared" si="3"/>
        <v>281.47000000000003</v>
      </c>
      <c r="J13" s="88">
        <f t="shared" si="3"/>
        <v>296.91000000000003</v>
      </c>
      <c r="K13" s="88"/>
      <c r="L13" s="11"/>
      <c r="M13" s="11"/>
      <c r="N13" s="42" t="s">
        <v>19</v>
      </c>
      <c r="O13" s="43"/>
      <c r="P13" s="44">
        <f>D24/D23</f>
        <v>1.0514021579266106E-2</v>
      </c>
      <c r="Q13" s="44">
        <f>E24/E23</f>
        <v>2.0814591214055777E-2</v>
      </c>
      <c r="R13" s="44">
        <f>F24/F23</f>
        <v>4.0017617557724511E-2</v>
      </c>
      <c r="S13" s="44">
        <f>G24/G23</f>
        <v>5.3175701844871283E-2</v>
      </c>
      <c r="T13" s="48">
        <v>5.6000000000000001E-2</v>
      </c>
      <c r="U13" s="48">
        <v>5.9799999999999999E-2</v>
      </c>
      <c r="V13" s="48">
        <v>4.9500000000000002E-2</v>
      </c>
      <c r="W13" s="18"/>
    </row>
    <row r="14" spans="1:23" x14ac:dyDescent="0.25">
      <c r="A14" s="6" t="s">
        <v>26</v>
      </c>
      <c r="B14" s="7"/>
      <c r="C14" s="7"/>
      <c r="D14" s="85">
        <f>31.52+0.23+26.26</f>
        <v>58.010000000000005</v>
      </c>
      <c r="E14" s="85">
        <f>27.42+2.19+51.69</f>
        <v>81.3</v>
      </c>
      <c r="F14" s="85">
        <f>27.79+2.19+24.63</f>
        <v>54.61</v>
      </c>
      <c r="G14" s="85">
        <f>35.64+3.13+24.63</f>
        <v>63.400000000000006</v>
      </c>
      <c r="H14" s="85">
        <f>11.45+0.91+3.79</f>
        <v>16.149999999999999</v>
      </c>
      <c r="I14" s="85">
        <f>10.44+0.91+4.62</f>
        <v>15.969999999999999</v>
      </c>
      <c r="J14" s="85">
        <f>9.91+1.02+5.67</f>
        <v>16.600000000000001</v>
      </c>
      <c r="K14" s="85"/>
      <c r="L14" s="11"/>
      <c r="M14" s="11"/>
      <c r="N14" s="42" t="s">
        <v>20</v>
      </c>
      <c r="O14" s="43"/>
      <c r="P14" s="44">
        <f>D25/D23</f>
        <v>8.4821594097217925E-3</v>
      </c>
      <c r="Q14" s="44">
        <f>E25/E23</f>
        <v>1.433568896933699E-2</v>
      </c>
      <c r="R14" s="44">
        <f>F25/F23</f>
        <v>2.2839113748204659E-2</v>
      </c>
      <c r="S14" s="44">
        <f>G25/G23</f>
        <v>3.6369516227785934E-2</v>
      </c>
      <c r="T14" s="48">
        <v>4.0300000000000002E-2</v>
      </c>
      <c r="U14" s="48">
        <v>4.0800000000000003E-2</v>
      </c>
      <c r="V14" s="48">
        <v>3.3300000000000003E-2</v>
      </c>
      <c r="W14" s="18"/>
    </row>
    <row r="15" spans="1:23" x14ac:dyDescent="0.25">
      <c r="A15" s="6" t="s">
        <v>54</v>
      </c>
      <c r="B15" s="10"/>
      <c r="C15" s="10"/>
      <c r="D15" s="89">
        <f t="shared" ref="D15:I15" si="4">D11-D14</f>
        <v>1221.08</v>
      </c>
      <c r="E15" s="89">
        <f t="shared" si="4"/>
        <v>1228.49</v>
      </c>
      <c r="F15" s="89">
        <f t="shared" si="4"/>
        <v>1112.8800000000001</v>
      </c>
      <c r="G15" s="89">
        <f t="shared" si="4"/>
        <v>1059</v>
      </c>
      <c r="H15" s="89">
        <f t="shared" si="4"/>
        <v>255.97</v>
      </c>
      <c r="I15" s="89">
        <f t="shared" si="4"/>
        <v>265.5</v>
      </c>
      <c r="J15" s="89">
        <f>J11-J14</f>
        <v>280.31</v>
      </c>
      <c r="K15" s="89"/>
      <c r="L15" s="11"/>
      <c r="M15" s="11"/>
      <c r="N15" s="42" t="s">
        <v>21</v>
      </c>
      <c r="O15" s="43"/>
      <c r="P15" s="44">
        <f>(P13-P14)/P13</f>
        <v>0.19325261549312325</v>
      </c>
      <c r="Q15" s="44">
        <f>(Q13-Q14)/Q13</f>
        <v>0.3112673305994923</v>
      </c>
      <c r="R15" s="44">
        <f>(R13-R14)/R13</f>
        <v>0.42927352645969608</v>
      </c>
      <c r="S15" s="44">
        <f>(S13-S14)/S13</f>
        <v>0.31605009494964065</v>
      </c>
      <c r="T15" s="44">
        <f>(T13-T14)/T13</f>
        <v>0.2803571428571428</v>
      </c>
      <c r="U15" s="18"/>
      <c r="V15" s="18"/>
      <c r="W15" s="18"/>
    </row>
    <row r="16" spans="1:23" x14ac:dyDescent="0.25">
      <c r="A16" s="6" t="s">
        <v>94</v>
      </c>
      <c r="B16" s="10"/>
      <c r="C16" s="10"/>
      <c r="D16" s="89">
        <f t="shared" ref="D16:I16" si="5">D13-D14-D9</f>
        <v>642.33999999999992</v>
      </c>
      <c r="E16" s="89">
        <f t="shared" si="5"/>
        <v>679.96</v>
      </c>
      <c r="F16" s="89">
        <f t="shared" si="5"/>
        <v>663.75000000000011</v>
      </c>
      <c r="G16" s="89">
        <f t="shared" si="5"/>
        <v>617.27</v>
      </c>
      <c r="H16" s="89">
        <f t="shared" si="5"/>
        <v>142.39999999999998</v>
      </c>
      <c r="I16" s="89">
        <f t="shared" si="5"/>
        <v>148.45999999999998</v>
      </c>
      <c r="J16" s="89">
        <f>J13-J14-J9</f>
        <v>154.38</v>
      </c>
      <c r="K16" s="89"/>
      <c r="L16" s="11"/>
      <c r="M16" s="11"/>
      <c r="N16" s="42" t="s">
        <v>22</v>
      </c>
      <c r="O16" s="43"/>
      <c r="P16" s="44">
        <f>D17/AVERAGE(C23:D23)</f>
        <v>1.9762455043195611E-3</v>
      </c>
      <c r="Q16" s="44">
        <f>E17/AVERAGE(D23:E23)</f>
        <v>1.874226828111205E-2</v>
      </c>
      <c r="R16" s="44">
        <f>F17/AVERAGE(E23:F23)</f>
        <v>2.5343556412425219E-2</v>
      </c>
      <c r="S16" s="44">
        <f>G17/AVERAGE(F23:G23)</f>
        <v>2.9854992694460951E-2</v>
      </c>
      <c r="T16" s="18"/>
      <c r="U16" s="18"/>
      <c r="V16" s="18"/>
      <c r="W16" s="18"/>
    </row>
    <row r="17" spans="1:23" x14ac:dyDescent="0.25">
      <c r="A17" s="6" t="s">
        <v>27</v>
      </c>
      <c r="B17" s="7"/>
      <c r="C17" s="7"/>
      <c r="D17" s="88">
        <v>15.99</v>
      </c>
      <c r="E17" s="85">
        <v>144.99</v>
      </c>
      <c r="F17" s="85">
        <v>185.02</v>
      </c>
      <c r="G17" s="85">
        <v>224.56</v>
      </c>
      <c r="H17" s="85">
        <v>65.239999999999995</v>
      </c>
      <c r="I17" s="85">
        <v>23.39</v>
      </c>
      <c r="J17" s="85">
        <v>38.450000000000003</v>
      </c>
      <c r="K17" s="85"/>
      <c r="L17" s="11"/>
      <c r="M17" s="11"/>
      <c r="N17" s="18"/>
      <c r="O17" s="18"/>
      <c r="P17" s="18"/>
      <c r="Q17" s="18"/>
      <c r="R17" s="18"/>
      <c r="S17" s="18"/>
      <c r="T17" s="18"/>
      <c r="U17" s="18"/>
      <c r="V17" s="18"/>
      <c r="W17" s="18"/>
    </row>
    <row r="18" spans="1:23" x14ac:dyDescent="0.25">
      <c r="A18" s="6" t="s">
        <v>55</v>
      </c>
      <c r="B18" s="7"/>
      <c r="C18" s="7"/>
      <c r="D18" s="88">
        <v>406.39</v>
      </c>
      <c r="E18" s="85">
        <v>382.35</v>
      </c>
      <c r="F18" s="89">
        <v>358.98</v>
      </c>
      <c r="G18" s="89">
        <v>289.06</v>
      </c>
      <c r="H18" s="89">
        <v>57.78</v>
      </c>
      <c r="I18" s="89">
        <v>91.04</v>
      </c>
      <c r="J18" s="89">
        <v>85.92</v>
      </c>
      <c r="K18" s="89"/>
      <c r="L18" s="11"/>
      <c r="M18" s="11"/>
      <c r="N18" s="40" t="s">
        <v>30</v>
      </c>
      <c r="O18" s="45"/>
      <c r="P18" s="45"/>
      <c r="Q18" s="45"/>
      <c r="R18" s="46" t="s">
        <v>5</v>
      </c>
      <c r="S18" s="18"/>
      <c r="T18" s="18"/>
      <c r="U18" s="18"/>
      <c r="V18" s="18"/>
      <c r="W18" s="18"/>
    </row>
    <row r="19" spans="1:23" ht="22.5" x14ac:dyDescent="0.25">
      <c r="A19" s="6" t="s">
        <v>28</v>
      </c>
      <c r="B19" s="7"/>
      <c r="C19" s="7"/>
      <c r="D19" s="88">
        <v>2909.3</v>
      </c>
      <c r="E19" s="85">
        <v>3291.27</v>
      </c>
      <c r="F19" s="85">
        <v>3649.86</v>
      </c>
      <c r="G19" s="85">
        <v>3942.16</v>
      </c>
      <c r="H19" s="85">
        <v>3999.93</v>
      </c>
      <c r="I19" s="85">
        <v>4081.77</v>
      </c>
      <c r="J19" s="85">
        <v>4167.68</v>
      </c>
      <c r="K19" s="85"/>
      <c r="L19" s="11"/>
      <c r="M19" s="11"/>
      <c r="N19" s="46" t="s">
        <v>95</v>
      </c>
      <c r="O19" s="51"/>
      <c r="P19" s="51"/>
      <c r="Q19" s="52">
        <f>E16/AVERAGE(D22:E22)</f>
        <v>8.1130161911920864E-2</v>
      </c>
      <c r="R19" s="52">
        <f>F16/AVERAGE(E22:F22)</f>
        <v>7.6206123355756022E-2</v>
      </c>
      <c r="S19" s="52">
        <f>G16/AVERAGE(F22:G22)</f>
        <v>6.7338410777723887E-2</v>
      </c>
      <c r="T19" s="18"/>
      <c r="U19" s="18"/>
      <c r="V19" s="18"/>
      <c r="W19" s="18"/>
    </row>
    <row r="20" spans="1:23" x14ac:dyDescent="0.25">
      <c r="A20" s="6" t="s">
        <v>56</v>
      </c>
      <c r="B20" s="7"/>
      <c r="C20" s="7"/>
      <c r="D20" s="88">
        <f t="shared" ref="D20:J20" si="6">D19-D71</f>
        <v>2909.3</v>
      </c>
      <c r="E20" s="89">
        <f t="shared" si="6"/>
        <v>3291.27</v>
      </c>
      <c r="F20" s="89">
        <f t="shared" si="6"/>
        <v>3649.86</v>
      </c>
      <c r="G20" s="89">
        <f t="shared" si="6"/>
        <v>3942.16</v>
      </c>
      <c r="H20" s="89">
        <f t="shared" si="6"/>
        <v>3999.93</v>
      </c>
      <c r="I20" s="89">
        <f t="shared" si="6"/>
        <v>4081.77</v>
      </c>
      <c r="J20" s="89">
        <f t="shared" si="6"/>
        <v>4167.68</v>
      </c>
      <c r="K20" s="89"/>
      <c r="L20" s="11"/>
      <c r="M20" s="11"/>
      <c r="N20" s="42" t="s">
        <v>31</v>
      </c>
      <c r="O20" s="43"/>
      <c r="P20" s="43">
        <v>4.4699999999999997E-2</v>
      </c>
      <c r="Q20" s="44">
        <f>E18/AVERAGE(D22:E22)</f>
        <v>4.5620503275226404E-2</v>
      </c>
      <c r="R20" s="44">
        <f>F18/AVERAGE(E22:F22)</f>
        <v>4.1215026986439619E-2</v>
      </c>
      <c r="S20" s="44">
        <f>G18/AVERAGE(F22:G22)</f>
        <v>3.1533755114307949E-2</v>
      </c>
      <c r="T20" s="48"/>
      <c r="U20" s="18"/>
      <c r="V20" s="18"/>
      <c r="W20" s="18"/>
    </row>
    <row r="21" spans="1:23" x14ac:dyDescent="0.25">
      <c r="A21" s="6" t="s">
        <v>57</v>
      </c>
      <c r="B21" s="9"/>
      <c r="C21" s="9"/>
      <c r="D21" s="85">
        <f>3248.56+2356.43</f>
        <v>5604.99</v>
      </c>
      <c r="E21" s="85">
        <f>3045.4+1807.59</f>
        <v>4852.99</v>
      </c>
      <c r="F21" s="85">
        <f>3507.66+1999.45</f>
        <v>5507.11</v>
      </c>
      <c r="G21" s="85">
        <f>3826.93+1275.64</f>
        <v>5102.57</v>
      </c>
      <c r="H21" s="85"/>
      <c r="I21" s="85"/>
      <c r="J21" s="85"/>
      <c r="K21" s="85"/>
      <c r="L21" s="11"/>
      <c r="M21" s="11"/>
      <c r="N21" s="42" t="s">
        <v>32</v>
      </c>
      <c r="O21" s="43"/>
      <c r="P21" s="44">
        <f>D18/AVERAGE(C19:D19)</f>
        <v>0.13968652253119307</v>
      </c>
      <c r="Q21" s="44">
        <f>E18/AVERAGE(D19:E19)</f>
        <v>0.12332737151584452</v>
      </c>
      <c r="R21" s="44">
        <f>F18/AVERAGE(E19:F19)</f>
        <v>0.10343560774686543</v>
      </c>
      <c r="S21" s="44">
        <f>G18/AVERAGE(F19:G19)</f>
        <v>7.6148376848322319E-2</v>
      </c>
      <c r="T21" s="18"/>
      <c r="U21" s="18"/>
      <c r="V21" s="18"/>
      <c r="W21" s="18"/>
    </row>
    <row r="22" spans="1:23" x14ac:dyDescent="0.25">
      <c r="A22" s="6" t="s">
        <v>29</v>
      </c>
      <c r="B22" s="7"/>
      <c r="C22" s="7"/>
      <c r="D22" s="88">
        <v>8562.52</v>
      </c>
      <c r="E22" s="85">
        <v>8199.68</v>
      </c>
      <c r="F22" s="85">
        <v>9220.18</v>
      </c>
      <c r="G22" s="85">
        <v>9113.19</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v>8091.1</v>
      </c>
      <c r="E23" s="85">
        <v>7380.88</v>
      </c>
      <c r="F23" s="85">
        <v>7220.07</v>
      </c>
      <c r="G23" s="85">
        <v>7823.31</v>
      </c>
      <c r="H23" s="85"/>
      <c r="I23" s="85"/>
      <c r="J23" s="85"/>
      <c r="K23" s="85"/>
      <c r="L23" s="11"/>
      <c r="M23" s="11"/>
      <c r="N23" s="42" t="s">
        <v>34</v>
      </c>
      <c r="O23" s="43"/>
      <c r="P23" s="44">
        <f>D6/AVERAGE(C23:D23)</f>
        <v>0.15548071337642594</v>
      </c>
      <c r="Q23" s="44">
        <f>E6/AVERAGE(D23:E23)</f>
        <v>0.16340636427916788</v>
      </c>
      <c r="R23" s="44">
        <f>F6/AVERAGE(E23:F23)</f>
        <v>0.15494608227546838</v>
      </c>
      <c r="S23" s="44">
        <f>G6/AVERAGE(F23:G23)</f>
        <v>0.13650921534921007</v>
      </c>
      <c r="T23" s="18"/>
      <c r="U23" s="18"/>
      <c r="V23" s="18"/>
      <c r="W23" s="18"/>
    </row>
    <row r="24" spans="1:23" x14ac:dyDescent="0.25">
      <c r="A24" s="6" t="s">
        <v>59</v>
      </c>
      <c r="B24" s="10"/>
      <c r="C24" s="10"/>
      <c r="D24" s="89">
        <v>85.07</v>
      </c>
      <c r="E24" s="89">
        <v>153.63</v>
      </c>
      <c r="F24" s="89">
        <v>288.93</v>
      </c>
      <c r="G24" s="89">
        <v>416.01</v>
      </c>
      <c r="H24" s="89"/>
      <c r="I24" s="89"/>
      <c r="J24" s="89"/>
      <c r="K24" s="89"/>
      <c r="L24" s="11"/>
      <c r="M24" s="11"/>
      <c r="N24" s="42" t="s">
        <v>35</v>
      </c>
      <c r="O24" s="43"/>
      <c r="P24" s="44">
        <f>D9/AVERAGE(C21:D21)</f>
        <v>0.10325442150655043</v>
      </c>
      <c r="Q24" s="44">
        <f>E9/AVERAGE(D21:E21)</f>
        <v>0.1049017114203699</v>
      </c>
      <c r="R24" s="44">
        <f>F9/AVERAGE(E21:F21)</f>
        <v>8.6703796295402563E-2</v>
      </c>
      <c r="S24" s="44">
        <f>G9/AVERAGE(F21:G21)</f>
        <v>8.5851788178342797E-2</v>
      </c>
      <c r="T24" s="18"/>
      <c r="U24" s="18"/>
      <c r="V24" s="18"/>
      <c r="W24" s="18"/>
    </row>
    <row r="25" spans="1:23" x14ac:dyDescent="0.25">
      <c r="A25" s="6" t="s">
        <v>60</v>
      </c>
      <c r="B25" s="10"/>
      <c r="C25" s="10"/>
      <c r="D25" s="89">
        <v>68.63</v>
      </c>
      <c r="E25" s="89">
        <v>105.81</v>
      </c>
      <c r="F25" s="89">
        <v>164.9</v>
      </c>
      <c r="G25" s="89">
        <v>284.52999999999997</v>
      </c>
      <c r="H25" s="89"/>
      <c r="I25" s="89"/>
      <c r="J25" s="89"/>
      <c r="K25" s="89"/>
      <c r="L25" s="11"/>
      <c r="M25" s="11"/>
      <c r="N25" s="42" t="s">
        <v>36</v>
      </c>
      <c r="O25" s="43"/>
      <c r="P25" s="48">
        <f>P23-P24</f>
        <v>5.2226291869875513E-2</v>
      </c>
      <c r="Q25" s="48">
        <f>Q23-Q24</f>
        <v>5.8504652858797981E-2</v>
      </c>
      <c r="R25" s="48">
        <f>R23-R24</f>
        <v>6.824228598006582E-2</v>
      </c>
      <c r="S25" s="48">
        <f>S23-S24</f>
        <v>5.065742717086727E-2</v>
      </c>
      <c r="T25" s="18"/>
      <c r="U25" s="18"/>
      <c r="V25" s="18"/>
      <c r="W25" s="18"/>
    </row>
    <row r="27" spans="1:23" x14ac:dyDescent="0.25">
      <c r="A27" s="732" t="s">
        <v>278</v>
      </c>
      <c r="B27" s="732"/>
      <c r="C27" s="732"/>
      <c r="D27" s="732"/>
      <c r="E27" s="732"/>
      <c r="F27" s="732"/>
      <c r="G27" s="732"/>
      <c r="H27" s="732"/>
      <c r="I27" s="732"/>
      <c r="J27" s="732"/>
      <c r="K27" s="732"/>
      <c r="L27" s="732"/>
      <c r="M27" s="732"/>
      <c r="N27" s="732"/>
    </row>
    <row r="28" spans="1:23" x14ac:dyDescent="0.25">
      <c r="A28" s="732"/>
      <c r="B28" s="732"/>
      <c r="C28" s="732"/>
      <c r="D28" s="732"/>
      <c r="E28" s="732"/>
      <c r="F28" s="732"/>
      <c r="G28" s="732"/>
      <c r="H28" s="732"/>
      <c r="I28" s="732"/>
      <c r="J28" s="732"/>
      <c r="K28" s="732"/>
      <c r="L28" s="732"/>
      <c r="M28" s="732"/>
      <c r="N28" s="732"/>
    </row>
    <row r="29" spans="1:23" x14ac:dyDescent="0.25">
      <c r="A29" s="732"/>
      <c r="B29" s="732"/>
      <c r="C29" s="732"/>
      <c r="D29" s="732"/>
      <c r="E29" s="732"/>
      <c r="F29" s="732"/>
      <c r="G29" s="732"/>
      <c r="H29" s="732"/>
      <c r="I29" s="732"/>
      <c r="J29" s="732"/>
      <c r="K29" s="732"/>
      <c r="L29" s="732"/>
      <c r="M29" s="732"/>
      <c r="N29" s="732"/>
    </row>
    <row r="30" spans="1:23" x14ac:dyDescent="0.25">
      <c r="A30" s="732"/>
      <c r="B30" s="732"/>
      <c r="C30" s="732"/>
      <c r="D30" s="732"/>
      <c r="E30" s="732"/>
      <c r="F30" s="732"/>
      <c r="G30" s="732"/>
      <c r="H30" s="732"/>
      <c r="I30" s="732"/>
      <c r="J30" s="732"/>
      <c r="K30" s="732"/>
      <c r="L30" s="732"/>
      <c r="M30" s="732"/>
      <c r="N30" s="732"/>
    </row>
    <row r="31" spans="1:23" x14ac:dyDescent="0.25">
      <c r="A31" s="732"/>
      <c r="B31" s="732"/>
      <c r="C31" s="732"/>
      <c r="D31" s="732"/>
      <c r="E31" s="732"/>
      <c r="F31" s="732"/>
      <c r="G31" s="732"/>
      <c r="H31" s="732"/>
      <c r="I31" s="732"/>
      <c r="J31" s="732"/>
      <c r="K31" s="732"/>
      <c r="L31" s="732"/>
      <c r="M31" s="732"/>
      <c r="N31" s="732"/>
    </row>
  </sheetData>
  <mergeCells count="2">
    <mergeCell ref="I1:K1"/>
    <mergeCell ref="A27:N31"/>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W35"/>
  <sheetViews>
    <sheetView topLeftCell="A2" workbookViewId="0">
      <selection activeCell="AG6" sqref="AG6"/>
    </sheetView>
  </sheetViews>
  <sheetFormatPr defaultRowHeight="15" x14ac:dyDescent="0.25"/>
  <cols>
    <col min="1" max="1" width="29" customWidth="1"/>
    <col min="4" max="4" width="13.85546875" customWidth="1"/>
    <col min="5" max="5" width="12.85546875" customWidth="1"/>
    <col min="6" max="6" width="12.28515625" customWidth="1"/>
    <col min="7" max="7" width="13" customWidth="1"/>
    <col min="14" max="14" width="34.42578125" customWidth="1"/>
    <col min="15" max="15" width="9.5703125" customWidth="1"/>
    <col min="16" max="16" width="13.5703125" customWidth="1"/>
    <col min="17" max="17" width="12.5703125" customWidth="1"/>
    <col min="18" max="18" width="11.7109375" customWidth="1"/>
    <col min="19" max="19" width="12.42578125" customWidth="1"/>
  </cols>
  <sheetData>
    <row r="1" spans="1:23" x14ac:dyDescent="0.25">
      <c r="I1" s="772" t="s">
        <v>112</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f>D10/AVERAGE(C23:D23)</f>
        <v>3.8884727146067624E-2</v>
      </c>
      <c r="Q3" s="44">
        <f>E10/AVERAGE(D23:E23)</f>
        <v>4.8703488073913816E-2</v>
      </c>
      <c r="R3" s="44">
        <f>F10/AVERAGE(E23:F23)</f>
        <v>4.1908739202796398E-2</v>
      </c>
      <c r="S3" s="44">
        <f>G10/AVERAGE(F23:G23)</f>
        <v>3.5187113432990566E-2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1594.55</v>
      </c>
      <c r="E5">
        <v>1764.08</v>
      </c>
      <c r="F5" s="85">
        <v>1351.34</v>
      </c>
      <c r="G5" s="90">
        <v>1752.44</v>
      </c>
      <c r="H5" s="85">
        <v>496.7</v>
      </c>
      <c r="I5" s="85">
        <v>548.25</v>
      </c>
      <c r="J5" s="85">
        <v>587.45000000000005</v>
      </c>
      <c r="K5" s="85">
        <v>667.2</v>
      </c>
      <c r="L5" s="11"/>
      <c r="M5" s="11"/>
      <c r="N5" s="42" t="s">
        <v>13</v>
      </c>
      <c r="O5" s="46"/>
      <c r="P5" s="47">
        <f>D21/D20</f>
        <v>1.6124626354772096</v>
      </c>
      <c r="Q5" s="47">
        <f>E21/E20</f>
        <v>1.4146374963659214</v>
      </c>
      <c r="R5" s="47">
        <f>F21/F20</f>
        <v>1.6869633660071834</v>
      </c>
      <c r="S5" s="47">
        <f>G21/G20</f>
        <v>2.4061090630039255</v>
      </c>
      <c r="T5" s="18"/>
      <c r="U5" s="18"/>
      <c r="V5" s="18"/>
      <c r="W5" s="18"/>
    </row>
    <row r="6" spans="1:23" x14ac:dyDescent="0.25">
      <c r="A6" s="6" t="s">
        <v>50</v>
      </c>
      <c r="B6" s="7"/>
      <c r="C6" s="8"/>
      <c r="D6">
        <v>1581.05</v>
      </c>
      <c r="E6">
        <v>1657.73</v>
      </c>
      <c r="F6" s="85">
        <v>1351.34</v>
      </c>
      <c r="G6" s="85">
        <v>1752.44</v>
      </c>
      <c r="H6" s="85">
        <v>496.7</v>
      </c>
      <c r="I6" s="85">
        <v>548.25</v>
      </c>
      <c r="J6" s="85">
        <v>587.45000000000005</v>
      </c>
      <c r="K6" s="85">
        <v>602.54999999999995</v>
      </c>
      <c r="L6" s="11"/>
      <c r="M6" s="11"/>
      <c r="N6" s="42" t="s">
        <v>14</v>
      </c>
      <c r="O6" s="43"/>
      <c r="P6" s="43">
        <v>0.40699999999999997</v>
      </c>
      <c r="Q6" s="43">
        <v>0.4899</v>
      </c>
      <c r="R6" s="43">
        <v>0.3705</v>
      </c>
      <c r="S6" s="48">
        <v>0.3155</v>
      </c>
      <c r="T6" s="48"/>
      <c r="U6" s="48">
        <v>0.32500000000000001</v>
      </c>
      <c r="V6" s="48">
        <v>0.33139999999999997</v>
      </c>
      <c r="W6" s="48">
        <v>0.33660000000000001</v>
      </c>
    </row>
    <row r="7" spans="1:23" x14ac:dyDescent="0.25">
      <c r="A7" s="6" t="s">
        <v>51</v>
      </c>
      <c r="B7" s="7"/>
      <c r="C7" s="8"/>
      <c r="D7" s="87"/>
      <c r="E7" s="85"/>
      <c r="F7" s="85">
        <v>0</v>
      </c>
      <c r="G7" s="85">
        <v>0</v>
      </c>
      <c r="H7" s="85"/>
      <c r="I7" s="85"/>
      <c r="J7" s="85"/>
      <c r="K7" s="85"/>
      <c r="L7" s="11"/>
      <c r="M7" s="11"/>
      <c r="N7" s="42" t="s">
        <v>15</v>
      </c>
      <c r="O7" s="43"/>
      <c r="P7" s="44">
        <f>D20/D23</f>
        <v>0.4234031233747334</v>
      </c>
      <c r="Q7" s="44">
        <f>E20/E23</f>
        <v>0.58950054586257761</v>
      </c>
      <c r="R7" s="44">
        <f>F20/F23</f>
        <v>0.41850853906447349</v>
      </c>
      <c r="S7" s="44">
        <f>G20/G23</f>
        <v>0.35214381912836179</v>
      </c>
      <c r="T7" s="18"/>
      <c r="U7" s="18"/>
      <c r="V7" s="18"/>
      <c r="W7" s="18"/>
    </row>
    <row r="8" spans="1:23" x14ac:dyDescent="0.25">
      <c r="A8" s="6" t="s">
        <v>52</v>
      </c>
      <c r="B8" s="7"/>
      <c r="C8" s="8"/>
      <c r="D8" s="85">
        <f t="shared" ref="D8:K8" si="0">D5-D6-D7</f>
        <v>13.5</v>
      </c>
      <c r="E8" s="85">
        <f t="shared" si="0"/>
        <v>106.34999999999991</v>
      </c>
      <c r="F8" s="85">
        <f t="shared" si="0"/>
        <v>0</v>
      </c>
      <c r="G8" s="85">
        <f t="shared" si="0"/>
        <v>0</v>
      </c>
      <c r="H8" s="85">
        <f t="shared" si="0"/>
        <v>0</v>
      </c>
      <c r="I8" s="85">
        <f t="shared" si="0"/>
        <v>0</v>
      </c>
      <c r="J8" s="85">
        <f t="shared" si="0"/>
        <v>0</v>
      </c>
      <c r="K8" s="85">
        <f t="shared" si="0"/>
        <v>64.650000000000091</v>
      </c>
      <c r="L8" s="11"/>
      <c r="M8" s="11"/>
      <c r="N8" s="40" t="s">
        <v>16</v>
      </c>
      <c r="O8" s="45"/>
      <c r="P8" s="45"/>
      <c r="Q8" s="45"/>
      <c r="R8" s="46" t="s">
        <v>5</v>
      </c>
      <c r="S8" s="18"/>
      <c r="T8" s="18"/>
      <c r="U8" s="18"/>
      <c r="V8" s="18"/>
      <c r="W8" s="18"/>
    </row>
    <row r="9" spans="1:23" ht="22.5" x14ac:dyDescent="0.25">
      <c r="A9" s="6" t="s">
        <v>24</v>
      </c>
      <c r="B9" s="7"/>
      <c r="C9" s="7"/>
      <c r="D9" s="88">
        <v>929.09</v>
      </c>
      <c r="E9" s="85">
        <v>888.53</v>
      </c>
      <c r="F9" s="85">
        <v>587.86</v>
      </c>
      <c r="G9" s="85">
        <v>890.38</v>
      </c>
      <c r="H9" s="85">
        <v>280.51</v>
      </c>
      <c r="I9" s="85">
        <v>339.79</v>
      </c>
      <c r="J9" s="85">
        <v>393.52</v>
      </c>
      <c r="K9" s="85">
        <v>414.58</v>
      </c>
      <c r="L9" s="11"/>
      <c r="M9" s="11"/>
      <c r="N9" s="49" t="s">
        <v>93</v>
      </c>
      <c r="O9" s="45"/>
      <c r="P9" s="45"/>
      <c r="Q9" s="50">
        <f>D14/(D11-D9)</f>
        <v>0.10884200402728941</v>
      </c>
      <c r="R9" s="50">
        <f>E14/(E11-E9)</f>
        <v>8.9326708925818066E-2</v>
      </c>
      <c r="S9" s="50">
        <f>F14/(F11-F9)</f>
        <v>0.12031749358201919</v>
      </c>
      <c r="T9" s="18"/>
      <c r="U9" s="18"/>
      <c r="V9" s="18"/>
      <c r="W9" s="18"/>
    </row>
    <row r="10" spans="1:23" ht="22.5" x14ac:dyDescent="0.25">
      <c r="A10" s="6" t="s">
        <v>53</v>
      </c>
      <c r="B10" s="10">
        <f t="shared" ref="B10:H10" si="1">B6-B9</f>
        <v>0</v>
      </c>
      <c r="C10" s="10">
        <f t="shared" si="1"/>
        <v>0</v>
      </c>
      <c r="D10" s="89">
        <f t="shared" si="1"/>
        <v>651.95999999999992</v>
      </c>
      <c r="E10" s="89">
        <f t="shared" si="1"/>
        <v>769.2</v>
      </c>
      <c r="F10" s="89">
        <f t="shared" si="1"/>
        <v>763.4799999999999</v>
      </c>
      <c r="G10" s="89">
        <f t="shared" si="1"/>
        <v>862.06000000000006</v>
      </c>
      <c r="H10" s="89">
        <f t="shared" si="1"/>
        <v>216.19</v>
      </c>
      <c r="I10" s="89">
        <f>I6-I9</f>
        <v>208.45999999999998</v>
      </c>
      <c r="J10" s="89">
        <f>J6-J9</f>
        <v>193.93000000000006</v>
      </c>
      <c r="K10" s="89">
        <f>K6-K9</f>
        <v>187.96999999999997</v>
      </c>
      <c r="L10" s="11"/>
      <c r="M10" s="11"/>
      <c r="N10" s="42" t="s">
        <v>92</v>
      </c>
      <c r="O10" s="43"/>
      <c r="P10" s="44">
        <f>D14/D11</f>
        <v>4.5423473707315552E-2</v>
      </c>
      <c r="Q10" s="44">
        <f>E14/E11</f>
        <v>4.433472404879598E-2</v>
      </c>
      <c r="R10" s="44">
        <f>F14/F11</f>
        <v>6.7976971006556461E-2</v>
      </c>
      <c r="S10" s="44">
        <f>G14/G11</f>
        <v>5.6863573075255074E-2</v>
      </c>
      <c r="T10" s="18"/>
      <c r="U10" s="18"/>
      <c r="V10" s="18"/>
      <c r="W10" s="18"/>
    </row>
    <row r="11" spans="1:23" x14ac:dyDescent="0.25">
      <c r="A11" s="6" t="s">
        <v>1</v>
      </c>
      <c r="B11" s="10">
        <f>B5-B9</f>
        <v>0</v>
      </c>
      <c r="C11" s="10">
        <f t="shared" ref="C11:H11" si="2">SUM(C6:C8)</f>
        <v>0</v>
      </c>
      <c r="D11" s="89">
        <f t="shared" si="2"/>
        <v>1594.55</v>
      </c>
      <c r="E11" s="89">
        <f t="shared" si="2"/>
        <v>1764.08</v>
      </c>
      <c r="F11" s="89">
        <f>SUM(F6:F8)</f>
        <v>1351.34</v>
      </c>
      <c r="G11" s="89">
        <f>SUM(G6:G8)</f>
        <v>1752.44</v>
      </c>
      <c r="H11" s="89">
        <f t="shared" si="2"/>
        <v>496.7</v>
      </c>
      <c r="I11" s="89">
        <f>SUM(I6:I8)</f>
        <v>548.25</v>
      </c>
      <c r="J11" s="89">
        <f>SUM(J6:J8)</f>
        <v>587.45000000000005</v>
      </c>
      <c r="K11" s="89">
        <f>SUM(K6:K8)</f>
        <v>667.2</v>
      </c>
      <c r="L11" s="11"/>
      <c r="M11" s="11"/>
      <c r="N11" s="42" t="s">
        <v>17</v>
      </c>
      <c r="O11" s="43"/>
      <c r="P11" s="44">
        <f>D14/AVERAGE(C22:D22)</f>
        <v>3.9013454605585991E-3</v>
      </c>
      <c r="Q11" s="44">
        <f>E14/AVERAGE(D22:E22)</f>
        <v>3.9382260962742954E-3</v>
      </c>
      <c r="R11" s="44">
        <f>F14/AVERAGE(E22:F22)</f>
        <v>4.0388585146444896E-3</v>
      </c>
      <c r="S11" s="44">
        <f>G14/AVERAGE(F22:G22)</f>
        <v>3.4839130794277993E-3</v>
      </c>
      <c r="T11" s="18"/>
      <c r="U11" s="18"/>
      <c r="V11" s="18"/>
      <c r="W11" s="18"/>
    </row>
    <row r="12" spans="1:23" x14ac:dyDescent="0.25">
      <c r="A12" s="6" t="s">
        <v>91</v>
      </c>
      <c r="B12" s="10"/>
      <c r="C12" s="10"/>
      <c r="D12" s="89">
        <v>0.13</v>
      </c>
      <c r="E12" s="89">
        <v>3.79</v>
      </c>
      <c r="F12" s="89">
        <v>10.63</v>
      </c>
      <c r="G12" s="89">
        <v>1.75</v>
      </c>
      <c r="H12" s="89">
        <v>0.43</v>
      </c>
      <c r="I12" s="89">
        <v>57.81</v>
      </c>
      <c r="J12" s="89">
        <v>53.81</v>
      </c>
      <c r="K12" s="89">
        <v>6.97</v>
      </c>
      <c r="L12" s="11"/>
      <c r="M12" s="11"/>
      <c r="N12" s="40" t="s">
        <v>18</v>
      </c>
      <c r="O12" s="45"/>
      <c r="P12" s="45"/>
      <c r="Q12" s="45"/>
      <c r="R12" s="46" t="s">
        <v>5</v>
      </c>
      <c r="S12" s="18"/>
      <c r="T12" s="18"/>
      <c r="U12" s="18"/>
      <c r="V12" s="53"/>
      <c r="W12" s="54"/>
    </row>
    <row r="13" spans="1:23" x14ac:dyDescent="0.25">
      <c r="A13" s="6" t="s">
        <v>25</v>
      </c>
      <c r="B13" s="7"/>
      <c r="C13" s="7"/>
      <c r="D13" s="88">
        <f t="shared" ref="D13:I13" si="3">D11+D12</f>
        <v>1594.68</v>
      </c>
      <c r="E13" s="88">
        <f t="shared" si="3"/>
        <v>1767.87</v>
      </c>
      <c r="F13" s="88">
        <f t="shared" si="3"/>
        <v>1361.97</v>
      </c>
      <c r="G13" s="88">
        <f t="shared" si="3"/>
        <v>1754.19</v>
      </c>
      <c r="H13" s="88">
        <f t="shared" si="3"/>
        <v>497.13</v>
      </c>
      <c r="I13" s="88">
        <f t="shared" si="3"/>
        <v>606.05999999999995</v>
      </c>
      <c r="J13" s="88">
        <f>J11+J12</f>
        <v>641.26</v>
      </c>
      <c r="K13" s="88">
        <f>K11+K12</f>
        <v>674.17000000000007</v>
      </c>
      <c r="L13" s="11"/>
      <c r="M13" s="11"/>
      <c r="N13" s="42" t="s">
        <v>19</v>
      </c>
      <c r="O13" s="43"/>
      <c r="P13" s="44">
        <f>D24/D23</f>
        <v>0</v>
      </c>
      <c r="Q13" s="44">
        <f>E24/E23</f>
        <v>0</v>
      </c>
      <c r="R13" s="44">
        <f>F24/F23</f>
        <v>0</v>
      </c>
      <c r="S13" s="44">
        <f>G24/G23</f>
        <v>0</v>
      </c>
      <c r="T13" s="48"/>
      <c r="U13" s="18"/>
      <c r="V13" s="18"/>
      <c r="W13" s="18"/>
    </row>
    <row r="14" spans="1:23" x14ac:dyDescent="0.25">
      <c r="A14" s="6" t="s">
        <v>26</v>
      </c>
      <c r="B14" s="7"/>
      <c r="C14" s="7"/>
      <c r="D14" s="85">
        <f>28.87+0.34+43.22</f>
        <v>72.430000000000007</v>
      </c>
      <c r="E14" s="85">
        <f>35.56+0.34+42.31</f>
        <v>78.210000000000008</v>
      </c>
      <c r="F14" s="85">
        <f>42.26+0.39+49.21</f>
        <v>91.86</v>
      </c>
      <c r="G14" s="85">
        <f>47.29+1+51.36</f>
        <v>99.65</v>
      </c>
      <c r="H14" s="85">
        <f>12.25+7.85</f>
        <v>20.100000000000001</v>
      </c>
      <c r="I14" s="85">
        <f>112.66+0.25+21.83</f>
        <v>134.74</v>
      </c>
      <c r="J14" s="85">
        <f>258.43+5.47+29.43</f>
        <v>293.33000000000004</v>
      </c>
      <c r="K14" s="85">
        <f>255.3+3.17+30.33</f>
        <v>288.8</v>
      </c>
      <c r="L14" s="11"/>
      <c r="M14" s="11"/>
      <c r="N14" s="42" t="s">
        <v>20</v>
      </c>
      <c r="O14" s="43"/>
      <c r="P14" s="44">
        <f>D25/D23</f>
        <v>0</v>
      </c>
      <c r="Q14" s="44">
        <f>E25/E23</f>
        <v>0</v>
      </c>
      <c r="R14" s="44">
        <f>F25/F23</f>
        <v>0</v>
      </c>
      <c r="S14" s="44">
        <f>G25/G23</f>
        <v>0</v>
      </c>
      <c r="T14" s="48"/>
      <c r="U14" s="18"/>
      <c r="V14" s="18"/>
      <c r="W14" s="18"/>
    </row>
    <row r="15" spans="1:23" x14ac:dyDescent="0.25">
      <c r="A15" s="6" t="s">
        <v>54</v>
      </c>
      <c r="B15" s="10"/>
      <c r="C15" s="10"/>
      <c r="D15" s="89">
        <f t="shared" ref="D15:K15" si="4">D11-D14</f>
        <v>1522.12</v>
      </c>
      <c r="E15" s="89">
        <f t="shared" si="4"/>
        <v>1685.87</v>
      </c>
      <c r="F15" s="89">
        <f t="shared" si="4"/>
        <v>1259.48</v>
      </c>
      <c r="G15" s="89">
        <f t="shared" si="4"/>
        <v>1652.79</v>
      </c>
      <c r="H15" s="89">
        <f t="shared" si="4"/>
        <v>476.59999999999997</v>
      </c>
      <c r="I15" s="89">
        <f t="shared" si="4"/>
        <v>413.51</v>
      </c>
      <c r="J15" s="89">
        <f t="shared" si="4"/>
        <v>294.12</v>
      </c>
      <c r="K15" s="89">
        <f t="shared" si="4"/>
        <v>378.40000000000003</v>
      </c>
      <c r="L15" s="11"/>
      <c r="M15" s="11"/>
      <c r="N15" s="42" t="s">
        <v>21</v>
      </c>
      <c r="O15" s="43"/>
      <c r="P15" s="44" t="e">
        <f>(P13-P14)/P13</f>
        <v>#DIV/0!</v>
      </c>
      <c r="Q15" s="44" t="e">
        <f>(Q13-Q14)/Q13</f>
        <v>#DIV/0!</v>
      </c>
      <c r="R15" s="44" t="e">
        <f>(R13-R14)/R13</f>
        <v>#DIV/0!</v>
      </c>
      <c r="S15" s="44" t="e">
        <f>(S13-S14)/S13</f>
        <v>#DIV/0!</v>
      </c>
      <c r="T15" s="44" t="e">
        <f>(T13-T14)/T13</f>
        <v>#DIV/0!</v>
      </c>
      <c r="U15" s="18"/>
      <c r="V15" s="18"/>
      <c r="W15" s="18"/>
    </row>
    <row r="16" spans="1:23" x14ac:dyDescent="0.25">
      <c r="A16" s="6" t="s">
        <v>94</v>
      </c>
      <c r="B16" s="10"/>
      <c r="C16" s="10"/>
      <c r="D16" s="89">
        <f t="shared" ref="D16:K16" si="5">D13-D14-D9</f>
        <v>593.16</v>
      </c>
      <c r="E16" s="89">
        <f t="shared" si="5"/>
        <v>801.12999999999988</v>
      </c>
      <c r="F16" s="89">
        <f t="shared" si="5"/>
        <v>682.25000000000011</v>
      </c>
      <c r="G16" s="89">
        <f t="shared" si="5"/>
        <v>764.16</v>
      </c>
      <c r="H16" s="89">
        <f t="shared" si="5"/>
        <v>196.51999999999998</v>
      </c>
      <c r="I16" s="89">
        <f t="shared" si="5"/>
        <v>131.52999999999992</v>
      </c>
      <c r="J16" s="89">
        <f t="shared" si="5"/>
        <v>-45.590000000000032</v>
      </c>
      <c r="K16" s="89">
        <f t="shared" si="5"/>
        <v>-29.209999999999923</v>
      </c>
      <c r="L16" s="11"/>
      <c r="M16" s="11"/>
      <c r="N16" s="42" t="s">
        <v>22</v>
      </c>
      <c r="O16" s="43"/>
      <c r="P16" s="44">
        <f>D17/AVERAGE(C23:D23)</f>
        <v>1.839384295332115E-3</v>
      </c>
      <c r="Q16" s="44">
        <f>E17/AVERAGE(D23:E23)</f>
        <v>1.3410554828464569E-3</v>
      </c>
      <c r="R16" s="44">
        <f>F17/AVERAGE(E23:F23)</f>
        <v>1.30817974626846E-2</v>
      </c>
      <c r="S16" s="44">
        <f>G17/AVERAGE(F23:G23)</f>
        <v>-3.5029557975306243E-3</v>
      </c>
      <c r="T16" s="18"/>
      <c r="U16" s="18"/>
      <c r="V16" s="18"/>
      <c r="W16" s="18"/>
    </row>
    <row r="17" spans="1:23" x14ac:dyDescent="0.25">
      <c r="A17" s="6" t="s">
        <v>27</v>
      </c>
      <c r="B17" s="7"/>
      <c r="C17" s="7"/>
      <c r="D17" s="88">
        <v>30.84</v>
      </c>
      <c r="E17" s="85">
        <v>21.18</v>
      </c>
      <c r="F17" s="85">
        <v>238.32</v>
      </c>
      <c r="G17" s="85">
        <v>-85.82</v>
      </c>
      <c r="H17" s="85">
        <v>-1.94</v>
      </c>
      <c r="I17" s="85">
        <v>8.02</v>
      </c>
      <c r="J17" s="85">
        <v>-10.27</v>
      </c>
      <c r="K17" s="85">
        <v>-1.5</v>
      </c>
      <c r="L17" s="11"/>
      <c r="M17" s="11"/>
      <c r="N17" s="18"/>
      <c r="O17" s="18"/>
      <c r="P17" s="18"/>
      <c r="Q17" s="18"/>
      <c r="R17" s="18"/>
      <c r="S17" s="18"/>
      <c r="T17" s="18"/>
      <c r="U17" s="18"/>
      <c r="V17" s="18"/>
      <c r="W17" s="18"/>
    </row>
    <row r="18" spans="1:23" x14ac:dyDescent="0.25">
      <c r="A18" s="6" t="s">
        <v>55</v>
      </c>
      <c r="B18" s="7"/>
      <c r="C18" s="7"/>
      <c r="D18" s="88">
        <v>425.98</v>
      </c>
      <c r="E18" s="85">
        <v>1638.06</v>
      </c>
      <c r="F18" s="89">
        <v>308.72000000000003</v>
      </c>
      <c r="G18" s="89">
        <v>598.58000000000004</v>
      </c>
      <c r="H18" s="89">
        <v>140.27000000000001</v>
      </c>
      <c r="I18" s="89">
        <v>87.51</v>
      </c>
      <c r="J18" s="89">
        <v>-27.45</v>
      </c>
      <c r="K18" s="89">
        <v>-14.88</v>
      </c>
      <c r="L18" s="11"/>
      <c r="M18" s="11"/>
      <c r="N18" s="40" t="s">
        <v>30</v>
      </c>
      <c r="O18" s="45"/>
      <c r="P18" s="45"/>
      <c r="Q18" s="45"/>
      <c r="R18" s="46" t="s">
        <v>5</v>
      </c>
      <c r="S18" s="18"/>
      <c r="T18" s="18"/>
      <c r="U18" s="18"/>
      <c r="V18" s="18"/>
      <c r="W18" s="18"/>
    </row>
    <row r="19" spans="1:23" ht="22.5" x14ac:dyDescent="0.25">
      <c r="A19" s="6" t="s">
        <v>28</v>
      </c>
      <c r="B19" s="7"/>
      <c r="C19" s="7"/>
      <c r="D19" s="88">
        <v>7098.98</v>
      </c>
      <c r="E19" s="85">
        <v>8736.74</v>
      </c>
      <c r="F19" s="85">
        <v>9045.9699999999993</v>
      </c>
      <c r="G19" s="85">
        <v>9643.0499999999993</v>
      </c>
      <c r="H19" s="85"/>
      <c r="I19" s="85">
        <v>9870.1</v>
      </c>
      <c r="J19" s="85">
        <v>9841.2000000000007</v>
      </c>
      <c r="K19" s="85">
        <v>9821.9599999999991</v>
      </c>
      <c r="L19" s="11"/>
      <c r="M19" s="11"/>
      <c r="N19" s="46" t="s">
        <v>95</v>
      </c>
      <c r="O19" s="51"/>
      <c r="P19" s="51"/>
      <c r="Q19" s="52">
        <f>E16/AVERAGE(D22:E22)</f>
        <v>4.034050725621053E-2</v>
      </c>
      <c r="R19" s="52">
        <f>F16/AVERAGE(E22:F22)</f>
        <v>2.9996856320664091E-2</v>
      </c>
      <c r="S19" s="52">
        <f>G16/AVERAGE(F22:G22)</f>
        <v>2.6716176806578493E-2</v>
      </c>
      <c r="T19" s="18"/>
      <c r="U19" s="18"/>
      <c r="V19" s="18"/>
      <c r="W19" s="18"/>
    </row>
    <row r="20" spans="1:23" x14ac:dyDescent="0.25">
      <c r="A20" s="6" t="s">
        <v>56</v>
      </c>
      <c r="B20" s="7"/>
      <c r="C20" s="7"/>
      <c r="D20" s="88">
        <f t="shared" ref="D20:J20" si="6">D19-D71</f>
        <v>7098.98</v>
      </c>
      <c r="E20" s="89">
        <f t="shared" si="6"/>
        <v>8736.74</v>
      </c>
      <c r="F20" s="89">
        <f t="shared" si="6"/>
        <v>9045.9699999999993</v>
      </c>
      <c r="G20" s="89">
        <f t="shared" si="6"/>
        <v>9643.0499999999993</v>
      </c>
      <c r="H20" s="89">
        <f t="shared" si="6"/>
        <v>0</v>
      </c>
      <c r="I20" s="89">
        <f t="shared" si="6"/>
        <v>9870.1</v>
      </c>
      <c r="J20" s="89">
        <f t="shared" si="6"/>
        <v>9841.2000000000007</v>
      </c>
      <c r="K20" s="85">
        <v>9821.9599999999991</v>
      </c>
      <c r="L20" s="11"/>
      <c r="M20" s="11"/>
      <c r="N20" s="42" t="s">
        <v>31</v>
      </c>
      <c r="O20" s="43"/>
      <c r="P20" s="43">
        <v>4.4699999999999997E-2</v>
      </c>
      <c r="Q20" s="44">
        <f>E18/AVERAGE(D22:E22)</f>
        <v>8.248370591053665E-2</v>
      </c>
      <c r="R20" s="44">
        <f>F18/AVERAGE(E22:F22)</f>
        <v>1.3573659924243925E-2</v>
      </c>
      <c r="S20" s="44">
        <f>G18/AVERAGE(F22:G22)</f>
        <v>2.0927252293867458E-2</v>
      </c>
      <c r="T20" s="48"/>
      <c r="U20" s="18"/>
      <c r="V20" s="18"/>
      <c r="W20" s="18"/>
    </row>
    <row r="21" spans="1:23" x14ac:dyDescent="0.25">
      <c r="A21" s="6" t="s">
        <v>57</v>
      </c>
      <c r="B21" s="9"/>
      <c r="C21" s="9"/>
      <c r="D21" s="85">
        <f>11424.67+22.17</f>
        <v>11446.84</v>
      </c>
      <c r="E21" s="85">
        <f>12334.88+24.44</f>
        <v>12359.32</v>
      </c>
      <c r="F21" s="85">
        <f>15233.3+26.92</f>
        <v>15260.22</v>
      </c>
      <c r="G21" s="85">
        <f>23172.57+29.66</f>
        <v>23202.23</v>
      </c>
      <c r="H21" s="85"/>
      <c r="I21" s="85">
        <f>25437.19+31.14</f>
        <v>25468.329999999998</v>
      </c>
      <c r="J21" s="85">
        <f>25385.05+31.9</f>
        <v>25416.95</v>
      </c>
      <c r="K21" s="85">
        <f>20975.23</f>
        <v>20975.23</v>
      </c>
      <c r="L21" s="11"/>
      <c r="M21" s="11"/>
      <c r="N21" s="42" t="s">
        <v>32</v>
      </c>
      <c r="O21" s="43"/>
      <c r="P21" s="44">
        <f>D18/AVERAGE(C19:D19)</f>
        <v>6.000580365066531E-2</v>
      </c>
      <c r="Q21" s="44">
        <f>E18/AVERAGE(D19:E19)</f>
        <v>0.20688165741753453</v>
      </c>
      <c r="R21" s="44">
        <f>F18/AVERAGE(E19:F19)</f>
        <v>3.472136699074551E-2</v>
      </c>
      <c r="S21" s="44">
        <f>G18/AVERAGE(F19:G19)</f>
        <v>6.4056863334728112E-2</v>
      </c>
      <c r="T21" s="18"/>
      <c r="U21" s="18"/>
      <c r="V21" s="18"/>
      <c r="W21" s="18"/>
    </row>
    <row r="22" spans="1:23" x14ac:dyDescent="0.25">
      <c r="A22" s="6" t="s">
        <v>29</v>
      </c>
      <c r="B22" s="7"/>
      <c r="C22" s="7"/>
      <c r="D22" s="88">
        <v>18565.39</v>
      </c>
      <c r="E22" s="85">
        <v>21153</v>
      </c>
      <c r="F22" s="85">
        <v>24335.1</v>
      </c>
      <c r="G22" s="85">
        <v>32870.69</v>
      </c>
      <c r="H22" s="85"/>
      <c r="I22" s="85">
        <v>35417.31</v>
      </c>
      <c r="J22" s="85">
        <v>35551.24</v>
      </c>
      <c r="K22" s="85">
        <v>31189.62</v>
      </c>
      <c r="L22" s="11"/>
      <c r="M22" s="11"/>
      <c r="N22" s="40" t="s">
        <v>33</v>
      </c>
      <c r="O22" s="45"/>
      <c r="P22" s="45"/>
      <c r="Q22" s="45"/>
      <c r="R22" s="46" t="s">
        <v>5</v>
      </c>
      <c r="S22" s="18"/>
      <c r="T22" s="18"/>
      <c r="U22" s="18"/>
      <c r="V22" s="18"/>
      <c r="W22" s="18"/>
    </row>
    <row r="23" spans="1:23" x14ac:dyDescent="0.25">
      <c r="A23" s="6" t="s">
        <v>58</v>
      </c>
      <c r="B23" s="7"/>
      <c r="C23" s="7"/>
      <c r="D23" s="88">
        <v>16766.48</v>
      </c>
      <c r="E23" s="85">
        <v>14820.58</v>
      </c>
      <c r="F23" s="85">
        <v>21614.78</v>
      </c>
      <c r="G23" s="85">
        <v>27383.84</v>
      </c>
      <c r="H23" s="85"/>
      <c r="I23" s="85">
        <v>27353</v>
      </c>
      <c r="J23" s="85">
        <v>26532.29</v>
      </c>
      <c r="K23" s="85">
        <v>26213.919999999998</v>
      </c>
      <c r="L23" s="11"/>
      <c r="M23" s="11"/>
      <c r="N23" s="42" t="s">
        <v>34</v>
      </c>
      <c r="O23" s="43"/>
      <c r="P23" s="44">
        <f>D6/AVERAGE(C23:D23)</f>
        <v>9.4298266541337245E-2</v>
      </c>
      <c r="Q23" s="44">
        <f>E6/AVERAGE(D23:E23)</f>
        <v>0.10496260177427087</v>
      </c>
      <c r="R23" s="44">
        <f>F6/AVERAGE(E23:F23)</f>
        <v>7.417739251101127E-2</v>
      </c>
      <c r="S23" s="44">
        <f>G6/AVERAGE(F23:G23)</f>
        <v>7.1530177788680593E-2</v>
      </c>
      <c r="T23" s="18"/>
      <c r="U23" s="18"/>
      <c r="V23" s="18"/>
      <c r="W23" s="18"/>
    </row>
    <row r="24" spans="1:23" x14ac:dyDescent="0.25">
      <c r="A24" s="6" t="s">
        <v>59</v>
      </c>
      <c r="B24" s="10"/>
      <c r="C24" s="10"/>
      <c r="D24" s="89"/>
      <c r="E24" s="89"/>
      <c r="F24" s="89"/>
      <c r="G24" s="89"/>
      <c r="H24" s="89"/>
      <c r="I24" s="89"/>
      <c r="J24" s="89"/>
      <c r="K24" s="89"/>
      <c r="L24" s="11"/>
      <c r="M24" s="11"/>
      <c r="N24" s="42" t="s">
        <v>35</v>
      </c>
      <c r="O24" s="43"/>
      <c r="P24" s="44">
        <f>D9/AVERAGE(C21:D21)</f>
        <v>8.1165631737667346E-2</v>
      </c>
      <c r="Q24" s="44">
        <f>E9/AVERAGE(D21:E21)</f>
        <v>7.4647066137503909E-2</v>
      </c>
      <c r="R24" s="44">
        <f>F9/AVERAGE(E21:F21)</f>
        <v>4.2568413521731352E-2</v>
      </c>
      <c r="S24" s="44">
        <f>G9/AVERAGE(F21:G21)</f>
        <v>4.6298662721693501E-2</v>
      </c>
      <c r="T24" s="18"/>
      <c r="U24" s="18"/>
      <c r="V24" s="18"/>
      <c r="W24" s="18"/>
    </row>
    <row r="25" spans="1:23" x14ac:dyDescent="0.25">
      <c r="A25" s="6" t="s">
        <v>60</v>
      </c>
      <c r="B25" s="10"/>
      <c r="C25" s="10"/>
      <c r="D25" s="89"/>
      <c r="E25" s="89"/>
      <c r="F25" s="89"/>
      <c r="G25" s="89"/>
      <c r="H25" s="89"/>
      <c r="I25" s="89"/>
      <c r="J25" s="89"/>
      <c r="K25" s="89"/>
      <c r="L25" s="11"/>
      <c r="M25" s="11"/>
      <c r="N25" s="42" t="s">
        <v>36</v>
      </c>
      <c r="O25" s="43"/>
      <c r="P25" s="48">
        <f>P23-P24</f>
        <v>1.3132634803669899E-2</v>
      </c>
      <c r="Q25" s="48">
        <f>Q23-Q24</f>
        <v>3.0315535636766963E-2</v>
      </c>
      <c r="R25" s="48">
        <f>R23-R24</f>
        <v>3.1608978989279918E-2</v>
      </c>
      <c r="S25" s="48">
        <f>S23-S24</f>
        <v>2.5231515066987092E-2</v>
      </c>
      <c r="T25" s="18"/>
      <c r="U25" s="18"/>
      <c r="V25" s="18"/>
      <c r="W25" s="18"/>
    </row>
    <row r="27" spans="1:23" ht="15" customHeight="1" x14ac:dyDescent="0.25">
      <c r="A27" s="732" t="s">
        <v>279</v>
      </c>
      <c r="B27" s="732"/>
      <c r="C27" s="732"/>
      <c r="D27" s="732"/>
      <c r="E27" s="732"/>
      <c r="F27" s="732"/>
      <c r="G27" s="732"/>
      <c r="H27" s="732"/>
      <c r="I27" s="732"/>
      <c r="J27" s="732"/>
      <c r="K27" s="732"/>
      <c r="L27" s="732"/>
      <c r="M27" s="732"/>
      <c r="N27" s="732"/>
    </row>
    <row r="28" spans="1:23" x14ac:dyDescent="0.25">
      <c r="A28" s="732"/>
      <c r="B28" s="732"/>
      <c r="C28" s="732"/>
      <c r="D28" s="732"/>
      <c r="E28" s="732"/>
      <c r="F28" s="732"/>
      <c r="G28" s="732"/>
      <c r="H28" s="732"/>
      <c r="I28" s="732"/>
      <c r="J28" s="732"/>
      <c r="K28" s="732"/>
      <c r="L28" s="732"/>
      <c r="M28" s="732"/>
      <c r="N28" s="732"/>
    </row>
    <row r="29" spans="1:23" x14ac:dyDescent="0.25">
      <c r="A29" s="732"/>
      <c r="B29" s="732"/>
      <c r="C29" s="732"/>
      <c r="D29" s="732"/>
      <c r="E29" s="732"/>
      <c r="F29" s="732"/>
      <c r="G29" s="732"/>
      <c r="H29" s="732"/>
      <c r="I29" s="732"/>
      <c r="J29" s="732"/>
      <c r="K29" s="732"/>
      <c r="L29" s="732"/>
      <c r="M29" s="732"/>
      <c r="N29" s="732"/>
    </row>
    <row r="30" spans="1:23" x14ac:dyDescent="0.25">
      <c r="A30" s="732"/>
      <c r="B30" s="732"/>
      <c r="C30" s="732"/>
      <c r="D30" s="732"/>
      <c r="E30" s="732"/>
      <c r="F30" s="732"/>
      <c r="G30" s="732"/>
      <c r="H30" s="732"/>
      <c r="I30" s="732"/>
      <c r="J30" s="732"/>
      <c r="K30" s="732"/>
      <c r="L30" s="732"/>
      <c r="M30" s="732"/>
      <c r="N30" s="732"/>
    </row>
    <row r="31" spans="1:23" x14ac:dyDescent="0.25">
      <c r="A31" s="732"/>
      <c r="B31" s="732"/>
      <c r="C31" s="732"/>
      <c r="D31" s="732"/>
      <c r="E31" s="732"/>
      <c r="F31" s="732"/>
      <c r="G31" s="732"/>
      <c r="H31" s="732"/>
      <c r="I31" s="732"/>
      <c r="J31" s="732"/>
      <c r="K31" s="732"/>
      <c r="L31" s="732"/>
      <c r="M31" s="732"/>
      <c r="N31" s="732"/>
    </row>
    <row r="32" spans="1:23" x14ac:dyDescent="0.25">
      <c r="A32" s="732"/>
      <c r="B32" s="732"/>
      <c r="C32" s="732"/>
      <c r="D32" s="732"/>
      <c r="E32" s="732"/>
      <c r="F32" s="732"/>
      <c r="G32" s="732"/>
      <c r="H32" s="732"/>
      <c r="I32" s="732"/>
      <c r="J32" s="732"/>
      <c r="K32" s="732"/>
      <c r="L32" s="732"/>
      <c r="M32" s="732"/>
      <c r="N32" s="732"/>
    </row>
    <row r="33" spans="1:14" x14ac:dyDescent="0.25">
      <c r="A33" s="732"/>
      <c r="B33" s="732"/>
      <c r="C33" s="732"/>
      <c r="D33" s="732"/>
      <c r="E33" s="732"/>
      <c r="F33" s="732"/>
      <c r="G33" s="732"/>
      <c r="H33" s="732"/>
      <c r="I33" s="732"/>
      <c r="J33" s="732"/>
      <c r="K33" s="732"/>
      <c r="L33" s="732"/>
      <c r="M33" s="732"/>
      <c r="N33" s="732"/>
    </row>
    <row r="34" spans="1:14" x14ac:dyDescent="0.25">
      <c r="A34" s="732"/>
      <c r="B34" s="732"/>
      <c r="C34" s="732"/>
      <c r="D34" s="732"/>
      <c r="E34" s="732"/>
      <c r="F34" s="732"/>
      <c r="G34" s="732"/>
      <c r="H34" s="732"/>
      <c r="I34" s="732"/>
      <c r="J34" s="732"/>
      <c r="K34" s="732"/>
      <c r="L34" s="732"/>
      <c r="M34" s="732"/>
      <c r="N34" s="732"/>
    </row>
    <row r="35" spans="1:14" x14ac:dyDescent="0.25">
      <c r="A35" s="732"/>
      <c r="B35" s="732"/>
      <c r="C35" s="732"/>
      <c r="D35" s="732"/>
      <c r="E35" s="732"/>
      <c r="F35" s="732"/>
      <c r="G35" s="732"/>
      <c r="H35" s="732"/>
      <c r="I35" s="732"/>
      <c r="J35" s="732"/>
      <c r="K35" s="732"/>
      <c r="L35" s="732"/>
      <c r="M35" s="732"/>
      <c r="N35" s="732"/>
    </row>
  </sheetData>
  <mergeCells count="2">
    <mergeCell ref="I1:K1"/>
    <mergeCell ref="A27:N35"/>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A30"/>
  <sheetViews>
    <sheetView workbookViewId="0">
      <selection activeCell="G16" sqref="G16"/>
    </sheetView>
  </sheetViews>
  <sheetFormatPr defaultRowHeight="15" x14ac:dyDescent="0.25"/>
  <cols>
    <col min="1" max="1" width="31.5703125" customWidth="1"/>
    <col min="4" max="4" width="12.5703125" customWidth="1"/>
    <col min="5" max="5" width="10.85546875" customWidth="1"/>
    <col min="6" max="6" width="11.28515625" customWidth="1"/>
    <col min="7" max="9" width="11.85546875" customWidth="1"/>
    <col min="10" max="11" width="11.28515625" bestFit="1" customWidth="1"/>
    <col min="12" max="12" width="10.140625" bestFit="1" customWidth="1"/>
    <col min="13" max="13" width="11.28515625" bestFit="1" customWidth="1"/>
    <col min="16" max="16" width="30.5703125" customWidth="1"/>
    <col min="17" max="17" width="6.85546875" customWidth="1"/>
    <col min="18" max="19" width="11.85546875" customWidth="1"/>
    <col min="20" max="20" width="13.42578125" customWidth="1"/>
    <col min="21" max="23" width="12.140625" customWidth="1"/>
  </cols>
  <sheetData>
    <row r="1" spans="1:27" x14ac:dyDescent="0.25">
      <c r="K1" s="772" t="s">
        <v>113</v>
      </c>
      <c r="L1" s="772"/>
      <c r="M1" s="772"/>
    </row>
    <row r="2" spans="1:27" ht="78.75" x14ac:dyDescent="0.25">
      <c r="A2" s="3" t="s">
        <v>4</v>
      </c>
      <c r="B2" s="1" t="s">
        <v>43</v>
      </c>
      <c r="C2" s="1" t="s">
        <v>41</v>
      </c>
      <c r="D2" s="2" t="s">
        <v>44</v>
      </c>
      <c r="E2" s="2" t="s">
        <v>0</v>
      </c>
      <c r="F2" s="3" t="s">
        <v>45</v>
      </c>
      <c r="G2" s="3" t="s">
        <v>42</v>
      </c>
      <c r="H2" s="3" t="s">
        <v>366</v>
      </c>
      <c r="I2" s="3" t="s">
        <v>367</v>
      </c>
      <c r="J2" s="3" t="s">
        <v>37</v>
      </c>
      <c r="K2" s="3" t="s">
        <v>38</v>
      </c>
      <c r="L2" s="3" t="s">
        <v>39</v>
      </c>
      <c r="M2" s="3" t="s">
        <v>40</v>
      </c>
      <c r="N2" s="11"/>
      <c r="O2" s="11"/>
      <c r="P2" s="40" t="s">
        <v>6</v>
      </c>
      <c r="Q2" s="41" t="s">
        <v>7</v>
      </c>
      <c r="R2" s="41" t="s">
        <v>8</v>
      </c>
      <c r="S2" s="41" t="s">
        <v>9</v>
      </c>
      <c r="T2" s="40" t="s">
        <v>10</v>
      </c>
      <c r="U2" s="41" t="s">
        <v>90</v>
      </c>
      <c r="V2" s="41" t="s">
        <v>492</v>
      </c>
      <c r="W2" s="41" t="s">
        <v>623</v>
      </c>
      <c r="X2" s="40" t="s">
        <v>37</v>
      </c>
      <c r="Y2" s="41" t="s">
        <v>38</v>
      </c>
      <c r="Z2" s="41" t="s">
        <v>39</v>
      </c>
      <c r="AA2" s="41" t="s">
        <v>40</v>
      </c>
    </row>
    <row r="3" spans="1:27" x14ac:dyDescent="0.25">
      <c r="A3" s="3"/>
      <c r="B3" s="1" t="s">
        <v>46</v>
      </c>
      <c r="C3" s="4" t="s">
        <v>47</v>
      </c>
      <c r="D3" s="5" t="s">
        <v>47</v>
      </c>
      <c r="E3" s="5" t="s">
        <v>47</v>
      </c>
      <c r="F3" s="1" t="s">
        <v>46</v>
      </c>
      <c r="G3" s="1" t="s">
        <v>46</v>
      </c>
      <c r="H3" s="1" t="s">
        <v>46</v>
      </c>
      <c r="I3" s="1" t="s">
        <v>46</v>
      </c>
      <c r="J3" s="1" t="s">
        <v>96</v>
      </c>
      <c r="K3" s="1"/>
      <c r="L3" s="1"/>
      <c r="M3" s="1"/>
      <c r="N3" s="11"/>
      <c r="O3" s="11"/>
      <c r="P3" s="42" t="s">
        <v>11</v>
      </c>
      <c r="Q3" s="43"/>
      <c r="R3" s="44" t="e">
        <f>D10/AVERAGE(C23:D23)</f>
        <v>#DIV/0!</v>
      </c>
      <c r="S3" s="44" t="e">
        <f>E10/AVERAGE(D23:E23)</f>
        <v>#DIV/0!</v>
      </c>
      <c r="T3" s="44">
        <f>F10/AVERAGE(E23:F23)</f>
        <v>1.0005459847330781E-2</v>
      </c>
      <c r="U3" s="44">
        <f>G10/AVERAGE(F23:G23)</f>
        <v>2.2148964712700732E-2</v>
      </c>
      <c r="V3" s="44">
        <f t="shared" ref="V3:W3" si="0">H10/AVERAGE(G23:H23)</f>
        <v>2.5628663520508375E-2</v>
      </c>
      <c r="W3" s="44">
        <f t="shared" si="0"/>
        <v>2.4060550764374061E-2</v>
      </c>
      <c r="X3" s="18"/>
      <c r="Y3" s="18"/>
      <c r="Z3" s="18"/>
      <c r="AA3" s="18"/>
    </row>
    <row r="4" spans="1:27" x14ac:dyDescent="0.25">
      <c r="A4" s="3"/>
      <c r="B4" s="1" t="s">
        <v>48</v>
      </c>
      <c r="C4" s="1" t="s">
        <v>48</v>
      </c>
      <c r="D4" s="5" t="s">
        <v>49</v>
      </c>
      <c r="E4" s="5" t="s">
        <v>49</v>
      </c>
      <c r="F4" s="5" t="s">
        <v>49</v>
      </c>
      <c r="G4" s="5" t="s">
        <v>49</v>
      </c>
      <c r="H4" s="5" t="s">
        <v>49</v>
      </c>
      <c r="I4" s="5" t="s">
        <v>49</v>
      </c>
      <c r="J4" s="5"/>
      <c r="K4" s="5"/>
      <c r="L4" s="5"/>
      <c r="M4" s="5"/>
      <c r="N4" s="11"/>
      <c r="O4" s="11"/>
      <c r="P4" s="40" t="s">
        <v>12</v>
      </c>
      <c r="Q4" s="45"/>
      <c r="R4" s="45"/>
      <c r="S4" s="45"/>
      <c r="T4" s="46" t="s">
        <v>5</v>
      </c>
      <c r="U4" s="18"/>
      <c r="V4" s="18"/>
      <c r="W4" s="18"/>
      <c r="X4" s="18"/>
      <c r="Y4" s="18"/>
      <c r="Z4" s="18"/>
      <c r="AA4" s="18"/>
    </row>
    <row r="5" spans="1:27" x14ac:dyDescent="0.25">
      <c r="A5" s="6" t="s">
        <v>23</v>
      </c>
      <c r="B5" s="7"/>
      <c r="C5" s="8"/>
      <c r="F5" s="85">
        <f>4701.11+37.72</f>
        <v>4738.83</v>
      </c>
      <c r="G5" s="90">
        <f>31124.3+217.45</f>
        <v>31341.75</v>
      </c>
      <c r="H5" s="90">
        <v>78911.95</v>
      </c>
      <c r="I5" s="90">
        <v>119570.15</v>
      </c>
      <c r="J5" s="85">
        <v>33297.019999999997</v>
      </c>
      <c r="K5" s="85">
        <v>36078.58</v>
      </c>
      <c r="L5" s="85"/>
      <c r="M5" s="85"/>
      <c r="N5" s="11"/>
      <c r="O5" s="11"/>
      <c r="P5" s="42" t="s">
        <v>13</v>
      </c>
      <c r="Q5" s="46"/>
      <c r="R5" s="47" t="e">
        <f>D21/D20</f>
        <v>#DIV/0!</v>
      </c>
      <c r="S5" s="47" t="e">
        <f>E21/E20</f>
        <v>#DIV/0!</v>
      </c>
      <c r="T5" s="47">
        <f>F21/F20</f>
        <v>0.19612649366011781</v>
      </c>
      <c r="U5" s="47">
        <f>G21/G20</f>
        <v>1.7812491981525589</v>
      </c>
      <c r="V5" s="47">
        <f t="shared" ref="V5:W5" si="1">H21/H20</f>
        <v>3.5867543569723237</v>
      </c>
      <c r="W5" s="47">
        <f t="shared" si="1"/>
        <v>3.9027069101408607</v>
      </c>
      <c r="X5" s="47" t="e">
        <f t="shared" ref="X5" si="2">J21/J20</f>
        <v>#DIV/0!</v>
      </c>
      <c r="Y5" s="47">
        <f t="shared" ref="Y5" si="3">K21/K20</f>
        <v>4.1419653331758175</v>
      </c>
      <c r="Z5" s="47"/>
      <c r="AA5" s="47" t="e">
        <f>M21/M20</f>
        <v>#DIV/0!</v>
      </c>
    </row>
    <row r="6" spans="1:27" x14ac:dyDescent="0.25">
      <c r="A6" s="6" t="s">
        <v>50</v>
      </c>
      <c r="B6" s="7"/>
      <c r="C6" s="8"/>
      <c r="F6" s="85">
        <v>1774.92</v>
      </c>
      <c r="G6" s="85">
        <v>23777.82</v>
      </c>
      <c r="H6" s="85">
        <v>77723.42</v>
      </c>
      <c r="I6" s="85">
        <v>115829.6</v>
      </c>
      <c r="J6" s="85">
        <v>32321.14</v>
      </c>
      <c r="K6" s="85">
        <v>34928.879999999997</v>
      </c>
      <c r="L6" s="85"/>
      <c r="M6" s="85"/>
      <c r="N6" s="11"/>
      <c r="O6" s="11"/>
      <c r="P6" s="42" t="s">
        <v>14</v>
      </c>
      <c r="Q6" s="43"/>
      <c r="R6" s="43"/>
      <c r="S6" s="43"/>
      <c r="T6" s="43">
        <v>1.5086999999999999</v>
      </c>
      <c r="U6" s="48">
        <v>0.35199999999999998</v>
      </c>
      <c r="V6" s="48">
        <v>0.21240000000000001</v>
      </c>
      <c r="W6" s="48">
        <v>0.2064</v>
      </c>
      <c r="X6" s="48"/>
      <c r="Y6" s="48">
        <v>0.1968</v>
      </c>
      <c r="Z6" s="48"/>
      <c r="AA6" s="48">
        <v>0.2064</v>
      </c>
    </row>
    <row r="7" spans="1:27" x14ac:dyDescent="0.25">
      <c r="A7" s="6" t="s">
        <v>51</v>
      </c>
      <c r="B7" s="7"/>
      <c r="C7" s="8"/>
      <c r="D7" s="87"/>
      <c r="E7" s="85"/>
      <c r="F7" s="85">
        <v>0</v>
      </c>
      <c r="G7" s="85">
        <v>0</v>
      </c>
      <c r="H7" s="85">
        <v>0</v>
      </c>
      <c r="I7" s="85"/>
      <c r="J7" s="85"/>
      <c r="K7" s="85"/>
      <c r="L7" s="85"/>
      <c r="M7" s="85"/>
      <c r="N7" s="11"/>
      <c r="O7" s="11"/>
      <c r="P7" s="42" t="s">
        <v>15</v>
      </c>
      <c r="Q7" s="43"/>
      <c r="R7" s="44" t="e">
        <f>D20/D23</f>
        <v>#DIV/0!</v>
      </c>
      <c r="S7" s="44" t="e">
        <f>E20/E23</f>
        <v>#DIV/0!</v>
      </c>
      <c r="T7" s="44">
        <f>F20/F23</f>
        <v>1.4183230260246846</v>
      </c>
      <c r="U7" s="44">
        <f>G20/G23</f>
        <v>0.37958366879088307</v>
      </c>
      <c r="V7" s="44">
        <f t="shared" ref="V7:W7" si="4">H20/H23</f>
        <v>0.24251266343630412</v>
      </c>
      <c r="W7" s="44">
        <f t="shared" si="4"/>
        <v>0.22348336260519119</v>
      </c>
      <c r="X7" s="18"/>
      <c r="Y7" s="18"/>
      <c r="Z7" s="18"/>
      <c r="AA7" s="18"/>
    </row>
    <row r="8" spans="1:27" x14ac:dyDescent="0.25">
      <c r="A8" s="6" t="s">
        <v>52</v>
      </c>
      <c r="B8" s="7"/>
      <c r="C8" s="8"/>
      <c r="D8" s="85">
        <f t="shared" ref="D8:K8" si="5">D5-D6-D7</f>
        <v>0</v>
      </c>
      <c r="E8" s="85">
        <f t="shared" si="5"/>
        <v>0</v>
      </c>
      <c r="F8" s="85">
        <f t="shared" si="5"/>
        <v>2963.91</v>
      </c>
      <c r="G8" s="85">
        <f t="shared" si="5"/>
        <v>7563.93</v>
      </c>
      <c r="H8" s="85">
        <f t="shared" si="5"/>
        <v>1188.5299999999988</v>
      </c>
      <c r="I8" s="85">
        <f t="shared" si="5"/>
        <v>3740.5499999999884</v>
      </c>
      <c r="J8" s="85">
        <f t="shared" si="5"/>
        <v>975.87999999999738</v>
      </c>
      <c r="K8" s="85">
        <f t="shared" si="5"/>
        <v>1149.7000000000044</v>
      </c>
      <c r="L8" s="85"/>
      <c r="M8" s="85"/>
      <c r="N8" s="11"/>
      <c r="O8" s="11"/>
      <c r="P8" s="40" t="s">
        <v>16</v>
      </c>
      <c r="Q8" s="45"/>
      <c r="R8" s="45"/>
      <c r="S8" s="45"/>
      <c r="T8" s="46" t="s">
        <v>5</v>
      </c>
      <c r="U8" s="18"/>
      <c r="V8" s="18"/>
      <c r="W8" s="18"/>
      <c r="X8" s="18"/>
      <c r="Y8" s="18"/>
      <c r="Z8" s="18"/>
      <c r="AA8" s="18"/>
    </row>
    <row r="9" spans="1:27" ht="33.75" x14ac:dyDescent="0.25">
      <c r="A9" s="6" t="s">
        <v>24</v>
      </c>
      <c r="B9" s="7"/>
      <c r="C9" s="7"/>
      <c r="D9" s="88"/>
      <c r="E9" s="85"/>
      <c r="F9" s="85">
        <v>185.73</v>
      </c>
      <c r="G9" s="85">
        <v>14275.62</v>
      </c>
      <c r="H9" s="85">
        <v>53969.25</v>
      </c>
      <c r="I9" s="85">
        <v>86000.87</v>
      </c>
      <c r="J9" s="85">
        <v>24302.79</v>
      </c>
      <c r="K9" s="85">
        <v>25822.89</v>
      </c>
      <c r="L9" s="85"/>
      <c r="M9" s="85"/>
      <c r="N9" s="11"/>
      <c r="O9" s="11"/>
      <c r="P9" s="49" t="s">
        <v>93</v>
      </c>
      <c r="Q9" s="45"/>
      <c r="R9" s="50" t="e">
        <f>D14/(D11-D9)</f>
        <v>#DIV/0!</v>
      </c>
      <c r="S9" s="50" t="e">
        <f>E14/(E11-E9)</f>
        <v>#DIV/0!</v>
      </c>
      <c r="T9" s="50">
        <f>F14/(F11-F9)</f>
        <v>0.23048911730469349</v>
      </c>
      <c r="U9" s="50">
        <f>G14/(G11-G9)</f>
        <v>0.12126299284020457</v>
      </c>
      <c r="V9" s="50">
        <f t="shared" ref="V9:W9" si="6">H14/(H11-H9)</f>
        <v>0.11075184322467095</v>
      </c>
      <c r="W9" s="50">
        <f t="shared" si="6"/>
        <v>0.16979214329291545</v>
      </c>
      <c r="X9" s="18"/>
      <c r="Y9" s="18"/>
      <c r="Z9" s="18"/>
      <c r="AA9" s="18"/>
    </row>
    <row r="10" spans="1:27" ht="22.5" x14ac:dyDescent="0.25">
      <c r="A10" s="6" t="s">
        <v>53</v>
      </c>
      <c r="B10" s="10">
        <f t="shared" ref="B10:J10" si="7">B6-B9</f>
        <v>0</v>
      </c>
      <c r="C10" s="10">
        <f t="shared" si="7"/>
        <v>0</v>
      </c>
      <c r="D10" s="89">
        <f t="shared" si="7"/>
        <v>0</v>
      </c>
      <c r="E10" s="89">
        <f t="shared" si="7"/>
        <v>0</v>
      </c>
      <c r="F10" s="89">
        <f t="shared" si="7"/>
        <v>1589.19</v>
      </c>
      <c r="G10" s="89">
        <f t="shared" si="7"/>
        <v>9502.1999999999989</v>
      </c>
      <c r="H10" s="89">
        <f>H6-H9</f>
        <v>23754.17</v>
      </c>
      <c r="I10" s="89">
        <f>I6-I9</f>
        <v>29828.73000000001</v>
      </c>
      <c r="J10" s="89">
        <f t="shared" si="7"/>
        <v>8018.3499999999985</v>
      </c>
      <c r="K10" s="89">
        <f>K6-K9</f>
        <v>9105.989999999998</v>
      </c>
      <c r="L10" s="89">
        <f>L6-L9</f>
        <v>0</v>
      </c>
      <c r="M10" s="89">
        <f>M6-M9</f>
        <v>0</v>
      </c>
      <c r="N10" s="11"/>
      <c r="O10" s="11"/>
      <c r="P10" s="42" t="s">
        <v>92</v>
      </c>
      <c r="Q10" s="43"/>
      <c r="R10" s="44" t="e">
        <f>D14/D11</f>
        <v>#DIV/0!</v>
      </c>
      <c r="S10" s="44" t="e">
        <f>E14/E11</f>
        <v>#DIV/0!</v>
      </c>
      <c r="T10" s="44">
        <f>F14/F11</f>
        <v>0.22145550695002778</v>
      </c>
      <c r="U10" s="44">
        <f>G14/G11</f>
        <v>6.6029816458876747E-2</v>
      </c>
      <c r="V10" s="44">
        <f t="shared" ref="V10:W10" si="8">H14/H11</f>
        <v>3.5006738523126094E-2</v>
      </c>
      <c r="W10" s="44">
        <f t="shared" si="8"/>
        <v>4.7669087978897746E-2</v>
      </c>
      <c r="X10" s="18"/>
      <c r="Y10" s="18"/>
      <c r="Z10" s="18"/>
      <c r="AA10" s="18"/>
    </row>
    <row r="11" spans="1:27" ht="22.5" x14ac:dyDescent="0.25">
      <c r="A11" s="6" t="s">
        <v>1</v>
      </c>
      <c r="B11" s="10">
        <f>B5-B9</f>
        <v>0</v>
      </c>
      <c r="C11" s="10">
        <f t="shared" ref="C11:J11" si="9">SUM(C6:C8)</f>
        <v>0</v>
      </c>
      <c r="D11" s="89">
        <f t="shared" si="9"/>
        <v>0</v>
      </c>
      <c r="E11" s="89">
        <f t="shared" si="9"/>
        <v>0</v>
      </c>
      <c r="F11" s="89">
        <f>SUM(F6:F8)</f>
        <v>4738.83</v>
      </c>
      <c r="G11" s="89">
        <f>SUM(G6:G8)</f>
        <v>31341.75</v>
      </c>
      <c r="H11" s="89">
        <f>SUM(H6:H8)</f>
        <v>78911.95</v>
      </c>
      <c r="I11" s="89">
        <f>SUM(I6:I8)</f>
        <v>119570.15</v>
      </c>
      <c r="J11" s="89">
        <f t="shared" si="9"/>
        <v>33297.019999999997</v>
      </c>
      <c r="K11" s="89">
        <f>SUM(K6:K8)</f>
        <v>36078.58</v>
      </c>
      <c r="L11" s="89">
        <f>SUM(L6:L8)</f>
        <v>0</v>
      </c>
      <c r="M11" s="89">
        <f>SUM(M6:M8)</f>
        <v>0</v>
      </c>
      <c r="N11" s="11"/>
      <c r="O11" s="11"/>
      <c r="P11" s="42" t="s">
        <v>17</v>
      </c>
      <c r="Q11" s="43"/>
      <c r="R11" s="44" t="e">
        <f>D14/AVERAGE(C22:D22)</f>
        <v>#DIV/0!</v>
      </c>
      <c r="S11" s="44" t="e">
        <f>E14/AVERAGE(D22:E22)</f>
        <v>#DIV/0!</v>
      </c>
      <c r="T11" s="44">
        <f>F14/AVERAGE(E22:F22)</f>
        <v>3.880199362324227E-3</v>
      </c>
      <c r="U11" s="44">
        <f>G14/AVERAGE(F22:G22)</f>
        <v>3.7031890794493134E-3</v>
      </c>
      <c r="V11" s="44">
        <f t="shared" ref="V11:W11" si="10">H14/AVERAGE(G22:H22)</f>
        <v>2.5866433162597892E-3</v>
      </c>
      <c r="W11" s="44">
        <f t="shared" si="10"/>
        <v>4.1448491030917191E-3</v>
      </c>
      <c r="X11" s="18"/>
      <c r="Y11" s="18"/>
      <c r="Z11" s="18"/>
      <c r="AA11" s="18"/>
    </row>
    <row r="12" spans="1:27" x14ac:dyDescent="0.25">
      <c r="A12" s="6" t="s">
        <v>91</v>
      </c>
      <c r="B12" s="10"/>
      <c r="C12" s="10"/>
      <c r="D12" s="89"/>
      <c r="E12" s="89"/>
      <c r="F12" s="89"/>
      <c r="G12" s="89">
        <v>52.65</v>
      </c>
      <c r="H12" s="89">
        <v>0</v>
      </c>
      <c r="I12" s="89"/>
      <c r="J12" s="89">
        <v>0</v>
      </c>
      <c r="K12" s="89">
        <v>0</v>
      </c>
      <c r="L12" s="89">
        <v>0</v>
      </c>
      <c r="M12" s="89">
        <v>0</v>
      </c>
      <c r="N12" s="11"/>
      <c r="O12" s="11"/>
      <c r="P12" s="40" t="s">
        <v>18</v>
      </c>
      <c r="Q12" s="45"/>
      <c r="R12" s="45"/>
      <c r="S12" s="45"/>
      <c r="T12" s="46" t="s">
        <v>5</v>
      </c>
      <c r="U12" s="18"/>
      <c r="V12" s="18"/>
      <c r="W12" s="18"/>
      <c r="X12" s="18"/>
      <c r="Y12" s="18"/>
      <c r="Z12" s="53"/>
      <c r="AA12" s="54"/>
    </row>
    <row r="13" spans="1:27" x14ac:dyDescent="0.25">
      <c r="A13" s="6" t="s">
        <v>25</v>
      </c>
      <c r="B13" s="7"/>
      <c r="C13" s="7"/>
      <c r="D13" s="88">
        <f t="shared" ref="D13:M13" si="11">D11+D12</f>
        <v>0</v>
      </c>
      <c r="E13" s="88">
        <f t="shared" si="11"/>
        <v>0</v>
      </c>
      <c r="F13" s="88">
        <f t="shared" si="11"/>
        <v>4738.83</v>
      </c>
      <c r="G13" s="88">
        <f t="shared" si="11"/>
        <v>31394.400000000001</v>
      </c>
      <c r="H13" s="88">
        <f t="shared" si="11"/>
        <v>78911.95</v>
      </c>
      <c r="I13" s="88">
        <f t="shared" si="11"/>
        <v>119570.15</v>
      </c>
      <c r="J13" s="88">
        <f>J11+J12</f>
        <v>33297.019999999997</v>
      </c>
      <c r="K13" s="88">
        <f t="shared" si="11"/>
        <v>36078.58</v>
      </c>
      <c r="L13" s="88">
        <f t="shared" si="11"/>
        <v>0</v>
      </c>
      <c r="M13" s="88">
        <f t="shared" si="11"/>
        <v>0</v>
      </c>
      <c r="N13" s="11"/>
      <c r="O13" s="11"/>
      <c r="P13" s="42" t="s">
        <v>19</v>
      </c>
      <c r="Q13" s="43"/>
      <c r="R13" s="44" t="e">
        <f>D24/D23</f>
        <v>#DIV/0!</v>
      </c>
      <c r="S13" s="44" t="e">
        <f>E24/E23</f>
        <v>#DIV/0!</v>
      </c>
      <c r="T13" s="44">
        <f>F24/F23</f>
        <v>0</v>
      </c>
      <c r="U13" s="44">
        <f>G24/G23</f>
        <v>0</v>
      </c>
      <c r="V13" s="44">
        <f t="shared" ref="V13:W13" si="12">H24/H23</f>
        <v>0</v>
      </c>
      <c r="W13" s="44">
        <f t="shared" si="12"/>
        <v>0</v>
      </c>
      <c r="X13" s="48">
        <v>0</v>
      </c>
      <c r="Y13" s="18"/>
      <c r="Z13" s="18"/>
      <c r="AA13" s="154">
        <v>0</v>
      </c>
    </row>
    <row r="14" spans="1:27" x14ac:dyDescent="0.25">
      <c r="A14" s="6" t="s">
        <v>26</v>
      </c>
      <c r="B14" s="7"/>
      <c r="C14" s="7"/>
      <c r="D14" s="85"/>
      <c r="E14" s="85"/>
      <c r="F14" s="85">
        <f>599.25+2.76+447.43</f>
        <v>1049.44</v>
      </c>
      <c r="G14" s="85">
        <f>1090.24+20.15+959.1</f>
        <v>2069.4900000000002</v>
      </c>
      <c r="H14" s="85">
        <f>1607.75+171.98+982.72</f>
        <v>2762.45</v>
      </c>
      <c r="I14" s="85">
        <f>3282.48+585.91+1831.41</f>
        <v>5699.8</v>
      </c>
      <c r="J14" s="85">
        <f>900.75+160.45+354.78</f>
        <v>1415.98</v>
      </c>
      <c r="K14" s="85">
        <f>1060.46+160.96+465.7</f>
        <v>1687.1200000000001</v>
      </c>
      <c r="L14" s="85"/>
      <c r="M14" s="85"/>
      <c r="N14" s="11"/>
      <c r="O14" s="11"/>
      <c r="P14" s="42" t="s">
        <v>20</v>
      </c>
      <c r="Q14" s="43"/>
      <c r="R14" s="44" t="e">
        <f>D25/D23</f>
        <v>#DIV/0!</v>
      </c>
      <c r="S14" s="44" t="e">
        <f>E25/E23</f>
        <v>#DIV/0!</v>
      </c>
      <c r="T14" s="44">
        <f>F25/F23</f>
        <v>0</v>
      </c>
      <c r="U14" s="44">
        <f>G25/G23</f>
        <v>0</v>
      </c>
      <c r="V14" s="44">
        <f t="shared" ref="V14:W14" si="13">H25/H23</f>
        <v>0</v>
      </c>
      <c r="W14" s="44">
        <f t="shared" si="13"/>
        <v>0</v>
      </c>
      <c r="X14" s="48">
        <v>0</v>
      </c>
      <c r="Y14" s="18"/>
      <c r="Z14" s="18"/>
      <c r="AA14" s="154">
        <v>0</v>
      </c>
    </row>
    <row r="15" spans="1:27" x14ac:dyDescent="0.25">
      <c r="A15" s="6" t="s">
        <v>54</v>
      </c>
      <c r="B15" s="10"/>
      <c r="C15" s="10"/>
      <c r="D15" s="89">
        <f t="shared" ref="D15:K15" si="14">D11-D14</f>
        <v>0</v>
      </c>
      <c r="E15" s="89">
        <f t="shared" si="14"/>
        <v>0</v>
      </c>
      <c r="F15" s="89">
        <f t="shared" si="14"/>
        <v>3689.39</v>
      </c>
      <c r="G15" s="89">
        <f t="shared" si="14"/>
        <v>29272.26</v>
      </c>
      <c r="H15" s="89">
        <f>H11-H14</f>
        <v>76149.5</v>
      </c>
      <c r="I15" s="89">
        <f>I11-I14</f>
        <v>113870.34999999999</v>
      </c>
      <c r="J15" s="89">
        <f t="shared" si="14"/>
        <v>31881.039999999997</v>
      </c>
      <c r="K15" s="89">
        <f t="shared" si="14"/>
        <v>34391.46</v>
      </c>
      <c r="L15" s="89">
        <f>L11-L14</f>
        <v>0</v>
      </c>
      <c r="M15" s="89">
        <f>M11-M14</f>
        <v>0</v>
      </c>
      <c r="N15" s="11"/>
      <c r="O15" s="11"/>
      <c r="P15" s="42" t="s">
        <v>21</v>
      </c>
      <c r="Q15" s="43"/>
      <c r="R15" s="44" t="e">
        <f>(R13-R14)/R13</f>
        <v>#DIV/0!</v>
      </c>
      <c r="S15" s="44" t="e">
        <f>(S13-S14)/S13</f>
        <v>#DIV/0!</v>
      </c>
      <c r="T15" s="44" t="e">
        <f>(T13-T14)/T13</f>
        <v>#DIV/0!</v>
      </c>
      <c r="U15" s="44" t="e">
        <f>(U13-U14)/U13</f>
        <v>#DIV/0!</v>
      </c>
      <c r="V15" s="44" t="e">
        <f t="shared" ref="V15:W15" si="15">(V13-V14)/V13</f>
        <v>#DIV/0!</v>
      </c>
      <c r="W15" s="44" t="e">
        <f t="shared" si="15"/>
        <v>#DIV/0!</v>
      </c>
      <c r="X15" s="44" t="e">
        <f>(X13-X14)/X13</f>
        <v>#DIV/0!</v>
      </c>
      <c r="Y15" s="18"/>
      <c r="Z15" s="18"/>
      <c r="AA15" s="18"/>
    </row>
    <row r="16" spans="1:27" x14ac:dyDescent="0.25">
      <c r="A16" s="6" t="s">
        <v>94</v>
      </c>
      <c r="B16" s="10"/>
      <c r="C16" s="10"/>
      <c r="D16" s="89">
        <f t="shared" ref="D16:K16" si="16">D13-D14-D9</f>
        <v>0</v>
      </c>
      <c r="E16" s="89">
        <f t="shared" si="16"/>
        <v>0</v>
      </c>
      <c r="F16" s="89">
        <f t="shared" si="16"/>
        <v>3503.66</v>
      </c>
      <c r="G16" s="89">
        <f t="shared" si="16"/>
        <v>15049.289999999999</v>
      </c>
      <c r="H16" s="89">
        <f>H13-H14-H9</f>
        <v>22180.25</v>
      </c>
      <c r="I16" s="89">
        <f>I13-I14-I9</f>
        <v>27869.479999999996</v>
      </c>
      <c r="J16" s="89">
        <f t="shared" si="16"/>
        <v>7578.2499999999964</v>
      </c>
      <c r="K16" s="89">
        <f t="shared" si="16"/>
        <v>8568.57</v>
      </c>
      <c r="L16" s="89">
        <f>L13-L14-L9</f>
        <v>0</v>
      </c>
      <c r="M16" s="89">
        <f>M13-M14-M9</f>
        <v>0</v>
      </c>
      <c r="N16" s="11"/>
      <c r="O16" s="11"/>
      <c r="P16" s="42" t="s">
        <v>22</v>
      </c>
      <c r="Q16" s="43"/>
      <c r="R16" s="44" t="e">
        <f>D17/AVERAGE(C23:D23)</f>
        <v>#DIV/0!</v>
      </c>
      <c r="S16" s="44" t="e">
        <f>E17/AVERAGE(D23:E23)</f>
        <v>#DIV/0!</v>
      </c>
      <c r="T16" s="44">
        <f>F17/AVERAGE(E23:F23)</f>
        <v>5.3828478694633109E-3</v>
      </c>
      <c r="U16" s="44">
        <f>G17/AVERAGE(F23:G23)</f>
        <v>9.8820017879166812E-3</v>
      </c>
      <c r="V16" s="44">
        <f t="shared" ref="V16:W16" si="17">H17/AVERAGE(G23:H23)</f>
        <v>3.6023691142224802E-3</v>
      </c>
      <c r="W16" s="44">
        <f t="shared" si="17"/>
        <v>9.0923393074764092E-4</v>
      </c>
      <c r="X16" s="18"/>
      <c r="Y16" s="18"/>
      <c r="Z16" s="18"/>
      <c r="AA16" s="18"/>
    </row>
    <row r="17" spans="1:27" x14ac:dyDescent="0.25">
      <c r="A17" s="6" t="s">
        <v>27</v>
      </c>
      <c r="B17" s="7"/>
      <c r="C17" s="7"/>
      <c r="D17" s="88"/>
      <c r="E17" s="85"/>
      <c r="F17" s="85">
        <v>854.97</v>
      </c>
      <c r="G17" s="85">
        <v>4239.51</v>
      </c>
      <c r="H17" s="85">
        <v>3338.89</v>
      </c>
      <c r="I17" s="85">
        <v>1127.21</v>
      </c>
      <c r="J17" s="85">
        <v>0</v>
      </c>
      <c r="K17" s="85">
        <v>0</v>
      </c>
      <c r="L17" s="85"/>
      <c r="M17" s="85"/>
      <c r="N17" s="11"/>
      <c r="O17" s="11"/>
      <c r="P17" s="18"/>
      <c r="Q17" s="18"/>
      <c r="R17" s="18"/>
      <c r="S17" s="18"/>
      <c r="T17" s="18"/>
      <c r="U17" s="18"/>
      <c r="V17" s="18"/>
      <c r="W17" s="18"/>
      <c r="X17" s="18"/>
      <c r="Y17" s="18"/>
      <c r="Z17" s="18"/>
      <c r="AA17" s="18"/>
    </row>
    <row r="18" spans="1:27" x14ac:dyDescent="0.25">
      <c r="A18" s="6" t="s">
        <v>55</v>
      </c>
      <c r="B18" s="7"/>
      <c r="C18" s="7"/>
      <c r="D18" s="88"/>
      <c r="E18" s="85"/>
      <c r="F18" s="89">
        <v>2080.0300000000002</v>
      </c>
      <c r="G18" s="89">
        <v>8523.3700000000008</v>
      </c>
      <c r="H18" s="89">
        <v>14584.13</v>
      </c>
      <c r="I18" s="89">
        <v>20533.05</v>
      </c>
      <c r="J18" s="89">
        <v>5743.46</v>
      </c>
      <c r="K18" s="89">
        <v>6474.1</v>
      </c>
      <c r="L18" s="89"/>
      <c r="M18" s="89"/>
      <c r="N18" s="11"/>
      <c r="O18" s="11"/>
      <c r="P18" s="40" t="s">
        <v>30</v>
      </c>
      <c r="Q18" s="45"/>
      <c r="R18" s="45"/>
      <c r="S18" s="45"/>
      <c r="T18" s="46" t="s">
        <v>5</v>
      </c>
      <c r="U18" s="18"/>
      <c r="V18" s="18"/>
      <c r="W18" s="18"/>
      <c r="X18" s="18"/>
      <c r="Y18" s="18"/>
      <c r="Z18" s="18"/>
      <c r="AA18" s="18"/>
    </row>
    <row r="19" spans="1:27" ht="22.5" x14ac:dyDescent="0.25">
      <c r="A19" s="6" t="s">
        <v>28</v>
      </c>
      <c r="B19" s="7"/>
      <c r="C19" s="7"/>
      <c r="D19" s="88"/>
      <c r="E19" s="85"/>
      <c r="F19" s="85">
        <v>225275.48</v>
      </c>
      <c r="G19" s="85">
        <v>265402.73</v>
      </c>
      <c r="H19" s="85">
        <v>279986.86</v>
      </c>
      <c r="I19" s="85">
        <f>300526.36-4319.22-103.48</f>
        <v>296103.66000000003</v>
      </c>
      <c r="J19" s="85"/>
      <c r="K19" s="85">
        <f>312745.85-4709.62-89.36</f>
        <v>307946.87</v>
      </c>
      <c r="L19" s="85"/>
      <c r="M19" s="85"/>
      <c r="N19" s="11"/>
      <c r="O19" s="11"/>
      <c r="P19" s="46" t="s">
        <v>95</v>
      </c>
      <c r="Q19" s="51"/>
      <c r="R19" s="51"/>
      <c r="S19" s="52" t="e">
        <f>E16/AVERAGE(D22:E22)</f>
        <v>#DIV/0!</v>
      </c>
      <c r="T19" s="52">
        <f>F16/AVERAGE(E22:F22)</f>
        <v>1.2954432171254098E-2</v>
      </c>
      <c r="U19" s="52">
        <f>G16/AVERAGE(F22:G22)</f>
        <v>2.6929517118452252E-2</v>
      </c>
      <c r="V19" s="52">
        <f t="shared" ref="V19:W19" si="18">H16/AVERAGE(G22:H22)</f>
        <v>2.0768663836620099E-2</v>
      </c>
      <c r="W19" s="52">
        <f t="shared" si="18"/>
        <v>2.0266463591991402E-2</v>
      </c>
      <c r="X19" s="18"/>
      <c r="Y19" s="18"/>
      <c r="Z19" s="18"/>
      <c r="AA19" s="18"/>
    </row>
    <row r="20" spans="1:27" x14ac:dyDescent="0.25">
      <c r="A20" s="6" t="s">
        <v>56</v>
      </c>
      <c r="B20" s="7"/>
      <c r="C20" s="7"/>
      <c r="D20" s="88">
        <f t="shared" ref="D20:M20" si="19">D19-D71</f>
        <v>0</v>
      </c>
      <c r="E20" s="89">
        <f t="shared" si="19"/>
        <v>0</v>
      </c>
      <c r="F20" s="89">
        <f t="shared" si="19"/>
        <v>225275.48</v>
      </c>
      <c r="G20" s="89">
        <f t="shared" si="19"/>
        <v>265402.73</v>
      </c>
      <c r="H20" s="89">
        <f t="shared" si="19"/>
        <v>279986.86</v>
      </c>
      <c r="I20" s="89">
        <f t="shared" si="19"/>
        <v>296103.66000000003</v>
      </c>
      <c r="J20" s="89">
        <f t="shared" si="19"/>
        <v>0</v>
      </c>
      <c r="K20" s="89">
        <f t="shared" si="19"/>
        <v>307946.87</v>
      </c>
      <c r="L20" s="89">
        <f t="shared" si="19"/>
        <v>0</v>
      </c>
      <c r="M20" s="89">
        <f t="shared" si="19"/>
        <v>0</v>
      </c>
      <c r="N20" s="11"/>
      <c r="O20" s="11"/>
      <c r="P20" s="42" t="s">
        <v>31</v>
      </c>
      <c r="Q20" s="43"/>
      <c r="R20" s="43">
        <v>4.4699999999999997E-2</v>
      </c>
      <c r="S20" s="44" t="e">
        <f>E18/AVERAGE(D22:E22)</f>
        <v>#DIV/0!</v>
      </c>
      <c r="T20" s="44">
        <f>F18/AVERAGE(E22:F22)</f>
        <v>7.6907027363310549E-3</v>
      </c>
      <c r="U20" s="44">
        <f>G18/AVERAGE(F22:G22)</f>
        <v>1.5251898150803288E-2</v>
      </c>
      <c r="V20" s="44">
        <f t="shared" ref="V20:W20" si="20">H18/AVERAGE(G22:H22)</f>
        <v>1.365597291822979E-2</v>
      </c>
      <c r="W20" s="44">
        <f t="shared" si="20"/>
        <v>1.4931470205312014E-2</v>
      </c>
      <c r="X20" s="48"/>
      <c r="Y20" s="18"/>
      <c r="Z20" s="18"/>
      <c r="AA20" s="18"/>
    </row>
    <row r="21" spans="1:27" x14ac:dyDescent="0.25">
      <c r="A21" s="6" t="s">
        <v>57</v>
      </c>
      <c r="B21" s="9"/>
      <c r="C21" s="9"/>
      <c r="D21" s="85"/>
      <c r="E21" s="85"/>
      <c r="F21" s="85">
        <v>44182.49</v>
      </c>
      <c r="G21" s="85">
        <v>472748.4</v>
      </c>
      <c r="H21" s="85">
        <f>216664.24+787579.85</f>
        <v>1004244.09</v>
      </c>
      <c r="I21" s="85">
        <f>207852.85+947752.95</f>
        <v>1155605.8</v>
      </c>
      <c r="J21" s="85"/>
      <c r="K21" s="85">
        <f>194403.07+1081102.19</f>
        <v>1275505.26</v>
      </c>
      <c r="L21" s="85"/>
      <c r="M21" s="85"/>
      <c r="N21" s="11"/>
      <c r="O21" s="11"/>
      <c r="P21" s="42" t="s">
        <v>32</v>
      </c>
      <c r="Q21" s="43"/>
      <c r="R21" s="44" t="e">
        <f>D18/AVERAGE(C19:D19)</f>
        <v>#DIV/0!</v>
      </c>
      <c r="S21" s="44" t="e">
        <f>E18/AVERAGE(D19:E19)</f>
        <v>#DIV/0!</v>
      </c>
      <c r="T21" s="44">
        <f>F18/AVERAGE(E19:F19)</f>
        <v>9.2332729687225612E-3</v>
      </c>
      <c r="U21" s="44">
        <f>G18/AVERAGE(F19:G19)</f>
        <v>3.4741179968028342E-2</v>
      </c>
      <c r="V21" s="44">
        <f t="shared" ref="V21:W21" si="21">H18/AVERAGE(G19:H19)</f>
        <v>5.3481512179211196E-2</v>
      </c>
      <c r="W21" s="44">
        <f t="shared" si="21"/>
        <v>7.1284110004101439E-2</v>
      </c>
      <c r="X21" s="18"/>
      <c r="Y21" s="18"/>
      <c r="Z21" s="18"/>
      <c r="AA21" s="18"/>
    </row>
    <row r="22" spans="1:27" x14ac:dyDescent="0.25">
      <c r="A22" s="6" t="s">
        <v>29</v>
      </c>
      <c r="B22" s="7"/>
      <c r="C22" s="7"/>
      <c r="D22" s="88"/>
      <c r="E22" s="85"/>
      <c r="F22" s="85">
        <v>270460.33</v>
      </c>
      <c r="G22" s="85">
        <v>847219.57</v>
      </c>
      <c r="H22" s="85">
        <v>1288714.6599999999</v>
      </c>
      <c r="I22" s="85">
        <v>1461590.53</v>
      </c>
      <c r="J22" s="85"/>
      <c r="K22" s="85">
        <v>1594150.02</v>
      </c>
      <c r="L22" s="85"/>
      <c r="M22" s="85"/>
      <c r="N22" s="11"/>
      <c r="O22" s="11"/>
      <c r="P22" s="40" t="s">
        <v>33</v>
      </c>
      <c r="Q22" s="45"/>
      <c r="R22" s="45"/>
      <c r="S22" s="45"/>
      <c r="T22" s="46" t="s">
        <v>5</v>
      </c>
      <c r="U22" s="18"/>
      <c r="V22" s="18"/>
      <c r="W22" s="18"/>
      <c r="X22" s="18"/>
      <c r="Y22" s="18"/>
      <c r="Z22" s="18"/>
      <c r="AA22" s="18"/>
    </row>
    <row r="23" spans="1:27" x14ac:dyDescent="0.25">
      <c r="A23" s="6" t="s">
        <v>58</v>
      </c>
      <c r="B23" s="7"/>
      <c r="C23" s="7"/>
      <c r="D23" s="88"/>
      <c r="E23" s="85"/>
      <c r="F23" s="85">
        <v>158832.28</v>
      </c>
      <c r="G23" s="85">
        <v>699194.28</v>
      </c>
      <c r="H23" s="85">
        <v>1154524.7</v>
      </c>
      <c r="I23" s="85">
        <v>1324947.22</v>
      </c>
      <c r="J23" s="85"/>
      <c r="K23" s="85">
        <v>1449311.7</v>
      </c>
      <c r="L23" s="85"/>
      <c r="M23" s="85"/>
      <c r="N23" s="11"/>
      <c r="O23" s="11"/>
      <c r="P23" s="42" t="s">
        <v>34</v>
      </c>
      <c r="Q23" s="43"/>
      <c r="R23" s="44" t="e">
        <f>D6/AVERAGE(C23:D23)</f>
        <v>#DIV/0!</v>
      </c>
      <c r="S23" s="44" t="e">
        <f>E6/AVERAGE(D23:E23)</f>
        <v>#DIV/0!</v>
      </c>
      <c r="T23" s="44">
        <f>F6/AVERAGE(E23:F23)</f>
        <v>1.1174806531770495E-2</v>
      </c>
      <c r="U23" s="44">
        <f>G6/AVERAGE(F23:G23)</f>
        <v>5.5424438143266794E-2</v>
      </c>
      <c r="V23" s="44">
        <f t="shared" ref="V23:W23" si="22">H6/AVERAGE(G23:H23)</f>
        <v>8.3856745103834451E-2</v>
      </c>
      <c r="W23" s="44">
        <f t="shared" si="22"/>
        <v>9.3430862487847821E-2</v>
      </c>
      <c r="X23" s="18"/>
      <c r="Y23" s="18"/>
      <c r="Z23" s="18"/>
      <c r="AA23" s="18"/>
    </row>
    <row r="24" spans="1:27" x14ac:dyDescent="0.25">
      <c r="A24" s="6" t="s">
        <v>59</v>
      </c>
      <c r="B24" s="10"/>
      <c r="C24" s="10"/>
      <c r="D24" s="89"/>
      <c r="E24" s="89"/>
      <c r="F24" s="89"/>
      <c r="G24" s="89"/>
      <c r="H24" s="89"/>
      <c r="I24" s="89"/>
      <c r="J24" s="89"/>
      <c r="K24" s="89"/>
      <c r="L24" s="89"/>
      <c r="M24" s="89"/>
      <c r="N24" s="11"/>
      <c r="O24" s="11"/>
      <c r="P24" s="42" t="s">
        <v>35</v>
      </c>
      <c r="Q24" s="43"/>
      <c r="R24" s="44" t="e">
        <f>D9/AVERAGE(C21:D21)</f>
        <v>#DIV/0!</v>
      </c>
      <c r="S24" s="44" t="e">
        <f>E9/AVERAGE(D21:E21)</f>
        <v>#DIV/0!</v>
      </c>
      <c r="T24" s="44">
        <f>F9/AVERAGE(E21:F21)</f>
        <v>4.2037015116169326E-3</v>
      </c>
      <c r="U24" s="44">
        <f>G9/AVERAGE(F21:G21)</f>
        <v>5.523221875945545E-2</v>
      </c>
      <c r="V24" s="44">
        <f t="shared" ref="V24:W24" si="23">H9/AVERAGE(G21:H21)</f>
        <v>7.3079924732724941E-2</v>
      </c>
      <c r="W24" s="44">
        <f t="shared" si="23"/>
        <v>7.9635969516381522E-2</v>
      </c>
      <c r="X24" s="18"/>
      <c r="Y24" s="18"/>
      <c r="Z24" s="18"/>
      <c r="AA24" s="18"/>
    </row>
    <row r="25" spans="1:27" x14ac:dyDescent="0.25">
      <c r="A25" s="6" t="s">
        <v>60</v>
      </c>
      <c r="B25" s="10"/>
      <c r="C25" s="10"/>
      <c r="D25" s="89"/>
      <c r="E25" s="89"/>
      <c r="F25" s="89"/>
      <c r="G25" s="89"/>
      <c r="H25" s="89"/>
      <c r="I25" s="89"/>
      <c r="J25" s="89"/>
      <c r="K25" s="89"/>
      <c r="L25" s="89"/>
      <c r="M25" s="89"/>
      <c r="N25" s="11"/>
      <c r="O25" s="11"/>
      <c r="P25" s="42" t="s">
        <v>36</v>
      </c>
      <c r="Q25" s="43"/>
      <c r="R25" s="48" t="e">
        <f>R23-R24</f>
        <v>#DIV/0!</v>
      </c>
      <c r="S25" s="48" t="e">
        <f>S23-S24</f>
        <v>#DIV/0!</v>
      </c>
      <c r="T25" s="48">
        <f>T23-T24</f>
        <v>6.971105020153562E-3</v>
      </c>
      <c r="U25" s="48">
        <f>U23-U24</f>
        <v>1.9221938381134424E-4</v>
      </c>
      <c r="V25" s="48">
        <f t="shared" ref="V25:W25" si="24">V23-V24</f>
        <v>1.0776820371109511E-2</v>
      </c>
      <c r="W25" s="48">
        <f t="shared" si="24"/>
        <v>1.3794892971466299E-2</v>
      </c>
      <c r="X25" s="18"/>
      <c r="Y25" s="18"/>
      <c r="Z25" s="18"/>
      <c r="AA25" s="18"/>
    </row>
    <row r="27" spans="1:27" x14ac:dyDescent="0.25">
      <c r="A27" s="739" t="s">
        <v>281</v>
      </c>
      <c r="B27" s="739"/>
      <c r="C27" s="739"/>
      <c r="D27" s="739"/>
      <c r="E27" s="739"/>
      <c r="F27" s="739"/>
      <c r="G27" s="739"/>
      <c r="H27" s="739"/>
      <c r="I27" s="739"/>
      <c r="J27" s="739"/>
      <c r="K27" s="739"/>
      <c r="L27" s="739"/>
      <c r="M27" s="739"/>
      <c r="N27" s="739"/>
      <c r="O27" s="739"/>
      <c r="P27" s="739"/>
    </row>
    <row r="28" spans="1:27" x14ac:dyDescent="0.25">
      <c r="A28" s="739"/>
      <c r="B28" s="739"/>
      <c r="C28" s="739"/>
      <c r="D28" s="739"/>
      <c r="E28" s="739"/>
      <c r="F28" s="739"/>
      <c r="G28" s="739"/>
      <c r="H28" s="739"/>
      <c r="I28" s="739"/>
      <c r="J28" s="739"/>
      <c r="K28" s="739"/>
      <c r="L28" s="739"/>
      <c r="M28" s="739"/>
      <c r="N28" s="739"/>
      <c r="O28" s="739"/>
      <c r="P28" s="739"/>
    </row>
    <row r="29" spans="1:27" x14ac:dyDescent="0.25">
      <c r="A29" s="739"/>
      <c r="B29" s="739"/>
      <c r="C29" s="739"/>
      <c r="D29" s="739"/>
      <c r="E29" s="739"/>
      <c r="F29" s="739"/>
      <c r="G29" s="739"/>
      <c r="H29" s="739"/>
      <c r="I29" s="739"/>
      <c r="J29" s="739"/>
      <c r="K29" s="739"/>
      <c r="L29" s="739"/>
      <c r="M29" s="739"/>
      <c r="N29" s="739"/>
      <c r="O29" s="739"/>
      <c r="P29" s="739"/>
    </row>
    <row r="30" spans="1:27" x14ac:dyDescent="0.25">
      <c r="A30" s="739"/>
      <c r="B30" s="739"/>
      <c r="C30" s="739"/>
      <c r="D30" s="739"/>
      <c r="E30" s="739"/>
      <c r="F30" s="739"/>
      <c r="G30" s="739"/>
      <c r="H30" s="739"/>
      <c r="I30" s="739"/>
      <c r="J30" s="739"/>
      <c r="K30" s="739"/>
      <c r="L30" s="739"/>
      <c r="M30" s="739"/>
      <c r="N30" s="739"/>
      <c r="O30" s="739"/>
      <c r="P30" s="739"/>
    </row>
  </sheetData>
  <mergeCells count="2">
    <mergeCell ref="A27:P30"/>
    <mergeCell ref="K1:M1"/>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33"/>
  <sheetViews>
    <sheetView topLeftCell="T1" workbookViewId="0">
      <selection activeCell="G16" sqref="G16"/>
    </sheetView>
  </sheetViews>
  <sheetFormatPr defaultRowHeight="15" x14ac:dyDescent="0.25"/>
  <cols>
    <col min="1" max="1" width="29.42578125" customWidth="1"/>
    <col min="4" max="4" width="13" customWidth="1"/>
    <col min="5" max="6" width="12" customWidth="1"/>
    <col min="7" max="9" width="11.42578125" customWidth="1"/>
    <col min="18" max="18" width="28.5703125" customWidth="1"/>
    <col min="20" max="20" width="14.28515625" customWidth="1"/>
    <col min="21" max="21" width="13.85546875" customWidth="1"/>
    <col min="22" max="22" width="12.7109375" customWidth="1"/>
    <col min="23" max="25" width="13" customWidth="1"/>
  </cols>
  <sheetData>
    <row r="1" spans="1:32" x14ac:dyDescent="0.25">
      <c r="K1" s="772" t="s">
        <v>114</v>
      </c>
      <c r="L1" s="772"/>
      <c r="M1" s="772"/>
    </row>
    <row r="2" spans="1:32" ht="45" x14ac:dyDescent="0.25">
      <c r="A2" s="771" t="s">
        <v>4</v>
      </c>
      <c r="B2" s="1" t="s">
        <v>43</v>
      </c>
      <c r="C2" s="1" t="s">
        <v>41</v>
      </c>
      <c r="D2" s="2" t="s">
        <v>44</v>
      </c>
      <c r="E2" s="2" t="s">
        <v>0</v>
      </c>
      <c r="F2" s="3" t="s">
        <v>45</v>
      </c>
      <c r="G2" s="3" t="s">
        <v>42</v>
      </c>
      <c r="H2" s="3" t="s">
        <v>366</v>
      </c>
      <c r="I2" s="3" t="s">
        <v>367</v>
      </c>
      <c r="J2" s="3" t="s">
        <v>37</v>
      </c>
      <c r="K2" s="3" t="s">
        <v>38</v>
      </c>
      <c r="L2" s="3" t="s">
        <v>39</v>
      </c>
      <c r="M2" s="3" t="s">
        <v>40</v>
      </c>
      <c r="N2" s="11" t="s">
        <v>37</v>
      </c>
      <c r="O2" s="11"/>
      <c r="P2" s="11"/>
      <c r="Q2" s="11"/>
      <c r="R2" s="40" t="s">
        <v>6</v>
      </c>
      <c r="S2" s="41" t="s">
        <v>7</v>
      </c>
      <c r="T2" s="41" t="s">
        <v>8</v>
      </c>
      <c r="U2" s="41" t="s">
        <v>9</v>
      </c>
      <c r="V2" s="40" t="s">
        <v>10</v>
      </c>
      <c r="W2" s="41" t="s">
        <v>90</v>
      </c>
      <c r="X2" s="41" t="s">
        <v>492</v>
      </c>
      <c r="Y2" s="41" t="s">
        <v>623</v>
      </c>
      <c r="Z2" s="40" t="s">
        <v>37</v>
      </c>
      <c r="AA2" s="41" t="s">
        <v>38</v>
      </c>
      <c r="AB2" s="41" t="s">
        <v>39</v>
      </c>
      <c r="AC2" s="41" t="s">
        <v>40</v>
      </c>
    </row>
    <row r="3" spans="1:32" x14ac:dyDescent="0.25">
      <c r="A3" s="771"/>
      <c r="B3" s="1" t="s">
        <v>46</v>
      </c>
      <c r="C3" s="4" t="s">
        <v>47</v>
      </c>
      <c r="D3" s="5" t="s">
        <v>47</v>
      </c>
      <c r="E3" s="5" t="s">
        <v>47</v>
      </c>
      <c r="F3" s="1" t="s">
        <v>46</v>
      </c>
      <c r="G3" s="1" t="s">
        <v>46</v>
      </c>
      <c r="H3" s="1" t="s">
        <v>46</v>
      </c>
      <c r="I3" s="1" t="s">
        <v>46</v>
      </c>
      <c r="J3" s="1" t="s">
        <v>96</v>
      </c>
      <c r="K3" s="1"/>
      <c r="L3" s="1"/>
      <c r="M3" s="1"/>
      <c r="N3" s="11"/>
      <c r="O3" s="11"/>
      <c r="P3" s="11"/>
      <c r="Q3" s="11"/>
      <c r="R3" s="42" t="s">
        <v>11</v>
      </c>
      <c r="S3" s="43"/>
      <c r="T3" s="44">
        <f t="shared" ref="T3:Y3" si="0">D10/AVERAGE(C23:D23)</f>
        <v>1.791568000728078E-2</v>
      </c>
      <c r="U3" s="44">
        <f t="shared" si="0"/>
        <v>2.9709086429313105E-2</v>
      </c>
      <c r="V3" s="44">
        <f t="shared" si="0"/>
        <v>2.8024255103668638E-2</v>
      </c>
      <c r="W3" s="44">
        <f t="shared" si="0"/>
        <v>3.2414766702277574E-2</v>
      </c>
      <c r="X3" s="44">
        <f t="shared" si="0"/>
        <v>3.6478687808950014E-2</v>
      </c>
      <c r="Y3" s="44">
        <f t="shared" si="0"/>
        <v>3.359529896609656E-2</v>
      </c>
      <c r="Z3" s="44" t="e">
        <f t="shared" ref="Z3:AF3" si="1">(J10*4)/J23</f>
        <v>#DIV/0!</v>
      </c>
      <c r="AA3" s="44">
        <f t="shared" si="1"/>
        <v>3.5600434590261687E-2</v>
      </c>
      <c r="AB3" s="44">
        <f t="shared" si="1"/>
        <v>3.4406400000000004E-2</v>
      </c>
      <c r="AC3" s="44">
        <f t="shared" si="1"/>
        <v>3.1485985794876582E-2</v>
      </c>
      <c r="AD3" s="44" t="e">
        <f t="shared" si="1"/>
        <v>#DIV/0!</v>
      </c>
      <c r="AE3" s="44">
        <f t="shared" si="1"/>
        <v>3.4859718095483924E-2</v>
      </c>
      <c r="AF3" s="44">
        <f t="shared" si="1"/>
        <v>3.3736120247814243E-2</v>
      </c>
    </row>
    <row r="4" spans="1:32" x14ac:dyDescent="0.25">
      <c r="A4" s="771"/>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D5">
        <v>1149.1500000000001</v>
      </c>
      <c r="E5">
        <v>2646.23</v>
      </c>
      <c r="F5" s="85">
        <v>3154.7</v>
      </c>
      <c r="G5" s="90">
        <v>3766.66</v>
      </c>
      <c r="H5" s="90">
        <v>5664.73</v>
      </c>
      <c r="I5" s="90">
        <v>7617.31</v>
      </c>
      <c r="J5" s="85">
        <v>1764.51</v>
      </c>
      <c r="K5" s="85">
        <v>1911.49</v>
      </c>
      <c r="L5" s="85">
        <v>1946.18</v>
      </c>
      <c r="M5" s="85">
        <v>1996.4</v>
      </c>
      <c r="N5" s="11">
        <v>2208.65</v>
      </c>
      <c r="O5" s="11">
        <v>2410.15</v>
      </c>
      <c r="P5" s="11">
        <v>2448.86</v>
      </c>
      <c r="Q5" s="11"/>
      <c r="R5" s="42" t="s">
        <v>13</v>
      </c>
      <c r="S5" s="46"/>
      <c r="T5" s="47">
        <f t="shared" ref="T5:Y5" si="2">D21/D20</f>
        <v>4.1647546024847273</v>
      </c>
      <c r="U5" s="47">
        <f t="shared" si="2"/>
        <v>4.5836784461597126</v>
      </c>
      <c r="V5" s="47">
        <f t="shared" si="2"/>
        <v>5.2386351956659398</v>
      </c>
      <c r="W5" s="47">
        <f t="shared" si="2"/>
        <v>6.1548886278139729</v>
      </c>
      <c r="X5" s="47">
        <f t="shared" si="2"/>
        <v>5.1170539617011581</v>
      </c>
      <c r="Y5" s="47">
        <f t="shared" si="2"/>
        <v>5.6852048208640671</v>
      </c>
      <c r="Z5" s="18"/>
      <c r="AA5" s="18"/>
      <c r="AB5" s="18"/>
      <c r="AC5" s="18"/>
    </row>
    <row r="6" spans="1:32" x14ac:dyDescent="0.25">
      <c r="A6" s="6" t="s">
        <v>50</v>
      </c>
      <c r="B6" s="7"/>
      <c r="C6" s="8"/>
      <c r="D6">
        <v>995.74</v>
      </c>
      <c r="E6">
        <v>2291.27</v>
      </c>
      <c r="F6" s="85">
        <v>2832.81</v>
      </c>
      <c r="G6" s="85">
        <v>3463.64</v>
      </c>
      <c r="H6" s="85">
        <v>5210.1499999999996</v>
      </c>
      <c r="I6" s="85">
        <v>7085.67</v>
      </c>
      <c r="J6" s="85">
        <v>1668.21</v>
      </c>
      <c r="K6" s="85">
        <v>1782.31</v>
      </c>
      <c r="L6" s="85">
        <v>1845.47</v>
      </c>
      <c r="M6" s="85">
        <v>1907.64</v>
      </c>
      <c r="N6" s="11">
        <v>2063.54</v>
      </c>
      <c r="O6" s="11">
        <v>2296.9299999999998</v>
      </c>
      <c r="P6" s="11">
        <v>2321.96</v>
      </c>
      <c r="Q6" s="11"/>
      <c r="R6" s="42" t="s">
        <v>14</v>
      </c>
      <c r="S6" s="43"/>
      <c r="T6" s="43">
        <v>0.2581</v>
      </c>
      <c r="U6" s="43">
        <v>0.2515</v>
      </c>
      <c r="V6" s="43">
        <v>0.21329999999999999</v>
      </c>
      <c r="W6" s="48">
        <v>0.1971</v>
      </c>
      <c r="X6" s="48">
        <v>0.22969999999999999</v>
      </c>
      <c r="Y6" s="48">
        <v>0.21279999999999999</v>
      </c>
      <c r="Z6" s="48">
        <v>0.22520000000000001</v>
      </c>
      <c r="AA6" s="48">
        <v>0.22639999999999999</v>
      </c>
      <c r="AB6" s="154">
        <v>0.21920000000000001</v>
      </c>
      <c r="AC6" s="48">
        <v>0.21279999999999999</v>
      </c>
      <c r="AD6" s="80">
        <v>0.2382</v>
      </c>
      <c r="AE6" s="80">
        <v>0.2898</v>
      </c>
      <c r="AF6" s="80">
        <v>0.27860000000000001</v>
      </c>
    </row>
    <row r="7" spans="1:32" x14ac:dyDescent="0.25">
      <c r="A7" s="6" t="s">
        <v>51</v>
      </c>
      <c r="B7" s="7"/>
      <c r="C7" s="8"/>
      <c r="D7" s="87"/>
      <c r="E7" s="85"/>
      <c r="F7" s="85">
        <v>0</v>
      </c>
      <c r="G7" s="85">
        <v>0</v>
      </c>
      <c r="H7" s="85"/>
      <c r="I7" s="85"/>
      <c r="J7" s="85"/>
      <c r="K7" s="85"/>
      <c r="L7" s="85"/>
      <c r="M7" s="85"/>
      <c r="N7" s="11"/>
      <c r="O7" s="11"/>
      <c r="P7" s="11"/>
      <c r="Q7" s="11"/>
      <c r="R7" s="42" t="s">
        <v>15</v>
      </c>
      <c r="S7" s="43"/>
      <c r="T7" s="44">
        <f t="shared" ref="T7:Y7" si="3">D20/D23</f>
        <v>0.21072510032677122</v>
      </c>
      <c r="U7" s="44">
        <f t="shared" si="3"/>
        <v>0.19878715960938254</v>
      </c>
      <c r="V7" s="44">
        <f t="shared" si="3"/>
        <v>0.17860194595593262</v>
      </c>
      <c r="W7" s="44">
        <f t="shared" si="3"/>
        <v>0.14358698231254496</v>
      </c>
      <c r="X7" s="44">
        <f t="shared" si="3"/>
        <v>0.16767742786233428</v>
      </c>
      <c r="Y7" s="44">
        <f t="shared" si="3"/>
        <v>0.15217341194557274</v>
      </c>
      <c r="Z7" s="18"/>
      <c r="AA7" s="18"/>
      <c r="AB7" s="18"/>
      <c r="AC7" s="18"/>
    </row>
    <row r="8" spans="1:32" x14ac:dyDescent="0.25">
      <c r="A8" s="6" t="s">
        <v>52</v>
      </c>
      <c r="B8" s="7"/>
      <c r="C8" s="8"/>
      <c r="D8" s="85">
        <f t="shared" ref="D8:P8" si="4">D5-D6-D7</f>
        <v>153.41000000000008</v>
      </c>
      <c r="E8" s="85">
        <f t="shared" si="4"/>
        <v>354.96000000000004</v>
      </c>
      <c r="F8" s="85">
        <f t="shared" si="4"/>
        <v>321.88999999999987</v>
      </c>
      <c r="G8" s="85">
        <f t="shared" si="4"/>
        <v>303.02</v>
      </c>
      <c r="H8" s="85">
        <f t="shared" si="4"/>
        <v>454.57999999999993</v>
      </c>
      <c r="I8" s="85">
        <f t="shared" si="4"/>
        <v>531.64000000000033</v>
      </c>
      <c r="J8" s="85">
        <f t="shared" si="4"/>
        <v>96.299999999999955</v>
      </c>
      <c r="K8" s="85">
        <f t="shared" si="4"/>
        <v>129.18000000000006</v>
      </c>
      <c r="L8" s="85">
        <f t="shared" si="4"/>
        <v>100.71000000000004</v>
      </c>
      <c r="M8" s="85">
        <f t="shared" si="4"/>
        <v>88.759999999999991</v>
      </c>
      <c r="N8" s="85">
        <f t="shared" si="4"/>
        <v>145.11000000000013</v>
      </c>
      <c r="O8" s="85">
        <f t="shared" si="4"/>
        <v>113.22000000000025</v>
      </c>
      <c r="P8" s="85">
        <f t="shared" si="4"/>
        <v>126.90000000000009</v>
      </c>
      <c r="Q8" s="11"/>
      <c r="R8" s="40" t="s">
        <v>16</v>
      </c>
      <c r="S8" s="45"/>
      <c r="T8" s="45"/>
      <c r="U8" s="45"/>
      <c r="V8" s="46" t="s">
        <v>5</v>
      </c>
      <c r="W8" s="18"/>
      <c r="X8" s="18"/>
      <c r="Y8" s="18"/>
      <c r="Z8" s="18"/>
      <c r="AA8" s="18"/>
      <c r="AB8" s="18"/>
      <c r="AC8" s="18"/>
    </row>
    <row r="9" spans="1:32" ht="33.75" x14ac:dyDescent="0.25">
      <c r="A9" s="6" t="s">
        <v>24</v>
      </c>
      <c r="B9" s="7"/>
      <c r="C9" s="7"/>
      <c r="D9" s="88">
        <v>684.71</v>
      </c>
      <c r="E9" s="85">
        <v>1616.03</v>
      </c>
      <c r="F9" s="85">
        <v>1965.87</v>
      </c>
      <c r="G9" s="85">
        <v>2155.31</v>
      </c>
      <c r="H9" s="85">
        <v>3211.32</v>
      </c>
      <c r="I9" s="85">
        <v>4692.6099999999997</v>
      </c>
      <c r="J9" s="85">
        <v>1062.1500000000001</v>
      </c>
      <c r="K9" s="85">
        <v>1150.81</v>
      </c>
      <c r="L9" s="85">
        <v>1200.3499999999999</v>
      </c>
      <c r="M9" s="85">
        <v>1279.3</v>
      </c>
      <c r="N9" s="11">
        <v>1398.76</v>
      </c>
      <c r="O9" s="11">
        <v>1513.65</v>
      </c>
      <c r="P9" s="11">
        <v>1515.92</v>
      </c>
      <c r="Q9" s="11"/>
      <c r="R9" s="49" t="s">
        <v>93</v>
      </c>
      <c r="S9" s="45"/>
      <c r="T9" s="50">
        <f t="shared" ref="T9:Y9" si="5">D14/(D11-D9)</f>
        <v>0.6400826802170354</v>
      </c>
      <c r="U9" s="50">
        <f t="shared" si="5"/>
        <v>0.32849932052028724</v>
      </c>
      <c r="V9" s="50">
        <f t="shared" si="5"/>
        <v>0.27675950304080482</v>
      </c>
      <c r="W9" s="50">
        <f t="shared" si="5"/>
        <v>0.29223322059142953</v>
      </c>
      <c r="X9" s="50">
        <f t="shared" si="5"/>
        <v>0.25701370745207697</v>
      </c>
      <c r="Y9" s="50">
        <f t="shared" si="5"/>
        <v>0.2403323417786439</v>
      </c>
      <c r="Z9" s="18"/>
      <c r="AA9" s="18"/>
      <c r="AB9" s="18"/>
      <c r="AC9" s="18"/>
    </row>
    <row r="10" spans="1:32" ht="22.5" x14ac:dyDescent="0.25">
      <c r="A10" s="6" t="s">
        <v>53</v>
      </c>
      <c r="B10" s="10">
        <f t="shared" ref="B10:G10" si="6">B6-B9</f>
        <v>0</v>
      </c>
      <c r="C10" s="10">
        <f t="shared" si="6"/>
        <v>0</v>
      </c>
      <c r="D10" s="89">
        <f t="shared" si="6"/>
        <v>311.02999999999997</v>
      </c>
      <c r="E10" s="89">
        <f t="shared" si="6"/>
        <v>675.24</v>
      </c>
      <c r="F10" s="89">
        <f t="shared" si="6"/>
        <v>866.94</v>
      </c>
      <c r="G10" s="89">
        <f t="shared" si="6"/>
        <v>1308.33</v>
      </c>
      <c r="H10" s="89">
        <f t="shared" ref="H10:M10" si="7">H6-H9</f>
        <v>1998.8299999999995</v>
      </c>
      <c r="I10" s="89">
        <f t="shared" si="7"/>
        <v>2393.0600000000004</v>
      </c>
      <c r="J10" s="89">
        <f t="shared" si="7"/>
        <v>606.05999999999995</v>
      </c>
      <c r="K10" s="89">
        <f t="shared" si="7"/>
        <v>631.5</v>
      </c>
      <c r="L10" s="89">
        <f t="shared" si="7"/>
        <v>645.12000000000012</v>
      </c>
      <c r="M10" s="89">
        <f t="shared" si="7"/>
        <v>628.34000000000015</v>
      </c>
      <c r="N10" s="89">
        <f t="shared" ref="N10:O10" si="8">N6-N9</f>
        <v>664.78</v>
      </c>
      <c r="O10" s="89">
        <f t="shared" si="8"/>
        <v>783.27999999999975</v>
      </c>
      <c r="P10" s="89">
        <f t="shared" ref="P10" si="9">P6-P9</f>
        <v>806.04</v>
      </c>
      <c r="Q10" s="11"/>
      <c r="R10" s="42" t="s">
        <v>92</v>
      </c>
      <c r="S10" s="43"/>
      <c r="T10" s="44">
        <f t="shared" ref="T10:Y10" si="10">D14/D11</f>
        <v>0.25869555758604179</v>
      </c>
      <c r="U10" s="44">
        <f t="shared" si="10"/>
        <v>0.1278875985836454</v>
      </c>
      <c r="V10" s="44">
        <f t="shared" si="10"/>
        <v>0.10429517862237296</v>
      </c>
      <c r="W10" s="44">
        <f t="shared" si="10"/>
        <v>0.12501526551374428</v>
      </c>
      <c r="X10" s="44">
        <f t="shared" si="10"/>
        <v>0.11131333708755757</v>
      </c>
      <c r="Y10" s="44">
        <f t="shared" si="10"/>
        <v>9.2276669848017204E-2</v>
      </c>
      <c r="Z10" s="18"/>
      <c r="AA10" s="18"/>
      <c r="AB10" s="18"/>
      <c r="AC10" s="18"/>
    </row>
    <row r="11" spans="1:32" ht="22.5" x14ac:dyDescent="0.25">
      <c r="A11" s="6" t="s">
        <v>1</v>
      </c>
      <c r="B11" s="10">
        <f>B5-B9</f>
        <v>0</v>
      </c>
      <c r="C11" s="10">
        <f t="shared" ref="C11:J11" si="11">SUM(C6:C8)</f>
        <v>0</v>
      </c>
      <c r="D11" s="89">
        <f t="shared" si="11"/>
        <v>1149.1500000000001</v>
      </c>
      <c r="E11" s="89">
        <f t="shared" si="11"/>
        <v>2646.23</v>
      </c>
      <c r="F11" s="89">
        <f>SUM(F6:F8)</f>
        <v>3154.7</v>
      </c>
      <c r="G11" s="89">
        <f>SUM(G6:G8)</f>
        <v>3766.66</v>
      </c>
      <c r="H11" s="89">
        <f>SUM(H6:H8)</f>
        <v>5664.73</v>
      </c>
      <c r="I11" s="89">
        <f>SUM(I6:I8)</f>
        <v>7617.31</v>
      </c>
      <c r="J11" s="89">
        <f t="shared" si="11"/>
        <v>1764.51</v>
      </c>
      <c r="K11" s="89">
        <f t="shared" ref="K11:P11" si="12">SUM(K6:K8)</f>
        <v>1911.49</v>
      </c>
      <c r="L11" s="89">
        <f t="shared" si="12"/>
        <v>1946.18</v>
      </c>
      <c r="M11" s="89">
        <f t="shared" si="12"/>
        <v>1996.4</v>
      </c>
      <c r="N11" s="89">
        <f t="shared" si="12"/>
        <v>2208.65</v>
      </c>
      <c r="O11" s="89">
        <f t="shared" si="12"/>
        <v>2410.15</v>
      </c>
      <c r="P11" s="89">
        <f t="shared" si="12"/>
        <v>2448.86</v>
      </c>
      <c r="Q11" s="11"/>
      <c r="R11" s="42" t="s">
        <v>17</v>
      </c>
      <c r="S11" s="43"/>
      <c r="T11" s="44">
        <f t="shared" ref="T11:Y11" si="13">D14/AVERAGE(C22:D22)</f>
        <v>1.543682988330986E-2</v>
      </c>
      <c r="U11" s="44">
        <f t="shared" si="13"/>
        <v>1.3368290030507447E-2</v>
      </c>
      <c r="V11" s="44">
        <f t="shared" si="13"/>
        <v>9.5050179977697793E-3</v>
      </c>
      <c r="W11" s="44">
        <f t="shared" si="13"/>
        <v>1.0902066157892775E-2</v>
      </c>
      <c r="X11" s="44">
        <f t="shared" si="13"/>
        <v>1.1142484592408528E-2</v>
      </c>
      <c r="Y11" s="44">
        <f t="shared" si="13"/>
        <v>9.5971340491884192E-3</v>
      </c>
      <c r="Z11" s="18"/>
      <c r="AA11" s="18"/>
      <c r="AB11" s="18"/>
      <c r="AC11" s="18"/>
    </row>
    <row r="12" spans="1:32" x14ac:dyDescent="0.25">
      <c r="A12" s="6" t="s">
        <v>91</v>
      </c>
      <c r="B12" s="10"/>
      <c r="C12" s="10"/>
      <c r="D12" s="89">
        <v>0.22</v>
      </c>
      <c r="E12" s="89">
        <v>0.21</v>
      </c>
      <c r="F12" s="89">
        <v>0.57999999999999996</v>
      </c>
      <c r="G12" s="89">
        <v>0.47</v>
      </c>
      <c r="H12" s="89">
        <v>0.71</v>
      </c>
      <c r="I12" s="89">
        <v>0.4</v>
      </c>
      <c r="J12" s="89">
        <v>0.11</v>
      </c>
      <c r="K12" s="89">
        <v>0.11</v>
      </c>
      <c r="L12" s="89">
        <v>0.06</v>
      </c>
      <c r="M12" s="89">
        <v>0.1</v>
      </c>
      <c r="N12" s="11">
        <v>0.08</v>
      </c>
      <c r="O12" s="11">
        <v>0.09</v>
      </c>
      <c r="P12" s="11">
        <v>0.12</v>
      </c>
      <c r="Q12" s="11"/>
      <c r="R12" s="40" t="s">
        <v>18</v>
      </c>
      <c r="S12" s="45"/>
      <c r="T12" s="45"/>
      <c r="U12" s="45"/>
      <c r="V12" s="46" t="s">
        <v>5</v>
      </c>
      <c r="W12" s="18"/>
      <c r="X12" s="18"/>
      <c r="Y12" s="18"/>
      <c r="Z12" s="18"/>
      <c r="AA12" s="18"/>
      <c r="AB12" s="53"/>
      <c r="AC12" s="54"/>
    </row>
    <row r="13" spans="1:32" x14ac:dyDescent="0.25">
      <c r="A13" s="6" t="s">
        <v>25</v>
      </c>
      <c r="B13" s="7"/>
      <c r="C13" s="7"/>
      <c r="D13" s="88">
        <f t="shared" ref="D13:P13" si="14">D11+D12</f>
        <v>1149.3700000000001</v>
      </c>
      <c r="E13" s="88">
        <f t="shared" si="14"/>
        <v>2646.44</v>
      </c>
      <c r="F13" s="88">
        <f t="shared" si="14"/>
        <v>3155.2799999999997</v>
      </c>
      <c r="G13" s="88">
        <f t="shared" si="14"/>
        <v>3767.1299999999997</v>
      </c>
      <c r="H13" s="88">
        <f t="shared" si="14"/>
        <v>5665.44</v>
      </c>
      <c r="I13" s="88">
        <f t="shared" si="14"/>
        <v>7617.71</v>
      </c>
      <c r="J13" s="88">
        <f t="shared" si="14"/>
        <v>1764.62</v>
      </c>
      <c r="K13" s="88">
        <f t="shared" si="14"/>
        <v>1911.6</v>
      </c>
      <c r="L13" s="88">
        <f t="shared" si="14"/>
        <v>1946.24</v>
      </c>
      <c r="M13" s="88">
        <f t="shared" si="14"/>
        <v>1996.5</v>
      </c>
      <c r="N13" s="88">
        <f t="shared" si="14"/>
        <v>2208.73</v>
      </c>
      <c r="O13" s="88">
        <f t="shared" si="14"/>
        <v>2410.2400000000002</v>
      </c>
      <c r="P13" s="88">
        <f t="shared" si="14"/>
        <v>2448.98</v>
      </c>
      <c r="Q13" s="11"/>
      <c r="R13" s="42" t="s">
        <v>19</v>
      </c>
      <c r="S13" s="43"/>
      <c r="T13" s="44">
        <f t="shared" ref="T13:Y13" si="15">D24/D23</f>
        <v>5.4433069500949547E-4</v>
      </c>
      <c r="U13" s="44">
        <f t="shared" si="15"/>
        <v>8.3036642543448302E-4</v>
      </c>
      <c r="V13" s="44">
        <f t="shared" si="15"/>
        <v>3.5272005698947077E-3</v>
      </c>
      <c r="W13" s="44">
        <f t="shared" si="15"/>
        <v>3.117381467725219E-3</v>
      </c>
      <c r="X13" s="44">
        <f t="shared" si="15"/>
        <v>2.1923949931720141E-3</v>
      </c>
      <c r="Y13" s="44">
        <f t="shared" si="15"/>
        <v>2.7010429851805308E-3</v>
      </c>
      <c r="Z13" s="48">
        <v>2.3E-3</v>
      </c>
      <c r="AA13" s="48">
        <v>2.3999999999999998E-3</v>
      </c>
      <c r="AB13" s="48">
        <v>2.5000000000000001E-3</v>
      </c>
      <c r="AC13" s="48">
        <v>2.7000000000000001E-3</v>
      </c>
      <c r="AD13" s="80">
        <v>2.8E-3</v>
      </c>
      <c r="AE13" s="80">
        <v>2.8999999999999998E-3</v>
      </c>
      <c r="AF13" s="80">
        <v>2.8999999999999998E-3</v>
      </c>
    </row>
    <row r="14" spans="1:32" x14ac:dyDescent="0.25">
      <c r="A14" s="6" t="s">
        <v>26</v>
      </c>
      <c r="B14" s="7"/>
      <c r="C14" s="7"/>
      <c r="D14" s="85">
        <f>1.32+218.93+6.82+70.21</f>
        <v>297.27999999999997</v>
      </c>
      <c r="E14" s="85">
        <f>1.3+248.51+23.14+65.47</f>
        <v>338.41999999999996</v>
      </c>
      <c r="F14" s="85">
        <f>1.33+245.76+21.77+60.16</f>
        <v>329.02</v>
      </c>
      <c r="G14" s="85">
        <f>4.68+348.8+25.76+91.65</f>
        <v>470.89</v>
      </c>
      <c r="H14" s="85">
        <f>14.03+435.14+33.4+147.99</f>
        <v>630.55999999999995</v>
      </c>
      <c r="I14" s="85">
        <f>11.71+465.63+39.6+185.96</f>
        <v>702.9</v>
      </c>
      <c r="J14" s="85">
        <f>2.91+114.21+9.69+42.68</f>
        <v>169.48999999999998</v>
      </c>
      <c r="K14" s="85">
        <f>2.98+115.19+9.72+39.46</f>
        <v>167.35</v>
      </c>
      <c r="L14" s="85">
        <f>2.9+112.82+9.99+47.76</f>
        <v>173.47</v>
      </c>
      <c r="M14" s="85">
        <f>2.92+123.28+10.2+57.33</f>
        <v>193.73000000000002</v>
      </c>
      <c r="N14" s="11">
        <f>2.97+113.42+9.91+43.75</f>
        <v>170.05</v>
      </c>
      <c r="O14" s="11">
        <f>2.94+118.61+10.02+52.45</f>
        <v>184.01999999999998</v>
      </c>
      <c r="P14" s="11">
        <f>2.99+118.63+10.13+52.82</f>
        <v>184.57</v>
      </c>
      <c r="Q14" s="11"/>
      <c r="R14" s="42" t="s">
        <v>20</v>
      </c>
      <c r="S14" s="43"/>
      <c r="T14" s="44">
        <f t="shared" ref="T14:Y14" si="16">D25/D23</f>
        <v>3.7843943557803024E-4</v>
      </c>
      <c r="U14" s="44">
        <f t="shared" si="16"/>
        <v>5.0932462700246266E-4</v>
      </c>
      <c r="V14" s="44">
        <f t="shared" si="16"/>
        <v>2.188919148260856E-3</v>
      </c>
      <c r="W14" s="44">
        <f t="shared" si="16"/>
        <v>1.4247174526929481E-3</v>
      </c>
      <c r="X14" s="44">
        <f t="shared" si="16"/>
        <v>7.9806179064056634E-4</v>
      </c>
      <c r="Y14" s="44">
        <f t="shared" si="16"/>
        <v>9.7927058184482207E-4</v>
      </c>
      <c r="Z14" s="48">
        <v>8.0000000000000004E-4</v>
      </c>
      <c r="AA14" s="48">
        <v>8.9999999999999998E-4</v>
      </c>
      <c r="AB14" s="48">
        <v>1E-3</v>
      </c>
      <c r="AC14" s="48">
        <v>1E-3</v>
      </c>
      <c r="AD14" s="80">
        <v>1.1000000000000001E-3</v>
      </c>
      <c r="AE14" s="80">
        <v>1.1999999999999999E-3</v>
      </c>
      <c r="AF14" s="80">
        <v>1.2999999999999999E-3</v>
      </c>
    </row>
    <row r="15" spans="1:32" x14ac:dyDescent="0.25">
      <c r="A15" s="6" t="s">
        <v>54</v>
      </c>
      <c r="B15" s="10"/>
      <c r="C15" s="10"/>
      <c r="D15" s="89">
        <f t="shared" ref="D15:K15" si="17">D11-D14</f>
        <v>851.87000000000012</v>
      </c>
      <c r="E15" s="89">
        <f t="shared" si="17"/>
        <v>2307.81</v>
      </c>
      <c r="F15" s="89">
        <f t="shared" si="17"/>
        <v>2825.68</v>
      </c>
      <c r="G15" s="89">
        <f t="shared" si="17"/>
        <v>3295.77</v>
      </c>
      <c r="H15" s="89">
        <f>H11-H14</f>
        <v>5034.17</v>
      </c>
      <c r="I15" s="89">
        <f>I11-I14</f>
        <v>6914.4100000000008</v>
      </c>
      <c r="J15" s="89">
        <f t="shared" si="17"/>
        <v>1595.02</v>
      </c>
      <c r="K15" s="89">
        <f t="shared" si="17"/>
        <v>1744.14</v>
      </c>
      <c r="L15" s="89">
        <f>L11-L14</f>
        <v>1772.71</v>
      </c>
      <c r="M15" s="89">
        <f>M11-M14</f>
        <v>1802.67</v>
      </c>
      <c r="N15" s="89">
        <f>N11-N14</f>
        <v>2038.6000000000001</v>
      </c>
      <c r="O15" s="89">
        <f>O11-O14</f>
        <v>2226.13</v>
      </c>
      <c r="P15" s="89">
        <f>P11-P14</f>
        <v>2264.29</v>
      </c>
      <c r="Q15" s="11"/>
      <c r="R15" s="42" t="s">
        <v>21</v>
      </c>
      <c r="S15" s="43"/>
      <c r="T15" s="44">
        <f t="shared" ref="T15:Z15" si="18">(T13-T14)/T13</f>
        <v>0.30476190476190468</v>
      </c>
      <c r="U15" s="44">
        <f t="shared" si="18"/>
        <v>0.38662666095156439</v>
      </c>
      <c r="V15" s="44">
        <f t="shared" si="18"/>
        <v>0.37941744312935444</v>
      </c>
      <c r="W15" s="44">
        <f t="shared" si="18"/>
        <v>0.54297622301175186</v>
      </c>
      <c r="X15" s="44">
        <f t="shared" si="18"/>
        <v>0.63598631034733855</v>
      </c>
      <c r="Y15" s="44">
        <f t="shared" ref="Y15" si="19">(Y13-Y14)/Y13</f>
        <v>0.63744724270673903</v>
      </c>
      <c r="Z15" s="44">
        <f t="shared" si="18"/>
        <v>0.65217391304347827</v>
      </c>
      <c r="AA15" s="18"/>
      <c r="AB15" s="18"/>
      <c r="AC15" s="18"/>
    </row>
    <row r="16" spans="1:32" x14ac:dyDescent="0.25">
      <c r="A16" s="6" t="s">
        <v>94</v>
      </c>
      <c r="B16" s="10"/>
      <c r="C16" s="10"/>
      <c r="D16" s="89">
        <f t="shared" ref="D16:K16" si="20">D13-D14-D9</f>
        <v>167.38000000000011</v>
      </c>
      <c r="E16" s="89">
        <f t="shared" si="20"/>
        <v>691.99</v>
      </c>
      <c r="F16" s="89">
        <f t="shared" si="20"/>
        <v>860.38999999999987</v>
      </c>
      <c r="G16" s="89">
        <f t="shared" si="20"/>
        <v>1140.9299999999998</v>
      </c>
      <c r="H16" s="89">
        <f>H13-H14-H9</f>
        <v>1823.559999999999</v>
      </c>
      <c r="I16" s="89">
        <f>I13-I14-I9</f>
        <v>2222.2000000000007</v>
      </c>
      <c r="J16" s="89">
        <f t="shared" si="20"/>
        <v>532.97999999999979</v>
      </c>
      <c r="K16" s="89">
        <f t="shared" si="20"/>
        <v>593.44000000000005</v>
      </c>
      <c r="L16" s="89">
        <f>L13-L14-L9</f>
        <v>572.42000000000007</v>
      </c>
      <c r="M16" s="89">
        <f t="shared" ref="M16:N16" si="21">M13-M14-M9</f>
        <v>523.47</v>
      </c>
      <c r="N16" s="89">
        <f t="shared" si="21"/>
        <v>639.92000000000007</v>
      </c>
      <c r="O16" s="89">
        <f t="shared" ref="O16:P16" si="22">O13-O14-O9</f>
        <v>712.57000000000016</v>
      </c>
      <c r="P16" s="89">
        <f t="shared" si="22"/>
        <v>748.48999999999978</v>
      </c>
      <c r="Q16" s="11"/>
      <c r="R16" s="42" t="s">
        <v>22</v>
      </c>
      <c r="S16" s="43"/>
      <c r="T16" s="44">
        <f t="shared" ref="T16:Y16" si="23">D17/AVERAGE(C23:D23)</f>
        <v>1.4434843615807361E-3</v>
      </c>
      <c r="U16" s="44">
        <f t="shared" si="23"/>
        <v>5.4702486756656862E-3</v>
      </c>
      <c r="V16" s="44">
        <f t="shared" si="23"/>
        <v>7.9911829009826785E-3</v>
      </c>
      <c r="W16" s="44">
        <f t="shared" si="23"/>
        <v>4.4861325558394295E-3</v>
      </c>
      <c r="X16" s="44">
        <f t="shared" si="23"/>
        <v>2.2538774905346269E-3</v>
      </c>
      <c r="Y16" s="44">
        <f t="shared" si="23"/>
        <v>8.5467217748654782E-4</v>
      </c>
      <c r="Z16" s="44" t="e">
        <f t="shared" ref="Z16:AF16" si="24">(J17*4)/J23</f>
        <v>#DIV/0!</v>
      </c>
      <c r="AA16" s="44">
        <f t="shared" si="24"/>
        <v>1.0333427807434627E-3</v>
      </c>
      <c r="AB16" s="44">
        <f t="shared" si="24"/>
        <v>2.986666666666667E-5</v>
      </c>
      <c r="AC16" s="44">
        <f t="shared" si="24"/>
        <v>1.7663701169261853E-3</v>
      </c>
      <c r="AD16" s="44" t="e">
        <f t="shared" si="24"/>
        <v>#DIV/0!</v>
      </c>
      <c r="AE16" s="44">
        <f t="shared" si="24"/>
        <v>2.2163389351893321E-4</v>
      </c>
      <c r="AF16" s="44">
        <f t="shared" si="24"/>
        <v>1.4845667525060435E-3</v>
      </c>
    </row>
    <row r="17" spans="1:32" x14ac:dyDescent="0.25">
      <c r="A17" s="6" t="s">
        <v>27</v>
      </c>
      <c r="B17" s="7"/>
      <c r="C17" s="7"/>
      <c r="D17" s="88">
        <v>25.06</v>
      </c>
      <c r="E17" s="85">
        <v>124.33</v>
      </c>
      <c r="F17" s="85">
        <v>247.21</v>
      </c>
      <c r="G17" s="85">
        <v>181.07</v>
      </c>
      <c r="H17" s="85">
        <v>123.5</v>
      </c>
      <c r="I17" s="85">
        <v>60.88</v>
      </c>
      <c r="J17" s="85">
        <v>6.74</v>
      </c>
      <c r="K17" s="85">
        <v>18.329999999999998</v>
      </c>
      <c r="L17" s="85">
        <v>0.56000000000000005</v>
      </c>
      <c r="M17" s="85">
        <v>35.25</v>
      </c>
      <c r="N17" s="11">
        <v>10.039999999999999</v>
      </c>
      <c r="O17" s="11">
        <v>4.9800000000000004</v>
      </c>
      <c r="P17" s="11">
        <v>35.47</v>
      </c>
      <c r="Q17" s="11"/>
      <c r="R17" s="18"/>
      <c r="S17" s="18"/>
      <c r="T17" s="18"/>
      <c r="U17" s="18"/>
      <c r="V17" s="18"/>
      <c r="W17" s="18"/>
      <c r="X17" s="18"/>
      <c r="Y17" s="18"/>
      <c r="Z17" s="18"/>
      <c r="AA17" s="18"/>
      <c r="AB17" s="18"/>
      <c r="AC17" s="18"/>
    </row>
    <row r="18" spans="1:32" x14ac:dyDescent="0.25">
      <c r="A18" s="6" t="s">
        <v>55</v>
      </c>
      <c r="B18" s="7"/>
      <c r="C18" s="7"/>
      <c r="D18" s="88">
        <v>109.8</v>
      </c>
      <c r="E18" s="85">
        <v>421.33</v>
      </c>
      <c r="F18" s="89">
        <v>453.19</v>
      </c>
      <c r="G18" s="89">
        <v>709.62</v>
      </c>
      <c r="H18" s="89">
        <v>1257.8</v>
      </c>
      <c r="I18" s="89">
        <v>1731.22</v>
      </c>
      <c r="J18" s="89">
        <v>461.8</v>
      </c>
      <c r="K18" s="89">
        <v>451.11</v>
      </c>
      <c r="L18" s="89">
        <v>436.97</v>
      </c>
      <c r="M18" s="89">
        <v>381.34</v>
      </c>
      <c r="N18" s="11">
        <v>482.61</v>
      </c>
      <c r="O18" s="11">
        <v>545.6</v>
      </c>
      <c r="P18" s="11">
        <v>548.02</v>
      </c>
      <c r="Q18" s="11"/>
      <c r="R18" s="40" t="s">
        <v>30</v>
      </c>
      <c r="S18" s="45"/>
      <c r="T18" s="45"/>
      <c r="U18" s="45"/>
      <c r="V18" s="46" t="s">
        <v>5</v>
      </c>
      <c r="W18" s="18"/>
      <c r="X18" s="18"/>
      <c r="Y18" s="18"/>
      <c r="Z18" s="18"/>
      <c r="AA18" s="18"/>
      <c r="AB18" s="18"/>
      <c r="AC18" s="18"/>
    </row>
    <row r="19" spans="1:32" ht="22.5" x14ac:dyDescent="0.25">
      <c r="A19" s="6" t="s">
        <v>28</v>
      </c>
      <c r="B19" s="7"/>
      <c r="C19" s="7"/>
      <c r="D19" s="88">
        <v>3658.35</v>
      </c>
      <c r="E19" s="85">
        <v>5585.13</v>
      </c>
      <c r="F19" s="85">
        <v>6032.22</v>
      </c>
      <c r="G19" s="85">
        <v>6741.36</v>
      </c>
      <c r="H19" s="85">
        <v>10503.19</v>
      </c>
      <c r="I19" s="85">
        <f>12233.5-35.36-50.94</f>
        <v>12147.199999999999</v>
      </c>
      <c r="J19" s="85">
        <v>10964.99</v>
      </c>
      <c r="K19" s="85">
        <v>11415.79</v>
      </c>
      <c r="L19" s="85"/>
      <c r="M19" s="85">
        <v>12147.199999999999</v>
      </c>
      <c r="N19" s="11"/>
      <c r="O19" s="11">
        <f>18785.39-37.59-32.8</f>
        <v>18715</v>
      </c>
      <c r="P19" s="11"/>
      <c r="Q19" s="11"/>
      <c r="R19" s="46" t="s">
        <v>95</v>
      </c>
      <c r="S19" s="51"/>
      <c r="T19" s="51"/>
      <c r="U19" s="52">
        <f>E16/AVERAGE(D22:E22)</f>
        <v>2.7335036399181046E-2</v>
      </c>
      <c r="V19" s="52">
        <f>F16/AVERAGE(E22:F22)</f>
        <v>2.4855700064133304E-2</v>
      </c>
      <c r="W19" s="52">
        <f>G16/AVERAGE(F22:G22)</f>
        <v>2.6414861945517218E-2</v>
      </c>
      <c r="X19" s="52">
        <f>H16/AVERAGE(G22:H22)</f>
        <v>3.2223720507695515E-2</v>
      </c>
      <c r="Y19" s="52">
        <f>I16/AVERAGE(H22:I22)</f>
        <v>3.0341088752463385E-2</v>
      </c>
      <c r="Z19" s="18"/>
      <c r="AA19" s="18"/>
      <c r="AB19" s="18"/>
      <c r="AC19" s="18"/>
    </row>
    <row r="20" spans="1:32" x14ac:dyDescent="0.25">
      <c r="A20" s="6" t="s">
        <v>56</v>
      </c>
      <c r="B20" s="7"/>
      <c r="C20" s="7"/>
      <c r="D20" s="88">
        <f t="shared" ref="D20:O20" si="25">D19-D71</f>
        <v>3658.35</v>
      </c>
      <c r="E20" s="89">
        <f t="shared" si="25"/>
        <v>5585.13</v>
      </c>
      <c r="F20" s="89">
        <f t="shared" si="25"/>
        <v>6032.22</v>
      </c>
      <c r="G20" s="89">
        <f t="shared" si="25"/>
        <v>6741.36</v>
      </c>
      <c r="H20" s="89">
        <f t="shared" si="25"/>
        <v>10503.19</v>
      </c>
      <c r="I20" s="89">
        <f t="shared" si="25"/>
        <v>12147.199999999999</v>
      </c>
      <c r="J20" s="89">
        <f t="shared" si="25"/>
        <v>10964.99</v>
      </c>
      <c r="K20" s="89">
        <f t="shared" si="25"/>
        <v>11415.79</v>
      </c>
      <c r="L20" s="89">
        <f t="shared" si="25"/>
        <v>0</v>
      </c>
      <c r="M20" s="89">
        <f t="shared" si="25"/>
        <v>12147.199999999999</v>
      </c>
      <c r="N20" s="89">
        <f t="shared" si="25"/>
        <v>0</v>
      </c>
      <c r="O20" s="89">
        <f t="shared" si="25"/>
        <v>18715</v>
      </c>
      <c r="P20" s="440"/>
      <c r="Q20" s="11"/>
      <c r="R20" s="42" t="s">
        <v>31</v>
      </c>
      <c r="S20" s="43"/>
      <c r="T20" s="43">
        <v>4.4699999999999997E-2</v>
      </c>
      <c r="U20" s="44">
        <f>E18/AVERAGE(D22:E22)</f>
        <v>1.6643406531983047E-2</v>
      </c>
      <c r="V20" s="44">
        <f>F18/AVERAGE(E22:F22)</f>
        <v>1.3092149736822342E-2</v>
      </c>
      <c r="W20" s="44">
        <f>G18/AVERAGE(F22:G22)</f>
        <v>1.6429153702486508E-2</v>
      </c>
      <c r="X20" s="44">
        <f>H18/AVERAGE(G22:H22)</f>
        <v>2.2226302208087172E-2</v>
      </c>
      <c r="Y20" s="44">
        <f>I18/AVERAGE(H22:I22)</f>
        <v>2.3637431225830098E-2</v>
      </c>
      <c r="Z20" s="48"/>
      <c r="AA20" s="18"/>
      <c r="AB20" s="18"/>
      <c r="AC20" s="18"/>
    </row>
    <row r="21" spans="1:32" x14ac:dyDescent="0.25">
      <c r="A21" s="6" t="s">
        <v>57</v>
      </c>
      <c r="B21" s="9"/>
      <c r="C21" s="9"/>
      <c r="D21" s="85">
        <f>7632.36+7603.77</f>
        <v>15236.130000000001</v>
      </c>
      <c r="E21" s="85">
        <f>7823.59+17776.85</f>
        <v>25600.44</v>
      </c>
      <c r="F21" s="85">
        <f>11332.08+20268.52</f>
        <v>31600.6</v>
      </c>
      <c r="G21" s="85">
        <f>16489.15+24493.17+510</f>
        <v>41492.32</v>
      </c>
      <c r="H21" s="85">
        <f>19914.92+33654.7+175.77</f>
        <v>53745.389999999992</v>
      </c>
      <c r="I21" s="85">
        <f>26645.33+42229.73+184.26</f>
        <v>69059.319999999992</v>
      </c>
      <c r="J21" s="85"/>
      <c r="K21" s="85">
        <f>24716.19+37509.51+180.77</f>
        <v>62406.469999999994</v>
      </c>
      <c r="L21" s="85"/>
      <c r="M21" s="85">
        <v>69059.319999999992</v>
      </c>
      <c r="N21" s="11"/>
      <c r="O21" s="11">
        <f>33130.23+41319.95+24.43</f>
        <v>74474.609999999986</v>
      </c>
      <c r="P21" s="11"/>
      <c r="Q21" s="11"/>
      <c r="R21" s="42" t="s">
        <v>32</v>
      </c>
      <c r="S21" s="43"/>
      <c r="T21" s="44">
        <f t="shared" ref="T21:Y21" si="26">D18/AVERAGE(C19:D19)</f>
        <v>3.0013530690065193E-2</v>
      </c>
      <c r="U21" s="44">
        <f t="shared" si="26"/>
        <v>9.1162635717283974E-2</v>
      </c>
      <c r="V21" s="44">
        <f t="shared" si="26"/>
        <v>7.8019513916684949E-2</v>
      </c>
      <c r="W21" s="44">
        <f t="shared" si="26"/>
        <v>0.11110745773698524</v>
      </c>
      <c r="X21" s="44">
        <f t="shared" si="26"/>
        <v>0.14587797304075781</v>
      </c>
      <c r="Y21" s="44">
        <f t="shared" si="26"/>
        <v>0.15286447606420905</v>
      </c>
      <c r="Z21" s="18"/>
      <c r="AA21" s="18"/>
      <c r="AB21" s="18"/>
      <c r="AC21" s="18"/>
    </row>
    <row r="22" spans="1:32" x14ac:dyDescent="0.25">
      <c r="A22" s="6" t="s">
        <v>29</v>
      </c>
      <c r="B22" s="7"/>
      <c r="C22" s="7"/>
      <c r="D22" s="88">
        <v>19257.84</v>
      </c>
      <c r="E22" s="85">
        <v>31372.42</v>
      </c>
      <c r="F22" s="85">
        <v>37858.379999999997</v>
      </c>
      <c r="G22" s="85">
        <v>48527.08</v>
      </c>
      <c r="H22" s="85">
        <v>64654.14</v>
      </c>
      <c r="I22" s="85">
        <v>81827.09</v>
      </c>
      <c r="J22" s="85"/>
      <c r="K22" s="85">
        <v>74265.91</v>
      </c>
      <c r="L22" s="85"/>
      <c r="M22" s="85">
        <v>81827.09</v>
      </c>
      <c r="N22" s="11"/>
      <c r="O22" s="11">
        <v>93799.17</v>
      </c>
      <c r="P22" s="11"/>
      <c r="Q22" s="11"/>
      <c r="R22" s="40" t="s">
        <v>33</v>
      </c>
      <c r="S22" s="45"/>
      <c r="T22" s="45"/>
      <c r="U22" s="45"/>
      <c r="V22" s="46" t="s">
        <v>5</v>
      </c>
      <c r="W22" s="18"/>
      <c r="X22" s="18"/>
      <c r="Y22" s="18"/>
      <c r="Z22" s="18"/>
      <c r="AA22" s="18"/>
      <c r="AB22" s="18"/>
      <c r="AC22" s="18"/>
    </row>
    <row r="23" spans="1:32" x14ac:dyDescent="0.25">
      <c r="A23" s="6" t="s">
        <v>58</v>
      </c>
      <c r="B23" s="7"/>
      <c r="C23" s="7"/>
      <c r="D23" s="88">
        <v>17360.77</v>
      </c>
      <c r="E23" s="85">
        <v>28096.03</v>
      </c>
      <c r="F23" s="85">
        <v>33774.660000000003</v>
      </c>
      <c r="G23" s="85">
        <v>46949.66</v>
      </c>
      <c r="H23" s="85">
        <v>62639.26</v>
      </c>
      <c r="I23" s="85">
        <v>79824.72</v>
      </c>
      <c r="J23" s="85"/>
      <c r="K23" s="85">
        <v>70954.19</v>
      </c>
      <c r="L23" s="85">
        <v>75000</v>
      </c>
      <c r="M23" s="85">
        <v>79824.72</v>
      </c>
      <c r="N23" s="11"/>
      <c r="O23" s="11">
        <v>89877.95</v>
      </c>
      <c r="P23" s="11">
        <v>95569.97</v>
      </c>
      <c r="Q23" s="11"/>
      <c r="R23" s="42" t="s">
        <v>34</v>
      </c>
      <c r="S23" s="43"/>
      <c r="T23" s="44">
        <f t="shared" ref="T23:Y23" si="27">D6/AVERAGE(C23:D23)</f>
        <v>5.7355750925794188E-2</v>
      </c>
      <c r="U23" s="44">
        <f t="shared" si="27"/>
        <v>0.10081087978036289</v>
      </c>
      <c r="V23" s="44">
        <f t="shared" si="27"/>
        <v>9.1571954345425921E-2</v>
      </c>
      <c r="W23" s="44">
        <f t="shared" si="27"/>
        <v>8.5814039684694768E-2</v>
      </c>
      <c r="X23" s="44">
        <f t="shared" si="27"/>
        <v>9.5085342569303524E-2</v>
      </c>
      <c r="Y23" s="44">
        <f t="shared" si="27"/>
        <v>9.947314401857929E-2</v>
      </c>
      <c r="Z23" s="18"/>
      <c r="AA23" s="18"/>
      <c r="AB23" s="18"/>
      <c r="AC23" s="18"/>
    </row>
    <row r="24" spans="1:32" x14ac:dyDescent="0.25">
      <c r="A24" s="6" t="s">
        <v>59</v>
      </c>
      <c r="B24" s="10"/>
      <c r="C24" s="10"/>
      <c r="D24" s="89">
        <v>9.4499999999999993</v>
      </c>
      <c r="E24" s="89">
        <v>23.33</v>
      </c>
      <c r="F24" s="89">
        <v>119.13</v>
      </c>
      <c r="G24" s="89">
        <v>146.36000000000001</v>
      </c>
      <c r="H24" s="89">
        <v>137.33000000000001</v>
      </c>
      <c r="I24" s="89">
        <v>215.61</v>
      </c>
      <c r="J24" s="89"/>
      <c r="K24" s="89"/>
      <c r="L24" s="89"/>
      <c r="M24" s="89">
        <v>215.61</v>
      </c>
      <c r="N24" s="11"/>
      <c r="O24" s="11"/>
      <c r="P24" s="11"/>
      <c r="Q24" s="11"/>
      <c r="R24" s="42" t="s">
        <v>35</v>
      </c>
      <c r="S24" s="43"/>
      <c r="T24" s="44">
        <f t="shared" ref="T24:Y24" si="28">D9/AVERAGE(C21:D21)</f>
        <v>4.4939889591385736E-2</v>
      </c>
      <c r="U24" s="44">
        <f t="shared" si="28"/>
        <v>7.9146216246859122E-2</v>
      </c>
      <c r="V24" s="44">
        <f t="shared" si="28"/>
        <v>6.8735463551012357E-2</v>
      </c>
      <c r="W24" s="44">
        <f t="shared" si="28"/>
        <v>5.8974521745745002E-2</v>
      </c>
      <c r="X24" s="44">
        <f t="shared" si="28"/>
        <v>6.7437992786680834E-2</v>
      </c>
      <c r="Y24" s="44">
        <f t="shared" si="28"/>
        <v>7.6423941720150629E-2</v>
      </c>
      <c r="Z24" s="18"/>
      <c r="AA24" s="18"/>
      <c r="AB24" s="18"/>
      <c r="AC24" s="18"/>
    </row>
    <row r="25" spans="1:32" x14ac:dyDescent="0.25">
      <c r="A25" s="6" t="s">
        <v>60</v>
      </c>
      <c r="B25" s="10"/>
      <c r="C25" s="10"/>
      <c r="D25" s="89">
        <v>6.57</v>
      </c>
      <c r="E25" s="89">
        <v>14.31</v>
      </c>
      <c r="F25" s="89">
        <v>73.930000000000007</v>
      </c>
      <c r="G25" s="89">
        <v>66.89</v>
      </c>
      <c r="H25" s="89">
        <v>49.99</v>
      </c>
      <c r="I25" s="89">
        <v>78.17</v>
      </c>
      <c r="J25" s="89"/>
      <c r="K25" s="89"/>
      <c r="L25" s="89"/>
      <c r="M25" s="89">
        <v>78.17</v>
      </c>
      <c r="N25" s="11"/>
      <c r="O25" s="11"/>
      <c r="P25" s="11"/>
      <c r="Q25" s="11"/>
      <c r="R25" s="42" t="s">
        <v>36</v>
      </c>
      <c r="S25" s="43"/>
      <c r="T25" s="48">
        <f t="shared" ref="T25:Y25" si="29">T23-T24</f>
        <v>1.2415861334408453E-2</v>
      </c>
      <c r="U25" s="48">
        <f t="shared" si="29"/>
        <v>2.166466353350377E-2</v>
      </c>
      <c r="V25" s="48">
        <f t="shared" si="29"/>
        <v>2.2836490794413564E-2</v>
      </c>
      <c r="W25" s="48">
        <f t="shared" si="29"/>
        <v>2.6839517938949765E-2</v>
      </c>
      <c r="X25" s="48">
        <f t="shared" si="29"/>
        <v>2.764734978262269E-2</v>
      </c>
      <c r="Y25" s="48">
        <f t="shared" si="29"/>
        <v>2.3049202298428662E-2</v>
      </c>
      <c r="Z25" s="18"/>
      <c r="AA25" s="18"/>
      <c r="AB25" s="18"/>
      <c r="AC25" s="18"/>
    </row>
    <row r="26" spans="1:32" x14ac:dyDescent="0.25">
      <c r="AE26" s="80">
        <v>2.2090999999999998</v>
      </c>
      <c r="AF26" s="80">
        <v>1.7906</v>
      </c>
    </row>
    <row r="27" spans="1:32" ht="15" customHeight="1" x14ac:dyDescent="0.25">
      <c r="A27" s="732" t="s">
        <v>280</v>
      </c>
      <c r="B27" s="732"/>
      <c r="C27" s="732"/>
      <c r="D27" s="732"/>
      <c r="E27" s="732"/>
      <c r="F27" s="732"/>
      <c r="G27" s="732"/>
      <c r="H27" s="732"/>
      <c r="I27" s="732"/>
      <c r="J27" s="732"/>
      <c r="K27" s="732"/>
      <c r="L27" s="732"/>
      <c r="M27" s="732"/>
      <c r="N27" s="732"/>
      <c r="O27" s="732"/>
      <c r="P27" s="732"/>
      <c r="Q27" s="732"/>
      <c r="R27" s="732"/>
      <c r="S27" t="s">
        <v>687</v>
      </c>
      <c r="AC27" s="80">
        <v>0.51300000000000001</v>
      </c>
      <c r="AD27" s="80">
        <v>0.47599999999999998</v>
      </c>
      <c r="AE27" s="80">
        <v>0.442</v>
      </c>
      <c r="AF27" s="80"/>
    </row>
    <row r="28" spans="1:32" x14ac:dyDescent="0.25">
      <c r="A28" s="732"/>
      <c r="B28" s="732"/>
      <c r="C28" s="732"/>
      <c r="D28" s="732"/>
      <c r="E28" s="732"/>
      <c r="F28" s="732"/>
      <c r="G28" s="732"/>
      <c r="H28" s="732"/>
      <c r="I28" s="732"/>
      <c r="J28" s="732"/>
      <c r="K28" s="732"/>
      <c r="L28" s="732"/>
      <c r="M28" s="732"/>
      <c r="N28" s="732"/>
      <c r="O28" s="732"/>
      <c r="P28" s="732"/>
      <c r="Q28" s="732"/>
      <c r="R28" s="732"/>
      <c r="AD28" t="s">
        <v>688</v>
      </c>
      <c r="AE28">
        <v>1617</v>
      </c>
    </row>
    <row r="29" spans="1:32" x14ac:dyDescent="0.25">
      <c r="A29" s="732"/>
      <c r="B29" s="732"/>
      <c r="C29" s="732"/>
      <c r="D29" s="732"/>
      <c r="E29" s="732"/>
      <c r="F29" s="732"/>
      <c r="G29" s="732"/>
      <c r="H29" s="732"/>
      <c r="I29" s="732"/>
      <c r="J29" s="732"/>
      <c r="K29" s="732"/>
      <c r="L29" s="732"/>
      <c r="M29" s="732"/>
      <c r="N29" s="732"/>
      <c r="O29" s="732"/>
      <c r="P29" s="732"/>
      <c r="Q29" s="732"/>
      <c r="R29" s="732"/>
      <c r="AD29" t="s">
        <v>419</v>
      </c>
      <c r="AE29">
        <v>1598</v>
      </c>
    </row>
    <row r="30" spans="1:32" x14ac:dyDescent="0.25">
      <c r="A30" s="732"/>
      <c r="B30" s="732"/>
      <c r="C30" s="732"/>
      <c r="D30" s="732"/>
      <c r="E30" s="732"/>
      <c r="F30" s="732"/>
      <c r="G30" s="732"/>
      <c r="H30" s="732"/>
      <c r="I30" s="732"/>
      <c r="J30" s="732"/>
      <c r="K30" s="732"/>
      <c r="L30" s="732"/>
      <c r="M30" s="732"/>
      <c r="N30" s="732"/>
      <c r="O30" s="732"/>
      <c r="P30" s="732"/>
      <c r="Q30" s="732"/>
      <c r="R30" s="732"/>
    </row>
    <row r="31" spans="1:32" x14ac:dyDescent="0.25">
      <c r="A31" s="732"/>
      <c r="B31" s="732"/>
      <c r="C31" s="732"/>
      <c r="D31" s="732"/>
      <c r="E31" s="732"/>
      <c r="F31" s="732"/>
      <c r="G31" s="732"/>
      <c r="H31" s="732"/>
      <c r="I31" s="732"/>
      <c r="J31" s="732"/>
      <c r="K31" s="732"/>
      <c r="L31" s="732"/>
      <c r="M31" s="732"/>
      <c r="N31" s="732"/>
      <c r="O31" s="732"/>
      <c r="P31" s="732"/>
      <c r="Q31" s="732"/>
      <c r="R31" s="732"/>
    </row>
    <row r="32" spans="1:32" x14ac:dyDescent="0.25">
      <c r="A32" s="732"/>
      <c r="B32" s="732"/>
      <c r="C32" s="732"/>
      <c r="D32" s="732"/>
      <c r="E32" s="732"/>
      <c r="F32" s="732"/>
      <c r="G32" s="732"/>
      <c r="H32" s="732"/>
      <c r="I32" s="732"/>
      <c r="J32" s="732"/>
      <c r="K32" s="732"/>
      <c r="L32" s="732"/>
      <c r="M32" s="732"/>
      <c r="N32" s="732"/>
      <c r="O32" s="732"/>
      <c r="P32" s="732"/>
      <c r="Q32" s="732"/>
      <c r="R32" s="732"/>
    </row>
    <row r="33" spans="1:18" x14ac:dyDescent="0.25">
      <c r="A33" s="732"/>
      <c r="B33" s="732"/>
      <c r="C33" s="732"/>
      <c r="D33" s="732"/>
      <c r="E33" s="732"/>
      <c r="F33" s="732"/>
      <c r="G33" s="732"/>
      <c r="H33" s="732"/>
      <c r="I33" s="732"/>
      <c r="J33" s="732"/>
      <c r="K33" s="732"/>
      <c r="L33" s="732"/>
      <c r="M33" s="732"/>
      <c r="N33" s="732"/>
      <c r="O33" s="732"/>
      <c r="P33" s="732"/>
      <c r="Q33" s="732"/>
      <c r="R33" s="732"/>
    </row>
  </sheetData>
  <mergeCells count="3">
    <mergeCell ref="A2:A4"/>
    <mergeCell ref="K1:M1"/>
    <mergeCell ref="A27:R33"/>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W25"/>
  <sheetViews>
    <sheetView workbookViewId="0">
      <selection activeCell="AG6" sqref="AG6"/>
    </sheetView>
  </sheetViews>
  <sheetFormatPr defaultRowHeight="15" x14ac:dyDescent="0.25"/>
  <cols>
    <col min="1" max="1" width="30.5703125" customWidth="1"/>
    <col min="4" max="4" width="12.28515625" customWidth="1"/>
    <col min="5" max="5" width="11.85546875" customWidth="1"/>
    <col min="6" max="6" width="11.7109375" customWidth="1"/>
    <col min="7" max="7" width="12.140625" customWidth="1"/>
    <col min="8" max="8" width="10.140625" bestFit="1" customWidth="1"/>
    <col min="14" max="14" width="28.7109375" customWidth="1"/>
    <col min="16" max="17" width="14.42578125" customWidth="1"/>
    <col min="18" max="18" width="13.7109375" customWidth="1"/>
    <col min="19" max="19" width="13" customWidth="1"/>
  </cols>
  <sheetData>
    <row r="1" spans="1:23" x14ac:dyDescent="0.25">
      <c r="G1" t="s">
        <v>356</v>
      </c>
      <c r="I1" s="772" t="s">
        <v>113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9.8060222131539976E-2</v>
      </c>
      <c r="S3" s="44">
        <f>G10/AVERAGE(F23:G23)</f>
        <v>5.3158973645670828E-2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101518.07</v>
      </c>
      <c r="G5" s="90">
        <v>81229.38</v>
      </c>
      <c r="H5" s="85">
        <v>16671.95</v>
      </c>
      <c r="I5" s="85"/>
      <c r="J5" s="85"/>
      <c r="K5" s="85"/>
      <c r="L5" s="11"/>
      <c r="M5" s="11"/>
      <c r="N5" s="42" t="s">
        <v>13</v>
      </c>
      <c r="O5" s="46"/>
      <c r="P5" s="47" t="e">
        <f>D21/D20</f>
        <v>#DIV/0!</v>
      </c>
      <c r="Q5" s="47" t="e">
        <f>E21/E20</f>
        <v>#DIV/0!</v>
      </c>
      <c r="R5" s="47">
        <f>F21/F20</f>
        <v>0.75641284373723494</v>
      </c>
      <c r="S5" s="47">
        <f>G21/G20</f>
        <v>0.41432002889853975</v>
      </c>
      <c r="T5" s="18"/>
      <c r="U5" s="18"/>
      <c r="V5" s="18"/>
      <c r="W5" s="18"/>
    </row>
    <row r="6" spans="1:23" x14ac:dyDescent="0.25">
      <c r="A6" s="6" t="s">
        <v>50</v>
      </c>
      <c r="B6" s="7"/>
      <c r="C6" s="8"/>
      <c r="F6" s="85">
        <v>80080.850000000006</v>
      </c>
      <c r="G6" s="85">
        <v>41386.629999999997</v>
      </c>
      <c r="H6" s="85">
        <v>4401.3900000000003</v>
      </c>
      <c r="I6" s="85"/>
      <c r="J6" s="85"/>
      <c r="K6" s="85"/>
      <c r="L6" s="11"/>
      <c r="M6" s="11"/>
      <c r="N6" s="42" t="s">
        <v>14</v>
      </c>
      <c r="O6" s="43"/>
      <c r="P6" s="43"/>
      <c r="Q6" s="43"/>
      <c r="R6" s="43"/>
      <c r="S6" s="48">
        <v>0.6391</v>
      </c>
      <c r="T6" s="48">
        <v>0.71489999999999998</v>
      </c>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1.1221402871970361</v>
      </c>
      <c r="S7" s="44">
        <f>G20/G23</f>
        <v>1.1997634175534273</v>
      </c>
      <c r="T7" s="18"/>
      <c r="U7" s="18"/>
      <c r="V7" s="18"/>
      <c r="W7" s="18"/>
    </row>
    <row r="8" spans="1:23" x14ac:dyDescent="0.25">
      <c r="A8" s="6" t="s">
        <v>52</v>
      </c>
      <c r="B8" s="7"/>
      <c r="C8" s="8"/>
      <c r="D8" s="85">
        <f>D5-D6-D7</f>
        <v>0</v>
      </c>
      <c r="E8" s="85">
        <f>E5-E6-E7</f>
        <v>0</v>
      </c>
      <c r="F8" s="85">
        <f>F5-F6-F7</f>
        <v>21437.22</v>
      </c>
      <c r="G8" s="85">
        <f>G5-G6-G7</f>
        <v>39842.750000000007</v>
      </c>
      <c r="H8" s="85">
        <f>H5-H6-H7</f>
        <v>12270.560000000001</v>
      </c>
      <c r="I8" s="85"/>
      <c r="J8" s="85"/>
      <c r="K8" s="85"/>
      <c r="L8" s="11"/>
      <c r="M8" s="11"/>
      <c r="N8" s="40" t="s">
        <v>16</v>
      </c>
      <c r="O8" s="45"/>
      <c r="P8" s="45"/>
      <c r="Q8" s="45"/>
      <c r="R8" s="46" t="s">
        <v>5</v>
      </c>
      <c r="S8" s="18"/>
      <c r="T8" s="18"/>
      <c r="U8" s="18"/>
      <c r="V8" s="18"/>
      <c r="W8" s="18"/>
    </row>
    <row r="9" spans="1:23" ht="33.75" x14ac:dyDescent="0.25">
      <c r="A9" s="6" t="s">
        <v>24</v>
      </c>
      <c r="B9" s="7"/>
      <c r="C9" s="7"/>
      <c r="D9" s="88"/>
      <c r="E9" s="85"/>
      <c r="F9" s="85">
        <v>43590.94</v>
      </c>
      <c r="G9" s="85">
        <v>22606.32</v>
      </c>
      <c r="H9" s="85">
        <v>4462.26</v>
      </c>
      <c r="I9" s="85"/>
      <c r="J9" s="85"/>
      <c r="K9" s="85"/>
      <c r="L9" s="11"/>
      <c r="M9" s="11"/>
      <c r="N9" s="49" t="s">
        <v>93</v>
      </c>
      <c r="O9" s="45"/>
      <c r="P9" s="50" t="e">
        <f>D14/(D11-D9)</f>
        <v>#DIV/0!</v>
      </c>
      <c r="Q9" s="50" t="e">
        <f>E14/(E11-E9)</f>
        <v>#DIV/0!</v>
      </c>
      <c r="R9" s="50">
        <f>F14/(F11-F9)</f>
        <v>0.9370809498071111</v>
      </c>
      <c r="S9" s="50">
        <f>G14/(G11-G9)</f>
        <v>1.0260421410960123</v>
      </c>
      <c r="T9" s="18"/>
      <c r="U9" s="18"/>
      <c r="V9" s="18"/>
      <c r="W9" s="18"/>
    </row>
    <row r="10" spans="1:23" ht="22.5" x14ac:dyDescent="0.25">
      <c r="A10" s="6" t="s">
        <v>53</v>
      </c>
      <c r="B10" s="10">
        <f t="shared" ref="B10:H10" si="0">B6-B9</f>
        <v>0</v>
      </c>
      <c r="C10" s="10">
        <f t="shared" si="0"/>
        <v>0</v>
      </c>
      <c r="D10" s="89">
        <f t="shared" si="0"/>
        <v>0</v>
      </c>
      <c r="E10" s="89">
        <f t="shared" si="0"/>
        <v>0</v>
      </c>
      <c r="F10" s="89">
        <f t="shared" si="0"/>
        <v>36489.910000000003</v>
      </c>
      <c r="G10" s="89">
        <f t="shared" si="0"/>
        <v>18780.309999999998</v>
      </c>
      <c r="H10" s="89">
        <f t="shared" si="0"/>
        <v>-60.869999999999891</v>
      </c>
      <c r="I10" s="89"/>
      <c r="J10" s="89"/>
      <c r="K10" s="89"/>
      <c r="L10" s="11"/>
      <c r="M10" s="11"/>
      <c r="N10" s="42" t="s">
        <v>92</v>
      </c>
      <c r="O10" s="43"/>
      <c r="P10" s="44" t="e">
        <f>D14/D11</f>
        <v>#DIV/0!</v>
      </c>
      <c r="Q10" s="44" t="e">
        <f>E14/E11</f>
        <v>#DIV/0!</v>
      </c>
      <c r="R10" s="44">
        <f>F14/F11</f>
        <v>0.534706875337563</v>
      </c>
      <c r="S10" s="44">
        <f>G14/G11</f>
        <v>0.74049229478299594</v>
      </c>
      <c r="T10" s="18"/>
      <c r="U10" s="18"/>
      <c r="V10" s="18"/>
      <c r="W10" s="18"/>
    </row>
    <row r="11" spans="1:23" ht="22.5" x14ac:dyDescent="0.25">
      <c r="A11" s="6" t="s">
        <v>1</v>
      </c>
      <c r="B11" s="10">
        <f>B5-B9</f>
        <v>0</v>
      </c>
      <c r="C11" s="10">
        <f t="shared" ref="C11:H11" si="1">SUM(C6:C8)</f>
        <v>0</v>
      </c>
      <c r="D11" s="89">
        <f t="shared" si="1"/>
        <v>0</v>
      </c>
      <c r="E11" s="89">
        <f t="shared" si="1"/>
        <v>0</v>
      </c>
      <c r="F11" s="89">
        <f>SUM(F6:F8)</f>
        <v>101518.07</v>
      </c>
      <c r="G11" s="89">
        <f>SUM(G6:G8)</f>
        <v>81229.38</v>
      </c>
      <c r="H11" s="89">
        <f t="shared" si="1"/>
        <v>16671.95</v>
      </c>
      <c r="I11" s="89"/>
      <c r="J11" s="89"/>
      <c r="K11" s="89"/>
      <c r="L11" s="11"/>
      <c r="M11" s="11"/>
      <c r="N11" s="42" t="s">
        <v>17</v>
      </c>
      <c r="O11" s="43"/>
      <c r="P11" s="44" t="e">
        <f>D14/AVERAGE(C22:D22)</f>
        <v>#DIV/0!</v>
      </c>
      <c r="Q11" s="44" t="e">
        <f>E14/AVERAGE(D22:E22)</f>
        <v>#DIV/0!</v>
      </c>
      <c r="R11" s="44">
        <f>F14/AVERAGE(E22:F22)</f>
        <v>6.822787006370401E-2</v>
      </c>
      <c r="S11" s="44">
        <f>G14/AVERAGE(F22:G22)</f>
        <v>8.5037809478400617E-2</v>
      </c>
      <c r="T11" s="18"/>
      <c r="U11" s="18"/>
      <c r="V11" s="18"/>
      <c r="W11" s="18"/>
    </row>
    <row r="12" spans="1:23" x14ac:dyDescent="0.25">
      <c r="A12" s="6" t="s">
        <v>91</v>
      </c>
      <c r="B12" s="10"/>
      <c r="C12" s="10"/>
      <c r="D12" s="89"/>
      <c r="E12" s="89"/>
      <c r="F12" s="89">
        <v>4768.6899999999996</v>
      </c>
      <c r="G12" s="89">
        <v>3181.5</v>
      </c>
      <c r="H12" s="89">
        <v>2466.0300000000002</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0</v>
      </c>
      <c r="F13" s="88">
        <f>F11+F12</f>
        <v>106286.76000000001</v>
      </c>
      <c r="G13" s="88">
        <f>G11+G12</f>
        <v>84410.880000000005</v>
      </c>
      <c r="H13" s="88">
        <f>H11+H12</f>
        <v>19137.98</v>
      </c>
      <c r="I13" s="88"/>
      <c r="J13" s="88"/>
      <c r="K13" s="88"/>
      <c r="L13" s="11"/>
      <c r="M13" s="11"/>
      <c r="N13" s="42" t="s">
        <v>19</v>
      </c>
      <c r="O13" s="43"/>
      <c r="P13" s="44" t="e">
        <f>D24/D23</f>
        <v>#DIV/0!</v>
      </c>
      <c r="Q13" s="44" t="e">
        <f>E24/E23</f>
        <v>#DIV/0!</v>
      </c>
      <c r="R13" s="44">
        <f>F24/F23</f>
        <v>0</v>
      </c>
      <c r="S13" s="44">
        <f>G24/G23</f>
        <v>0</v>
      </c>
      <c r="T13" s="48"/>
      <c r="U13" s="18"/>
      <c r="V13" s="18"/>
      <c r="W13" s="18"/>
    </row>
    <row r="14" spans="1:23" x14ac:dyDescent="0.25">
      <c r="A14" s="6" t="s">
        <v>26</v>
      </c>
      <c r="B14" s="7"/>
      <c r="C14" s="7"/>
      <c r="D14" s="85"/>
      <c r="E14" s="85"/>
      <c r="F14" s="85">
        <f>30348.36+5707.22+18226.83</f>
        <v>54282.41</v>
      </c>
      <c r="G14" s="85">
        <f>486.01+28082.14+6004.97+25576.61</f>
        <v>60149.729999999996</v>
      </c>
      <c r="H14" s="85">
        <f>3239.23+1783+5357.78</f>
        <v>10380.009999999998</v>
      </c>
      <c r="I14" s="85"/>
      <c r="J14" s="85"/>
      <c r="K14" s="85"/>
      <c r="L14" s="11"/>
      <c r="M14" s="11"/>
      <c r="N14" s="42" t="s">
        <v>20</v>
      </c>
      <c r="O14" s="43"/>
      <c r="P14" s="44" t="e">
        <f>D25/D23</f>
        <v>#DIV/0!</v>
      </c>
      <c r="Q14" s="44" t="e">
        <f>E25/E23</f>
        <v>#DIV/0!</v>
      </c>
      <c r="R14" s="44">
        <f>F25/F23</f>
        <v>0</v>
      </c>
      <c r="S14" s="44">
        <f>G25/G23</f>
        <v>0</v>
      </c>
      <c r="T14" s="48"/>
      <c r="U14" s="18"/>
      <c r="V14" s="18"/>
      <c r="W14" s="18"/>
    </row>
    <row r="15" spans="1:23" x14ac:dyDescent="0.25">
      <c r="A15" s="6" t="s">
        <v>54</v>
      </c>
      <c r="B15" s="10"/>
      <c r="C15" s="10"/>
      <c r="D15" s="89">
        <f>D11-D14</f>
        <v>0</v>
      </c>
      <c r="E15" s="89">
        <f>E11-E14</f>
        <v>0</v>
      </c>
      <c r="F15" s="89">
        <f>F11-F14</f>
        <v>47235.66</v>
      </c>
      <c r="G15" s="89">
        <f>G11-G14</f>
        <v>21079.650000000009</v>
      </c>
      <c r="H15" s="89">
        <f>H11-H14</f>
        <v>6291.9400000000023</v>
      </c>
      <c r="I15" s="89"/>
      <c r="J15" s="89"/>
      <c r="K15" s="89"/>
      <c r="L15" s="11"/>
      <c r="M15" s="11"/>
      <c r="N15" s="42" t="s">
        <v>21</v>
      </c>
      <c r="O15" s="43"/>
      <c r="P15" s="44" t="e">
        <f>(P13-P14)/P13</f>
        <v>#DIV/0!</v>
      </c>
      <c r="Q15" s="44" t="e">
        <f>(Q13-Q14)/Q13</f>
        <v>#DIV/0!</v>
      </c>
      <c r="R15" s="44" t="e">
        <f>(R13-R14)/R13</f>
        <v>#DIV/0!</v>
      </c>
      <c r="S15" s="44" t="e">
        <f>(S13-S14)/S13</f>
        <v>#DIV/0!</v>
      </c>
      <c r="T15" s="44" t="e">
        <f>(T13-T14)/T13</f>
        <v>#DIV/0!</v>
      </c>
      <c r="U15" s="18"/>
      <c r="V15" s="18"/>
      <c r="W15" s="18"/>
    </row>
    <row r="16" spans="1:23" x14ac:dyDescent="0.25">
      <c r="A16" s="6" t="s">
        <v>94</v>
      </c>
      <c r="B16" s="10"/>
      <c r="C16" s="10"/>
      <c r="D16" s="89">
        <f>D13-D14-D9</f>
        <v>0</v>
      </c>
      <c r="E16" s="89">
        <f>E13-E14-E9</f>
        <v>0</v>
      </c>
      <c r="F16" s="89">
        <f>F13-F14-F9</f>
        <v>8413.4100000000035</v>
      </c>
      <c r="G16" s="89">
        <f>G13-G14-G9</f>
        <v>1654.830000000009</v>
      </c>
      <c r="H16" s="89">
        <f>H13-H14-H9</f>
        <v>4295.7100000000009</v>
      </c>
      <c r="I16" s="89"/>
      <c r="J16" s="89"/>
      <c r="K16" s="89"/>
      <c r="L16" s="11"/>
      <c r="M16" s="11"/>
      <c r="N16" s="42" t="s">
        <v>22</v>
      </c>
      <c r="O16" s="43"/>
      <c r="P16" s="44" t="e">
        <f>D17/AVERAGE(C23:D23)</f>
        <v>#DIV/0!</v>
      </c>
      <c r="Q16" s="44" t="e">
        <f>E17/AVERAGE(D23:E23)</f>
        <v>#DIV/0!</v>
      </c>
      <c r="R16" s="44">
        <f>F17/AVERAGE(E23:F23)</f>
        <v>4.1367165492283552E-2</v>
      </c>
      <c r="S16" s="44">
        <f>G17/AVERAGE(F23:G23)</f>
        <v>7.5045814891111243E-2</v>
      </c>
      <c r="T16" s="18"/>
      <c r="U16" s="18"/>
      <c r="V16" s="18"/>
      <c r="W16" s="18"/>
    </row>
    <row r="17" spans="1:23" x14ac:dyDescent="0.25">
      <c r="A17" s="6" t="s">
        <v>27</v>
      </c>
      <c r="B17" s="7"/>
      <c r="C17" s="7"/>
      <c r="D17" s="88"/>
      <c r="E17" s="85"/>
      <c r="F17" s="85">
        <v>15393.44</v>
      </c>
      <c r="G17" s="85">
        <v>26512.62</v>
      </c>
      <c r="H17" s="85">
        <v>-1432.85</v>
      </c>
      <c r="I17" s="85"/>
      <c r="J17" s="85"/>
      <c r="K17" s="85"/>
      <c r="L17" s="11"/>
      <c r="M17" s="11"/>
      <c r="N17" s="18"/>
      <c r="O17" s="18"/>
      <c r="P17" s="18"/>
      <c r="Q17" s="18"/>
      <c r="R17" s="18"/>
      <c r="S17" s="18"/>
      <c r="T17" s="18"/>
      <c r="U17" s="18"/>
      <c r="V17" s="18"/>
      <c r="W17" s="18"/>
    </row>
    <row r="18" spans="1:23" x14ac:dyDescent="0.25">
      <c r="A18" s="6" t="s">
        <v>55</v>
      </c>
      <c r="B18" s="7"/>
      <c r="C18" s="7"/>
      <c r="D18" s="88"/>
      <c r="E18" s="85"/>
      <c r="F18" s="89">
        <v>-5409.77</v>
      </c>
      <c r="G18" s="89">
        <v>-18427.650000000001</v>
      </c>
      <c r="H18" s="89">
        <v>4629.45</v>
      </c>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c r="F19" s="85">
        <v>417567.87</v>
      </c>
      <c r="G19" s="85">
        <v>401265.95</v>
      </c>
      <c r="H19" s="85">
        <v>327149.34999999998</v>
      </c>
      <c r="I19" s="85"/>
      <c r="J19" s="85"/>
      <c r="K19" s="85"/>
      <c r="L19" s="11"/>
      <c r="M19" s="11"/>
      <c r="N19" s="46" t="s">
        <v>95</v>
      </c>
      <c r="O19" s="51"/>
      <c r="P19" s="51"/>
      <c r="Q19" s="52" t="e">
        <f>E16/AVERAGE(D22:E22)</f>
        <v>#DIV/0!</v>
      </c>
      <c r="R19" s="52">
        <f>F16/AVERAGE(E22:F22)</f>
        <v>1.0574862911810071E-2</v>
      </c>
      <c r="S19" s="52">
        <f>G16/AVERAGE(F22:G22)</f>
        <v>2.3395469648682123E-3</v>
      </c>
      <c r="T19" s="18"/>
      <c r="U19" s="18"/>
      <c r="V19" s="18"/>
      <c r="W19" s="18"/>
    </row>
    <row r="20" spans="1:23" x14ac:dyDescent="0.25">
      <c r="A20" s="6" t="s">
        <v>56</v>
      </c>
      <c r="B20" s="7"/>
      <c r="C20" s="7"/>
      <c r="D20" s="88">
        <f>D19-D71</f>
        <v>0</v>
      </c>
      <c r="E20" s="89">
        <f>E19-E71</f>
        <v>0</v>
      </c>
      <c r="F20" s="89">
        <f>F19-F71</f>
        <v>417567.87</v>
      </c>
      <c r="G20" s="89">
        <f>G19-G71</f>
        <v>401265.95</v>
      </c>
      <c r="H20" s="89">
        <f>H19-H71</f>
        <v>327149.34999999998</v>
      </c>
      <c r="I20" s="89"/>
      <c r="J20" s="89"/>
      <c r="K20" s="89"/>
      <c r="L20" s="11"/>
      <c r="M20" s="11"/>
      <c r="N20" s="42" t="s">
        <v>31</v>
      </c>
      <c r="O20" s="43"/>
      <c r="P20" s="43">
        <v>4.4699999999999997E-2</v>
      </c>
      <c r="Q20" s="44" t="e">
        <f>E18/AVERAGE(D22:E22)</f>
        <v>#DIV/0!</v>
      </c>
      <c r="R20" s="44">
        <f>F18/AVERAGE(E22:F22)</f>
        <v>-6.7995707013473426E-3</v>
      </c>
      <c r="S20" s="44">
        <f>G18/AVERAGE(F22:G22)</f>
        <v>-2.6052435976597888E-2</v>
      </c>
      <c r="T20" s="48"/>
      <c r="U20" s="18"/>
      <c r="V20" s="18"/>
      <c r="W20" s="18"/>
    </row>
    <row r="21" spans="1:23" x14ac:dyDescent="0.25">
      <c r="A21" s="6" t="s">
        <v>57</v>
      </c>
      <c r="B21" s="9"/>
      <c r="C21" s="9"/>
      <c r="D21" s="85"/>
      <c r="E21" s="85"/>
      <c r="F21" s="85">
        <f>77060.33+238793.37</f>
        <v>315853.7</v>
      </c>
      <c r="G21" s="85">
        <f>54506.33+111746.19</f>
        <v>166252.52000000002</v>
      </c>
      <c r="H21" s="85"/>
      <c r="I21" s="85"/>
      <c r="J21" s="85"/>
      <c r="K21" s="85"/>
      <c r="L21" s="11"/>
      <c r="M21" s="11"/>
      <c r="N21" s="42" t="s">
        <v>32</v>
      </c>
      <c r="O21" s="43"/>
      <c r="P21" s="44" t="e">
        <f>D18/AVERAGE(C19:D19)</f>
        <v>#DIV/0!</v>
      </c>
      <c r="Q21" s="44" t="e">
        <f>E18/AVERAGE(D19:E19)</f>
        <v>#DIV/0!</v>
      </c>
      <c r="R21" s="44">
        <f>F18/AVERAGE(E19:F19)</f>
        <v>-1.2955426862703781E-2</v>
      </c>
      <c r="S21" s="44">
        <f>G18/AVERAGE(F19:G19)</f>
        <v>-4.5009498997000394E-2</v>
      </c>
      <c r="T21" s="18"/>
      <c r="U21" s="18"/>
      <c r="V21" s="18"/>
      <c r="W21" s="18"/>
    </row>
    <row r="22" spans="1:23" x14ac:dyDescent="0.25">
      <c r="A22" s="6" t="s">
        <v>29</v>
      </c>
      <c r="B22" s="7"/>
      <c r="C22" s="7"/>
      <c r="D22" s="88"/>
      <c r="E22" s="85"/>
      <c r="F22" s="85">
        <v>795604.64</v>
      </c>
      <c r="G22" s="85">
        <v>619053.86</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c r="F23" s="85">
        <v>372117.35</v>
      </c>
      <c r="G23" s="85">
        <v>334454.23</v>
      </c>
      <c r="H23" s="85"/>
      <c r="I23" s="85"/>
      <c r="J23" s="85"/>
      <c r="K23" s="85"/>
      <c r="L23" s="11"/>
      <c r="M23" s="11"/>
      <c r="N23" s="42" t="s">
        <v>34</v>
      </c>
      <c r="O23" s="43"/>
      <c r="P23" s="44" t="e">
        <f>D6/AVERAGE(C23:D23)</f>
        <v>#DIV/0!</v>
      </c>
      <c r="Q23" s="44" t="e">
        <f>E6/AVERAGE(D23:E23)</f>
        <v>#DIV/0!</v>
      </c>
      <c r="R23" s="44">
        <f>F6/AVERAGE(E23:F23)</f>
        <v>0.21520321479232293</v>
      </c>
      <c r="S23" s="44">
        <f>G6/AVERAGE(F23:G23)</f>
        <v>0.11714773469943413</v>
      </c>
      <c r="T23" s="18"/>
      <c r="U23" s="18"/>
      <c r="V23" s="18"/>
      <c r="W23" s="18"/>
    </row>
    <row r="24" spans="1:23" x14ac:dyDescent="0.25">
      <c r="A24" s="6" t="s">
        <v>59</v>
      </c>
      <c r="B24" s="10"/>
      <c r="C24" s="10"/>
      <c r="D24" s="89"/>
      <c r="E24" s="89"/>
      <c r="F24" s="89"/>
      <c r="G24" s="89"/>
      <c r="H24" s="89"/>
      <c r="I24" s="89"/>
      <c r="J24" s="89"/>
      <c r="K24" s="89"/>
      <c r="L24" s="11"/>
      <c r="M24" s="11"/>
      <c r="N24" s="42" t="s">
        <v>35</v>
      </c>
      <c r="O24" s="43"/>
      <c r="P24" s="44" t="e">
        <f>D9/AVERAGE(C21:D21)</f>
        <v>#DIV/0!</v>
      </c>
      <c r="Q24" s="44" t="e">
        <f>E9/AVERAGE(D21:E21)</f>
        <v>#DIV/0!</v>
      </c>
      <c r="R24" s="44">
        <f>F9/AVERAGE(E21:F21)</f>
        <v>0.13800990775159513</v>
      </c>
      <c r="S24" s="44">
        <f>G9/AVERAGE(F21:G21)</f>
        <v>9.3781490726255301E-2</v>
      </c>
      <c r="T24" s="18"/>
      <c r="U24" s="18"/>
      <c r="V24" s="18"/>
      <c r="W24" s="18"/>
    </row>
    <row r="25" spans="1:23" x14ac:dyDescent="0.25">
      <c r="A25" s="6" t="s">
        <v>60</v>
      </c>
      <c r="B25" s="10"/>
      <c r="C25" s="10"/>
      <c r="D25" s="89"/>
      <c r="E25" s="89"/>
      <c r="F25" s="89"/>
      <c r="G25" s="89"/>
      <c r="H25" s="89"/>
      <c r="I25" s="89"/>
      <c r="J25" s="89"/>
      <c r="K25" s="89"/>
      <c r="L25" s="11"/>
      <c r="M25" s="11"/>
      <c r="N25" s="42" t="s">
        <v>36</v>
      </c>
      <c r="O25" s="43"/>
      <c r="P25" s="48" t="e">
        <f>P23-P24</f>
        <v>#DIV/0!</v>
      </c>
      <c r="Q25" s="48" t="e">
        <f>Q23-Q24</f>
        <v>#DIV/0!</v>
      </c>
      <c r="R25" s="48">
        <f>R23-R24</f>
        <v>7.7193307040727799E-2</v>
      </c>
      <c r="S25" s="48">
        <f>S23-S24</f>
        <v>2.3366243973178824E-2</v>
      </c>
      <c r="T25" s="18"/>
      <c r="U25" s="18"/>
      <c r="V25" s="18"/>
      <c r="W25" s="18"/>
    </row>
  </sheetData>
  <mergeCells count="2">
    <mergeCell ref="A2:A4"/>
    <mergeCell ref="I1:K1"/>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T102"/>
  <sheetViews>
    <sheetView topLeftCell="S1" zoomScale="104" zoomScaleNormal="93" workbookViewId="0">
      <selection activeCell="AB23" sqref="AB23"/>
    </sheetView>
  </sheetViews>
  <sheetFormatPr defaultColWidth="9.140625" defaultRowHeight="11.25" x14ac:dyDescent="0.15"/>
  <cols>
    <col min="1" max="1" width="34.7109375" style="11" customWidth="1"/>
    <col min="2" max="2" width="13.5703125" style="11" hidden="1" customWidth="1"/>
    <col min="3" max="3" width="12.28515625" style="11" hidden="1" customWidth="1"/>
    <col min="4" max="4" width="12.85546875" style="11" hidden="1" customWidth="1"/>
    <col min="5" max="5" width="11" style="11" hidden="1" customWidth="1"/>
    <col min="6" max="6" width="13" style="11" customWidth="1"/>
    <col min="7" max="10" width="13.5703125" style="11" customWidth="1"/>
    <col min="11" max="11" width="8.5703125" style="11" customWidth="1"/>
    <col min="12" max="12" width="10" style="11" customWidth="1"/>
    <col min="13" max="13" width="8.140625" style="11" customWidth="1"/>
    <col min="14" max="14" width="10.42578125" style="11" customWidth="1"/>
    <col min="15" max="17" width="9.140625" style="11"/>
    <col min="18" max="18" width="10" style="11" customWidth="1"/>
    <col min="19" max="19" width="9.140625" style="11"/>
    <col min="20" max="20" width="32.28515625" style="11" customWidth="1"/>
    <col min="21" max="21" width="19.28515625" style="11" hidden="1" customWidth="1"/>
    <col min="22" max="22" width="12.5703125" style="11" hidden="1" customWidth="1"/>
    <col min="23" max="23" width="15.5703125" style="11" customWidth="1"/>
    <col min="24" max="24" width="13" style="11" bestFit="1" customWidth="1"/>
    <col min="25" max="28" width="18" style="11" customWidth="1"/>
    <col min="29" max="35" width="9.140625" style="11"/>
    <col min="36" max="36" width="10.42578125" style="11" customWidth="1"/>
    <col min="37" max="37" width="9.140625" style="11"/>
    <col min="38" max="38" width="5.7109375" style="11" bestFit="1" customWidth="1"/>
    <col min="39" max="39" width="36.7109375" style="11" bestFit="1" customWidth="1"/>
    <col min="40" max="40" width="27.5703125" style="11" bestFit="1" customWidth="1"/>
    <col min="41" max="41" width="34.140625" style="11" bestFit="1" customWidth="1"/>
    <col min="42" max="43" width="12.140625" style="11" bestFit="1" customWidth="1"/>
    <col min="44" max="44" width="23.140625" style="11" bestFit="1" customWidth="1"/>
    <col min="45" max="45" width="22.85546875" style="11" bestFit="1" customWidth="1"/>
    <col min="46" max="46" width="25.140625" style="11" bestFit="1" customWidth="1"/>
    <col min="47" max="16384" width="9.140625" style="11"/>
  </cols>
  <sheetData>
    <row r="1" spans="1:46" x14ac:dyDescent="0.15">
      <c r="L1" s="785" t="s">
        <v>122</v>
      </c>
      <c r="M1" s="785"/>
      <c r="N1" s="785"/>
    </row>
    <row r="2" spans="1:46" ht="22.5" customHeight="1" x14ac:dyDescent="0.25">
      <c r="A2" s="771" t="s">
        <v>4</v>
      </c>
      <c r="B2" s="1" t="s">
        <v>43</v>
      </c>
      <c r="C2" s="1" t="s">
        <v>41</v>
      </c>
      <c r="D2" s="2" t="s">
        <v>44</v>
      </c>
      <c r="E2" s="2" t="s">
        <v>0</v>
      </c>
      <c r="F2" s="3" t="s">
        <v>45</v>
      </c>
      <c r="G2" s="3" t="s">
        <v>42</v>
      </c>
      <c r="H2" s="3" t="s">
        <v>366</v>
      </c>
      <c r="I2" s="3" t="s">
        <v>367</v>
      </c>
      <c r="J2" s="3" t="s">
        <v>368</v>
      </c>
      <c r="K2" s="3" t="s">
        <v>37</v>
      </c>
      <c r="L2" s="3" t="s">
        <v>38</v>
      </c>
      <c r="M2" s="3" t="s">
        <v>39</v>
      </c>
      <c r="N2" s="3" t="s">
        <v>40</v>
      </c>
      <c r="O2" s="11" t="s">
        <v>648</v>
      </c>
      <c r="P2" s="11" t="s">
        <v>683</v>
      </c>
      <c r="T2" s="40" t="s">
        <v>6</v>
      </c>
      <c r="U2" s="41" t="s">
        <v>7</v>
      </c>
      <c r="V2" s="41" t="s">
        <v>8</v>
      </c>
      <c r="W2" s="41" t="s">
        <v>9</v>
      </c>
      <c r="X2" s="40" t="s">
        <v>10</v>
      </c>
      <c r="Y2" s="41" t="s">
        <v>90</v>
      </c>
      <c r="Z2" s="41" t="s">
        <v>492</v>
      </c>
      <c r="AA2" s="41" t="s">
        <v>623</v>
      </c>
      <c r="AB2" s="41"/>
      <c r="AC2" s="40" t="s">
        <v>37</v>
      </c>
      <c r="AD2" s="41" t="s">
        <v>38</v>
      </c>
      <c r="AE2" s="41" t="s">
        <v>39</v>
      </c>
      <c r="AF2" s="41" t="s">
        <v>40</v>
      </c>
      <c r="AL2"/>
      <c r="AM2"/>
      <c r="AN2" s="403"/>
      <c r="AO2" s="403"/>
      <c r="AP2" s="403"/>
      <c r="AQ2" s="403"/>
      <c r="AR2" s="403"/>
      <c r="AS2"/>
      <c r="AT2"/>
    </row>
    <row r="3" spans="1:46" ht="15" x14ac:dyDescent="0.25">
      <c r="A3" s="771"/>
      <c r="B3" s="1" t="s">
        <v>46</v>
      </c>
      <c r="C3" s="4" t="s">
        <v>47</v>
      </c>
      <c r="D3" s="5" t="s">
        <v>47</v>
      </c>
      <c r="E3" s="5" t="s">
        <v>47</v>
      </c>
      <c r="F3" s="1" t="s">
        <v>46</v>
      </c>
      <c r="G3" s="1" t="s">
        <v>46</v>
      </c>
      <c r="H3" s="1" t="s">
        <v>46</v>
      </c>
      <c r="I3" s="1" t="s">
        <v>46</v>
      </c>
      <c r="J3" s="1" t="s">
        <v>46</v>
      </c>
      <c r="K3" s="1" t="s">
        <v>96</v>
      </c>
      <c r="L3" s="1"/>
      <c r="M3" s="1"/>
      <c r="N3" s="1"/>
      <c r="T3" s="42" t="s">
        <v>11</v>
      </c>
      <c r="U3" s="43">
        <v>0.1046</v>
      </c>
      <c r="V3" s="44">
        <f>D10/AVERAGE(C23:D23)</f>
        <v>9.5383039725590965E-2</v>
      </c>
      <c r="W3" s="44">
        <f>E10/AVERAGE(D23:E23)</f>
        <v>0.11809852427607748</v>
      </c>
      <c r="X3" s="44">
        <f>F10/AVERAGE(E23:F23)</f>
        <v>0.10871778018994979</v>
      </c>
      <c r="Y3" s="44">
        <f>G10/AVERAGE(F23:G23)</f>
        <v>0.11893332299863098</v>
      </c>
      <c r="Z3" s="44">
        <f>H10/AVERAGE(G23:H23)</f>
        <v>0.12191795858717647</v>
      </c>
      <c r="AA3" s="44">
        <f t="shared" ref="AA3:AB3" si="0">I10/AVERAGE(H23:I23)</f>
        <v>0.12639486221474489</v>
      </c>
      <c r="AB3" s="44">
        <f t="shared" si="0"/>
        <v>0.11061140538663074</v>
      </c>
      <c r="AC3" s="44">
        <f t="shared" ref="AC3:AJ3" si="1">(K10*4)/K23</f>
        <v>0.12214651842127681</v>
      </c>
      <c r="AD3" s="44">
        <f t="shared" si="1"/>
        <v>0.12255383143238699</v>
      </c>
      <c r="AE3" s="44">
        <f t="shared" si="1"/>
        <v>0.12019289777624546</v>
      </c>
      <c r="AF3" s="44">
        <f t="shared" si="1"/>
        <v>0.1206573192293421</v>
      </c>
      <c r="AG3" s="44">
        <f t="shared" si="1"/>
        <v>0.12396071323852086</v>
      </c>
      <c r="AH3" s="44">
        <f t="shared" si="1"/>
        <v>0.11683104939120338</v>
      </c>
      <c r="AI3" s="44">
        <f t="shared" si="1"/>
        <v>0.11835644041890046</v>
      </c>
      <c r="AJ3" s="44">
        <f t="shared" si="1"/>
        <v>0.11739217682879924</v>
      </c>
      <c r="AL3" s="741" t="s">
        <v>624</v>
      </c>
      <c r="AM3" s="742"/>
      <c r="AN3" s="404" t="s">
        <v>625</v>
      </c>
      <c r="AO3" s="404" t="s">
        <v>626</v>
      </c>
      <c r="AP3" s="404" t="s">
        <v>627</v>
      </c>
      <c r="AQ3" s="404" t="s">
        <v>628</v>
      </c>
      <c r="AR3" s="404" t="s">
        <v>629</v>
      </c>
      <c r="AS3" s="404" t="s">
        <v>630</v>
      </c>
      <c r="AT3" s="404" t="s">
        <v>631</v>
      </c>
    </row>
    <row r="4" spans="1:46" ht="15" x14ac:dyDescent="0.25">
      <c r="A4" s="771"/>
      <c r="B4" s="1" t="s">
        <v>48</v>
      </c>
      <c r="C4" s="1" t="s">
        <v>48</v>
      </c>
      <c r="D4" s="5" t="s">
        <v>49</v>
      </c>
      <c r="E4" s="5" t="s">
        <v>49</v>
      </c>
      <c r="F4" s="5" t="s">
        <v>49</v>
      </c>
      <c r="G4" s="5" t="s">
        <v>49</v>
      </c>
      <c r="H4" s="5" t="s">
        <v>49</v>
      </c>
      <c r="I4" s="5" t="s">
        <v>49</v>
      </c>
      <c r="J4" s="5" t="s">
        <v>49</v>
      </c>
      <c r="K4" s="5"/>
      <c r="L4" s="5"/>
      <c r="M4" s="5"/>
      <c r="N4" s="5"/>
      <c r="T4" s="40" t="s">
        <v>12</v>
      </c>
      <c r="U4" s="45"/>
      <c r="V4" s="45"/>
      <c r="W4" s="45"/>
      <c r="X4" s="46" t="s">
        <v>5</v>
      </c>
      <c r="Y4" s="18"/>
      <c r="Z4" s="18"/>
      <c r="AA4" s="18"/>
      <c r="AB4" s="18"/>
      <c r="AC4" s="18"/>
      <c r="AD4" s="18"/>
      <c r="AE4" s="18"/>
      <c r="AF4" s="18"/>
      <c r="AL4" s="743"/>
      <c r="AM4" s="744"/>
      <c r="AN4" s="405"/>
      <c r="AO4" s="405"/>
      <c r="AP4" s="405"/>
      <c r="AQ4" s="405"/>
      <c r="AR4" s="405"/>
      <c r="AS4" s="405"/>
      <c r="AT4" s="405"/>
    </row>
    <row r="5" spans="1:46" ht="15" x14ac:dyDescent="0.15">
      <c r="A5" s="6" t="s">
        <v>23</v>
      </c>
      <c r="B5" s="7"/>
      <c r="C5" s="8"/>
      <c r="D5" s="85"/>
      <c r="E5" s="86"/>
      <c r="F5" s="85"/>
      <c r="G5" s="85">
        <v>27864.28</v>
      </c>
      <c r="H5" s="85">
        <v>35681.199999999997</v>
      </c>
      <c r="I5" s="85">
        <v>46938.8</v>
      </c>
      <c r="J5" s="85">
        <v>59379</v>
      </c>
      <c r="K5" s="85">
        <v>10664.1</v>
      </c>
      <c r="L5" s="85">
        <v>11407.86</v>
      </c>
      <c r="M5" s="85">
        <v>12100.23</v>
      </c>
      <c r="N5" s="85">
        <v>12760.49</v>
      </c>
      <c r="O5" s="11">
        <v>9717.25</v>
      </c>
      <c r="P5" s="11">
        <v>13723.11</v>
      </c>
      <c r="Q5" s="11">
        <v>14487.43</v>
      </c>
      <c r="R5" s="11">
        <v>15371.02</v>
      </c>
      <c r="T5" s="42" t="s">
        <v>13</v>
      </c>
      <c r="U5" s="46">
        <v>4.2699999999999996</v>
      </c>
      <c r="V5" s="47">
        <f>D21/D20</f>
        <v>4.8833498877948589</v>
      </c>
      <c r="W5" s="47">
        <f>E21/E20</f>
        <v>3.4922110538533602</v>
      </c>
      <c r="X5" s="47">
        <f>F21/F20</f>
        <v>2.916787914693812</v>
      </c>
      <c r="Y5" s="47">
        <f>G21/G20</f>
        <v>3.0333057976256645</v>
      </c>
      <c r="Z5" s="47">
        <f>H21/H20</f>
        <v>3.1399262387040761</v>
      </c>
      <c r="AA5" s="47">
        <f t="shared" ref="AA5:AB5" si="2">I21/I20</f>
        <v>3.1376723021626267</v>
      </c>
      <c r="AB5" s="47">
        <f t="shared" si="2"/>
        <v>0</v>
      </c>
      <c r="AC5" s="18">
        <v>3.23</v>
      </c>
      <c r="AD5" s="18"/>
      <c r="AE5" s="18"/>
      <c r="AF5" s="18">
        <v>3.06</v>
      </c>
      <c r="AL5" s="406" t="s">
        <v>632</v>
      </c>
      <c r="AM5" s="406" t="s">
        <v>557</v>
      </c>
      <c r="AN5" s="745" t="s">
        <v>633</v>
      </c>
      <c r="AO5" s="745"/>
      <c r="AP5" s="745"/>
      <c r="AQ5" s="745"/>
      <c r="AR5" s="745"/>
      <c r="AS5" s="745"/>
      <c r="AT5" s="745"/>
    </row>
    <row r="6" spans="1:46" ht="15" x14ac:dyDescent="0.25">
      <c r="A6" s="6" t="s">
        <v>50</v>
      </c>
      <c r="B6" s="7"/>
      <c r="C6" s="8"/>
      <c r="D6" s="87">
        <v>15211</v>
      </c>
      <c r="E6" s="85">
        <f>20507.7</f>
        <v>20507.7</v>
      </c>
      <c r="F6" s="85">
        <f>20169.79</f>
        <v>20169.79</v>
      </c>
      <c r="G6" s="85">
        <f>23346.97</f>
        <v>23346.97</v>
      </c>
      <c r="H6" s="85">
        <v>29471.86</v>
      </c>
      <c r="I6" s="85">
        <v>40782.76</v>
      </c>
      <c r="J6" s="85">
        <v>49055.77</v>
      </c>
      <c r="K6" s="85">
        <v>9107.5300000000007</v>
      </c>
      <c r="L6" s="85">
        <v>9883.7000000000007</v>
      </c>
      <c r="M6" s="85">
        <v>10590.71</v>
      </c>
      <c r="N6" s="85">
        <v>11200.82</v>
      </c>
      <c r="O6" s="11">
        <v>8283.49</v>
      </c>
      <c r="P6" s="11">
        <v>11849</v>
      </c>
      <c r="Q6" s="11">
        <v>12598.19</v>
      </c>
      <c r="R6" s="11">
        <v>13277.33</v>
      </c>
      <c r="T6" s="42" t="s">
        <v>14</v>
      </c>
      <c r="U6" s="43">
        <v>0.23980000000000001</v>
      </c>
      <c r="V6" s="43">
        <v>0.20660000000000001</v>
      </c>
      <c r="W6" s="43">
        <v>0.25009999999999999</v>
      </c>
      <c r="X6" s="43">
        <v>0.28310000000000002</v>
      </c>
      <c r="Y6" s="48">
        <v>0.2722</v>
      </c>
      <c r="Z6" s="48">
        <v>0.24970000000000001</v>
      </c>
      <c r="AA6" s="48"/>
      <c r="AB6" s="48"/>
      <c r="AC6" s="48">
        <v>0.24610000000000001</v>
      </c>
      <c r="AD6" s="48">
        <v>0.2319</v>
      </c>
      <c r="AE6" s="48">
        <v>0.2387</v>
      </c>
      <c r="AF6" s="48">
        <v>0.22520000000000001</v>
      </c>
      <c r="AH6" s="437">
        <v>0.2165</v>
      </c>
      <c r="AI6" s="437">
        <v>0.21690000000000001</v>
      </c>
      <c r="AJ6" s="437">
        <v>0.2157</v>
      </c>
      <c r="AL6" s="392">
        <v>1</v>
      </c>
      <c r="AM6" s="108" t="s">
        <v>646</v>
      </c>
      <c r="AN6" s="418">
        <v>0.1207</v>
      </c>
      <c r="AO6" s="429">
        <v>0.1202</v>
      </c>
      <c r="AP6" s="81"/>
      <c r="AQ6" s="81"/>
      <c r="AR6" s="417">
        <v>0.124</v>
      </c>
      <c r="AS6" s="417">
        <v>0.12640000000000001</v>
      </c>
      <c r="AT6" s="417">
        <v>0.12189999999999999</v>
      </c>
    </row>
    <row r="7" spans="1:46" ht="15" x14ac:dyDescent="0.25">
      <c r="A7" s="6" t="s">
        <v>51</v>
      </c>
      <c r="B7" s="7"/>
      <c r="C7" s="8"/>
      <c r="D7" s="87">
        <f>130+4</f>
        <v>134</v>
      </c>
      <c r="E7" s="85">
        <f>143+18</f>
        <v>161</v>
      </c>
      <c r="F7" s="85">
        <f>207.64+41.67</f>
        <v>249.31</v>
      </c>
      <c r="G7" s="85">
        <f>340.07+41.54</f>
        <v>381.61</v>
      </c>
      <c r="H7" s="85"/>
      <c r="I7" s="85"/>
      <c r="J7" s="85"/>
      <c r="K7" s="85"/>
      <c r="L7" s="85"/>
      <c r="M7" s="85"/>
      <c r="N7" s="85"/>
      <c r="T7" s="42" t="s">
        <v>15</v>
      </c>
      <c r="U7" s="43">
        <v>0.19719999999999999</v>
      </c>
      <c r="V7" s="44">
        <f>D20/D23</f>
        <v>0.18487873063604915</v>
      </c>
      <c r="W7" s="44">
        <f>E20/E23</f>
        <v>0.25499335075587404</v>
      </c>
      <c r="X7" s="44">
        <f>F20/F23</f>
        <v>0.29249506737277159</v>
      </c>
      <c r="Y7" s="44">
        <f>G20/G23</f>
        <v>0.27368087393630347</v>
      </c>
      <c r="Z7" s="44">
        <f>H20/H23</f>
        <v>0.28147864992044297</v>
      </c>
      <c r="AA7" s="44">
        <f t="shared" ref="AA7:AB7" si="3">I20/I23</f>
        <v>0.28864123338403036</v>
      </c>
      <c r="AB7" s="44">
        <f t="shared" si="3"/>
        <v>0.27686629177068861</v>
      </c>
      <c r="AC7" s="18"/>
      <c r="AD7" s="18"/>
      <c r="AE7" s="18"/>
      <c r="AF7" s="18"/>
      <c r="AL7" s="392">
        <v>2</v>
      </c>
      <c r="AM7" s="108" t="s">
        <v>634</v>
      </c>
      <c r="AN7" s="410">
        <v>3402</v>
      </c>
      <c r="AO7" s="410">
        <v>3177</v>
      </c>
      <c r="AP7" s="410">
        <v>3106</v>
      </c>
      <c r="AQ7" s="410">
        <v>2959</v>
      </c>
      <c r="AR7" s="81"/>
      <c r="AS7" s="411">
        <v>12644</v>
      </c>
      <c r="AT7" s="412">
        <v>10290</v>
      </c>
    </row>
    <row r="8" spans="1:46" ht="15" x14ac:dyDescent="0.25">
      <c r="A8" s="6" t="s">
        <v>52</v>
      </c>
      <c r="B8" s="7"/>
      <c r="C8" s="8"/>
      <c r="D8" s="87">
        <f>17386.02-D6-D7</f>
        <v>2041.0200000000004</v>
      </c>
      <c r="E8" s="85">
        <f>23822.53-E6-E7</f>
        <v>3153.8299999999981</v>
      </c>
      <c r="F8" s="85">
        <f>23532.16-F7-F6</f>
        <v>3113.0599999999977</v>
      </c>
      <c r="G8" s="85">
        <f t="shared" ref="G8:R8" si="4">G5-G6-G7</f>
        <v>4135.699999999998</v>
      </c>
      <c r="H8" s="85">
        <f t="shared" si="4"/>
        <v>6209.3399999999965</v>
      </c>
      <c r="I8" s="85">
        <f t="shared" si="4"/>
        <v>6156.0400000000009</v>
      </c>
      <c r="J8" s="85">
        <f t="shared" si="4"/>
        <v>10323.230000000003</v>
      </c>
      <c r="K8" s="85">
        <f t="shared" si="4"/>
        <v>1556.5699999999997</v>
      </c>
      <c r="L8" s="85">
        <f t="shared" si="4"/>
        <v>1524.1599999999999</v>
      </c>
      <c r="M8" s="85">
        <f t="shared" si="4"/>
        <v>1509.5200000000004</v>
      </c>
      <c r="N8" s="85">
        <f t="shared" si="4"/>
        <v>1559.67</v>
      </c>
      <c r="O8" s="85">
        <f t="shared" si="4"/>
        <v>1433.7600000000002</v>
      </c>
      <c r="P8" s="85">
        <f t="shared" si="4"/>
        <v>1874.1100000000006</v>
      </c>
      <c r="Q8" s="85">
        <f t="shared" si="4"/>
        <v>1889.2399999999998</v>
      </c>
      <c r="R8" s="85">
        <f t="shared" si="4"/>
        <v>2093.6900000000005</v>
      </c>
      <c r="T8" s="40" t="s">
        <v>16</v>
      </c>
      <c r="U8" s="45"/>
      <c r="V8" s="45"/>
      <c r="W8" s="45"/>
      <c r="X8" s="46" t="s">
        <v>5</v>
      </c>
      <c r="Y8" s="18"/>
      <c r="Z8" s="18"/>
      <c r="AA8" s="18"/>
      <c r="AB8" s="18"/>
      <c r="AC8" s="18"/>
      <c r="AD8" s="18"/>
      <c r="AE8" s="18"/>
      <c r="AF8" s="18"/>
      <c r="AL8" s="392">
        <v>3</v>
      </c>
      <c r="AM8" s="108" t="s">
        <v>635</v>
      </c>
      <c r="AN8" s="417">
        <v>1.0500000000000001E-2</v>
      </c>
      <c r="AO8" s="417">
        <v>1.18E-2</v>
      </c>
      <c r="AP8" s="81"/>
      <c r="AQ8" s="81"/>
      <c r="AR8" s="417">
        <v>1.1900000000000001E-2</v>
      </c>
      <c r="AS8" s="417">
        <v>1.0500000000000001E-2</v>
      </c>
      <c r="AT8" s="417">
        <v>1.1900000000000001E-2</v>
      </c>
    </row>
    <row r="9" spans="1:46" ht="33.75" x14ac:dyDescent="0.25">
      <c r="A9" s="6" t="s">
        <v>24</v>
      </c>
      <c r="B9" s="7"/>
      <c r="C9" s="7"/>
      <c r="D9" s="88">
        <f>5938.85</f>
        <v>5938.85</v>
      </c>
      <c r="E9" s="85">
        <f>7857.55</f>
        <v>7857.55</v>
      </c>
      <c r="F9" s="85">
        <f>7446.39</f>
        <v>7446.39</v>
      </c>
      <c r="G9" s="85">
        <f>7573.13</f>
        <v>7573.13</v>
      </c>
      <c r="H9" s="85">
        <v>9285.23</v>
      </c>
      <c r="I9" s="85">
        <v>13843.44</v>
      </c>
      <c r="J9" s="85">
        <v>18437.349999999999</v>
      </c>
      <c r="K9" s="85">
        <v>3013.06</v>
      </c>
      <c r="L9" s="85">
        <v>3351.26</v>
      </c>
      <c r="M9" s="85">
        <v>3618.32</v>
      </c>
      <c r="N9" s="85">
        <v>3860.8</v>
      </c>
      <c r="O9" s="11">
        <v>2614.21</v>
      </c>
      <c r="P9" s="11">
        <v>4201.59</v>
      </c>
      <c r="Q9" s="11">
        <v>4544.3100000000004</v>
      </c>
      <c r="R9" s="11">
        <v>4777.29</v>
      </c>
      <c r="T9" s="49" t="s">
        <v>93</v>
      </c>
      <c r="U9" s="45"/>
      <c r="V9" s="45"/>
      <c r="W9" s="50">
        <f>E14/(E11-E9)</f>
        <v>0.33598538801802447</v>
      </c>
      <c r="X9" s="50">
        <f>F14/(F11-F9)</f>
        <v>0.31181472817278871</v>
      </c>
      <c r="Y9" s="50">
        <f>G14/(G11-G9)</f>
        <v>0.34940848596555646</v>
      </c>
      <c r="Z9" s="50">
        <f>H14/(H11-H9)</f>
        <v>0.35813686710509218</v>
      </c>
      <c r="AA9" s="50">
        <f t="shared" ref="AA9:AB9" si="5">I14/(I11-I9)</f>
        <v>0.34679151397658164</v>
      </c>
      <c r="AB9" s="50">
        <f t="shared" si="5"/>
        <v>0.34115991905553389</v>
      </c>
      <c r="AC9" s="18"/>
      <c r="AD9" s="18"/>
      <c r="AE9" s="18"/>
      <c r="AF9" s="18"/>
      <c r="AL9" s="392">
        <v>4</v>
      </c>
      <c r="AM9" s="108" t="s">
        <v>636</v>
      </c>
      <c r="AN9" s="417">
        <v>4.5999999999999999E-3</v>
      </c>
      <c r="AO9" s="417">
        <v>4.5999999999999999E-3</v>
      </c>
      <c r="AP9" s="81"/>
      <c r="AQ9" s="81"/>
      <c r="AR9" s="417">
        <v>4.3E-3</v>
      </c>
      <c r="AS9" s="417">
        <v>4.5999999999999999E-3</v>
      </c>
      <c r="AT9" s="417">
        <v>4.3E-3</v>
      </c>
    </row>
    <row r="10" spans="1:46" ht="22.5" x14ac:dyDescent="0.25">
      <c r="A10" s="6" t="s">
        <v>53</v>
      </c>
      <c r="B10" s="10">
        <f t="shared" ref="B10:L10" si="6">B6-B9</f>
        <v>0</v>
      </c>
      <c r="C10" s="10">
        <f t="shared" si="6"/>
        <v>0</v>
      </c>
      <c r="D10" s="89">
        <f t="shared" si="6"/>
        <v>9272.15</v>
      </c>
      <c r="E10" s="89">
        <f t="shared" si="6"/>
        <v>12650.150000000001</v>
      </c>
      <c r="F10" s="89">
        <f t="shared" si="6"/>
        <v>12723.400000000001</v>
      </c>
      <c r="G10" s="89">
        <f t="shared" si="6"/>
        <v>15773.84</v>
      </c>
      <c r="H10" s="89">
        <f>H6-H9</f>
        <v>20186.63</v>
      </c>
      <c r="I10" s="89">
        <f>I6-I9</f>
        <v>26939.32</v>
      </c>
      <c r="J10" s="89">
        <f>J6-J9</f>
        <v>30618.42</v>
      </c>
      <c r="K10" s="89">
        <f t="shared" si="6"/>
        <v>6094.4700000000012</v>
      </c>
      <c r="L10" s="89">
        <f t="shared" si="6"/>
        <v>6532.4400000000005</v>
      </c>
      <c r="M10" s="89">
        <f t="shared" ref="M10:R10" si="7">M6-M9</f>
        <v>6972.3899999999994</v>
      </c>
      <c r="N10" s="89">
        <f t="shared" si="7"/>
        <v>7340.0199999999995</v>
      </c>
      <c r="O10" s="89">
        <f t="shared" si="7"/>
        <v>5669.28</v>
      </c>
      <c r="P10" s="89">
        <f t="shared" si="7"/>
        <v>7647.41</v>
      </c>
      <c r="Q10" s="89">
        <f t="shared" si="7"/>
        <v>8053.88</v>
      </c>
      <c r="R10" s="89">
        <f t="shared" si="7"/>
        <v>8500.0400000000009</v>
      </c>
      <c r="T10" s="42" t="s">
        <v>92</v>
      </c>
      <c r="U10" s="43">
        <v>0.39960000000000001</v>
      </c>
      <c r="V10" s="44">
        <f>D14/D11</f>
        <v>0.22707899795352818</v>
      </c>
      <c r="W10" s="44">
        <f>E14/E11</f>
        <v>0.22516500136635362</v>
      </c>
      <c r="X10" s="44">
        <f>F14/F11</f>
        <v>0.21314575457586554</v>
      </c>
      <c r="Y10" s="44">
        <f>G14/G11</f>
        <v>0.25444404090111067</v>
      </c>
      <c r="Z10" s="44">
        <f>H14/H11</f>
        <v>0.26493980023093394</v>
      </c>
      <c r="AA10" s="44">
        <f t="shared" ref="AA10:AB10" si="8">I14/I11</f>
        <v>0.24451392025360683</v>
      </c>
      <c r="AB10" s="44">
        <f t="shared" si="8"/>
        <v>0.23522878458714361</v>
      </c>
      <c r="AC10" s="18"/>
      <c r="AD10" s="18"/>
      <c r="AE10" s="18"/>
      <c r="AF10" s="18"/>
      <c r="AL10" s="392">
        <v>5</v>
      </c>
      <c r="AM10" s="108" t="s">
        <v>637</v>
      </c>
      <c r="AN10" s="417">
        <v>2.1000000000000001E-2</v>
      </c>
      <c r="AO10" s="417">
        <v>2.1499999999999998E-2</v>
      </c>
      <c r="AP10" s="81"/>
      <c r="AQ10" s="81"/>
      <c r="AR10" s="417">
        <v>1.7500000000000002E-2</v>
      </c>
      <c r="AS10" s="417">
        <v>2.1499999999999998E-2</v>
      </c>
      <c r="AT10" s="417">
        <v>1.8499999999999999E-2</v>
      </c>
    </row>
    <row r="11" spans="1:46" ht="30" x14ac:dyDescent="0.25">
      <c r="A11" s="6" t="s">
        <v>1</v>
      </c>
      <c r="B11" s="10">
        <f>B5-B9</f>
        <v>0</v>
      </c>
      <c r="C11" s="10">
        <f t="shared" ref="C11:L11" si="9">SUM(C6:C8)</f>
        <v>0</v>
      </c>
      <c r="D11" s="89">
        <f t="shared" si="9"/>
        <v>17386.02</v>
      </c>
      <c r="E11" s="89">
        <f t="shared" si="9"/>
        <v>23822.53</v>
      </c>
      <c r="F11" s="89">
        <f t="shared" si="9"/>
        <v>23532.16</v>
      </c>
      <c r="G11" s="89">
        <f t="shared" si="9"/>
        <v>27864.28</v>
      </c>
      <c r="H11" s="89">
        <f>SUM(H6:H8)</f>
        <v>35681.199999999997</v>
      </c>
      <c r="I11" s="89">
        <f>SUM(I6:I8)</f>
        <v>46938.8</v>
      </c>
      <c r="J11" s="89">
        <f>SUM(J6:J8)</f>
        <v>59379</v>
      </c>
      <c r="K11" s="89">
        <f t="shared" si="9"/>
        <v>10664.1</v>
      </c>
      <c r="L11" s="89">
        <f t="shared" si="9"/>
        <v>11407.86</v>
      </c>
      <c r="M11" s="89">
        <f t="shared" ref="M11:R11" si="10">SUM(M6:M8)</f>
        <v>12100.23</v>
      </c>
      <c r="N11" s="89">
        <f t="shared" si="10"/>
        <v>12760.49</v>
      </c>
      <c r="O11" s="89">
        <f t="shared" si="10"/>
        <v>9717.25</v>
      </c>
      <c r="P11" s="89">
        <f t="shared" si="10"/>
        <v>13723.11</v>
      </c>
      <c r="Q11" s="89">
        <f t="shared" si="10"/>
        <v>14487.43</v>
      </c>
      <c r="R11" s="89">
        <f t="shared" si="10"/>
        <v>15371.02</v>
      </c>
      <c r="T11" s="42" t="s">
        <v>17</v>
      </c>
      <c r="U11" s="43">
        <v>5.4600000000000003E-2</v>
      </c>
      <c r="V11" s="44">
        <f>D14/AVERAGE(C22:D22)</f>
        <v>3.6387140371688928E-2</v>
      </c>
      <c r="W11" s="44">
        <f>E14/AVERAGE(D22:E22)</f>
        <v>4.3520690826870406E-2</v>
      </c>
      <c r="X11" s="44">
        <f>F14/AVERAGE(E22:F22)</f>
        <v>3.6308460560883181E-2</v>
      </c>
      <c r="Y11" s="44">
        <f>G14/AVERAGE(F22:G22)</f>
        <v>4.6293885500286104E-2</v>
      </c>
      <c r="Z11" s="44">
        <f>H14/AVERAGE(G22:H22)</f>
        <v>4.9167054640205564E-2</v>
      </c>
      <c r="AA11" s="44">
        <f t="shared" ref="AA11:AB11" si="11">I14/AVERAGE(H22:I22)</f>
        <v>4.4733241974107614E-2</v>
      </c>
      <c r="AB11" s="44">
        <f t="shared" si="11"/>
        <v>4.2040590261908636E-2</v>
      </c>
      <c r="AC11" s="18"/>
      <c r="AD11" s="18"/>
      <c r="AE11" s="18"/>
      <c r="AF11" s="18"/>
      <c r="AL11" s="392">
        <v>6</v>
      </c>
      <c r="AM11" s="413" t="s">
        <v>638</v>
      </c>
      <c r="AN11" s="410"/>
      <c r="AO11" s="81"/>
      <c r="AP11" s="81"/>
      <c r="AQ11" s="81"/>
      <c r="AR11" s="81"/>
      <c r="AS11" s="408"/>
      <c r="AT11" s="408"/>
    </row>
    <row r="12" spans="1:46" ht="30" x14ac:dyDescent="0.25">
      <c r="A12" s="6" t="s">
        <v>91</v>
      </c>
      <c r="B12" s="10"/>
      <c r="C12" s="10"/>
      <c r="D12" s="89">
        <v>13.25</v>
      </c>
      <c r="E12" s="89">
        <v>11.6</v>
      </c>
      <c r="F12" s="89">
        <v>14</v>
      </c>
      <c r="G12" s="89">
        <v>7</v>
      </c>
      <c r="H12" s="89">
        <v>5.37</v>
      </c>
      <c r="I12" s="89">
        <v>7.18</v>
      </c>
      <c r="J12" s="89">
        <v>40.1</v>
      </c>
      <c r="K12" s="89">
        <v>1.59</v>
      </c>
      <c r="L12" s="89">
        <v>2.12</v>
      </c>
      <c r="M12" s="89">
        <v>3.39</v>
      </c>
      <c r="N12" s="89">
        <v>3.94</v>
      </c>
      <c r="O12" s="11">
        <v>1.9</v>
      </c>
      <c r="P12" s="11">
        <v>2.63</v>
      </c>
      <c r="Q12" s="11">
        <v>4.3600000000000003</v>
      </c>
      <c r="R12" s="11">
        <v>22.89</v>
      </c>
      <c r="T12" s="40" t="s">
        <v>18</v>
      </c>
      <c r="U12" s="45"/>
      <c r="V12" s="45"/>
      <c r="W12" s="45"/>
      <c r="X12" s="46" t="s">
        <v>5</v>
      </c>
      <c r="Y12" s="18"/>
      <c r="Z12" s="18"/>
      <c r="AA12" s="18"/>
      <c r="AB12" s="18"/>
      <c r="AC12" s="18"/>
      <c r="AD12" s="18"/>
      <c r="AE12" s="53"/>
      <c r="AF12" s="54"/>
      <c r="AG12" s="55"/>
      <c r="AL12" s="392">
        <v>7</v>
      </c>
      <c r="AM12" s="413" t="s">
        <v>639</v>
      </c>
      <c r="AN12" s="410"/>
      <c r="AO12" s="81"/>
      <c r="AP12" s="81"/>
      <c r="AQ12" s="81"/>
      <c r="AR12" s="81"/>
      <c r="AS12" s="408"/>
      <c r="AT12" s="408"/>
    </row>
    <row r="13" spans="1:46" ht="15" x14ac:dyDescent="0.25">
      <c r="A13" s="6" t="s">
        <v>25</v>
      </c>
      <c r="B13" s="7"/>
      <c r="C13" s="7"/>
      <c r="D13" s="88">
        <f t="shared" ref="D13:R13" si="12">D11+D12</f>
        <v>17399.27</v>
      </c>
      <c r="E13" s="88">
        <f t="shared" si="12"/>
        <v>23834.129999999997</v>
      </c>
      <c r="F13" s="88">
        <f t="shared" si="12"/>
        <v>23546.16</v>
      </c>
      <c r="G13" s="88">
        <f t="shared" si="12"/>
        <v>27871.279999999999</v>
      </c>
      <c r="H13" s="88">
        <f t="shared" si="12"/>
        <v>35686.57</v>
      </c>
      <c r="I13" s="88">
        <f t="shared" si="12"/>
        <v>46945.98</v>
      </c>
      <c r="J13" s="88">
        <f t="shared" si="12"/>
        <v>59419.1</v>
      </c>
      <c r="K13" s="88">
        <f t="shared" si="12"/>
        <v>10665.69</v>
      </c>
      <c r="L13" s="88">
        <f t="shared" si="12"/>
        <v>11409.980000000001</v>
      </c>
      <c r="M13" s="88">
        <f t="shared" si="12"/>
        <v>12103.619999999999</v>
      </c>
      <c r="N13" s="88">
        <f t="shared" si="12"/>
        <v>12764.43</v>
      </c>
      <c r="O13" s="88">
        <f t="shared" si="12"/>
        <v>9719.15</v>
      </c>
      <c r="P13" s="88">
        <f t="shared" si="12"/>
        <v>13725.74</v>
      </c>
      <c r="Q13" s="88">
        <f t="shared" si="12"/>
        <v>14491.79</v>
      </c>
      <c r="R13" s="88">
        <f t="shared" si="12"/>
        <v>15393.91</v>
      </c>
      <c r="T13" s="42" t="s">
        <v>19</v>
      </c>
      <c r="U13" s="43">
        <v>1.52E-2</v>
      </c>
      <c r="V13" s="44">
        <f>D24/D23</f>
        <v>1.8541064295790447E-2</v>
      </c>
      <c r="W13" s="44">
        <f>E24/E23</f>
        <v>1.9990545272200278E-2</v>
      </c>
      <c r="X13" s="44">
        <f>F24/F23</f>
        <v>2.2313767636924463E-2</v>
      </c>
      <c r="Y13" s="44">
        <f>G24/G23</f>
        <v>2.0154360185055179E-2</v>
      </c>
      <c r="Z13" s="44">
        <f>H24/H23</f>
        <v>1.1891955064984873E-2</v>
      </c>
      <c r="AA13" s="44">
        <f t="shared" ref="AA13:AB13" si="13">I24/I23</f>
        <v>0</v>
      </c>
      <c r="AB13" s="44">
        <f t="shared" si="13"/>
        <v>1.1852737865619618E-2</v>
      </c>
      <c r="AC13" s="48">
        <v>1.09E-2</v>
      </c>
      <c r="AD13" s="48">
        <v>1.14E-2</v>
      </c>
      <c r="AE13" s="48">
        <v>1.18E-2</v>
      </c>
      <c r="AF13" s="48">
        <v>1.0500000000000001E-2</v>
      </c>
      <c r="AH13" s="437">
        <v>1.06E-2</v>
      </c>
      <c r="AI13" s="437">
        <v>1.3299999999999999E-2</v>
      </c>
      <c r="AJ13" s="437">
        <v>1.41E-2</v>
      </c>
      <c r="AL13" s="392">
        <v>8</v>
      </c>
      <c r="AM13" s="108" t="s">
        <v>640</v>
      </c>
      <c r="AN13" s="95" t="e">
        <f>AN11/AN12</f>
        <v>#DIV/0!</v>
      </c>
      <c r="AO13" s="81"/>
      <c r="AP13" s="81"/>
      <c r="AQ13" s="81"/>
      <c r="AR13" s="81"/>
      <c r="AS13" s="81"/>
      <c r="AT13" s="81"/>
    </row>
    <row r="14" spans="1:46" ht="15" x14ac:dyDescent="0.25">
      <c r="A14" s="6" t="s">
        <v>26</v>
      </c>
      <c r="B14" s="7"/>
      <c r="C14" s="7"/>
      <c r="D14" s="85">
        <v>3948</v>
      </c>
      <c r="E14" s="85">
        <v>5364</v>
      </c>
      <c r="F14" s="85">
        <f>1301.56+2242.42+302.25+1169.55</f>
        <v>5015.78</v>
      </c>
      <c r="G14" s="85">
        <f>1765.78+3221.88+354.91+1747.33</f>
        <v>7089.9</v>
      </c>
      <c r="H14" s="85">
        <f>1934.38+4573.08+443.77+2502.14</f>
        <v>9453.369999999999</v>
      </c>
      <c r="I14" s="85">
        <f>1959+5849.47+629.13+3039.59</f>
        <v>11477.19</v>
      </c>
      <c r="J14" s="85">
        <f>2599.79+6907.28+821.98+3638.6</f>
        <v>13967.65</v>
      </c>
      <c r="K14" s="85">
        <f>477.53+1366.31+143.32+672.35</f>
        <v>2659.5099999999998</v>
      </c>
      <c r="L14" s="85">
        <f>481.13+1452.45+145.21+730.57</f>
        <v>2809.36</v>
      </c>
      <c r="M14" s="85">
        <f>478.08+1527.22+161.91+779.27</f>
        <v>2946.48</v>
      </c>
      <c r="N14" s="85">
        <f>522.34+1503.49+178.69+855.14</f>
        <v>3059.66</v>
      </c>
      <c r="O14" s="11">
        <f>498+1227.52+122.53+624.55</f>
        <v>2472.6</v>
      </c>
      <c r="P14" s="11">
        <f>557.47+1631.59+185.77+875.52</f>
        <v>3250.35</v>
      </c>
      <c r="Q14" s="11">
        <f>628.66+1683.37+195.66+889.88</f>
        <v>3397.5699999999997</v>
      </c>
      <c r="R14" s="11">
        <f>684.64+1808.79+204.56+932.59</f>
        <v>3630.58</v>
      </c>
      <c r="T14" s="42" t="s">
        <v>20</v>
      </c>
      <c r="U14" s="43">
        <v>4.7000000000000002E-3</v>
      </c>
      <c r="V14" s="44">
        <f>D25/D23</f>
        <v>7.4989484066547707E-3</v>
      </c>
      <c r="W14" s="44">
        <f>E25/E23</f>
        <v>7.888254414898134E-3</v>
      </c>
      <c r="X14" s="44">
        <f>F25/F23</f>
        <v>9.0733171289063622E-3</v>
      </c>
      <c r="Y14" s="44">
        <f>G25/G23</f>
        <v>8.4201739535961374E-3</v>
      </c>
      <c r="Z14" s="44">
        <f>H25/H23</f>
        <v>4.2999276913331715E-3</v>
      </c>
      <c r="AA14" s="44">
        <f t="shared" ref="AA14:AB14" si="14">I25/I23</f>
        <v>0</v>
      </c>
      <c r="AB14" s="44">
        <f t="shared" si="14"/>
        <v>5.5445771875170004E-3</v>
      </c>
      <c r="AC14" s="48">
        <v>3.8999999999999998E-3</v>
      </c>
      <c r="AD14" s="48">
        <v>3.8999999999999998E-3</v>
      </c>
      <c r="AE14" s="48">
        <v>4.5999999999999999E-3</v>
      </c>
      <c r="AF14" s="48">
        <v>4.5999999999999999E-3</v>
      </c>
      <c r="AH14" s="437">
        <v>4.7000000000000002E-3</v>
      </c>
      <c r="AI14" s="437">
        <v>5.7999999999999996E-3</v>
      </c>
      <c r="AJ14" s="437">
        <v>6.1000000000000004E-3</v>
      </c>
      <c r="AL14" s="392">
        <v>9</v>
      </c>
      <c r="AM14" s="108" t="s">
        <v>641</v>
      </c>
      <c r="AN14" s="417">
        <v>2.9394999999999998</v>
      </c>
      <c r="AO14" s="81"/>
      <c r="AP14" s="81"/>
      <c r="AQ14" s="81"/>
      <c r="AR14" s="81"/>
      <c r="AS14" s="408"/>
      <c r="AT14" s="408"/>
    </row>
    <row r="15" spans="1:46" ht="15" x14ac:dyDescent="0.25">
      <c r="A15" s="6" t="s">
        <v>54</v>
      </c>
      <c r="B15" s="10"/>
      <c r="C15" s="10"/>
      <c r="D15" s="89">
        <f t="shared" ref="D15:L15" si="15">D11-D14</f>
        <v>13438.02</v>
      </c>
      <c r="E15" s="89">
        <f t="shared" si="15"/>
        <v>18458.53</v>
      </c>
      <c r="F15" s="89">
        <f t="shared" si="15"/>
        <v>18516.38</v>
      </c>
      <c r="G15" s="89">
        <f t="shared" si="15"/>
        <v>20774.379999999997</v>
      </c>
      <c r="H15" s="89">
        <f>H11-H14</f>
        <v>26227.829999999998</v>
      </c>
      <c r="I15" s="89">
        <f t="shared" ref="I15:J15" si="16">I11-I14</f>
        <v>35461.61</v>
      </c>
      <c r="J15" s="89">
        <f t="shared" si="16"/>
        <v>45411.35</v>
      </c>
      <c r="K15" s="89">
        <f t="shared" si="15"/>
        <v>8004.59</v>
      </c>
      <c r="L15" s="89">
        <f t="shared" si="15"/>
        <v>8598.5</v>
      </c>
      <c r="M15" s="89">
        <f t="shared" ref="M15:R15" si="17">M11-M14</f>
        <v>9153.75</v>
      </c>
      <c r="N15" s="89">
        <f t="shared" si="17"/>
        <v>9700.83</v>
      </c>
      <c r="O15" s="89">
        <f t="shared" si="17"/>
        <v>7244.65</v>
      </c>
      <c r="P15" s="89">
        <f t="shared" si="17"/>
        <v>10472.76</v>
      </c>
      <c r="Q15" s="89">
        <f t="shared" si="17"/>
        <v>11089.86</v>
      </c>
      <c r="R15" s="89">
        <f t="shared" si="17"/>
        <v>11740.44</v>
      </c>
      <c r="T15" s="42" t="s">
        <v>21</v>
      </c>
      <c r="U15" s="43">
        <v>0.69650000000000001</v>
      </c>
      <c r="V15" s="44">
        <f t="shared" ref="V15:AD15" si="18">(V13-V14)/V13</f>
        <v>0.59554919356181035</v>
      </c>
      <c r="W15" s="44">
        <f t="shared" si="18"/>
        <v>0.60540073782440118</v>
      </c>
      <c r="X15" s="44">
        <f t="shared" si="18"/>
        <v>0.59337583519996939</v>
      </c>
      <c r="Y15" s="44">
        <f t="shared" si="18"/>
        <v>0.58221576491225713</v>
      </c>
      <c r="Z15" s="44">
        <f t="shared" si="18"/>
        <v>0.63841709224128818</v>
      </c>
      <c r="AA15" s="44" t="e">
        <f t="shared" ref="AA15:AB15" si="19">(AA13-AA14)/AA13</f>
        <v>#DIV/0!</v>
      </c>
      <c r="AB15" s="44">
        <f t="shared" si="19"/>
        <v>0.53221127047787364</v>
      </c>
      <c r="AC15" s="44">
        <f t="shared" si="18"/>
        <v>0.64220183486238536</v>
      </c>
      <c r="AD15" s="44">
        <f t="shared" si="18"/>
        <v>0.65789473684210531</v>
      </c>
      <c r="AE15" s="18"/>
      <c r="AF15" s="18"/>
      <c r="AL15" s="392">
        <v>10</v>
      </c>
      <c r="AM15" s="108" t="s">
        <v>642</v>
      </c>
      <c r="AN15" s="417">
        <v>0.22520000000000001</v>
      </c>
      <c r="AO15" s="81"/>
      <c r="AP15" s="81"/>
      <c r="AQ15" s="81"/>
      <c r="AR15" s="81"/>
      <c r="AS15" s="408"/>
      <c r="AT15" s="408"/>
    </row>
    <row r="16" spans="1:46" ht="15" x14ac:dyDescent="0.25">
      <c r="A16" s="6" t="s">
        <v>94</v>
      </c>
      <c r="B16" s="10"/>
      <c r="C16" s="10"/>
      <c r="D16" s="89">
        <f t="shared" ref="D16:L16" si="20">D13-D14-D9</f>
        <v>7512.42</v>
      </c>
      <c r="E16" s="89">
        <f t="shared" si="20"/>
        <v>10612.579999999998</v>
      </c>
      <c r="F16" s="89">
        <f t="shared" si="20"/>
        <v>11083.990000000002</v>
      </c>
      <c r="G16" s="89">
        <f t="shared" si="20"/>
        <v>13208.249999999996</v>
      </c>
      <c r="H16" s="89">
        <f>H13-H14-H9</f>
        <v>16947.97</v>
      </c>
      <c r="I16" s="89">
        <f t="shared" ref="I16" si="21">I13-I14-I9</f>
        <v>21625.35</v>
      </c>
      <c r="J16" s="89">
        <f>J13-J14-J9</f>
        <v>27014.1</v>
      </c>
      <c r="K16" s="89">
        <f t="shared" si="20"/>
        <v>4993.1200000000008</v>
      </c>
      <c r="L16" s="89">
        <f t="shared" si="20"/>
        <v>5249.3600000000006</v>
      </c>
      <c r="M16" s="89">
        <f>M13-M14-M9</f>
        <v>5538.82</v>
      </c>
      <c r="N16" s="89">
        <f>N13-N14-N9</f>
        <v>5843.97</v>
      </c>
      <c r="O16" s="89">
        <f>O13-O14-O9</f>
        <v>4632.3399999999992</v>
      </c>
      <c r="P16" s="89">
        <f>P13-P14-P9</f>
        <v>6273.7999999999993</v>
      </c>
      <c r="Q16" s="89">
        <f>Q13-Q14-Q9</f>
        <v>6549.9100000000008</v>
      </c>
      <c r="R16" s="440"/>
      <c r="T16" s="42" t="s">
        <v>22</v>
      </c>
      <c r="U16" s="43">
        <v>1.5699999999999999E-2</v>
      </c>
      <c r="V16" s="44">
        <f>D17/AVERAGE(C23:D23)</f>
        <v>1.5186664119593912E-2</v>
      </c>
      <c r="W16" s="44">
        <f>E17/AVERAGE(D23:E23)</f>
        <v>3.5523894945839865E-2</v>
      </c>
      <c r="X16" s="44">
        <f>F17/AVERAGE(E23:F23)</f>
        <v>4.8886686062306922E-2</v>
      </c>
      <c r="Y16" s="44">
        <f>G17/AVERAGE(F23:G23)</f>
        <v>3.4849913204334032E-2</v>
      </c>
      <c r="Z16" s="44">
        <f>H17/AVERAGE(G23:H23)</f>
        <v>1.8520007712492532E-2</v>
      </c>
      <c r="AA16" s="44">
        <f t="shared" ref="AA16:AB16" si="22">I17/AVERAGE(H23:I23)</f>
        <v>2.1451964083341168E-2</v>
      </c>
      <c r="AB16" s="44">
        <f t="shared" si="22"/>
        <v>2.8477440150930584E-2</v>
      </c>
      <c r="AC16" s="44">
        <f t="shared" ref="AC16:AJ16" si="23">(K17*4)/K23</f>
        <v>1.9813908276922924E-2</v>
      </c>
      <c r="AD16" s="44">
        <f t="shared" si="23"/>
        <v>1.9859249876424925E-2</v>
      </c>
      <c r="AE16" s="44">
        <f t="shared" si="23"/>
        <v>2.1505257714187209E-2</v>
      </c>
      <c r="AF16" s="44">
        <f t="shared" si="23"/>
        <v>2.1000069739411723E-2</v>
      </c>
      <c r="AG16" s="44">
        <f t="shared" si="23"/>
        <v>1.7548900184521574E-2</v>
      </c>
      <c r="AH16" s="44">
        <f t="shared" si="23"/>
        <v>2.5533709152573445E-2</v>
      </c>
      <c r="AI16" s="44">
        <f t="shared" si="23"/>
        <v>2.7970098020990285E-2</v>
      </c>
      <c r="AJ16" s="44">
        <f t="shared" si="23"/>
        <v>2.7731492485347797E-2</v>
      </c>
      <c r="AL16"/>
      <c r="AM16" s="414"/>
      <c r="AN16"/>
      <c r="AO16"/>
      <c r="AP16"/>
      <c r="AQ16"/>
      <c r="AR16"/>
      <c r="AS16"/>
      <c r="AT16"/>
    </row>
    <row r="17" spans="1:46" ht="15" x14ac:dyDescent="0.25">
      <c r="A17" s="6" t="s">
        <v>27</v>
      </c>
      <c r="B17" s="7"/>
      <c r="C17" s="7"/>
      <c r="D17" s="88">
        <f>1476.29</f>
        <v>1476.29</v>
      </c>
      <c r="E17" s="85">
        <f>3805.15</f>
        <v>3805.15</v>
      </c>
      <c r="F17" s="85">
        <f>5721.28</f>
        <v>5721.28</v>
      </c>
      <c r="G17" s="85">
        <f>4622.06</f>
        <v>4622.0600000000004</v>
      </c>
      <c r="H17" s="85">
        <v>3066.46</v>
      </c>
      <c r="I17" s="85">
        <v>4572.1899999999996</v>
      </c>
      <c r="J17" s="85">
        <v>7882.86</v>
      </c>
      <c r="K17" s="85">
        <v>988.61</v>
      </c>
      <c r="L17" s="85">
        <v>1058.55</v>
      </c>
      <c r="M17" s="85">
        <v>1247.52</v>
      </c>
      <c r="N17" s="85">
        <v>1277.51</v>
      </c>
      <c r="O17" s="11">
        <v>802.59</v>
      </c>
      <c r="P17" s="11">
        <v>1671.36</v>
      </c>
      <c r="Q17" s="11">
        <v>1903.3</v>
      </c>
      <c r="R17" s="11">
        <v>2007.96</v>
      </c>
      <c r="T17" s="18"/>
      <c r="U17" s="18"/>
      <c r="V17" s="18"/>
      <c r="W17" s="18"/>
      <c r="X17" s="18"/>
      <c r="Y17" s="18"/>
      <c r="Z17" s="18"/>
      <c r="AA17" s="18"/>
      <c r="AB17" s="18"/>
      <c r="AC17" s="18"/>
      <c r="AD17" s="18"/>
      <c r="AE17" s="18"/>
      <c r="AF17" s="18"/>
      <c r="AL17"/>
      <c r="AM17" s="415" t="s">
        <v>643</v>
      </c>
      <c r="AN17"/>
      <c r="AO17"/>
      <c r="AP17"/>
      <c r="AQ17"/>
      <c r="AR17"/>
      <c r="AS17"/>
      <c r="AT17"/>
    </row>
    <row r="18" spans="1:46" ht="15" x14ac:dyDescent="0.25">
      <c r="A18" s="6" t="s">
        <v>55</v>
      </c>
      <c r="B18" s="7"/>
      <c r="C18" s="7"/>
      <c r="D18" s="88">
        <f>3890.34</f>
        <v>3890.34</v>
      </c>
      <c r="E18" s="85">
        <f>4881.12</f>
        <v>4881.12</v>
      </c>
      <c r="F18" s="89">
        <f>3955.51</f>
        <v>3955.51</v>
      </c>
      <c r="G18" s="89">
        <f>6350.49</f>
        <v>6350.49</v>
      </c>
      <c r="H18" s="89">
        <v>10289.74</v>
      </c>
      <c r="I18" s="89">
        <v>12644.11</v>
      </c>
      <c r="J18" s="89">
        <v>16661.5</v>
      </c>
      <c r="K18" s="89">
        <v>2959.06</v>
      </c>
      <c r="L18" s="89">
        <v>3105.75</v>
      </c>
      <c r="M18" s="89">
        <v>3177.39</v>
      </c>
      <c r="N18" s="89">
        <v>3401.91</v>
      </c>
      <c r="O18" s="11">
        <v>2837.36</v>
      </c>
      <c r="P18" s="11">
        <v>3401.54</v>
      </c>
      <c r="Q18" s="11">
        <v>5613.71</v>
      </c>
      <c r="R18" s="11">
        <v>3705.81</v>
      </c>
      <c r="T18" s="40" t="s">
        <v>30</v>
      </c>
      <c r="U18" s="45"/>
      <c r="V18" s="45"/>
      <c r="W18" s="45"/>
      <c r="X18" s="46" t="s">
        <v>5</v>
      </c>
      <c r="Y18" s="18"/>
      <c r="Z18" s="18"/>
      <c r="AA18" s="18"/>
      <c r="AB18" s="18"/>
      <c r="AC18" s="18"/>
      <c r="AD18" s="18"/>
      <c r="AE18" s="18"/>
      <c r="AF18" s="18"/>
      <c r="AL18"/>
      <c r="AM18" s="416" t="s">
        <v>644</v>
      </c>
      <c r="AN18"/>
      <c r="AO18"/>
      <c r="AP18"/>
      <c r="AQ18"/>
      <c r="AR18"/>
      <c r="AS18"/>
      <c r="AT18"/>
    </row>
    <row r="19" spans="1:46" ht="22.5" x14ac:dyDescent="0.15">
      <c r="A19" s="6" t="s">
        <v>28</v>
      </c>
      <c r="B19" s="7"/>
      <c r="C19" s="7"/>
      <c r="D19" s="88">
        <f>19563.63</f>
        <v>19563.63</v>
      </c>
      <c r="E19" s="85">
        <f>31813.21</f>
        <v>31813.21</v>
      </c>
      <c r="F19" s="85">
        <f>35938.74</f>
        <v>35938.74</v>
      </c>
      <c r="G19" s="85">
        <f>42055.88</f>
        <v>42055.88</v>
      </c>
      <c r="H19" s="85">
        <v>51493.13</v>
      </c>
      <c r="I19" s="85">
        <f>72010.53-926.71-847.47</f>
        <v>70236.349999999991</v>
      </c>
      <c r="J19" s="85">
        <f>87995.71-1044.14-1043.14</f>
        <v>85908.430000000008</v>
      </c>
      <c r="K19" s="85">
        <v>54637.42</v>
      </c>
      <c r="L19" s="85">
        <f>56073.11</f>
        <v>56073.11</v>
      </c>
      <c r="M19" s="85"/>
      <c r="N19" s="85">
        <v>70236.349999999991</v>
      </c>
      <c r="O19" s="11">
        <v>51493.13</v>
      </c>
      <c r="Q19" s="11">
        <f>79209.51-842.46-1084.76</f>
        <v>77282.289999999994</v>
      </c>
      <c r="T19" s="46" t="s">
        <v>95</v>
      </c>
      <c r="U19" s="51"/>
      <c r="V19" s="51"/>
      <c r="W19" s="52">
        <f>E16/AVERAGE(D22:E22)</f>
        <v>8.6104924134121602E-2</v>
      </c>
      <c r="X19" s="52">
        <f>F16/AVERAGE(E22:F22)</f>
        <v>8.0235300147180236E-2</v>
      </c>
      <c r="Y19" s="52">
        <f>G16/AVERAGE(F22:G22)</f>
        <v>8.6243982730243557E-2</v>
      </c>
      <c r="Z19" s="52">
        <f>H16/AVERAGE(G22:H22)</f>
        <v>8.8146530499765147E-2</v>
      </c>
      <c r="AA19" s="52">
        <f t="shared" ref="AA19:AB19" si="24">I16/AVERAGE(H22:I22)</f>
        <v>8.4286486006136335E-2</v>
      </c>
      <c r="AB19" s="52">
        <f t="shared" si="24"/>
        <v>8.1308502818600553E-2</v>
      </c>
      <c r="AC19" s="18"/>
      <c r="AD19" s="18"/>
      <c r="AE19" s="18"/>
      <c r="AF19" s="18"/>
    </row>
    <row r="20" spans="1:46" x14ac:dyDescent="0.15">
      <c r="A20" s="6" t="s">
        <v>56</v>
      </c>
      <c r="B20" s="7"/>
      <c r="C20" s="7"/>
      <c r="D20" s="88">
        <f t="shared" ref="D20:Q20" si="25">D19-D71</f>
        <v>17971.993000000002</v>
      </c>
      <c r="E20" s="89">
        <f t="shared" si="25"/>
        <v>29839.530999999999</v>
      </c>
      <c r="F20" s="89">
        <f t="shared" si="25"/>
        <v>34234.233999999997</v>
      </c>
      <c r="G20" s="89">
        <f t="shared" si="25"/>
        <v>40563.087999999996</v>
      </c>
      <c r="H20" s="89">
        <f t="shared" si="25"/>
        <v>51493.13</v>
      </c>
      <c r="I20" s="89">
        <f t="shared" si="25"/>
        <v>70236.349999999991</v>
      </c>
      <c r="J20" s="89">
        <v>85908</v>
      </c>
      <c r="K20" s="89">
        <f t="shared" si="25"/>
        <v>54637.42</v>
      </c>
      <c r="L20" s="89">
        <f t="shared" si="25"/>
        <v>56073.11</v>
      </c>
      <c r="M20" s="89">
        <f t="shared" si="25"/>
        <v>0</v>
      </c>
      <c r="N20" s="89">
        <f t="shared" si="25"/>
        <v>70236.349999999991</v>
      </c>
      <c r="O20" s="89">
        <f t="shared" si="25"/>
        <v>51493.13</v>
      </c>
      <c r="P20" s="89">
        <f t="shared" si="25"/>
        <v>0</v>
      </c>
      <c r="Q20" s="89">
        <f t="shared" si="25"/>
        <v>77282.289999999994</v>
      </c>
      <c r="R20" s="440"/>
      <c r="T20" s="42" t="s">
        <v>31</v>
      </c>
      <c r="U20" s="43">
        <v>4.1799999999999997E-2</v>
      </c>
      <c r="V20" s="43">
        <v>4.4699999999999997E-2</v>
      </c>
      <c r="W20" s="44">
        <f>E18/AVERAGE(D22:E22)</f>
        <v>3.9602855035207621E-2</v>
      </c>
      <c r="X20" s="44">
        <f>F18/AVERAGE(E22:F22)</f>
        <v>2.8633328980373754E-2</v>
      </c>
      <c r="Y20" s="44">
        <f>G18/AVERAGE(F22:G22)</f>
        <v>4.1465867915021638E-2</v>
      </c>
      <c r="Z20" s="44">
        <f>H18/AVERAGE(G22:H22)</f>
        <v>5.351702184654878E-2</v>
      </c>
      <c r="AA20" s="44">
        <f t="shared" ref="AA20:AB20" si="26">I18/AVERAGE(H22:I22)</f>
        <v>4.9281403564568838E-2</v>
      </c>
      <c r="AB20" s="44">
        <f t="shared" si="26"/>
        <v>5.0148686045883933E-2</v>
      </c>
      <c r="AC20" s="48">
        <v>5.2999999999999999E-2</v>
      </c>
      <c r="AD20" s="18"/>
      <c r="AE20" s="18"/>
      <c r="AF20" s="18"/>
    </row>
    <row r="21" spans="1:46" x14ac:dyDescent="0.15">
      <c r="A21" s="6" t="s">
        <v>57</v>
      </c>
      <c r="B21" s="9"/>
      <c r="C21" s="9"/>
      <c r="D21" s="85">
        <f>39048.97+29970.67+13193.01+4139.07+1411.81</f>
        <v>87763.53</v>
      </c>
      <c r="E21" s="85">
        <f>41713.77+36923.32+21427.1+4141.75</f>
        <v>104205.94</v>
      </c>
      <c r="F21" s="85">
        <f>43071.71+27080.25+25803.43+3898.61</f>
        <v>99853.999999999985</v>
      </c>
      <c r="G21" s="85">
        <f>59034.58+29870.38+30289.52+3845.77</f>
        <v>123040.25000000001</v>
      </c>
      <c r="H21" s="85">
        <f>65669.85+47894.7+44489.79+3630.29</f>
        <v>161684.63</v>
      </c>
      <c r="I21" s="85">
        <f>87596.09+69238+59966.66+3577.9</f>
        <v>220378.65</v>
      </c>
      <c r="J21" s="85"/>
      <c r="K21" s="85"/>
      <c r="L21" s="85">
        <f>79624.69+54281.63+54640.41</f>
        <v>188546.73</v>
      </c>
      <c r="M21" s="85"/>
      <c r="N21" s="85">
        <v>220378.65</v>
      </c>
      <c r="O21" s="11">
        <v>161684.63</v>
      </c>
      <c r="Q21" s="11">
        <f>99469.92+76119.8+66106.36</f>
        <v>241696.08000000002</v>
      </c>
      <c r="T21" s="42" t="s">
        <v>32</v>
      </c>
      <c r="U21" s="43">
        <v>0.21279999999999999</v>
      </c>
      <c r="V21" s="44">
        <f>D18/AVERAGE(C19:D19)</f>
        <v>0.19885573382853794</v>
      </c>
      <c r="W21" s="44">
        <f>E18/AVERAGE(D19:E19)</f>
        <v>0.19001246476038622</v>
      </c>
      <c r="X21" s="44">
        <f>F18/AVERAGE(E19:F19)</f>
        <v>0.11676446212987229</v>
      </c>
      <c r="Y21" s="44">
        <f>G18/AVERAGE(F19:G19)</f>
        <v>0.16284430900490315</v>
      </c>
      <c r="Z21" s="44">
        <f>H18/AVERAGE(G19:H19)</f>
        <v>0.21998608002372233</v>
      </c>
      <c r="AA21" s="44">
        <f t="shared" ref="AA21:AB21" si="27">I18/AVERAGE(H19:I19)</f>
        <v>0.2077411322220386</v>
      </c>
      <c r="AB21" s="44">
        <f t="shared" si="27"/>
        <v>0.2134109126158428</v>
      </c>
      <c r="AC21" s="18"/>
      <c r="AD21" s="18"/>
      <c r="AE21" s="18"/>
      <c r="AF21" s="18"/>
    </row>
    <row r="22" spans="1:46" x14ac:dyDescent="0.15">
      <c r="A22" s="6" t="s">
        <v>29</v>
      </c>
      <c r="B22" s="7"/>
      <c r="C22" s="7"/>
      <c r="D22" s="88">
        <f>108499.87</f>
        <v>108499.87</v>
      </c>
      <c r="E22" s="85">
        <f>138003.57</f>
        <v>138003.57</v>
      </c>
      <c r="F22" s="85">
        <f>138283.55</f>
        <v>138283.54999999999</v>
      </c>
      <c r="G22" s="85">
        <f>168016.08</f>
        <v>168016.08</v>
      </c>
      <c r="H22" s="85">
        <v>216524.75</v>
      </c>
      <c r="I22" s="85">
        <v>296614.45</v>
      </c>
      <c r="J22" s="85">
        <v>367869.56</v>
      </c>
      <c r="K22" s="85"/>
      <c r="L22" s="85">
        <v>252496.56</v>
      </c>
      <c r="M22" s="85"/>
      <c r="N22" s="85">
        <v>296614.45</v>
      </c>
      <c r="O22" s="11">
        <v>216524.75</v>
      </c>
      <c r="Q22" s="11">
        <v>329410.96000000002</v>
      </c>
      <c r="T22" s="40" t="s">
        <v>33</v>
      </c>
      <c r="U22" s="45"/>
      <c r="V22" s="45"/>
      <c r="W22" s="45"/>
      <c r="X22" s="46" t="s">
        <v>5</v>
      </c>
      <c r="Y22" s="18"/>
      <c r="Z22" s="18"/>
      <c r="AA22" s="18"/>
      <c r="AB22" s="18"/>
      <c r="AC22" s="18"/>
      <c r="AD22" s="18"/>
      <c r="AE22" s="18"/>
      <c r="AF22" s="18"/>
    </row>
    <row r="23" spans="1:46" x14ac:dyDescent="0.15">
      <c r="A23" s="6" t="s">
        <v>58</v>
      </c>
      <c r="B23" s="7"/>
      <c r="C23" s="7"/>
      <c r="D23" s="88">
        <f>97209.63</f>
        <v>97209.63</v>
      </c>
      <c r="E23" s="85">
        <f>117020.82</f>
        <v>117020.82</v>
      </c>
      <c r="F23" s="85">
        <f>117042.09</f>
        <v>117042.09</v>
      </c>
      <c r="G23" s="85">
        <f>148213.09</f>
        <v>148213.09</v>
      </c>
      <c r="H23" s="85">
        <v>182937.96</v>
      </c>
      <c r="I23" s="85">
        <v>243334.43</v>
      </c>
      <c r="J23" s="85">
        <v>310286.96000000002</v>
      </c>
      <c r="K23" s="85">
        <v>199579</v>
      </c>
      <c r="L23" s="85">
        <v>213210.47</v>
      </c>
      <c r="M23" s="85">
        <v>232040</v>
      </c>
      <c r="N23" s="85">
        <v>243334.43</v>
      </c>
      <c r="O23" s="11">
        <v>182937.96</v>
      </c>
      <c r="P23" s="11">
        <v>261828</v>
      </c>
      <c r="Q23" s="11">
        <v>272190.68</v>
      </c>
      <c r="R23" s="11">
        <v>289628.84000000003</v>
      </c>
      <c r="T23" s="42" t="s">
        <v>34</v>
      </c>
      <c r="U23" s="43">
        <v>0.17430000000000001</v>
      </c>
      <c r="V23" s="44">
        <f>D6/AVERAGE(C23:D23)</f>
        <v>0.15647626680607671</v>
      </c>
      <c r="W23" s="44">
        <f>E6/AVERAGE(D23:E23)</f>
        <v>0.19145457613518527</v>
      </c>
      <c r="X23" s="44">
        <f>F6/AVERAGE(E23:F23)</f>
        <v>0.1723450332220513</v>
      </c>
      <c r="Y23" s="44">
        <f>G6/AVERAGE(F23:G23)</f>
        <v>0.1760340363569903</v>
      </c>
      <c r="Z23" s="44">
        <f>H6/AVERAGE(G23:H23)</f>
        <v>0.17799647623040907</v>
      </c>
      <c r="AA23" s="44">
        <f t="shared" ref="AA23:AB23" si="28">I6/AVERAGE(H23:I23)</f>
        <v>0.19134600765487064</v>
      </c>
      <c r="AB23" s="44">
        <f t="shared" si="28"/>
        <v>0.17721775526050393</v>
      </c>
      <c r="AC23" s="18"/>
      <c r="AD23" s="18"/>
      <c r="AE23" s="18"/>
      <c r="AF23" s="18"/>
    </row>
    <row r="24" spans="1:46" x14ac:dyDescent="0.15">
      <c r="A24" s="6" t="s">
        <v>59</v>
      </c>
      <c r="B24" s="10"/>
      <c r="C24" s="10"/>
      <c r="D24" s="89">
        <f>1802.37</f>
        <v>1802.37</v>
      </c>
      <c r="E24" s="89">
        <f>2339.31</f>
        <v>2339.31</v>
      </c>
      <c r="F24" s="89">
        <f>2611.65</f>
        <v>2611.65</v>
      </c>
      <c r="G24" s="89">
        <f>2987.14</f>
        <v>2987.14</v>
      </c>
      <c r="H24" s="89">
        <v>2175.4899999999998</v>
      </c>
      <c r="I24" s="89"/>
      <c r="J24" s="89">
        <v>3677.75</v>
      </c>
      <c r="K24" s="89"/>
      <c r="L24" s="89"/>
      <c r="M24" s="89"/>
      <c r="N24" s="89"/>
      <c r="O24" s="11">
        <v>2175.4899999999998</v>
      </c>
      <c r="T24" s="42" t="s">
        <v>35</v>
      </c>
      <c r="U24" s="43">
        <v>7.9799999999999996E-2</v>
      </c>
      <c r="V24" s="44">
        <f>D9/AVERAGE(C21:D21)</f>
        <v>6.7668768564801349E-2</v>
      </c>
      <c r="W24" s="44">
        <f>E9/AVERAGE(D21:E21)</f>
        <v>8.1862496156289849E-2</v>
      </c>
      <c r="X24" s="44">
        <f>F9/AVERAGE(E21:F21)</f>
        <v>7.298237958905604E-2</v>
      </c>
      <c r="Y24" s="44">
        <f>G9/AVERAGE(F21:G21)</f>
        <v>6.7952672623901242E-2</v>
      </c>
      <c r="Z24" s="44">
        <f>H9/AVERAGE(G21:H21)</f>
        <v>6.522247019649284E-2</v>
      </c>
      <c r="AA24" s="44">
        <f t="shared" ref="AA24:AB24" si="29">I9/AVERAGE(H21:I21)</f>
        <v>7.2466739017683135E-2</v>
      </c>
      <c r="AB24" s="44">
        <f t="shared" si="29"/>
        <v>8.3662142408078094E-2</v>
      </c>
      <c r="AC24" s="18"/>
      <c r="AD24" s="18"/>
      <c r="AE24" s="18"/>
      <c r="AF24" s="18"/>
    </row>
    <row r="25" spans="1:46" x14ac:dyDescent="0.15">
      <c r="A25" s="6" t="s">
        <v>60</v>
      </c>
      <c r="B25" s="10"/>
      <c r="C25" s="10"/>
      <c r="D25" s="89">
        <f>D24-1073.4</f>
        <v>728.9699999999998</v>
      </c>
      <c r="E25" s="89">
        <f>E24-1416.22</f>
        <v>923.08999999999992</v>
      </c>
      <c r="F25" s="89">
        <f>1061.96</f>
        <v>1061.96</v>
      </c>
      <c r="G25" s="89">
        <f>1247.98</f>
        <v>1247.98</v>
      </c>
      <c r="H25" s="89">
        <v>786.62</v>
      </c>
      <c r="I25" s="89"/>
      <c r="J25" s="89">
        <v>1720.41</v>
      </c>
      <c r="K25" s="89"/>
      <c r="L25" s="89"/>
      <c r="M25" s="89"/>
      <c r="N25" s="89"/>
      <c r="O25" s="11">
        <v>786.62</v>
      </c>
      <c r="T25" s="42" t="s">
        <v>36</v>
      </c>
      <c r="U25" s="43">
        <v>9.4600000000000004E-2</v>
      </c>
      <c r="V25" s="48">
        <f t="shared" ref="V25:Z25" si="30">V23-V24</f>
        <v>8.8807498241275359E-2</v>
      </c>
      <c r="W25" s="48">
        <f t="shared" si="30"/>
        <v>0.10959207997889542</v>
      </c>
      <c r="X25" s="48">
        <f t="shared" si="30"/>
        <v>9.9362653632995263E-2</v>
      </c>
      <c r="Y25" s="48">
        <f t="shared" si="30"/>
        <v>0.10808136373308906</v>
      </c>
      <c r="Z25" s="48">
        <f t="shared" si="30"/>
        <v>0.11277400603391623</v>
      </c>
      <c r="AA25" s="48">
        <f t="shared" ref="AA25:AB25" si="31">AA23-AA24</f>
        <v>0.11887926863718751</v>
      </c>
      <c r="AB25" s="48">
        <f t="shared" si="31"/>
        <v>9.3555612852425835E-2</v>
      </c>
      <c r="AC25" s="18"/>
      <c r="AD25" s="18"/>
      <c r="AE25" s="18"/>
      <c r="AF25" s="18"/>
    </row>
    <row r="26" spans="1:46" x14ac:dyDescent="0.15">
      <c r="A26" s="6" t="s">
        <v>61</v>
      </c>
      <c r="B26" s="7"/>
      <c r="C26" s="7"/>
      <c r="D26" s="88">
        <f>D51</f>
        <v>1628.81</v>
      </c>
      <c r="E26" s="88">
        <f>E51</f>
        <v>2255.1799999999998</v>
      </c>
      <c r="F26" s="88">
        <f>F51</f>
        <v>2211.23</v>
      </c>
      <c r="G26" s="88">
        <f>G51</f>
        <v>2919.37</v>
      </c>
      <c r="H26" s="88"/>
      <c r="I26" s="88"/>
      <c r="J26" s="88"/>
      <c r="K26" s="88"/>
      <c r="L26" s="88"/>
      <c r="M26" s="88"/>
      <c r="N26" s="88"/>
      <c r="T26" s="11" t="s">
        <v>645</v>
      </c>
      <c r="AI26" s="437">
        <v>2.8572000000000002</v>
      </c>
      <c r="AJ26" s="437">
        <v>2.6078000000000001</v>
      </c>
    </row>
    <row r="27" spans="1:46" x14ac:dyDescent="0.15">
      <c r="A27" s="12" t="s">
        <v>3</v>
      </c>
      <c r="B27" s="56"/>
      <c r="C27" s="56"/>
      <c r="D27" s="56"/>
      <c r="E27" s="70">
        <v>116102</v>
      </c>
      <c r="F27" s="70">
        <v>115418</v>
      </c>
      <c r="G27" s="70">
        <v>146743</v>
      </c>
      <c r="H27" s="70"/>
      <c r="I27" s="70"/>
      <c r="J27" s="70"/>
      <c r="K27" s="71"/>
      <c r="L27" s="70"/>
      <c r="M27" s="70"/>
      <c r="N27" s="70"/>
      <c r="T27" s="11" t="s">
        <v>687</v>
      </c>
      <c r="AF27" s="445">
        <v>0.3</v>
      </c>
      <c r="AH27" s="437">
        <v>0.3</v>
      </c>
      <c r="AI27" s="437">
        <v>0.28999999999999998</v>
      </c>
      <c r="AJ27" s="437"/>
    </row>
    <row r="28" spans="1:46" x14ac:dyDescent="0.15">
      <c r="A28" s="12" t="s">
        <v>97</v>
      </c>
      <c r="B28" s="56"/>
      <c r="C28" s="56"/>
      <c r="D28" s="56"/>
      <c r="E28" s="70">
        <v>113417.08</v>
      </c>
      <c r="F28" s="70">
        <v>113089.94</v>
      </c>
      <c r="G28" s="70">
        <v>144276.25</v>
      </c>
      <c r="H28" s="70"/>
      <c r="I28" s="70"/>
      <c r="J28" s="70"/>
      <c r="K28" s="70"/>
      <c r="L28" s="70"/>
      <c r="M28" s="70"/>
      <c r="N28" s="70"/>
      <c r="AH28" s="11" t="s">
        <v>689</v>
      </c>
      <c r="AI28" s="11">
        <v>26140</v>
      </c>
    </row>
    <row r="29" spans="1:46" x14ac:dyDescent="0.15">
      <c r="A29" s="12" t="s">
        <v>98</v>
      </c>
      <c r="B29" s="56"/>
      <c r="C29" s="56"/>
      <c r="D29" s="56"/>
      <c r="E29" s="70">
        <f>E27-E28</f>
        <v>2684.9199999999983</v>
      </c>
      <c r="F29" s="70">
        <f>F27-F28</f>
        <v>2328.0599999999977</v>
      </c>
      <c r="G29" s="70">
        <f>G27-G28</f>
        <v>2466.75</v>
      </c>
      <c r="H29" s="70"/>
      <c r="I29" s="70"/>
      <c r="J29" s="70"/>
      <c r="K29" s="70"/>
      <c r="L29" s="70"/>
      <c r="M29" s="70"/>
      <c r="N29" s="70"/>
      <c r="AH29" s="11" t="s">
        <v>419</v>
      </c>
      <c r="AI29" s="11">
        <v>12776</v>
      </c>
    </row>
    <row r="30" spans="1:46" x14ac:dyDescent="0.15">
      <c r="A30" s="12"/>
      <c r="B30" s="56"/>
      <c r="C30" s="56"/>
      <c r="D30" s="56"/>
      <c r="E30" s="70"/>
      <c r="F30" s="70"/>
      <c r="G30" s="70"/>
      <c r="H30" s="70"/>
      <c r="I30" s="70"/>
      <c r="J30" s="70"/>
      <c r="K30" s="70"/>
      <c r="L30" s="70"/>
      <c r="M30" s="70"/>
      <c r="N30" s="70"/>
    </row>
    <row r="31" spans="1:46" ht="15" customHeight="1" x14ac:dyDescent="0.15">
      <c r="A31" s="74" t="s">
        <v>101</v>
      </c>
      <c r="B31" s="75"/>
      <c r="C31" s="75"/>
      <c r="D31" s="75">
        <v>2021</v>
      </c>
      <c r="E31" s="75">
        <v>2022</v>
      </c>
      <c r="F31" s="75" t="s">
        <v>102</v>
      </c>
      <c r="G31" s="70"/>
      <c r="H31" s="70"/>
      <c r="I31" s="70"/>
      <c r="J31" s="70"/>
      <c r="K31" s="739" t="s">
        <v>187</v>
      </c>
      <c r="L31" s="739"/>
      <c r="M31" s="739"/>
      <c r="N31" s="739"/>
      <c r="O31" s="739"/>
      <c r="P31" s="739"/>
      <c r="Q31" s="739"/>
      <c r="R31" s="739"/>
      <c r="S31" s="739"/>
      <c r="T31" s="739"/>
      <c r="U31" s="739"/>
      <c r="V31" s="739"/>
      <c r="W31" s="739"/>
      <c r="X31" s="124"/>
      <c r="Y31" s="124"/>
      <c r="Z31" s="124"/>
      <c r="AA31" s="124"/>
      <c r="AB31" s="124"/>
    </row>
    <row r="32" spans="1:46" ht="11.25" customHeight="1" x14ac:dyDescent="0.15">
      <c r="A32" s="6" t="s">
        <v>99</v>
      </c>
      <c r="B32" s="7"/>
      <c r="C32" s="7"/>
      <c r="D32" s="7">
        <v>115418</v>
      </c>
      <c r="E32" s="72">
        <v>146743</v>
      </c>
      <c r="F32" s="73">
        <f>(E32-D32)/D32</f>
        <v>0.27140480687587726</v>
      </c>
      <c r="G32" s="70"/>
      <c r="H32" s="70"/>
      <c r="I32" s="70"/>
      <c r="J32" s="70"/>
      <c r="K32" s="739"/>
      <c r="L32" s="739"/>
      <c r="M32" s="739"/>
      <c r="N32" s="739"/>
      <c r="O32" s="739"/>
      <c r="P32" s="739"/>
      <c r="Q32" s="739"/>
      <c r="R32" s="739"/>
      <c r="S32" s="739"/>
      <c r="T32" s="739"/>
      <c r="U32" s="739"/>
      <c r="V32" s="739"/>
      <c r="W32" s="739"/>
      <c r="X32" s="124"/>
      <c r="Y32" s="124"/>
      <c r="Z32" s="124"/>
      <c r="AA32" s="124"/>
      <c r="AB32" s="124"/>
    </row>
    <row r="33" spans="1:28" ht="11.25" customHeight="1" x14ac:dyDescent="0.15">
      <c r="A33" s="6" t="s">
        <v>100</v>
      </c>
      <c r="B33" s="7"/>
      <c r="C33" s="7"/>
      <c r="D33" s="7">
        <v>152947</v>
      </c>
      <c r="E33" s="72">
        <v>192087</v>
      </c>
      <c r="F33" s="73">
        <f>(E33-D33)/D33</f>
        <v>0.25590564051599574</v>
      </c>
      <c r="G33" s="70"/>
      <c r="H33" s="70"/>
      <c r="I33" s="70"/>
      <c r="J33" s="70"/>
      <c r="K33" s="739"/>
      <c r="L33" s="739"/>
      <c r="M33" s="739"/>
      <c r="N33" s="739"/>
      <c r="O33" s="739"/>
      <c r="P33" s="739"/>
      <c r="Q33" s="739"/>
      <c r="R33" s="739"/>
      <c r="S33" s="739"/>
      <c r="T33" s="739"/>
      <c r="U33" s="739"/>
      <c r="V33" s="739"/>
      <c r="W33" s="739"/>
      <c r="X33" s="124"/>
      <c r="Y33" s="124"/>
      <c r="Z33" s="124"/>
      <c r="AA33" s="124"/>
      <c r="AB33" s="124"/>
    </row>
    <row r="34" spans="1:28" ht="11.25" customHeight="1" x14ac:dyDescent="0.15">
      <c r="A34" s="12"/>
      <c r="B34" s="56"/>
      <c r="C34" s="56"/>
      <c r="D34" s="56"/>
      <c r="E34" s="70"/>
      <c r="F34" s="73"/>
      <c r="G34" s="70"/>
      <c r="H34" s="70"/>
      <c r="I34" s="70"/>
      <c r="J34" s="70"/>
      <c r="K34" s="739"/>
      <c r="L34" s="739"/>
      <c r="M34" s="739"/>
      <c r="N34" s="739"/>
      <c r="O34" s="739"/>
      <c r="P34" s="739"/>
      <c r="Q34" s="739"/>
      <c r="R34" s="739"/>
      <c r="S34" s="739"/>
      <c r="T34" s="739"/>
      <c r="U34" s="739"/>
      <c r="V34" s="739"/>
      <c r="W34" s="739"/>
      <c r="X34" s="124"/>
      <c r="Y34" s="124"/>
      <c r="Z34" s="124"/>
      <c r="AA34" s="124"/>
      <c r="AB34" s="124"/>
    </row>
    <row r="35" spans="1:28" ht="11.25" customHeight="1" x14ac:dyDescent="0.15">
      <c r="A35" s="74" t="s">
        <v>99</v>
      </c>
      <c r="B35" s="75"/>
      <c r="C35" s="75"/>
      <c r="D35" s="75">
        <v>2021</v>
      </c>
      <c r="E35" s="75">
        <v>2022</v>
      </c>
      <c r="F35" s="76" t="s">
        <v>102</v>
      </c>
      <c r="G35" s="70"/>
      <c r="H35" s="70"/>
      <c r="I35" s="70"/>
      <c r="J35" s="70"/>
      <c r="K35" s="739"/>
      <c r="L35" s="739"/>
      <c r="M35" s="739"/>
      <c r="N35" s="739"/>
      <c r="O35" s="739"/>
      <c r="P35" s="739"/>
      <c r="Q35" s="739"/>
      <c r="R35" s="739"/>
      <c r="S35" s="739"/>
      <c r="T35" s="739"/>
      <c r="U35" s="739"/>
      <c r="V35" s="739"/>
      <c r="W35" s="739"/>
      <c r="X35" s="124"/>
      <c r="Y35" s="124"/>
      <c r="Z35" s="124"/>
      <c r="AA35" s="124"/>
      <c r="AB35" s="124"/>
    </row>
    <row r="36" spans="1:28" ht="11.25" customHeight="1" x14ac:dyDescent="0.15">
      <c r="A36" s="6" t="s">
        <v>103</v>
      </c>
      <c r="B36" s="7"/>
      <c r="C36" s="7"/>
      <c r="D36" s="77">
        <f>F24</f>
        <v>2611.65</v>
      </c>
      <c r="E36" s="77">
        <f>G24</f>
        <v>2987.14</v>
      </c>
      <c r="F36" s="73">
        <f t="shared" ref="F36:F42" si="32">(E36-D36)/D36</f>
        <v>0.14377500813661853</v>
      </c>
      <c r="G36" s="70"/>
      <c r="H36" s="70"/>
      <c r="I36" s="70"/>
      <c r="J36" s="70"/>
      <c r="K36" s="739"/>
      <c r="L36" s="739"/>
      <c r="M36" s="739"/>
      <c r="N36" s="739"/>
      <c r="O36" s="739"/>
      <c r="P36" s="739"/>
      <c r="Q36" s="739"/>
      <c r="R36" s="739"/>
      <c r="S36" s="739"/>
      <c r="T36" s="739"/>
      <c r="U36" s="739"/>
      <c r="V36" s="739"/>
      <c r="W36" s="739"/>
      <c r="X36" s="124"/>
      <c r="Y36" s="124"/>
      <c r="Z36" s="124"/>
      <c r="AA36" s="124"/>
      <c r="AB36" s="124"/>
    </row>
    <row r="37" spans="1:28" ht="11.25" customHeight="1" x14ac:dyDescent="0.15">
      <c r="A37" s="6" t="s">
        <v>104</v>
      </c>
      <c r="B37" s="7"/>
      <c r="C37" s="7"/>
      <c r="D37" s="77">
        <f>F25</f>
        <v>1061.96</v>
      </c>
      <c r="E37" s="77">
        <f>G25</f>
        <v>1247.98</v>
      </c>
      <c r="F37" s="73">
        <f t="shared" si="32"/>
        <v>0.175166672944367</v>
      </c>
      <c r="G37" s="70"/>
      <c r="H37" s="70"/>
      <c r="I37" s="70"/>
      <c r="J37" s="70"/>
      <c r="K37" s="739"/>
      <c r="L37" s="739"/>
      <c r="M37" s="739"/>
      <c r="N37" s="739"/>
      <c r="O37" s="739"/>
      <c r="P37" s="739"/>
      <c r="Q37" s="739"/>
      <c r="R37" s="739"/>
      <c r="S37" s="739"/>
      <c r="T37" s="739"/>
      <c r="U37" s="739"/>
      <c r="V37" s="739"/>
      <c r="W37" s="739"/>
      <c r="X37" s="124"/>
      <c r="Y37" s="124"/>
      <c r="Z37" s="124"/>
      <c r="AA37" s="124"/>
      <c r="AB37" s="124"/>
    </row>
    <row r="38" spans="1:28" x14ac:dyDescent="0.15">
      <c r="A38" s="6" t="s">
        <v>105</v>
      </c>
      <c r="B38" s="7"/>
      <c r="C38" s="7"/>
      <c r="D38" s="44">
        <v>0.10871778018994979</v>
      </c>
      <c r="E38" s="44">
        <v>0.11893332299863098</v>
      </c>
      <c r="F38" s="73"/>
      <c r="G38" s="70"/>
      <c r="H38" s="70"/>
      <c r="I38" s="70"/>
      <c r="J38" s="70"/>
      <c r="K38" s="739"/>
      <c r="L38" s="739"/>
      <c r="M38" s="739"/>
      <c r="N38" s="739"/>
      <c r="O38" s="739"/>
      <c r="P38" s="739"/>
      <c r="Q38" s="739"/>
      <c r="R38" s="739"/>
      <c r="S38" s="739"/>
      <c r="T38" s="739"/>
      <c r="U38" s="739"/>
      <c r="V38" s="739"/>
      <c r="W38" s="739"/>
      <c r="X38" s="124"/>
      <c r="Y38" s="124"/>
      <c r="Z38" s="124"/>
      <c r="AA38" s="124"/>
      <c r="AB38" s="124"/>
    </row>
    <row r="39" spans="1:28" x14ac:dyDescent="0.15">
      <c r="A39" s="6" t="s">
        <v>106</v>
      </c>
      <c r="B39" s="7"/>
      <c r="C39" s="7"/>
      <c r="D39" s="44">
        <f>X16</f>
        <v>4.8886686062306922E-2</v>
      </c>
      <c r="E39" s="44">
        <f>Y16</f>
        <v>3.4849913204334032E-2</v>
      </c>
      <c r="F39" s="73"/>
      <c r="G39" s="70"/>
      <c r="H39" s="70"/>
      <c r="I39" s="70"/>
      <c r="J39" s="70"/>
      <c r="K39" s="739"/>
      <c r="L39" s="739"/>
      <c r="M39" s="739"/>
      <c r="N39" s="739"/>
      <c r="O39" s="739"/>
      <c r="P39" s="739"/>
      <c r="Q39" s="739"/>
      <c r="R39" s="739"/>
      <c r="S39" s="739"/>
      <c r="T39" s="739"/>
      <c r="U39" s="739"/>
      <c r="V39" s="739"/>
      <c r="W39" s="739"/>
      <c r="X39" s="124"/>
      <c r="Y39" s="124"/>
      <c r="Z39" s="124"/>
      <c r="AA39" s="124"/>
      <c r="AB39" s="124"/>
    </row>
    <row r="40" spans="1:28" x14ac:dyDescent="0.15">
      <c r="A40" s="6" t="s">
        <v>107</v>
      </c>
      <c r="B40" s="7"/>
      <c r="C40" s="7"/>
      <c r="D40" s="7">
        <f>F15</f>
        <v>18516.38</v>
      </c>
      <c r="E40" s="72">
        <f>G15</f>
        <v>20774.379999999997</v>
      </c>
      <c r="F40" s="73">
        <f t="shared" si="32"/>
        <v>0.12194608233358768</v>
      </c>
      <c r="G40" s="70"/>
      <c r="H40" s="70"/>
      <c r="I40" s="70"/>
      <c r="J40" s="70"/>
      <c r="K40" s="739"/>
      <c r="L40" s="739"/>
      <c r="M40" s="739"/>
      <c r="N40" s="739"/>
      <c r="O40" s="739"/>
      <c r="P40" s="739"/>
      <c r="Q40" s="739"/>
      <c r="R40" s="739"/>
      <c r="S40" s="739"/>
      <c r="T40" s="739"/>
      <c r="U40" s="739"/>
      <c r="V40" s="739"/>
      <c r="W40" s="739"/>
      <c r="X40" s="124"/>
      <c r="Y40" s="124"/>
      <c r="Z40" s="124"/>
      <c r="AA40" s="124"/>
      <c r="AB40" s="124"/>
    </row>
    <row r="41" spans="1:28" x14ac:dyDescent="0.15">
      <c r="A41" s="6" t="s">
        <v>27</v>
      </c>
      <c r="B41" s="7"/>
      <c r="C41" s="7"/>
      <c r="D41" s="7">
        <f>F17</f>
        <v>5721.28</v>
      </c>
      <c r="E41" s="72">
        <f>G17</f>
        <v>4622.0600000000004</v>
      </c>
      <c r="F41" s="73">
        <f t="shared" si="32"/>
        <v>-0.1921283349180602</v>
      </c>
      <c r="G41" s="70"/>
      <c r="H41" s="70"/>
      <c r="I41" s="70"/>
      <c r="J41" s="70"/>
      <c r="K41" s="739"/>
      <c r="L41" s="739"/>
      <c r="M41" s="739"/>
      <c r="N41" s="739"/>
      <c r="O41" s="739"/>
      <c r="P41" s="739"/>
      <c r="Q41" s="739"/>
      <c r="R41" s="739"/>
      <c r="S41" s="739"/>
      <c r="T41" s="739"/>
      <c r="U41" s="739"/>
      <c r="V41" s="739"/>
      <c r="W41" s="739"/>
      <c r="X41" s="124"/>
      <c r="Y41" s="124"/>
      <c r="Z41" s="124"/>
      <c r="AA41" s="124"/>
      <c r="AB41" s="124"/>
    </row>
    <row r="42" spans="1:28" x14ac:dyDescent="0.15">
      <c r="A42" s="6" t="s">
        <v>2</v>
      </c>
      <c r="B42" s="7"/>
      <c r="C42" s="7"/>
      <c r="D42" s="7">
        <f>F18</f>
        <v>3955.51</v>
      </c>
      <c r="E42" s="72">
        <f>G18</f>
        <v>6350.49</v>
      </c>
      <c r="F42" s="73">
        <f t="shared" si="32"/>
        <v>0.60547944512844099</v>
      </c>
      <c r="G42" s="70"/>
      <c r="H42" s="70"/>
      <c r="I42" s="70"/>
      <c r="J42" s="70"/>
      <c r="K42" s="739"/>
      <c r="L42" s="739"/>
      <c r="M42" s="739"/>
      <c r="N42" s="739"/>
      <c r="O42" s="739"/>
      <c r="P42" s="739"/>
      <c r="Q42" s="739"/>
      <c r="R42" s="739"/>
      <c r="S42" s="739"/>
      <c r="T42" s="739"/>
      <c r="U42" s="739"/>
      <c r="V42" s="739"/>
      <c r="W42" s="739"/>
      <c r="X42" s="124"/>
      <c r="Y42" s="124"/>
      <c r="Z42" s="124"/>
      <c r="AA42" s="124"/>
      <c r="AB42" s="124"/>
    </row>
    <row r="43" spans="1:28" x14ac:dyDescent="0.15">
      <c r="A43" s="6" t="s">
        <v>108</v>
      </c>
      <c r="B43" s="7"/>
      <c r="C43" s="7"/>
      <c r="D43" s="78">
        <f>X20</f>
        <v>2.8633328980373754E-2</v>
      </c>
      <c r="E43" s="79">
        <f>Y20</f>
        <v>4.1465867915021638E-2</v>
      </c>
      <c r="F43" s="73"/>
      <c r="G43" s="70"/>
      <c r="H43" s="70"/>
      <c r="I43" s="70"/>
      <c r="J43" s="70"/>
      <c r="K43" s="739"/>
      <c r="L43" s="739"/>
      <c r="M43" s="739"/>
      <c r="N43" s="739"/>
      <c r="O43" s="739"/>
      <c r="P43" s="739"/>
      <c r="Q43" s="739"/>
      <c r="R43" s="739"/>
      <c r="S43" s="739"/>
      <c r="T43" s="739"/>
      <c r="U43" s="739"/>
      <c r="V43" s="739"/>
      <c r="W43" s="739"/>
      <c r="X43" s="124"/>
      <c r="Y43" s="124"/>
      <c r="Z43" s="124"/>
      <c r="AA43" s="124"/>
      <c r="AB43" s="124"/>
    </row>
    <row r="44" spans="1:28" x14ac:dyDescent="0.15">
      <c r="A44" s="18" t="s">
        <v>109</v>
      </c>
      <c r="B44" s="18"/>
      <c r="C44" s="18"/>
      <c r="D44" s="48">
        <f>X21</f>
        <v>0.11676446212987229</v>
      </c>
      <c r="E44" s="48">
        <f>Y21</f>
        <v>0.16284430900490315</v>
      </c>
      <c r="F44" s="73"/>
      <c r="K44" s="739"/>
      <c r="L44" s="739"/>
      <c r="M44" s="739"/>
      <c r="N44" s="739"/>
      <c r="O44" s="739"/>
      <c r="P44" s="739"/>
      <c r="Q44" s="739"/>
      <c r="R44" s="739"/>
      <c r="S44" s="739"/>
      <c r="T44" s="739"/>
      <c r="U44" s="739"/>
      <c r="V44" s="739"/>
      <c r="W44" s="739"/>
      <c r="X44" s="124"/>
      <c r="Y44" s="124"/>
      <c r="Z44" s="124"/>
      <c r="AA44" s="124"/>
      <c r="AB44" s="124"/>
    </row>
    <row r="45" spans="1:28" x14ac:dyDescent="0.15">
      <c r="A45" s="12"/>
      <c r="E45" s="13"/>
      <c r="F45" s="14"/>
      <c r="G45" s="14"/>
      <c r="H45" s="14"/>
      <c r="I45" s="14"/>
      <c r="J45" s="14"/>
      <c r="K45" s="124"/>
      <c r="L45" s="124"/>
      <c r="M45" s="124"/>
      <c r="N45" s="124"/>
      <c r="O45" s="124"/>
      <c r="P45" s="124"/>
      <c r="Q45" s="124"/>
      <c r="R45" s="124"/>
      <c r="S45" s="124"/>
      <c r="T45" s="124"/>
      <c r="U45" s="124"/>
      <c r="V45" s="124"/>
      <c r="W45" s="124"/>
      <c r="X45" s="124"/>
      <c r="Y45" s="124"/>
      <c r="Z45" s="124"/>
      <c r="AA45" s="124"/>
      <c r="AB45" s="124"/>
    </row>
    <row r="46" spans="1:28" x14ac:dyDescent="0.15">
      <c r="A46" s="3" t="s">
        <v>62</v>
      </c>
      <c r="B46" s="15" t="s">
        <v>63</v>
      </c>
      <c r="C46" s="16" t="str">
        <f>C2</f>
        <v>FY18</v>
      </c>
      <c r="D46" s="16" t="str">
        <f>D2</f>
        <v>FY 19</v>
      </c>
      <c r="E46" s="16" t="str">
        <f>E2</f>
        <v>FY20</v>
      </c>
      <c r="F46" s="16" t="str">
        <f>F2</f>
        <v>FY 21</v>
      </c>
      <c r="G46" s="16" t="s">
        <v>42</v>
      </c>
      <c r="H46" s="57"/>
      <c r="I46" s="57"/>
      <c r="J46" s="57"/>
      <c r="K46" s="57"/>
      <c r="L46" s="57"/>
      <c r="M46" s="57"/>
      <c r="N46" s="57"/>
    </row>
    <row r="47" spans="1:28" ht="22.5" x14ac:dyDescent="0.15">
      <c r="A47" s="17" t="s">
        <v>64</v>
      </c>
      <c r="B47" s="18"/>
      <c r="C47" s="18"/>
      <c r="D47" s="18">
        <v>28.04</v>
      </c>
      <c r="E47" s="18">
        <v>44.18</v>
      </c>
      <c r="F47" s="18">
        <v>51.98</v>
      </c>
      <c r="G47" s="19">
        <f>52.87</f>
        <v>52.87</v>
      </c>
      <c r="H47" s="58"/>
      <c r="I47" s="58"/>
      <c r="J47" s="58"/>
      <c r="K47" s="58"/>
      <c r="L47" s="58"/>
      <c r="M47" s="58"/>
      <c r="N47" s="58"/>
    </row>
    <row r="48" spans="1:28" x14ac:dyDescent="0.15">
      <c r="A48" s="18" t="s">
        <v>65</v>
      </c>
      <c r="B48" s="18"/>
      <c r="C48" s="18"/>
      <c r="D48" s="18">
        <v>0</v>
      </c>
      <c r="E48" s="18"/>
      <c r="F48" s="18">
        <v>0.25</v>
      </c>
      <c r="G48" s="19">
        <v>2.5</v>
      </c>
      <c r="H48" s="58"/>
      <c r="I48" s="58"/>
      <c r="J48" s="58"/>
      <c r="K48" s="58"/>
      <c r="L48" s="58"/>
      <c r="M48" s="58"/>
      <c r="N48" s="58"/>
    </row>
    <row r="49" spans="1:14" x14ac:dyDescent="0.15">
      <c r="A49" s="17" t="s">
        <v>66</v>
      </c>
      <c r="B49" s="18"/>
      <c r="C49" s="18"/>
      <c r="D49" s="19">
        <f>1600.77</f>
        <v>1600.77</v>
      </c>
      <c r="E49" s="18">
        <v>2211</v>
      </c>
      <c r="F49" s="18">
        <v>2159</v>
      </c>
      <c r="G49" s="19">
        <f>2864</f>
        <v>2864</v>
      </c>
      <c r="H49" s="58"/>
      <c r="I49" s="58"/>
      <c r="J49" s="58"/>
      <c r="K49" s="58"/>
      <c r="L49" s="58"/>
      <c r="M49" s="58"/>
      <c r="N49" s="58"/>
    </row>
    <row r="50" spans="1:14" ht="22.5" x14ac:dyDescent="0.15">
      <c r="A50" s="17" t="s">
        <v>67</v>
      </c>
      <c r="B50" s="18"/>
      <c r="C50" s="18"/>
      <c r="D50" s="18"/>
      <c r="E50" s="18"/>
      <c r="F50" s="18"/>
      <c r="G50" s="19"/>
      <c r="H50" s="58"/>
      <c r="I50" s="58"/>
      <c r="J50" s="58"/>
      <c r="K50" s="58"/>
      <c r="L50" s="58"/>
      <c r="M50" s="58"/>
      <c r="N50" s="58"/>
    </row>
    <row r="51" spans="1:14" x14ac:dyDescent="0.15">
      <c r="A51" s="20" t="s">
        <v>68</v>
      </c>
      <c r="B51" s="20">
        <f t="shared" ref="B51:G51" si="33">SUM(B47:B50)</f>
        <v>0</v>
      </c>
      <c r="C51" s="20">
        <f t="shared" si="33"/>
        <v>0</v>
      </c>
      <c r="D51" s="21">
        <f t="shared" si="33"/>
        <v>1628.81</v>
      </c>
      <c r="E51" s="21">
        <f t="shared" si="33"/>
        <v>2255.1799999999998</v>
      </c>
      <c r="F51" s="21">
        <f t="shared" si="33"/>
        <v>2211.23</v>
      </c>
      <c r="G51" s="21">
        <f t="shared" si="33"/>
        <v>2919.37</v>
      </c>
      <c r="H51" s="59"/>
      <c r="I51" s="59"/>
      <c r="J51" s="59"/>
      <c r="K51" s="59"/>
      <c r="L51" s="59"/>
      <c r="M51" s="59"/>
      <c r="N51" s="59"/>
    </row>
    <row r="52" spans="1:14" x14ac:dyDescent="0.15">
      <c r="A52" s="20" t="s">
        <v>69</v>
      </c>
      <c r="B52" s="22" t="e">
        <f t="shared" ref="B52:G52" si="34">B51/B20</f>
        <v>#DIV/0!</v>
      </c>
      <c r="C52" s="22" t="e">
        <f t="shared" si="34"/>
        <v>#DIV/0!</v>
      </c>
      <c r="D52" s="22">
        <f t="shared" si="34"/>
        <v>9.0630460405810298E-2</v>
      </c>
      <c r="E52" s="22">
        <f t="shared" si="34"/>
        <v>7.5576925119902189E-2</v>
      </c>
      <c r="F52" s="22">
        <f t="shared" si="34"/>
        <v>6.45911925472029E-2</v>
      </c>
      <c r="G52" s="22">
        <f t="shared" si="34"/>
        <v>7.1971098452859414E-2</v>
      </c>
      <c r="H52" s="60"/>
      <c r="I52" s="60"/>
      <c r="J52" s="60"/>
      <c r="K52" s="60"/>
      <c r="L52" s="60"/>
      <c r="M52" s="60"/>
      <c r="N52" s="60"/>
    </row>
    <row r="53" spans="1:14" x14ac:dyDescent="0.15">
      <c r="A53" s="23" t="s">
        <v>70</v>
      </c>
      <c r="B53" s="24" t="e">
        <f t="shared" ref="B53:G53" si="35">B51/B22</f>
        <v>#DIV/0!</v>
      </c>
      <c r="C53" s="24" t="e">
        <f t="shared" si="35"/>
        <v>#DIV/0!</v>
      </c>
      <c r="D53" s="24">
        <f t="shared" si="35"/>
        <v>1.5012091719556898E-2</v>
      </c>
      <c r="E53" s="24">
        <f t="shared" si="35"/>
        <v>1.6341461311471867E-2</v>
      </c>
      <c r="F53" s="24">
        <f t="shared" si="35"/>
        <v>1.5990549852097375E-2</v>
      </c>
      <c r="G53" s="24">
        <f t="shared" si="35"/>
        <v>1.7375539293619992E-2</v>
      </c>
      <c r="H53" s="61"/>
      <c r="I53" s="61"/>
      <c r="J53" s="61"/>
      <c r="K53" s="61"/>
      <c r="L53" s="61"/>
      <c r="M53" s="61"/>
      <c r="N53" s="61"/>
    </row>
    <row r="56" spans="1:14" x14ac:dyDescent="0.15">
      <c r="A56" s="15" t="s">
        <v>71</v>
      </c>
      <c r="B56" s="15" t="str">
        <f>B46</f>
        <v>FY 17</v>
      </c>
      <c r="C56" s="15" t="str">
        <f>C46</f>
        <v>FY18</v>
      </c>
      <c r="D56" s="15" t="str">
        <f>D46</f>
        <v>FY 19</v>
      </c>
      <c r="E56" s="15" t="str">
        <f>E46</f>
        <v>FY20</v>
      </c>
      <c r="F56" s="15" t="str">
        <f>F46</f>
        <v>FY 21</v>
      </c>
      <c r="G56" s="15" t="s">
        <v>42</v>
      </c>
      <c r="H56" s="62"/>
      <c r="I56" s="62"/>
      <c r="J56" s="62"/>
      <c r="K56" s="62"/>
      <c r="L56" s="62"/>
      <c r="M56" s="62"/>
      <c r="N56" s="62"/>
    </row>
    <row r="57" spans="1:14" x14ac:dyDescent="0.15">
      <c r="A57" s="25" t="s">
        <v>72</v>
      </c>
      <c r="B57" s="26"/>
      <c r="C57" s="26"/>
      <c r="D57" s="26"/>
      <c r="E57" s="26"/>
      <c r="F57" s="26"/>
      <c r="G57" s="18"/>
    </row>
    <row r="58" spans="1:14" x14ac:dyDescent="0.15">
      <c r="A58" s="18" t="s">
        <v>73</v>
      </c>
      <c r="B58" s="9"/>
      <c r="C58" s="9"/>
      <c r="D58" s="9">
        <f>3528</f>
        <v>3528</v>
      </c>
      <c r="E58" s="9">
        <v>5035</v>
      </c>
      <c r="F58" s="9">
        <f>5028</f>
        <v>5028</v>
      </c>
      <c r="G58" s="18">
        <f>5028</f>
        <v>5028</v>
      </c>
    </row>
    <row r="59" spans="1:14" x14ac:dyDescent="0.15">
      <c r="A59" s="17" t="s">
        <v>74</v>
      </c>
      <c r="B59" s="9"/>
      <c r="C59" s="9"/>
      <c r="D59" s="9">
        <v>20</v>
      </c>
      <c r="E59" s="9">
        <v>120</v>
      </c>
      <c r="F59" s="9">
        <v>270.38</v>
      </c>
      <c r="G59" s="18">
        <f>670.38</f>
        <v>670.38</v>
      </c>
    </row>
    <row r="60" spans="1:14" x14ac:dyDescent="0.15">
      <c r="A60" s="17"/>
      <c r="B60" s="27"/>
      <c r="C60" s="27"/>
      <c r="D60" s="27"/>
      <c r="E60" s="27"/>
      <c r="F60" s="27"/>
      <c r="G60" s="27"/>
      <c r="H60" s="63"/>
      <c r="I60" s="63"/>
      <c r="J60" s="63"/>
      <c r="K60" s="63"/>
      <c r="L60" s="63"/>
      <c r="M60" s="63"/>
      <c r="N60" s="63"/>
    </row>
    <row r="61" spans="1:14" x14ac:dyDescent="0.15">
      <c r="A61" s="28" t="s">
        <v>75</v>
      </c>
      <c r="B61" s="9"/>
      <c r="C61" s="9"/>
      <c r="D61" s="9"/>
      <c r="E61" s="9"/>
      <c r="F61" s="9"/>
      <c r="G61" s="18"/>
    </row>
    <row r="62" spans="1:14" x14ac:dyDescent="0.15">
      <c r="A62" s="18"/>
      <c r="B62" s="9"/>
      <c r="C62" s="9"/>
      <c r="D62" s="9"/>
      <c r="E62" s="9"/>
      <c r="F62" s="9"/>
      <c r="G62" s="18"/>
    </row>
    <row r="63" spans="1:14" x14ac:dyDescent="0.15">
      <c r="A63" s="18"/>
      <c r="B63" s="9"/>
      <c r="C63" s="9"/>
      <c r="D63" s="9"/>
      <c r="E63" s="9"/>
      <c r="F63" s="9"/>
      <c r="G63" s="18"/>
    </row>
    <row r="64" spans="1:14" x14ac:dyDescent="0.15">
      <c r="A64" s="17"/>
      <c r="B64" s="9"/>
      <c r="C64" s="9"/>
      <c r="D64" s="9"/>
      <c r="E64" s="9"/>
      <c r="F64" s="9"/>
      <c r="G64" s="9"/>
      <c r="H64" s="64"/>
      <c r="I64" s="64"/>
      <c r="J64" s="64"/>
      <c r="K64" s="64"/>
      <c r="L64" s="64"/>
      <c r="M64" s="64"/>
      <c r="N64" s="64"/>
    </row>
    <row r="65" spans="1:14" x14ac:dyDescent="0.15">
      <c r="A65" s="18"/>
      <c r="B65" s="9"/>
      <c r="C65" s="9"/>
      <c r="D65" s="9"/>
      <c r="E65" s="9"/>
      <c r="F65" s="9"/>
      <c r="G65" s="18"/>
    </row>
    <row r="66" spans="1:14" x14ac:dyDescent="0.15">
      <c r="A66" s="20" t="s">
        <v>68</v>
      </c>
      <c r="B66" s="29">
        <f t="shared" ref="B66:G66" si="36">SUM(B58:B65)</f>
        <v>0</v>
      </c>
      <c r="C66" s="29">
        <f t="shared" si="36"/>
        <v>0</v>
      </c>
      <c r="D66" s="29">
        <f t="shared" si="36"/>
        <v>3548</v>
      </c>
      <c r="E66" s="29">
        <f t="shared" si="36"/>
        <v>5155</v>
      </c>
      <c r="F66" s="29">
        <f t="shared" si="36"/>
        <v>5298.38</v>
      </c>
      <c r="G66" s="29">
        <f t="shared" si="36"/>
        <v>5698.38</v>
      </c>
      <c r="H66" s="65"/>
      <c r="I66" s="65"/>
      <c r="J66" s="65"/>
      <c r="K66" s="65"/>
      <c r="L66" s="65"/>
      <c r="M66" s="65"/>
      <c r="N66" s="65"/>
    </row>
    <row r="68" spans="1:14" x14ac:dyDescent="0.15">
      <c r="A68" s="18" t="s">
        <v>28</v>
      </c>
      <c r="B68" s="30">
        <f t="shared" ref="B68:G68" si="37">B19</f>
        <v>0</v>
      </c>
      <c r="C68" s="30">
        <f t="shared" si="37"/>
        <v>0</v>
      </c>
      <c r="D68" s="30">
        <f t="shared" si="37"/>
        <v>19563.63</v>
      </c>
      <c r="E68" s="30">
        <f t="shared" si="37"/>
        <v>31813.21</v>
      </c>
      <c r="F68" s="30">
        <f t="shared" si="37"/>
        <v>35938.74</v>
      </c>
      <c r="G68" s="30">
        <f t="shared" si="37"/>
        <v>42055.88</v>
      </c>
      <c r="H68" s="66">
        <v>85908</v>
      </c>
      <c r="I68" s="66"/>
      <c r="J68" s="66"/>
      <c r="K68" s="66"/>
      <c r="L68" s="66"/>
      <c r="M68" s="66"/>
      <c r="N68" s="66"/>
    </row>
    <row r="69" spans="1:14" x14ac:dyDescent="0.15">
      <c r="A69" s="18" t="s">
        <v>76</v>
      </c>
      <c r="B69" s="30">
        <f t="shared" ref="B69:G69" si="38">B68*10%</f>
        <v>0</v>
      </c>
      <c r="C69" s="30">
        <f t="shared" si="38"/>
        <v>0</v>
      </c>
      <c r="D69" s="30">
        <f t="shared" si="38"/>
        <v>1956.3630000000003</v>
      </c>
      <c r="E69" s="30">
        <f t="shared" si="38"/>
        <v>3181.3209999999999</v>
      </c>
      <c r="F69" s="30">
        <f t="shared" si="38"/>
        <v>3593.8739999999998</v>
      </c>
      <c r="G69" s="30">
        <f t="shared" si="38"/>
        <v>4205.5879999999997</v>
      </c>
      <c r="H69" s="66">
        <v>8590</v>
      </c>
      <c r="I69" s="66"/>
      <c r="J69" s="66"/>
      <c r="K69" s="66"/>
      <c r="L69" s="66"/>
      <c r="M69" s="66"/>
      <c r="N69" s="66"/>
    </row>
    <row r="70" spans="1:14" x14ac:dyDescent="0.15">
      <c r="A70" s="18" t="s">
        <v>77</v>
      </c>
      <c r="B70" s="30">
        <f t="shared" ref="B70:G70" si="39">B66</f>
        <v>0</v>
      </c>
      <c r="C70" s="30">
        <f t="shared" si="39"/>
        <v>0</v>
      </c>
      <c r="D70" s="30">
        <f t="shared" si="39"/>
        <v>3548</v>
      </c>
      <c r="E70" s="30">
        <f t="shared" si="39"/>
        <v>5155</v>
      </c>
      <c r="F70" s="30">
        <f t="shared" si="39"/>
        <v>5298.38</v>
      </c>
      <c r="G70" s="30">
        <f t="shared" si="39"/>
        <v>5698.38</v>
      </c>
      <c r="H70" s="66">
        <v>2200</v>
      </c>
      <c r="I70" s="66"/>
      <c r="J70" s="66"/>
      <c r="K70" s="66"/>
      <c r="L70" s="66"/>
      <c r="M70" s="66"/>
      <c r="N70" s="66"/>
    </row>
    <row r="71" spans="1:14" x14ac:dyDescent="0.15">
      <c r="A71" s="18" t="s">
        <v>78</v>
      </c>
      <c r="B71" s="30">
        <f t="shared" ref="B71:G71" si="40">B70-B69</f>
        <v>0</v>
      </c>
      <c r="C71" s="30">
        <f t="shared" si="40"/>
        <v>0</v>
      </c>
      <c r="D71" s="30">
        <f t="shared" si="40"/>
        <v>1591.6369999999997</v>
      </c>
      <c r="E71" s="30">
        <f t="shared" si="40"/>
        <v>1973.6790000000001</v>
      </c>
      <c r="F71" s="30">
        <f t="shared" si="40"/>
        <v>1704.5060000000003</v>
      </c>
      <c r="G71" s="30">
        <f t="shared" si="40"/>
        <v>1492.7920000000004</v>
      </c>
      <c r="H71" s="66"/>
      <c r="I71" s="66"/>
      <c r="J71" s="66"/>
      <c r="K71" s="66"/>
      <c r="L71" s="66"/>
      <c r="M71" s="66"/>
      <c r="N71" s="66"/>
    </row>
    <row r="74" spans="1:14" x14ac:dyDescent="0.15">
      <c r="A74" s="31" t="s">
        <v>79</v>
      </c>
    </row>
    <row r="75" spans="1:14" x14ac:dyDescent="0.15">
      <c r="A75" s="15" t="s">
        <v>80</v>
      </c>
      <c r="B75" s="15" t="str">
        <f>B56</f>
        <v>FY 17</v>
      </c>
      <c r="C75" s="15" t="str">
        <f>C56</f>
        <v>FY18</v>
      </c>
      <c r="D75" s="15" t="str">
        <f>D56</f>
        <v>FY 19</v>
      </c>
      <c r="E75" s="15" t="str">
        <f>E56</f>
        <v>FY20</v>
      </c>
      <c r="F75" s="15">
        <f>$F$58</f>
        <v>5028</v>
      </c>
      <c r="G75" s="15" t="str">
        <f>G56</f>
        <v>FY 22</v>
      </c>
      <c r="H75" s="62"/>
      <c r="I75" s="62"/>
      <c r="J75" s="62"/>
      <c r="K75" s="62"/>
      <c r="L75" s="62"/>
      <c r="M75" s="62"/>
      <c r="N75" s="62"/>
    </row>
    <row r="76" spans="1:14" x14ac:dyDescent="0.15">
      <c r="A76" s="18" t="s">
        <v>81</v>
      </c>
      <c r="B76" s="9">
        <v>0</v>
      </c>
      <c r="C76" s="9">
        <v>0</v>
      </c>
      <c r="D76" s="9">
        <v>0</v>
      </c>
      <c r="E76" s="9">
        <v>4309</v>
      </c>
      <c r="F76" s="9">
        <f>5468.64</f>
        <v>5468.64</v>
      </c>
      <c r="G76" s="9">
        <f>5522.44</f>
        <v>5522.44</v>
      </c>
      <c r="H76" s="64"/>
      <c r="I76" s="64"/>
      <c r="J76" s="64"/>
      <c r="K76" s="64"/>
      <c r="L76" s="64"/>
      <c r="M76" s="64"/>
      <c r="N76" s="64"/>
    </row>
    <row r="77" spans="1:14" x14ac:dyDescent="0.15">
      <c r="A77" s="18" t="s">
        <v>82</v>
      </c>
      <c r="B77" s="9">
        <v>0</v>
      </c>
      <c r="C77" s="9">
        <v>0</v>
      </c>
      <c r="D77" s="32">
        <v>3.41</v>
      </c>
      <c r="E77" s="32">
        <v>0.49</v>
      </c>
      <c r="F77" s="32">
        <v>0.01</v>
      </c>
      <c r="G77" s="32">
        <v>0.23</v>
      </c>
      <c r="H77" s="67"/>
      <c r="I77" s="67"/>
      <c r="J77" s="67"/>
      <c r="K77" s="67"/>
      <c r="L77" s="67"/>
      <c r="M77" s="67"/>
      <c r="N77" s="67"/>
    </row>
    <row r="83" spans="1:14" x14ac:dyDescent="0.15">
      <c r="A83" s="11" t="s">
        <v>83</v>
      </c>
    </row>
    <row r="84" spans="1:14" x14ac:dyDescent="0.15">
      <c r="A84" s="33" t="s">
        <v>4</v>
      </c>
      <c r="B84" s="34" t="s">
        <v>63</v>
      </c>
      <c r="C84" s="34" t="s">
        <v>84</v>
      </c>
      <c r="D84" s="34" t="s">
        <v>44</v>
      </c>
      <c r="E84" s="34" t="s">
        <v>85</v>
      </c>
      <c r="F84" s="15" t="str">
        <f>F56</f>
        <v>FY 21</v>
      </c>
      <c r="G84" s="15" t="str">
        <f>G56</f>
        <v>FY 22</v>
      </c>
      <c r="H84" s="62"/>
      <c r="I84" s="62"/>
      <c r="J84" s="62"/>
      <c r="K84" s="62"/>
      <c r="L84" s="62"/>
      <c r="M84" s="62"/>
      <c r="N84" s="62"/>
    </row>
    <row r="85" spans="1:14" x14ac:dyDescent="0.15">
      <c r="A85" s="35"/>
      <c r="B85" s="9"/>
      <c r="C85" s="36"/>
      <c r="D85" s="37"/>
      <c r="E85" s="36"/>
      <c r="F85" s="9"/>
      <c r="G85" s="9"/>
      <c r="H85" s="64"/>
      <c r="I85" s="64"/>
      <c r="J85" s="64"/>
      <c r="K85" s="64"/>
      <c r="L85" s="64"/>
      <c r="M85" s="64"/>
      <c r="N85" s="64"/>
    </row>
    <row r="86" spans="1:14" x14ac:dyDescent="0.15">
      <c r="A86" s="35"/>
      <c r="B86" s="9"/>
      <c r="C86" s="36"/>
      <c r="D86" s="37"/>
      <c r="E86" s="36"/>
      <c r="F86" s="9"/>
      <c r="G86" s="9"/>
      <c r="H86" s="64"/>
      <c r="I86" s="64"/>
      <c r="J86" s="64"/>
      <c r="K86" s="64"/>
      <c r="L86" s="64"/>
      <c r="M86" s="64"/>
      <c r="N86" s="64"/>
    </row>
    <row r="87" spans="1:14" x14ac:dyDescent="0.15">
      <c r="A87" s="35"/>
      <c r="B87" s="36"/>
      <c r="C87" s="36"/>
      <c r="D87" s="38"/>
      <c r="E87" s="36"/>
      <c r="F87" s="9"/>
      <c r="G87" s="9"/>
      <c r="H87" s="64"/>
      <c r="I87" s="64"/>
      <c r="J87" s="64"/>
      <c r="K87" s="64"/>
      <c r="L87" s="64"/>
      <c r="M87" s="64"/>
      <c r="N87" s="64"/>
    </row>
    <row r="88" spans="1:14" x14ac:dyDescent="0.15">
      <c r="A88" s="35" t="s">
        <v>86</v>
      </c>
      <c r="B88" s="37">
        <f t="shared" ref="B88:G88" si="41">B23</f>
        <v>0</v>
      </c>
      <c r="C88" s="37">
        <f t="shared" si="41"/>
        <v>0</v>
      </c>
      <c r="D88" s="37">
        <f t="shared" si="41"/>
        <v>97209.63</v>
      </c>
      <c r="E88" s="37">
        <f t="shared" si="41"/>
        <v>117020.82</v>
      </c>
      <c r="F88" s="36">
        <f t="shared" si="41"/>
        <v>117042.09</v>
      </c>
      <c r="G88" s="36">
        <f t="shared" si="41"/>
        <v>148213.09</v>
      </c>
      <c r="H88" s="68"/>
      <c r="I88" s="68"/>
      <c r="J88" s="68"/>
      <c r="K88" s="68"/>
      <c r="L88" s="68"/>
      <c r="M88" s="68"/>
      <c r="N88" s="68"/>
    </row>
    <row r="89" spans="1:14" ht="22.5" x14ac:dyDescent="0.15">
      <c r="A89" s="33" t="s">
        <v>87</v>
      </c>
      <c r="B89" s="18"/>
      <c r="C89" s="39" t="e">
        <f>C87/AVERAGE(B88,C88)</f>
        <v>#DIV/0!</v>
      </c>
      <c r="D89" s="39">
        <f>D87/AVERAGE(C88,D88)</f>
        <v>0</v>
      </c>
      <c r="E89" s="39">
        <f>E87/AVERAGE(D88,E88)</f>
        <v>0</v>
      </c>
      <c r="F89" s="39">
        <f>F87/AVERAGE(E88,F88)</f>
        <v>0</v>
      </c>
      <c r="G89" s="39">
        <f>G87/AVERAGE(F88,G88)</f>
        <v>0</v>
      </c>
      <c r="H89" s="69"/>
      <c r="I89" s="69"/>
      <c r="J89" s="69"/>
      <c r="K89" s="69"/>
      <c r="L89" s="69"/>
      <c r="M89" s="69"/>
      <c r="N89" s="69"/>
    </row>
    <row r="94" spans="1:14" x14ac:dyDescent="0.15">
      <c r="A94" s="34" t="s">
        <v>88</v>
      </c>
      <c r="B94" s="34" t="s">
        <v>63</v>
      </c>
      <c r="C94" s="34" t="s">
        <v>84</v>
      </c>
      <c r="D94" s="34" t="s">
        <v>44</v>
      </c>
      <c r="E94" s="34" t="s">
        <v>85</v>
      </c>
      <c r="F94" s="15" t="str">
        <f>F84</f>
        <v>FY 21</v>
      </c>
      <c r="G94" s="15" t="str">
        <f>G84</f>
        <v>FY 22</v>
      </c>
      <c r="H94" s="62"/>
      <c r="I94" s="62"/>
      <c r="J94" s="62"/>
      <c r="K94" s="62"/>
      <c r="L94" s="62"/>
      <c r="M94" s="62"/>
      <c r="N94" s="62"/>
    </row>
    <row r="95" spans="1:14" x14ac:dyDescent="0.15">
      <c r="A95" s="18" t="s">
        <v>89</v>
      </c>
      <c r="B95" s="18"/>
      <c r="C95" s="18"/>
      <c r="D95" s="9">
        <v>57.45</v>
      </c>
      <c r="E95" s="9">
        <f>8568.04</f>
        <v>8568.0400000000009</v>
      </c>
      <c r="F95" s="9">
        <v>103</v>
      </c>
      <c r="G95" s="9">
        <v>173</v>
      </c>
      <c r="H95" s="64"/>
      <c r="I95" s="64"/>
      <c r="J95" s="64"/>
      <c r="K95" s="64"/>
      <c r="L95" s="64"/>
      <c r="M95" s="64"/>
      <c r="N95" s="64"/>
    </row>
    <row r="96" spans="1:14" x14ac:dyDescent="0.15">
      <c r="K96" s="125" t="s">
        <v>188</v>
      </c>
      <c r="L96" s="125" t="s">
        <v>189</v>
      </c>
      <c r="M96" s="125" t="s">
        <v>190</v>
      </c>
    </row>
    <row r="97" spans="11:13" x14ac:dyDescent="0.15">
      <c r="K97" s="18" t="s">
        <v>191</v>
      </c>
      <c r="L97" s="18" t="s">
        <v>197</v>
      </c>
      <c r="M97" s="18" t="s">
        <v>198</v>
      </c>
    </row>
    <row r="98" spans="11:13" x14ac:dyDescent="0.15">
      <c r="K98" s="18" t="s">
        <v>192</v>
      </c>
      <c r="L98" s="18" t="s">
        <v>199</v>
      </c>
      <c r="M98" s="18" t="s">
        <v>200</v>
      </c>
    </row>
    <row r="99" spans="11:13" x14ac:dyDescent="0.15">
      <c r="K99" s="18" t="s">
        <v>193</v>
      </c>
      <c r="L99" s="18" t="s">
        <v>201</v>
      </c>
      <c r="M99" s="18" t="s">
        <v>204</v>
      </c>
    </row>
    <row r="100" spans="11:13" ht="67.5" x14ac:dyDescent="0.15">
      <c r="K100" s="17" t="s">
        <v>194</v>
      </c>
      <c r="L100" s="18" t="s">
        <v>202</v>
      </c>
      <c r="M100" s="18" t="s">
        <v>200</v>
      </c>
    </row>
    <row r="101" spans="11:13" x14ac:dyDescent="0.15">
      <c r="K101" s="18" t="s">
        <v>195</v>
      </c>
      <c r="L101" s="18" t="s">
        <v>203</v>
      </c>
      <c r="M101" s="18" t="s">
        <v>205</v>
      </c>
    </row>
    <row r="102" spans="11:13" x14ac:dyDescent="0.15">
      <c r="K102" s="18" t="s">
        <v>196</v>
      </c>
      <c r="L102" s="18" t="s">
        <v>197</v>
      </c>
      <c r="M102" s="18" t="s">
        <v>198</v>
      </c>
    </row>
  </sheetData>
  <mergeCells count="5">
    <mergeCell ref="AL3:AM4"/>
    <mergeCell ref="AN5:AT5"/>
    <mergeCell ref="K31:W44"/>
    <mergeCell ref="L1:N1"/>
    <mergeCell ref="A2:A4"/>
  </mergeCell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W25"/>
  <sheetViews>
    <sheetView workbookViewId="0">
      <selection activeCell="C5" sqref="C5"/>
    </sheetView>
  </sheetViews>
  <sheetFormatPr defaultRowHeight="15" x14ac:dyDescent="0.25"/>
  <cols>
    <col min="1" max="1" width="28.140625" customWidth="1"/>
    <col min="4" max="4" width="11.28515625" customWidth="1"/>
    <col min="5" max="5" width="11.42578125" customWidth="1"/>
    <col min="6" max="6" width="11.7109375" customWidth="1"/>
    <col min="7" max="7" width="11.28515625" customWidth="1"/>
    <col min="8" max="8" width="10.140625" bestFit="1" customWidth="1"/>
    <col min="11" max="11" width="11.28515625" bestFit="1" customWidth="1"/>
    <col min="14" max="14" width="28.7109375" customWidth="1"/>
    <col min="17" max="17" width="13.42578125" bestFit="1" customWidth="1"/>
    <col min="18" max="19" width="12" bestFit="1" customWidth="1"/>
  </cols>
  <sheetData>
    <row r="1" spans="1:23" x14ac:dyDescent="0.25">
      <c r="I1" s="772" t="s">
        <v>119</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f>D10/AVERAGE(C23:D23)</f>
        <v>3.0448777170869662E-2</v>
      </c>
      <c r="Q3" s="44">
        <f>E10/AVERAGE(D23:E23)</f>
        <v>4.3501497666500626E-2</v>
      </c>
      <c r="R3" s="44">
        <f>F10/AVERAGE(E23:F23)</f>
        <v>5.6539693812763935E-2</v>
      </c>
      <c r="S3" s="44">
        <f>G10/AVERAGE(F23:G23)</f>
        <v>4.5199372005565952E-2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60222.77</v>
      </c>
      <c r="E5">
        <v>72629.33</v>
      </c>
      <c r="F5" s="85">
        <v>82264.34</v>
      </c>
      <c r="G5" s="90">
        <v>104077.75</v>
      </c>
      <c r="H5" s="85">
        <v>26975.53</v>
      </c>
      <c r="I5" s="85">
        <v>35108.629999999997</v>
      </c>
      <c r="J5" s="85">
        <v>34724.6</v>
      </c>
      <c r="K5" s="85">
        <v>35569.47</v>
      </c>
      <c r="L5" s="11"/>
      <c r="M5" s="11"/>
      <c r="N5" s="42" t="s">
        <v>13</v>
      </c>
      <c r="O5" s="46"/>
      <c r="P5" s="47">
        <f>D21/D20</f>
        <v>4.740428489528651</v>
      </c>
      <c r="Q5" s="47">
        <f>E21/E20</f>
        <v>3.5870809344069419</v>
      </c>
      <c r="R5" s="47">
        <f>F21/F20</f>
        <v>4.2689701565117755</v>
      </c>
      <c r="S5" s="47">
        <f>G21/G20</f>
        <v>4.4836765645543091</v>
      </c>
      <c r="T5" s="48">
        <v>3.9899999999999998E-2</v>
      </c>
      <c r="U5" s="18"/>
      <c r="V5" s="18"/>
      <c r="W5" s="18"/>
    </row>
    <row r="6" spans="1:23" x14ac:dyDescent="0.25">
      <c r="A6" s="6" t="s">
        <v>50</v>
      </c>
      <c r="B6" s="7"/>
      <c r="C6" s="8"/>
      <c r="D6">
        <v>54581.37</v>
      </c>
      <c r="E6">
        <v>67151.47</v>
      </c>
      <c r="F6" s="85">
        <v>77465.039999999994</v>
      </c>
      <c r="G6" s="85">
        <v>84419.22</v>
      </c>
      <c r="H6" s="85">
        <v>25394.26</v>
      </c>
      <c r="I6" s="85">
        <v>28970.639999999999</v>
      </c>
      <c r="J6" s="85">
        <v>30443.77</v>
      </c>
      <c r="K6" s="85">
        <v>31405.74</v>
      </c>
      <c r="L6" s="11"/>
      <c r="M6" s="11"/>
      <c r="N6" s="42" t="s">
        <v>14</v>
      </c>
      <c r="O6" s="43"/>
      <c r="P6" s="43">
        <v>0.17929999999999999</v>
      </c>
      <c r="Q6" s="43">
        <v>0.2064</v>
      </c>
      <c r="R6" s="43">
        <v>0.20699999999999999</v>
      </c>
      <c r="S6" s="48">
        <v>0.2039</v>
      </c>
      <c r="T6" s="48">
        <v>0.20050000000000001</v>
      </c>
      <c r="U6" s="48">
        <v>0.1855</v>
      </c>
      <c r="V6" s="48">
        <v>0.20519999999999999</v>
      </c>
      <c r="W6" s="48">
        <v>0.2316</v>
      </c>
    </row>
    <row r="7" spans="1:23" x14ac:dyDescent="0.25">
      <c r="A7" s="6" t="s">
        <v>51</v>
      </c>
      <c r="B7" s="7"/>
      <c r="C7" s="8"/>
      <c r="D7" s="87"/>
      <c r="E7" s="85"/>
      <c r="F7" s="85">
        <v>0</v>
      </c>
      <c r="G7" s="85">
        <v>0</v>
      </c>
      <c r="H7" s="85"/>
      <c r="I7" s="85"/>
      <c r="J7" s="85"/>
      <c r="K7" s="85"/>
      <c r="L7" s="11"/>
      <c r="M7" s="11"/>
      <c r="N7" s="42" t="s">
        <v>15</v>
      </c>
      <c r="O7" s="43"/>
      <c r="P7" s="44">
        <f>D20/D23</f>
        <v>0.19288481124206586</v>
      </c>
      <c r="Q7" s="44">
        <f>E20/E23</f>
        <v>0.25618772621841696</v>
      </c>
      <c r="R7" s="44">
        <f>F20/F23</f>
        <v>0.22015717472438426</v>
      </c>
      <c r="S7" s="44">
        <f>G20/G23</f>
        <v>0.22800833979993076</v>
      </c>
      <c r="T7" s="18"/>
      <c r="U7" s="18"/>
      <c r="V7" s="18"/>
      <c r="W7" s="18"/>
    </row>
    <row r="8" spans="1:23" x14ac:dyDescent="0.25">
      <c r="A8" s="6" t="s">
        <v>52</v>
      </c>
      <c r="B8" s="7"/>
      <c r="C8" s="8"/>
      <c r="D8" s="85">
        <f t="shared" ref="D8:K8" si="0">D5-D6-D7</f>
        <v>5641.3999999999942</v>
      </c>
      <c r="E8" s="85">
        <f t="shared" si="0"/>
        <v>5477.8600000000006</v>
      </c>
      <c r="F8" s="85">
        <f t="shared" si="0"/>
        <v>4799.3000000000029</v>
      </c>
      <c r="G8" s="85">
        <f t="shared" si="0"/>
        <v>19658.53</v>
      </c>
      <c r="H8" s="85">
        <f t="shared" si="0"/>
        <v>1581.2700000000004</v>
      </c>
      <c r="I8" s="85">
        <f t="shared" si="0"/>
        <v>6137.989999999998</v>
      </c>
      <c r="J8" s="85">
        <f t="shared" si="0"/>
        <v>4280.8299999999981</v>
      </c>
      <c r="K8" s="85">
        <f t="shared" si="0"/>
        <v>4163.7299999999996</v>
      </c>
      <c r="L8" s="11"/>
      <c r="M8" s="11"/>
      <c r="N8" s="40" t="s">
        <v>16</v>
      </c>
      <c r="O8" s="45"/>
      <c r="P8" s="45"/>
      <c r="Q8" s="45"/>
      <c r="R8" s="46" t="s">
        <v>5</v>
      </c>
      <c r="S8" s="18"/>
      <c r="T8" s="18"/>
      <c r="U8" s="18"/>
      <c r="V8" s="18"/>
      <c r="W8" s="18"/>
    </row>
    <row r="9" spans="1:23" ht="33.75" x14ac:dyDescent="0.25">
      <c r="A9" s="6" t="s">
        <v>24</v>
      </c>
      <c r="B9" s="7"/>
      <c r="C9" s="7"/>
      <c r="D9" s="88">
        <v>36297.910000000003</v>
      </c>
      <c r="E9" s="85">
        <v>42751.15</v>
      </c>
      <c r="F9" s="85">
        <v>43094.01</v>
      </c>
      <c r="G9" s="85">
        <v>49880.26</v>
      </c>
      <c r="H9" s="85">
        <v>15263.49</v>
      </c>
      <c r="I9" s="85">
        <v>17257.060000000001</v>
      </c>
      <c r="J9" s="85">
        <v>17830.68</v>
      </c>
      <c r="K9" s="85">
        <v>17485.46</v>
      </c>
      <c r="L9" s="11"/>
      <c r="M9" s="11"/>
      <c r="N9" s="49" t="s">
        <v>93</v>
      </c>
      <c r="O9" s="45"/>
      <c r="P9" s="93">
        <f>D14/(D11-D9)</f>
        <v>0.75668948533032188</v>
      </c>
      <c r="Q9" s="93">
        <f>E14/(E11-E9)</f>
        <v>0.41513472373484595</v>
      </c>
      <c r="R9" s="93">
        <f>F14/(F11-F9)</f>
        <v>0.2771447164218428</v>
      </c>
      <c r="S9" s="93">
        <f>G14/(G11-G9)</f>
        <v>0.26573647598809469</v>
      </c>
      <c r="T9" s="18"/>
      <c r="U9" s="18"/>
      <c r="V9" s="18"/>
      <c r="W9" s="18"/>
    </row>
    <row r="10" spans="1:23" ht="22.5" x14ac:dyDescent="0.25">
      <c r="A10" s="6" t="s">
        <v>53</v>
      </c>
      <c r="B10" s="10">
        <f t="shared" ref="B10:H10" si="1">B6-B9</f>
        <v>0</v>
      </c>
      <c r="C10" s="10">
        <f t="shared" si="1"/>
        <v>0</v>
      </c>
      <c r="D10" s="89">
        <f t="shared" si="1"/>
        <v>18283.46</v>
      </c>
      <c r="E10" s="89">
        <f t="shared" si="1"/>
        <v>24400.32</v>
      </c>
      <c r="F10" s="89">
        <f t="shared" si="1"/>
        <v>34371.029999999992</v>
      </c>
      <c r="G10" s="89">
        <f t="shared" si="1"/>
        <v>34538.959999999999</v>
      </c>
      <c r="H10" s="89">
        <f t="shared" si="1"/>
        <v>10130.769999999999</v>
      </c>
      <c r="I10" s="89">
        <f>I6-I9</f>
        <v>11713.579999999998</v>
      </c>
      <c r="J10" s="89">
        <f>J6-J9</f>
        <v>12613.09</v>
      </c>
      <c r="K10" s="89">
        <f>K6-K9</f>
        <v>13920.280000000002</v>
      </c>
      <c r="L10" s="11"/>
      <c r="M10" s="11"/>
      <c r="N10" s="42" t="s">
        <v>92</v>
      </c>
      <c r="O10" s="43"/>
      <c r="P10" s="44">
        <f>D14/D11</f>
        <v>0.30061204424837978</v>
      </c>
      <c r="Q10" s="44">
        <f>E14/E11</f>
        <v>0.17077770096461029</v>
      </c>
      <c r="R10" s="44">
        <f>F14/F11</f>
        <v>0.1319630109473923</v>
      </c>
      <c r="S10" s="44">
        <f>G14/G11</f>
        <v>0.13837972092978568</v>
      </c>
      <c r="T10" s="18"/>
      <c r="U10" s="18"/>
      <c r="V10" s="18"/>
      <c r="W10" s="18"/>
    </row>
    <row r="11" spans="1:23" ht="22.5" x14ac:dyDescent="0.25">
      <c r="A11" s="6" t="s">
        <v>1</v>
      </c>
      <c r="B11" s="10">
        <f>B5-B9</f>
        <v>0</v>
      </c>
      <c r="C11" s="10">
        <f t="shared" ref="C11:H11" si="2">SUM(C6:C8)</f>
        <v>0</v>
      </c>
      <c r="D11" s="89">
        <f t="shared" si="2"/>
        <v>60222.77</v>
      </c>
      <c r="E11" s="89">
        <f t="shared" si="2"/>
        <v>72629.33</v>
      </c>
      <c r="F11" s="89">
        <f>SUM(F6:F8)</f>
        <v>82264.34</v>
      </c>
      <c r="G11" s="89">
        <f>SUM(G6:G8)</f>
        <v>104077.75</v>
      </c>
      <c r="H11" s="89">
        <f t="shared" si="2"/>
        <v>26975.53</v>
      </c>
      <c r="I11" s="89">
        <f>SUM(I6:I8)</f>
        <v>35108.629999999997</v>
      </c>
      <c r="J11" s="89">
        <f>SUM(J6:J8)</f>
        <v>34724.6</v>
      </c>
      <c r="K11" s="89">
        <f>SUM(K6:K8)</f>
        <v>35569.47</v>
      </c>
      <c r="L11" s="11"/>
      <c r="M11" s="11"/>
      <c r="N11" s="42" t="s">
        <v>17</v>
      </c>
      <c r="O11" s="43"/>
      <c r="P11" s="44">
        <f>D14/AVERAGE(C22:D22)</f>
        <v>2.605269648155072E-2</v>
      </c>
      <c r="Q11" s="44">
        <f>E14/AVERAGE(D22:E22)</f>
        <v>1.870243338720615E-2</v>
      </c>
      <c r="R11" s="44">
        <f>F14/AVERAGE(E22:F22)</f>
        <v>1.4977321034303163E-2</v>
      </c>
      <c r="S11" s="44">
        <f>G14/AVERAGE(F22:G22)</f>
        <v>1.5138190162818331E-2</v>
      </c>
      <c r="T11" s="18"/>
      <c r="U11" s="18"/>
      <c r="V11" s="18"/>
      <c r="W11" s="18"/>
    </row>
    <row r="12" spans="1:23" x14ac:dyDescent="0.25">
      <c r="A12" s="6" t="s">
        <v>91</v>
      </c>
      <c r="B12" s="10"/>
      <c r="C12" s="10"/>
      <c r="D12" s="89">
        <v>252.19</v>
      </c>
      <c r="E12" s="89">
        <v>466.36</v>
      </c>
      <c r="F12" s="89">
        <v>1167.99</v>
      </c>
      <c r="G12" s="89">
        <v>756.37</v>
      </c>
      <c r="H12" s="89">
        <v>849.83</v>
      </c>
      <c r="I12" s="89">
        <v>128.1</v>
      </c>
      <c r="J12" s="89">
        <v>430.94</v>
      </c>
      <c r="K12" s="89">
        <v>478.55</v>
      </c>
      <c r="L12" s="11"/>
      <c r="M12" s="11"/>
      <c r="N12" s="40" t="s">
        <v>18</v>
      </c>
      <c r="O12" s="45"/>
      <c r="P12" s="45"/>
      <c r="Q12" s="45"/>
      <c r="R12" s="46" t="s">
        <v>5</v>
      </c>
      <c r="S12" s="18"/>
      <c r="T12" s="18"/>
      <c r="U12" s="18"/>
      <c r="V12" s="53"/>
      <c r="W12" s="54"/>
    </row>
    <row r="13" spans="1:23" x14ac:dyDescent="0.25">
      <c r="A13" s="6" t="s">
        <v>25</v>
      </c>
      <c r="B13" s="7"/>
      <c r="C13" s="7"/>
      <c r="D13" s="88">
        <f>D11+D12</f>
        <v>60474.96</v>
      </c>
      <c r="E13" s="88">
        <f t="shared" ref="E13:K13" si="3">E11+E12</f>
        <v>73095.69</v>
      </c>
      <c r="F13" s="88">
        <f t="shared" si="3"/>
        <v>83432.33</v>
      </c>
      <c r="G13" s="88">
        <f t="shared" si="3"/>
        <v>104834.12</v>
      </c>
      <c r="H13" s="88">
        <f t="shared" si="3"/>
        <v>27825.360000000001</v>
      </c>
      <c r="I13" s="88">
        <f t="shared" si="3"/>
        <v>35236.729999999996</v>
      </c>
      <c r="J13" s="88">
        <f t="shared" si="3"/>
        <v>35155.54</v>
      </c>
      <c r="K13" s="88">
        <f t="shared" si="3"/>
        <v>36048.020000000004</v>
      </c>
      <c r="L13" s="11"/>
      <c r="M13" s="11"/>
      <c r="N13" s="42" t="s">
        <v>19</v>
      </c>
      <c r="O13" s="43"/>
      <c r="P13" s="44">
        <f>D24/D23</f>
        <v>9.8275481473851598E-3</v>
      </c>
      <c r="Q13" s="44">
        <f>E24/E23</f>
        <v>4.6292174865889268E-2</v>
      </c>
      <c r="R13" s="44">
        <f>F24/F23</f>
        <v>3.5573580352822508E-2</v>
      </c>
      <c r="S13" s="44">
        <f>G24/G23</f>
        <v>7.4297306806084207E-2</v>
      </c>
      <c r="T13" s="48">
        <v>6.1800000000000001E-2</v>
      </c>
      <c r="U13" s="48">
        <v>5.8000000000000003E-2</v>
      </c>
      <c r="V13" s="48">
        <v>6.6699999999999995E-2</v>
      </c>
      <c r="W13" s="48">
        <v>4.0800000000000003E-2</v>
      </c>
    </row>
    <row r="14" spans="1:23" x14ac:dyDescent="0.25">
      <c r="A14" s="6" t="s">
        <v>26</v>
      </c>
      <c r="B14" s="7"/>
      <c r="C14" s="7"/>
      <c r="D14" s="85">
        <f>6057.08+137.81+11908.8</f>
        <v>18103.689999999999</v>
      </c>
      <c r="E14" s="85">
        <f>4527.34+163.15+7712.98</f>
        <v>12403.47</v>
      </c>
      <c r="F14" s="85">
        <f>3957.09+164.24+6734.52</f>
        <v>10855.85</v>
      </c>
      <c r="G14" s="85">
        <f>5092.58+139.09+9170.58</f>
        <v>14402.25</v>
      </c>
      <c r="H14" s="85">
        <f>1697.31+23.17+2829.4</f>
        <v>4549.88</v>
      </c>
      <c r="I14" s="85">
        <f>1774.35+23.81+2812.97</f>
        <v>4611.1299999999992</v>
      </c>
      <c r="J14" s="85">
        <f>1911.28+23.47+3298.25</f>
        <v>5233</v>
      </c>
      <c r="K14" s="85">
        <f>2848.03+20.54+4249.26</f>
        <v>7117.83</v>
      </c>
      <c r="L14" s="11"/>
      <c r="M14" s="11"/>
      <c r="N14" s="42" t="s">
        <v>20</v>
      </c>
      <c r="O14" s="43"/>
      <c r="P14" s="44">
        <f>D25/D23</f>
        <v>6.8375211491938379E-3</v>
      </c>
      <c r="Q14" s="44">
        <f>E25/E23</f>
        <v>3.87236366148727E-2</v>
      </c>
      <c r="R14" s="44">
        <f>F25/F23</f>
        <v>2.9830801725700525E-2</v>
      </c>
      <c r="S14" s="44">
        <f>G25/G23</f>
        <v>4.843329167462998E-2</v>
      </c>
      <c r="T14" s="48"/>
      <c r="U14" s="18"/>
      <c r="V14" s="18"/>
      <c r="W14" s="48">
        <v>2.8199999999999999E-2</v>
      </c>
    </row>
    <row r="15" spans="1:23" x14ac:dyDescent="0.25">
      <c r="A15" s="6" t="s">
        <v>54</v>
      </c>
      <c r="B15" s="10"/>
      <c r="C15" s="10"/>
      <c r="D15" s="89">
        <f t="shared" ref="D15:K15" si="4">D11-D14</f>
        <v>42119.08</v>
      </c>
      <c r="E15" s="89">
        <f t="shared" si="4"/>
        <v>60225.86</v>
      </c>
      <c r="F15" s="89">
        <f t="shared" si="4"/>
        <v>71408.489999999991</v>
      </c>
      <c r="G15" s="89">
        <f t="shared" si="4"/>
        <v>89675.5</v>
      </c>
      <c r="H15" s="89">
        <f t="shared" si="4"/>
        <v>22425.649999999998</v>
      </c>
      <c r="I15" s="89">
        <f t="shared" si="4"/>
        <v>30497.5</v>
      </c>
      <c r="J15" s="89">
        <f t="shared" si="4"/>
        <v>29491.599999999999</v>
      </c>
      <c r="K15" s="89">
        <f t="shared" si="4"/>
        <v>28451.64</v>
      </c>
      <c r="L15" s="11"/>
      <c r="M15" s="11"/>
      <c r="N15" s="42" t="s">
        <v>21</v>
      </c>
      <c r="O15" s="43"/>
      <c r="P15" s="44">
        <f>(P13-P14)/P13</f>
        <v>0.30424953949341738</v>
      </c>
      <c r="Q15" s="44">
        <f>(Q13-Q14)/Q13</f>
        <v>0.1634949810187791</v>
      </c>
      <c r="R15" s="44">
        <f>(R13-R14)/R13</f>
        <v>0.16143381043359992</v>
      </c>
      <c r="S15" s="44">
        <f>(S13-S14)/S13</f>
        <v>0.34811510999933343</v>
      </c>
      <c r="T15" s="44">
        <f>(T13-T14)/T13</f>
        <v>1</v>
      </c>
      <c r="U15" s="18"/>
      <c r="V15" s="18"/>
      <c r="W15" s="18"/>
    </row>
    <row r="16" spans="1:23" x14ac:dyDescent="0.25">
      <c r="A16" s="6" t="s">
        <v>94</v>
      </c>
      <c r="B16" s="10"/>
      <c r="C16" s="10"/>
      <c r="D16" s="89">
        <f t="shared" ref="D16:K16" si="5">D13-D14-D9</f>
        <v>6073.3600000000006</v>
      </c>
      <c r="E16" s="89">
        <f t="shared" si="5"/>
        <v>17941.07</v>
      </c>
      <c r="F16" s="89">
        <f t="shared" si="5"/>
        <v>29482.469999999994</v>
      </c>
      <c r="G16" s="89">
        <f t="shared" si="5"/>
        <v>40551.609999999993</v>
      </c>
      <c r="H16" s="89">
        <f t="shared" si="5"/>
        <v>8011.99</v>
      </c>
      <c r="I16" s="89">
        <f t="shared" si="5"/>
        <v>13368.539999999997</v>
      </c>
      <c r="J16" s="89">
        <f t="shared" si="5"/>
        <v>12091.86</v>
      </c>
      <c r="K16" s="89">
        <f t="shared" si="5"/>
        <v>11444.730000000003</v>
      </c>
      <c r="L16" s="11"/>
      <c r="M16" s="11"/>
      <c r="N16" s="42" t="s">
        <v>22</v>
      </c>
      <c r="O16" s="43"/>
      <c r="P16" s="44">
        <f>D17/AVERAGE(C23:D23)</f>
        <v>-6.4446930105885236E-3</v>
      </c>
      <c r="Q16" s="44">
        <f>E17/AVERAGE(D23:E23)</f>
        <v>-3.0846257855471865E-3</v>
      </c>
      <c r="R16" s="44">
        <f>F17/AVERAGE(E23:F23)</f>
        <v>1.8879678073256041E-2</v>
      </c>
      <c r="S16" s="44">
        <f>G17/AVERAGE(F23:G23)</f>
        <v>2.1818749771804351E-2</v>
      </c>
      <c r="T16" s="18"/>
      <c r="U16" s="18"/>
      <c r="V16" s="18"/>
      <c r="W16" s="18"/>
    </row>
    <row r="17" spans="1:23" x14ac:dyDescent="0.25">
      <c r="A17" s="6" t="s">
        <v>27</v>
      </c>
      <c r="B17" s="7"/>
      <c r="C17" s="7"/>
      <c r="D17" s="88">
        <v>-3869.82</v>
      </c>
      <c r="E17" s="85">
        <v>-1730.19</v>
      </c>
      <c r="F17" s="85">
        <v>11477.14</v>
      </c>
      <c r="G17" s="85">
        <v>16672.73</v>
      </c>
      <c r="H17" s="85">
        <v>2619.88</v>
      </c>
      <c r="I17" s="85">
        <v>13969.29</v>
      </c>
      <c r="J17" s="85">
        <v>8125.4</v>
      </c>
      <c r="K17" s="85">
        <v>9985.4699999999993</v>
      </c>
      <c r="L17" s="11"/>
      <c r="M17" s="11"/>
      <c r="N17" s="18"/>
      <c r="O17" s="18"/>
      <c r="P17" s="18"/>
      <c r="Q17" s="18"/>
      <c r="R17" s="18"/>
      <c r="S17" s="18"/>
      <c r="T17" s="18"/>
      <c r="U17" s="18"/>
      <c r="V17" s="18"/>
      <c r="W17" s="18"/>
    </row>
    <row r="18" spans="1:23" x14ac:dyDescent="0.25">
      <c r="A18" s="6" t="s">
        <v>55</v>
      </c>
      <c r="B18" s="7"/>
      <c r="C18" s="7"/>
      <c r="D18" s="88">
        <v>9943.18</v>
      </c>
      <c r="E18" s="85">
        <v>17613.89</v>
      </c>
      <c r="F18" s="89">
        <v>19391.27</v>
      </c>
      <c r="G18" s="89">
        <v>19193.87</v>
      </c>
      <c r="H18" s="89">
        <v>3881.74</v>
      </c>
      <c r="I18" s="89">
        <v>-600.75</v>
      </c>
      <c r="J18" s="89">
        <v>3966.38</v>
      </c>
      <c r="K18" s="89">
        <v>1127.43</v>
      </c>
      <c r="L18" s="11"/>
      <c r="M18" s="11"/>
      <c r="N18" s="40" t="s">
        <v>30</v>
      </c>
      <c r="O18" s="45"/>
      <c r="P18" s="45"/>
      <c r="Q18" s="45"/>
      <c r="R18" s="46" t="s">
        <v>5</v>
      </c>
      <c r="S18" s="18"/>
      <c r="T18" s="18"/>
      <c r="U18" s="18"/>
      <c r="V18" s="18"/>
      <c r="W18" s="18"/>
    </row>
    <row r="19" spans="1:23" ht="22.5" x14ac:dyDescent="0.25">
      <c r="A19" s="6" t="s">
        <v>28</v>
      </c>
      <c r="B19" s="7"/>
      <c r="C19" s="7"/>
      <c r="D19" s="88">
        <v>115820.8</v>
      </c>
      <c r="E19" s="85">
        <v>133563.22</v>
      </c>
      <c r="F19" s="85">
        <v>152892.65</v>
      </c>
      <c r="G19" s="85">
        <v>190118.68</v>
      </c>
      <c r="H19" s="85">
        <v>214366.69</v>
      </c>
      <c r="I19" s="85"/>
      <c r="J19" s="85"/>
      <c r="K19" s="85">
        <v>244826.13</v>
      </c>
      <c r="L19" s="11"/>
      <c r="M19" s="11"/>
      <c r="N19" s="46" t="s">
        <v>95</v>
      </c>
      <c r="O19" s="51"/>
      <c r="P19" s="51"/>
      <c r="Q19" s="52">
        <f>E16/AVERAGE(D22:E22)</f>
        <v>2.7052241555806777E-2</v>
      </c>
      <c r="R19" s="52">
        <f>F16/AVERAGE(E22:F22)</f>
        <v>4.0675618958829741E-2</v>
      </c>
      <c r="S19" s="52">
        <f>G16/AVERAGE(F22:G22)</f>
        <v>4.2623755565168314E-2</v>
      </c>
      <c r="T19" s="18"/>
      <c r="U19" s="18"/>
      <c r="V19" s="18"/>
      <c r="W19" s="18"/>
    </row>
    <row r="20" spans="1:23" x14ac:dyDescent="0.25">
      <c r="A20" s="6" t="s">
        <v>56</v>
      </c>
      <c r="B20" s="7"/>
      <c r="C20" s="7"/>
      <c r="D20" s="88">
        <f t="shared" ref="D20:K20" si="6">D19-D71</f>
        <v>115820.8</v>
      </c>
      <c r="E20" s="89">
        <f t="shared" si="6"/>
        <v>133563.22</v>
      </c>
      <c r="F20" s="89">
        <f t="shared" si="6"/>
        <v>152892.65</v>
      </c>
      <c r="G20" s="89">
        <f t="shared" si="6"/>
        <v>190118.68</v>
      </c>
      <c r="H20" s="89">
        <f t="shared" si="6"/>
        <v>214366.69</v>
      </c>
      <c r="I20" s="89">
        <f t="shared" si="6"/>
        <v>0</v>
      </c>
      <c r="J20" s="89">
        <f t="shared" si="6"/>
        <v>0</v>
      </c>
      <c r="K20" s="89">
        <f t="shared" si="6"/>
        <v>244826.13</v>
      </c>
      <c r="L20" s="11"/>
      <c r="M20" s="11"/>
      <c r="N20" s="42" t="s">
        <v>31</v>
      </c>
      <c r="O20" s="43"/>
      <c r="P20" s="43">
        <v>4.4699999999999997E-2</v>
      </c>
      <c r="Q20" s="44">
        <f>E18/AVERAGE(D22:E22)</f>
        <v>2.6558906855466781E-2</v>
      </c>
      <c r="R20" s="44">
        <f>F18/AVERAGE(E22:F22)</f>
        <v>2.675325064853069E-2</v>
      </c>
      <c r="S20" s="44">
        <f>G18/AVERAGE(F22:G22)</f>
        <v>2.0174657016814306E-2</v>
      </c>
      <c r="T20" s="48"/>
      <c r="U20" s="18"/>
      <c r="V20" s="18"/>
      <c r="W20" s="18"/>
    </row>
    <row r="21" spans="1:23" x14ac:dyDescent="0.25">
      <c r="A21" s="6" t="s">
        <v>57</v>
      </c>
      <c r="B21" s="9"/>
      <c r="C21" s="9"/>
      <c r="D21" s="85">
        <f>320907.63+228132.59</f>
        <v>549040.22</v>
      </c>
      <c r="E21" s="85">
        <f>100120.47+378981.61</f>
        <v>479102.07999999996</v>
      </c>
      <c r="F21" s="85">
        <f>199271.07+453423.09</f>
        <v>652694.16</v>
      </c>
      <c r="G21" s="85">
        <f>188607.15+663823.52</f>
        <v>852430.67</v>
      </c>
      <c r="H21" s="85"/>
      <c r="I21" s="85"/>
      <c r="J21" s="85"/>
      <c r="K21" s="85">
        <f>164833.34+733031.92</f>
        <v>897865.26</v>
      </c>
      <c r="L21" s="11"/>
      <c r="M21" s="11"/>
      <c r="N21" s="42" t="s">
        <v>32</v>
      </c>
      <c r="O21" s="43"/>
      <c r="P21" s="44">
        <f>D18/AVERAGE(C19:D19)</f>
        <v>8.5849691937890257E-2</v>
      </c>
      <c r="Q21" s="44">
        <f>E18/AVERAGE(D19:E19)</f>
        <v>0.14125917129734294</v>
      </c>
      <c r="R21" s="44">
        <f>F18/AVERAGE(E19:F19)</f>
        <v>0.13538748568845876</v>
      </c>
      <c r="S21" s="44">
        <f>G18/AVERAGE(F19:G19)</f>
        <v>0.11191391258125498</v>
      </c>
      <c r="T21" s="18"/>
      <c r="U21" s="18"/>
      <c r="V21" s="18"/>
      <c r="W21" s="18"/>
    </row>
    <row r="22" spans="1:23" x14ac:dyDescent="0.25">
      <c r="A22" s="6" t="s">
        <v>29</v>
      </c>
      <c r="B22" s="7"/>
      <c r="C22" s="7"/>
      <c r="D22" s="88">
        <v>694887.38</v>
      </c>
      <c r="E22" s="85">
        <v>631514.35</v>
      </c>
      <c r="F22" s="85">
        <v>818124.07</v>
      </c>
      <c r="G22" s="85">
        <v>1084646.32</v>
      </c>
      <c r="H22" s="85"/>
      <c r="I22" s="85"/>
      <c r="J22" s="85"/>
      <c r="K22" s="85">
        <v>1178919.02</v>
      </c>
      <c r="L22" s="11"/>
      <c r="M22" s="11"/>
      <c r="N22" s="40" t="s">
        <v>33</v>
      </c>
      <c r="O22" s="45"/>
      <c r="P22" s="45"/>
      <c r="Q22" s="45"/>
      <c r="R22" s="46" t="s">
        <v>5</v>
      </c>
      <c r="S22" s="18"/>
      <c r="T22" s="18"/>
      <c r="U22" s="18"/>
      <c r="V22" s="18"/>
      <c r="W22" s="18"/>
    </row>
    <row r="23" spans="1:23" x14ac:dyDescent="0.25">
      <c r="A23" s="6" t="s">
        <v>58</v>
      </c>
      <c r="B23" s="7"/>
      <c r="C23" s="7"/>
      <c r="D23" s="88">
        <v>600466.15</v>
      </c>
      <c r="E23" s="85">
        <v>521349.02</v>
      </c>
      <c r="F23" s="85">
        <v>694470.44</v>
      </c>
      <c r="G23" s="85">
        <v>833823.36</v>
      </c>
      <c r="H23" s="85"/>
      <c r="I23" s="85"/>
      <c r="J23" s="85"/>
      <c r="K23" s="85">
        <v>977227.68</v>
      </c>
      <c r="L23" s="11"/>
      <c r="M23" s="11"/>
      <c r="N23" s="42" t="s">
        <v>34</v>
      </c>
      <c r="O23" s="43"/>
      <c r="P23" s="44">
        <f>D6/AVERAGE(C23:D23)</f>
        <v>9.0898329572782752E-2</v>
      </c>
      <c r="Q23" s="44">
        <f>E6/AVERAGE(D23:E23)</f>
        <v>0.11971931169374364</v>
      </c>
      <c r="R23" s="44">
        <f>F6/AVERAGE(E23:F23)</f>
        <v>0.12742852462650991</v>
      </c>
      <c r="S23" s="44">
        <f>G6/AVERAGE(F23:G23)</f>
        <v>0.11047511937822428</v>
      </c>
      <c r="T23" s="18"/>
      <c r="U23" s="18"/>
      <c r="V23" s="18"/>
      <c r="W23" s="18"/>
    </row>
    <row r="24" spans="1:23" x14ac:dyDescent="0.25">
      <c r="A24" s="6" t="s">
        <v>59</v>
      </c>
      <c r="B24" s="10"/>
      <c r="C24" s="10"/>
      <c r="D24" s="89">
        <v>5901.11</v>
      </c>
      <c r="E24" s="89">
        <v>24134.38</v>
      </c>
      <c r="F24" s="89">
        <v>24704.799999999999</v>
      </c>
      <c r="G24" s="89">
        <v>61950.83</v>
      </c>
      <c r="H24" s="89"/>
      <c r="I24" s="89"/>
      <c r="J24" s="89"/>
      <c r="K24" s="89"/>
      <c r="L24" s="11"/>
      <c r="M24" s="11"/>
      <c r="N24" s="42" t="s">
        <v>35</v>
      </c>
      <c r="O24" s="43"/>
      <c r="P24" s="44">
        <f>D9/AVERAGE(C21:D21)</f>
        <v>6.6111568292756412E-2</v>
      </c>
      <c r="Q24" s="44">
        <f>E9/AVERAGE(D21:E21)</f>
        <v>8.3161931962141819E-2</v>
      </c>
      <c r="R24" s="44">
        <f>F9/AVERAGE(E21:F21)</f>
        <v>7.6151534131267309E-2</v>
      </c>
      <c r="S24" s="44">
        <f>G9/AVERAGE(F21:G21)</f>
        <v>6.6280562257417547E-2</v>
      </c>
      <c r="T24" s="18"/>
      <c r="U24" s="18"/>
      <c r="V24" s="18"/>
      <c r="W24" s="18"/>
    </row>
    <row r="25" spans="1:23" x14ac:dyDescent="0.25">
      <c r="A25" s="6" t="s">
        <v>60</v>
      </c>
      <c r="B25" s="10"/>
      <c r="C25" s="10"/>
      <c r="D25" s="89">
        <v>4105.7</v>
      </c>
      <c r="E25" s="89">
        <v>20188.53</v>
      </c>
      <c r="F25" s="89">
        <v>20716.61</v>
      </c>
      <c r="G25" s="89">
        <v>40384.81</v>
      </c>
      <c r="H25" s="89"/>
      <c r="I25" s="89"/>
      <c r="J25" s="89"/>
      <c r="K25" s="89"/>
      <c r="L25" s="11"/>
      <c r="M25" s="11"/>
      <c r="N25" s="42" t="s">
        <v>36</v>
      </c>
      <c r="O25" s="43"/>
      <c r="P25" s="48">
        <f>P23-P24</f>
        <v>2.478676128002634E-2</v>
      </c>
      <c r="Q25" s="48">
        <f>Q23-Q24</f>
        <v>3.6557379731601822E-2</v>
      </c>
      <c r="R25" s="48">
        <f>R23-R24</f>
        <v>5.1276990495242605E-2</v>
      </c>
      <c r="S25" s="48">
        <f>S23-S24</f>
        <v>4.4194557120806735E-2</v>
      </c>
      <c r="T25" s="18"/>
      <c r="U25" s="18"/>
      <c r="V25" s="18"/>
      <c r="W25" s="18"/>
    </row>
  </sheetData>
  <mergeCells count="1">
    <mergeCell ref="I1:K1"/>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B1:U26"/>
  <sheetViews>
    <sheetView showGridLines="0" topLeftCell="A2" zoomScale="95" workbookViewId="0">
      <selection activeCell="M6" sqref="M6"/>
    </sheetView>
  </sheetViews>
  <sheetFormatPr defaultRowHeight="15" customHeight="1" x14ac:dyDescent="0.25"/>
  <cols>
    <col min="1" max="1" width="1.85546875" customWidth="1"/>
    <col min="2" max="2" width="33.42578125" customWidth="1"/>
    <col min="3" max="3" width="11.7109375" customWidth="1"/>
    <col min="4" max="6" width="13.140625" customWidth="1"/>
    <col min="7" max="10" width="9.42578125" bestFit="1" customWidth="1"/>
    <col min="13" max="13" width="28.7109375" customWidth="1"/>
    <col min="14" max="15" width="11.7109375" bestFit="1" customWidth="1"/>
    <col min="16" max="17" width="11.28515625" customWidth="1"/>
    <col min="18" max="19" width="9.42578125" bestFit="1" customWidth="1"/>
  </cols>
  <sheetData>
    <row r="1" spans="2:21" ht="15.75" thickBot="1" x14ac:dyDescent="0.3">
      <c r="H1" s="755" t="s">
        <v>113</v>
      </c>
      <c r="I1" s="755"/>
      <c r="J1" s="755"/>
    </row>
    <row r="2" spans="2:21" ht="19.5" thickBot="1" x14ac:dyDescent="0.35">
      <c r="B2" s="786" t="s">
        <v>699</v>
      </c>
      <c r="C2" s="787"/>
      <c r="D2" s="787"/>
      <c r="E2" s="787"/>
      <c r="F2" s="787"/>
      <c r="G2" s="787"/>
      <c r="H2" s="787"/>
      <c r="I2" s="787"/>
      <c r="J2" s="788"/>
    </row>
    <row r="3" spans="2:21" x14ac:dyDescent="0.25">
      <c r="B3" s="478" t="s">
        <v>4</v>
      </c>
      <c r="C3" s="478" t="s">
        <v>366</v>
      </c>
      <c r="D3" s="478" t="s">
        <v>367</v>
      </c>
      <c r="E3" s="478" t="s">
        <v>368</v>
      </c>
      <c r="F3" s="478" t="s">
        <v>693</v>
      </c>
      <c r="G3" s="478" t="s">
        <v>37</v>
      </c>
      <c r="H3" s="478" t="s">
        <v>38</v>
      </c>
      <c r="I3" s="478" t="s">
        <v>39</v>
      </c>
      <c r="J3" s="478" t="s">
        <v>40</v>
      </c>
      <c r="M3" s="480" t="s">
        <v>6</v>
      </c>
      <c r="N3" s="480" t="s">
        <v>492</v>
      </c>
      <c r="O3" s="480" t="s">
        <v>623</v>
      </c>
      <c r="P3" s="480" t="s">
        <v>700</v>
      </c>
      <c r="Q3" s="480" t="s">
        <v>701</v>
      </c>
      <c r="R3" s="480" t="s">
        <v>37</v>
      </c>
      <c r="S3" s="480" t="s">
        <v>38</v>
      </c>
      <c r="T3" s="480" t="s">
        <v>39</v>
      </c>
      <c r="U3" s="480" t="s">
        <v>40</v>
      </c>
    </row>
    <row r="4" spans="2:21" ht="15" customHeight="1" x14ac:dyDescent="0.25">
      <c r="B4" s="471"/>
      <c r="C4" s="472" t="s">
        <v>46</v>
      </c>
      <c r="D4" s="472" t="s">
        <v>46</v>
      </c>
      <c r="E4" s="472" t="s">
        <v>46</v>
      </c>
      <c r="F4" s="472" t="s">
        <v>46</v>
      </c>
      <c r="G4" s="472" t="s">
        <v>96</v>
      </c>
      <c r="H4" s="472"/>
      <c r="I4" s="472"/>
      <c r="J4" s="472"/>
      <c r="M4" s="474" t="s">
        <v>11</v>
      </c>
      <c r="N4" s="484">
        <f>C11/AVERAGE(C24:C24)</f>
        <v>7.5010244194907922E-4</v>
      </c>
      <c r="O4" s="484">
        <f>D11/AVERAGE(C24:D24)</f>
        <v>-6.2046514886241744E-3</v>
      </c>
      <c r="P4" s="484"/>
      <c r="Q4" s="484"/>
      <c r="R4" s="82"/>
      <c r="S4" s="82"/>
      <c r="T4" s="82"/>
      <c r="U4" s="82"/>
    </row>
    <row r="5" spans="2:21" ht="15" customHeight="1" x14ac:dyDescent="0.25">
      <c r="B5" s="471"/>
      <c r="C5" s="480" t="s">
        <v>49</v>
      </c>
      <c r="D5" s="480" t="s">
        <v>49</v>
      </c>
      <c r="E5" s="480" t="s">
        <v>49</v>
      </c>
      <c r="F5" s="480" t="s">
        <v>49</v>
      </c>
      <c r="G5" s="480"/>
      <c r="H5" s="480"/>
      <c r="I5" s="480"/>
      <c r="J5" s="480"/>
      <c r="M5" s="475" t="s">
        <v>12</v>
      </c>
      <c r="N5" s="485" t="s">
        <v>5</v>
      </c>
      <c r="O5" s="82"/>
      <c r="P5" s="82"/>
      <c r="Q5" s="82"/>
      <c r="R5" s="82"/>
      <c r="S5" s="82"/>
      <c r="T5" s="82"/>
      <c r="U5" s="82"/>
    </row>
    <row r="6" spans="2:21" ht="15" customHeight="1" x14ac:dyDescent="0.25">
      <c r="B6" s="473" t="s">
        <v>23</v>
      </c>
      <c r="C6" s="481">
        <v>483356.68</v>
      </c>
      <c r="D6" s="482">
        <v>495426.22</v>
      </c>
      <c r="E6" s="482"/>
      <c r="F6" s="482"/>
      <c r="G6" s="481"/>
      <c r="H6" s="481"/>
      <c r="I6" s="481"/>
      <c r="J6" s="481"/>
      <c r="M6" s="474" t="s">
        <v>13</v>
      </c>
      <c r="N6" s="488">
        <f>C22/C21</f>
        <v>5.0124418790588452</v>
      </c>
      <c r="O6" s="488">
        <f>D22/D21</f>
        <v>4.5717151832160159</v>
      </c>
      <c r="P6" s="488"/>
      <c r="Q6" s="488"/>
      <c r="R6" s="488"/>
      <c r="S6" s="488"/>
      <c r="T6" s="488"/>
      <c r="U6" s="488"/>
    </row>
    <row r="7" spans="2:21" ht="15" customHeight="1" x14ac:dyDescent="0.25">
      <c r="B7" s="473" t="s">
        <v>50</v>
      </c>
      <c r="C7" s="481">
        <v>273033.23</v>
      </c>
      <c r="D7" s="481">
        <v>228592.87</v>
      </c>
      <c r="E7" s="481"/>
      <c r="F7" s="481"/>
      <c r="G7" s="481"/>
      <c r="H7" s="481"/>
      <c r="I7" s="481"/>
      <c r="J7" s="481"/>
      <c r="M7" s="474" t="s">
        <v>14</v>
      </c>
      <c r="N7" s="485">
        <v>0.2316</v>
      </c>
      <c r="O7" s="82">
        <v>0.2092</v>
      </c>
      <c r="P7" s="82"/>
      <c r="Q7" s="82"/>
      <c r="R7" s="82"/>
      <c r="S7" s="82"/>
      <c r="T7" s="82"/>
      <c r="U7" s="82"/>
    </row>
    <row r="8" spans="2:21" ht="15" customHeight="1" x14ac:dyDescent="0.25">
      <c r="B8" s="473" t="s">
        <v>51</v>
      </c>
      <c r="C8" s="481">
        <v>0</v>
      </c>
      <c r="D8" s="481"/>
      <c r="E8" s="481"/>
      <c r="F8" s="481"/>
      <c r="G8" s="481"/>
      <c r="H8" s="481"/>
      <c r="I8" s="481"/>
      <c r="J8" s="481"/>
      <c r="M8" s="474" t="s">
        <v>15</v>
      </c>
      <c r="N8" s="484">
        <f>C21/C24</f>
        <v>0.18008130427980182</v>
      </c>
      <c r="O8" s="484">
        <f>D21/D24</f>
        <v>0.19662098969755037</v>
      </c>
      <c r="P8" s="484"/>
      <c r="Q8" s="484"/>
      <c r="R8" s="82"/>
      <c r="S8" s="82"/>
      <c r="T8" s="82"/>
      <c r="U8" s="82"/>
    </row>
    <row r="9" spans="2:21" ht="15" customHeight="1" x14ac:dyDescent="0.25">
      <c r="B9" s="473" t="s">
        <v>52</v>
      </c>
      <c r="C9" s="481">
        <f t="shared" ref="C9:J9" si="0">C6-C7-C8</f>
        <v>210323.45</v>
      </c>
      <c r="D9" s="481">
        <f t="shared" si="0"/>
        <v>266833.34999999998</v>
      </c>
      <c r="E9" s="481"/>
      <c r="F9" s="481"/>
      <c r="G9" s="481">
        <f t="shared" si="0"/>
        <v>0</v>
      </c>
      <c r="H9" s="481">
        <f t="shared" si="0"/>
        <v>0</v>
      </c>
      <c r="I9" s="481">
        <f t="shared" si="0"/>
        <v>0</v>
      </c>
      <c r="J9" s="481">
        <f t="shared" si="0"/>
        <v>0</v>
      </c>
      <c r="M9" s="475" t="s">
        <v>16</v>
      </c>
      <c r="N9" s="485" t="s">
        <v>5</v>
      </c>
      <c r="O9" s="82"/>
      <c r="P9" s="82"/>
      <c r="Q9" s="82"/>
      <c r="R9" s="82"/>
      <c r="S9" s="82"/>
      <c r="T9" s="82"/>
      <c r="U9" s="82"/>
    </row>
    <row r="10" spans="2:21" ht="15" customHeight="1" x14ac:dyDescent="0.25">
      <c r="B10" s="473" t="s">
        <v>24</v>
      </c>
      <c r="C10" s="481">
        <v>270372.61</v>
      </c>
      <c r="D10" s="481">
        <v>249667.05</v>
      </c>
      <c r="E10" s="481"/>
      <c r="F10" s="481"/>
      <c r="G10" s="481"/>
      <c r="H10" s="481"/>
      <c r="I10" s="481"/>
      <c r="J10" s="481"/>
      <c r="M10" s="476" t="s">
        <v>93</v>
      </c>
      <c r="N10" s="483">
        <f>C15/(C12-C10)</f>
        <v>0.5124204829027823</v>
      </c>
      <c r="O10" s="483">
        <f>D15/(D12-D10)</f>
        <v>0.4705181499432961</v>
      </c>
      <c r="P10" s="483"/>
      <c r="Q10" s="483"/>
      <c r="R10" s="82"/>
      <c r="S10" s="82"/>
      <c r="T10" s="82"/>
      <c r="U10" s="82"/>
    </row>
    <row r="11" spans="2:21" ht="15" customHeight="1" x14ac:dyDescent="0.25">
      <c r="B11" s="473" t="s">
        <v>53</v>
      </c>
      <c r="C11" s="481">
        <f t="shared" ref="C11:J11" si="1">C7-C10</f>
        <v>2660.6199999999953</v>
      </c>
      <c r="D11" s="481">
        <f t="shared" si="1"/>
        <v>-21074.179999999993</v>
      </c>
      <c r="E11" s="481"/>
      <c r="F11" s="481"/>
      <c r="G11" s="481">
        <f t="shared" si="1"/>
        <v>0</v>
      </c>
      <c r="H11" s="481">
        <f t="shared" si="1"/>
        <v>0</v>
      </c>
      <c r="I11" s="481">
        <f t="shared" si="1"/>
        <v>0</v>
      </c>
      <c r="J11" s="481">
        <f t="shared" si="1"/>
        <v>0</v>
      </c>
      <c r="M11" s="474" t="s">
        <v>92</v>
      </c>
      <c r="N11" s="484">
        <f>C15/C12</f>
        <v>0.22579061077629051</v>
      </c>
      <c r="O11" s="484">
        <f>D15/D12</f>
        <v>0.23340337134356756</v>
      </c>
      <c r="P11" s="484"/>
      <c r="Q11" s="484"/>
      <c r="R11" s="82"/>
      <c r="S11" s="82"/>
      <c r="T11" s="82"/>
      <c r="U11" s="82"/>
    </row>
    <row r="12" spans="2:21" ht="15" customHeight="1" x14ac:dyDescent="0.25">
      <c r="B12" s="473" t="s">
        <v>1</v>
      </c>
      <c r="C12" s="481">
        <f>SUM(C7:C9)</f>
        <v>483356.68</v>
      </c>
      <c r="D12" s="481">
        <f>SUM(D7:D9)</f>
        <v>495426.22</v>
      </c>
      <c r="E12" s="481"/>
      <c r="F12" s="481"/>
      <c r="G12" s="481">
        <f t="shared" ref="G12:J12" si="2">SUM(G7:G9)</f>
        <v>0</v>
      </c>
      <c r="H12" s="481">
        <f t="shared" si="2"/>
        <v>0</v>
      </c>
      <c r="I12" s="481">
        <f t="shared" si="2"/>
        <v>0</v>
      </c>
      <c r="J12" s="481">
        <f t="shared" si="2"/>
        <v>0</v>
      </c>
      <c r="M12" s="474" t="s">
        <v>17</v>
      </c>
      <c r="N12" s="484">
        <f>C15/AVERAGE(C23:C23)</f>
        <v>2.6229010736892482E-2</v>
      </c>
      <c r="O12" s="484">
        <f>D15/AVERAGE(C23:D23)</f>
        <v>2.8844862214269452E-2</v>
      </c>
      <c r="P12" s="484"/>
      <c r="Q12" s="484"/>
      <c r="R12" s="82"/>
      <c r="S12" s="82"/>
      <c r="T12" s="82"/>
      <c r="U12" s="82"/>
    </row>
    <row r="13" spans="2:21" ht="15" customHeight="1" x14ac:dyDescent="0.25">
      <c r="B13" s="473" t="s">
        <v>91</v>
      </c>
      <c r="C13" s="481">
        <v>7200.39</v>
      </c>
      <c r="D13" s="481">
        <v>5093.12</v>
      </c>
      <c r="E13" s="481"/>
      <c r="F13" s="481"/>
      <c r="G13" s="481"/>
      <c r="H13" s="481"/>
      <c r="I13" s="481"/>
      <c r="J13" s="481"/>
      <c r="M13" s="475" t="s">
        <v>18</v>
      </c>
      <c r="N13" s="485" t="s">
        <v>5</v>
      </c>
      <c r="O13" s="82"/>
      <c r="P13" s="82"/>
      <c r="Q13" s="82"/>
      <c r="R13" s="82"/>
      <c r="S13" s="82"/>
      <c r="T13" s="486"/>
      <c r="U13" s="486"/>
    </row>
    <row r="14" spans="2:21" ht="15" customHeight="1" x14ac:dyDescent="0.25">
      <c r="B14" s="473" t="s">
        <v>25</v>
      </c>
      <c r="C14" s="481">
        <f t="shared" ref="C14:J14" si="3">C12+C13</f>
        <v>490557.07</v>
      </c>
      <c r="D14" s="481">
        <f t="shared" si="3"/>
        <v>500519.33999999997</v>
      </c>
      <c r="E14" s="481"/>
      <c r="F14" s="481"/>
      <c r="G14" s="481">
        <f t="shared" si="3"/>
        <v>0</v>
      </c>
      <c r="H14" s="481">
        <f t="shared" si="3"/>
        <v>0</v>
      </c>
      <c r="I14" s="481">
        <f t="shared" si="3"/>
        <v>0</v>
      </c>
      <c r="J14" s="481">
        <f t="shared" si="3"/>
        <v>0</v>
      </c>
      <c r="M14" s="474" t="s">
        <v>19</v>
      </c>
      <c r="N14" s="484">
        <f>C25/C24</f>
        <v>1.1474307429483859E-2</v>
      </c>
      <c r="O14" s="484">
        <f>D25/D24</f>
        <v>6.0838107108935238E-2</v>
      </c>
      <c r="P14" s="484"/>
      <c r="Q14" s="484"/>
      <c r="R14" s="82"/>
      <c r="S14" s="82"/>
      <c r="T14" s="82"/>
      <c r="U14" s="82"/>
    </row>
    <row r="15" spans="2:21" ht="15" customHeight="1" x14ac:dyDescent="0.25">
      <c r="B15" s="473" t="s">
        <v>26</v>
      </c>
      <c r="C15" s="481">
        <f>38557.27+2423.89+68156.24</f>
        <v>109137.4</v>
      </c>
      <c r="D15" s="481">
        <f>50730.64+3111.9+61791.61</f>
        <v>115634.15</v>
      </c>
      <c r="E15" s="481"/>
      <c r="F15" s="481"/>
      <c r="G15" s="481"/>
      <c r="H15" s="481"/>
      <c r="I15" s="481"/>
      <c r="J15" s="481"/>
      <c r="M15" s="474" t="s">
        <v>20</v>
      </c>
      <c r="N15" s="484">
        <f>C26/C24</f>
        <v>7.8322246080665976E-3</v>
      </c>
      <c r="O15" s="484">
        <f>D26/D24</f>
        <v>3.3418139514369137E-2</v>
      </c>
      <c r="P15" s="484"/>
      <c r="Q15" s="484"/>
      <c r="R15" s="82"/>
      <c r="S15" s="82"/>
      <c r="T15" s="82"/>
      <c r="U15" s="82"/>
    </row>
    <row r="16" spans="2:21" ht="15" customHeight="1" x14ac:dyDescent="0.25">
      <c r="B16" s="473" t="s">
        <v>54</v>
      </c>
      <c r="C16" s="481">
        <f t="shared" ref="C16:J16" si="4">C12-C15</f>
        <v>374219.28</v>
      </c>
      <c r="D16" s="481">
        <f t="shared" si="4"/>
        <v>379792.06999999995</v>
      </c>
      <c r="E16" s="481"/>
      <c r="F16" s="481"/>
      <c r="G16" s="481">
        <f t="shared" si="4"/>
        <v>0</v>
      </c>
      <c r="H16" s="481">
        <f t="shared" si="4"/>
        <v>0</v>
      </c>
      <c r="I16" s="481">
        <f t="shared" si="4"/>
        <v>0</v>
      </c>
      <c r="J16" s="481">
        <f t="shared" si="4"/>
        <v>0</v>
      </c>
      <c r="M16" s="474" t="s">
        <v>21</v>
      </c>
      <c r="N16" s="484">
        <f>(N14-N15)/N14</f>
        <v>0.31741199578274598</v>
      </c>
      <c r="O16" s="484">
        <f>(O14-O15)/O14</f>
        <v>0.4507038252434214</v>
      </c>
      <c r="P16" s="484"/>
      <c r="Q16" s="484"/>
      <c r="R16" s="484"/>
      <c r="S16" s="484"/>
      <c r="T16" s="82"/>
      <c r="U16" s="82"/>
    </row>
    <row r="17" spans="2:21" ht="15" customHeight="1" x14ac:dyDescent="0.25">
      <c r="B17" s="473" t="s">
        <v>94</v>
      </c>
      <c r="C17" s="481">
        <f t="shared" ref="C17:J17" si="5">C14-C15-C10</f>
        <v>111047.06000000006</v>
      </c>
      <c r="D17" s="481">
        <f t="shared" si="5"/>
        <v>135218.13999999996</v>
      </c>
      <c r="E17" s="481"/>
      <c r="F17" s="481"/>
      <c r="G17" s="481">
        <f t="shared" si="5"/>
        <v>0</v>
      </c>
      <c r="H17" s="481">
        <f t="shared" si="5"/>
        <v>0</v>
      </c>
      <c r="I17" s="481">
        <f t="shared" si="5"/>
        <v>0</v>
      </c>
      <c r="J17" s="481">
        <f t="shared" si="5"/>
        <v>0</v>
      </c>
      <c r="M17" s="474" t="s">
        <v>22</v>
      </c>
      <c r="N17" s="484">
        <f>C18/AVERAGE(C24:C24)</f>
        <v>5.7209124245630225E-2</v>
      </c>
      <c r="O17" s="484">
        <f>D18/AVERAGE(C24:D24)</f>
        <v>3.3211536953034387E-2</v>
      </c>
      <c r="P17" s="484"/>
      <c r="Q17" s="484"/>
      <c r="R17" s="82"/>
      <c r="S17" s="82"/>
      <c r="T17" s="82"/>
      <c r="U17" s="82"/>
    </row>
    <row r="18" spans="2:21" ht="15" customHeight="1" x14ac:dyDescent="0.25">
      <c r="B18" s="473" t="s">
        <v>27</v>
      </c>
      <c r="C18" s="481">
        <v>202921.27</v>
      </c>
      <c r="D18" s="481">
        <v>112803.42</v>
      </c>
      <c r="E18" s="481"/>
      <c r="F18" s="481"/>
      <c r="G18" s="481"/>
      <c r="H18" s="481"/>
      <c r="I18" s="481"/>
      <c r="J18" s="481"/>
      <c r="M18" s="81"/>
      <c r="N18" s="82"/>
      <c r="O18" s="82"/>
      <c r="P18" s="82"/>
      <c r="Q18" s="82"/>
      <c r="R18" s="82"/>
      <c r="S18" s="82"/>
      <c r="T18" s="82"/>
      <c r="U18" s="82"/>
    </row>
    <row r="19" spans="2:21" ht="15" customHeight="1" x14ac:dyDescent="0.25">
      <c r="B19" s="473" t="s">
        <v>55</v>
      </c>
      <c r="C19" s="481">
        <v>-93953.3</v>
      </c>
      <c r="D19" s="481">
        <v>5187.8599999999997</v>
      </c>
      <c r="E19" s="481"/>
      <c r="F19" s="481"/>
      <c r="G19" s="481"/>
      <c r="H19" s="481"/>
      <c r="I19" s="481"/>
      <c r="J19" s="481"/>
      <c r="M19" s="475" t="s">
        <v>30</v>
      </c>
      <c r="N19" s="485" t="s">
        <v>5</v>
      </c>
      <c r="O19" s="82"/>
      <c r="P19" s="82"/>
      <c r="Q19" s="82"/>
      <c r="R19" s="82"/>
      <c r="S19" s="82"/>
      <c r="T19" s="82"/>
      <c r="U19" s="82"/>
    </row>
    <row r="20" spans="2:21" ht="15" customHeight="1" x14ac:dyDescent="0.25">
      <c r="B20" s="473" t="s">
        <v>28</v>
      </c>
      <c r="C20" s="481">
        <f>673659.15-18025.25-16883.92</f>
        <v>638749.98</v>
      </c>
      <c r="D20" s="481">
        <f>657424.17-18025.25-1163.78</f>
        <v>638235.14</v>
      </c>
      <c r="E20" s="481"/>
      <c r="F20" s="481"/>
      <c r="G20" s="481"/>
      <c r="H20" s="481"/>
      <c r="I20" s="481"/>
      <c r="J20" s="481"/>
      <c r="M20" s="477" t="s">
        <v>95</v>
      </c>
      <c r="N20" s="487">
        <f>C17/AVERAGE(C23:C23)</f>
        <v>2.6687959664059666E-2</v>
      </c>
      <c r="O20" s="487">
        <f>D17/AVERAGE(C23:D23)</f>
        <v>3.3730075563056378E-2</v>
      </c>
      <c r="P20" s="487"/>
      <c r="Q20" s="487"/>
      <c r="R20" s="82"/>
      <c r="S20" s="82"/>
      <c r="T20" s="82"/>
      <c r="U20" s="82"/>
    </row>
    <row r="21" spans="2:21" ht="15" customHeight="1" x14ac:dyDescent="0.25">
      <c r="B21" s="473" t="s">
        <v>56</v>
      </c>
      <c r="C21" s="481">
        <f t="shared" ref="C21:J21" si="6">C20-C72</f>
        <v>638749.98</v>
      </c>
      <c r="D21" s="481">
        <f t="shared" si="6"/>
        <v>638235.14</v>
      </c>
      <c r="E21" s="481"/>
      <c r="F21" s="481"/>
      <c r="G21" s="481">
        <f t="shared" si="6"/>
        <v>0</v>
      </c>
      <c r="H21" s="481">
        <f t="shared" si="6"/>
        <v>0</v>
      </c>
      <c r="I21" s="481">
        <f t="shared" si="6"/>
        <v>0</v>
      </c>
      <c r="J21" s="481">
        <f t="shared" si="6"/>
        <v>0</v>
      </c>
      <c r="M21" s="474" t="s">
        <v>31</v>
      </c>
      <c r="N21" s="484">
        <f>C19/AVERAGE(C23:C23)</f>
        <v>-2.2579813285514231E-2</v>
      </c>
      <c r="O21" s="484">
        <f>D19/AVERAGE(C23:D23)</f>
        <v>1.2941082447263195E-3</v>
      </c>
      <c r="P21" s="484"/>
      <c r="Q21" s="484"/>
      <c r="R21" s="82"/>
      <c r="S21" s="82"/>
      <c r="T21" s="82"/>
      <c r="U21" s="82"/>
    </row>
    <row r="22" spans="2:21" ht="15" customHeight="1" x14ac:dyDescent="0.25">
      <c r="B22" s="473" t="s">
        <v>57</v>
      </c>
      <c r="C22" s="481">
        <f>786743.92+2414953.23</f>
        <v>3201697.15</v>
      </c>
      <c r="D22" s="481">
        <f>382990+2534839.28</f>
        <v>2917829.28</v>
      </c>
      <c r="E22" s="481"/>
      <c r="F22" s="481"/>
      <c r="G22" s="481"/>
      <c r="H22" s="481"/>
      <c r="I22" s="481"/>
      <c r="J22" s="481"/>
      <c r="M22" s="474" t="s">
        <v>32</v>
      </c>
      <c r="N22" s="484">
        <f>C19/AVERAGE(C20:C20)</f>
        <v>-0.14708931967402958</v>
      </c>
      <c r="O22" s="484">
        <f>D19/AVERAGE(C20:D20)</f>
        <v>8.1251690700984824E-3</v>
      </c>
      <c r="P22" s="484"/>
      <c r="Q22" s="484"/>
      <c r="R22" s="82"/>
      <c r="S22" s="82"/>
      <c r="T22" s="82"/>
      <c r="U22" s="82"/>
    </row>
    <row r="23" spans="2:21" ht="15" customHeight="1" x14ac:dyDescent="0.25">
      <c r="B23" s="473" t="s">
        <v>29</v>
      </c>
      <c r="C23" s="481">
        <v>4160942.29</v>
      </c>
      <c r="D23" s="481">
        <v>3856717.78</v>
      </c>
      <c r="E23" s="481"/>
      <c r="F23" s="481"/>
      <c r="G23" s="481"/>
      <c r="H23" s="481"/>
      <c r="I23" s="481"/>
      <c r="J23" s="481"/>
      <c r="M23" s="475" t="s">
        <v>33</v>
      </c>
      <c r="N23" s="485" t="s">
        <v>5</v>
      </c>
      <c r="O23" s="82"/>
      <c r="P23" s="82"/>
      <c r="Q23" s="82"/>
      <c r="R23" s="82"/>
      <c r="S23" s="82"/>
      <c r="T23" s="82"/>
      <c r="U23" s="82"/>
    </row>
    <row r="24" spans="2:21" ht="15" customHeight="1" x14ac:dyDescent="0.25">
      <c r="B24" s="473" t="s">
        <v>58</v>
      </c>
      <c r="C24" s="481">
        <v>3547008.85</v>
      </c>
      <c r="D24" s="481">
        <v>3246017.33</v>
      </c>
      <c r="E24" s="481"/>
      <c r="F24" s="481"/>
      <c r="G24" s="481"/>
      <c r="H24" s="481"/>
      <c r="I24" s="481"/>
      <c r="J24" s="481"/>
      <c r="M24" s="474" t="s">
        <v>34</v>
      </c>
      <c r="N24" s="484">
        <f>C7/AVERAGE(C24:C24)</f>
        <v>7.6975626942684394E-2</v>
      </c>
      <c r="O24" s="484">
        <f>D7/AVERAGE(C24:D24)</f>
        <v>6.730221964196817E-2</v>
      </c>
      <c r="P24" s="484"/>
      <c r="Q24" s="484"/>
      <c r="R24" s="82"/>
      <c r="S24" s="82"/>
      <c r="T24" s="82"/>
      <c r="U24" s="82"/>
    </row>
    <row r="25" spans="2:21" ht="15" customHeight="1" x14ac:dyDescent="0.25">
      <c r="B25" s="473" t="s">
        <v>59</v>
      </c>
      <c r="C25" s="481">
        <v>40699.47</v>
      </c>
      <c r="D25" s="481">
        <v>197481.55</v>
      </c>
      <c r="E25" s="481"/>
      <c r="F25" s="481"/>
      <c r="G25" s="481"/>
      <c r="H25" s="481"/>
      <c r="I25" s="481"/>
      <c r="J25" s="481"/>
      <c r="M25" s="474" t="s">
        <v>35</v>
      </c>
      <c r="N25" s="484">
        <f>C10/AVERAGE(C22:C22)</f>
        <v>8.444665355060206E-2</v>
      </c>
      <c r="O25" s="484">
        <f>D10/AVERAGE(C22:D22)</f>
        <v>8.1596853238854308E-2</v>
      </c>
      <c r="P25" s="484"/>
      <c r="Q25" s="484"/>
      <c r="R25" s="82"/>
      <c r="S25" s="82"/>
      <c r="T25" s="82"/>
      <c r="U25" s="82"/>
    </row>
    <row r="26" spans="2:21" ht="15" customHeight="1" x14ac:dyDescent="0.25">
      <c r="B26" s="473" t="s">
        <v>60</v>
      </c>
      <c r="C26" s="481">
        <v>27780.97</v>
      </c>
      <c r="D26" s="481">
        <v>108475.86</v>
      </c>
      <c r="E26" s="481"/>
      <c r="F26" s="481"/>
      <c r="G26" s="481"/>
      <c r="H26" s="481"/>
      <c r="I26" s="481"/>
      <c r="J26" s="481"/>
      <c r="M26" s="474" t="s">
        <v>36</v>
      </c>
      <c r="N26" s="82">
        <f>N24-N25</f>
        <v>-7.4710266079176663E-3</v>
      </c>
      <c r="O26" s="82">
        <f>O24-O25</f>
        <v>-1.4294633596886139E-2</v>
      </c>
      <c r="P26" s="82"/>
      <c r="Q26" s="82"/>
      <c r="R26" s="82"/>
      <c r="S26" s="82"/>
      <c r="T26" s="82"/>
      <c r="U26" s="82"/>
    </row>
  </sheetData>
  <mergeCells count="2">
    <mergeCell ref="H1:J1"/>
    <mergeCell ref="B2:J2"/>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35"/>
  <sheetViews>
    <sheetView topLeftCell="B1" workbookViewId="0">
      <selection activeCell="C2" sqref="C2:C5"/>
    </sheetView>
  </sheetViews>
  <sheetFormatPr defaultRowHeight="15" x14ac:dyDescent="0.25"/>
  <cols>
    <col min="1" max="1" width="34.5703125" bestFit="1" customWidth="1"/>
    <col min="2" max="2" width="137.140625" customWidth="1"/>
    <col min="3" max="3" width="24.7109375" bestFit="1" customWidth="1"/>
    <col min="4" max="4" width="13.140625" customWidth="1"/>
  </cols>
  <sheetData>
    <row r="1" spans="1:3" ht="18.75" x14ac:dyDescent="0.3">
      <c r="A1" s="143" t="s">
        <v>288</v>
      </c>
      <c r="B1" s="143" t="s">
        <v>289</v>
      </c>
      <c r="C1" s="143" t="s">
        <v>290</v>
      </c>
    </row>
    <row r="2" spans="1:3" x14ac:dyDescent="0.25">
      <c r="A2" s="789" t="s">
        <v>295</v>
      </c>
      <c r="B2" s="144" t="s">
        <v>291</v>
      </c>
      <c r="C2" s="730" t="s">
        <v>296</v>
      </c>
    </row>
    <row r="3" spans="1:3" x14ac:dyDescent="0.25">
      <c r="A3" s="789"/>
      <c r="B3" s="144" t="s">
        <v>292</v>
      </c>
      <c r="C3" s="730"/>
    </row>
    <row r="4" spans="1:3" x14ac:dyDescent="0.25">
      <c r="A4" s="789"/>
      <c r="B4" s="144" t="s">
        <v>293</v>
      </c>
      <c r="C4" s="730"/>
    </row>
    <row r="5" spans="1:3" x14ac:dyDescent="0.25">
      <c r="A5" s="789"/>
      <c r="B5" s="144" t="s">
        <v>294</v>
      </c>
      <c r="C5" s="730"/>
    </row>
    <row r="6" spans="1:3" x14ac:dyDescent="0.25">
      <c r="A6" s="145" t="s">
        <v>297</v>
      </c>
      <c r="B6" t="s">
        <v>298</v>
      </c>
      <c r="C6" t="s">
        <v>296</v>
      </c>
    </row>
    <row r="7" spans="1:3" ht="30" x14ac:dyDescent="0.25">
      <c r="A7" s="145" t="s">
        <v>299</v>
      </c>
      <c r="B7" s="129" t="s">
        <v>300</v>
      </c>
      <c r="C7" s="129" t="s">
        <v>301</v>
      </c>
    </row>
    <row r="8" spans="1:3" x14ac:dyDescent="0.25">
      <c r="A8" s="790" t="s">
        <v>302</v>
      </c>
      <c r="B8" s="146" t="s">
        <v>303</v>
      </c>
      <c r="C8" s="791" t="s">
        <v>296</v>
      </c>
    </row>
    <row r="9" spans="1:3" x14ac:dyDescent="0.25">
      <c r="A9" s="791"/>
      <c r="B9" s="146" t="s">
        <v>304</v>
      </c>
      <c r="C9" s="791"/>
    </row>
    <row r="10" spans="1:3" x14ac:dyDescent="0.25">
      <c r="A10" s="791"/>
      <c r="B10" s="146" t="s">
        <v>305</v>
      </c>
      <c r="C10" s="791"/>
    </row>
    <row r="11" spans="1:3" x14ac:dyDescent="0.25">
      <c r="A11" s="81" t="s">
        <v>306</v>
      </c>
      <c r="B11" s="146" t="s">
        <v>307</v>
      </c>
      <c r="C11" s="129" t="s">
        <v>301</v>
      </c>
    </row>
    <row r="12" spans="1:3" x14ac:dyDescent="0.25">
      <c r="A12" t="s">
        <v>308</v>
      </c>
      <c r="B12" s="146" t="s">
        <v>307</v>
      </c>
      <c r="C12" s="129" t="s">
        <v>301</v>
      </c>
    </row>
    <row r="13" spans="1:3" x14ac:dyDescent="0.25">
      <c r="A13" t="s">
        <v>132</v>
      </c>
      <c r="B13" s="146" t="s">
        <v>309</v>
      </c>
    </row>
    <row r="14" spans="1:3" x14ac:dyDescent="0.25">
      <c r="A14" s="789" t="s">
        <v>310</v>
      </c>
      <c r="B14" s="148" t="s">
        <v>314</v>
      </c>
      <c r="C14" s="730" t="s">
        <v>301</v>
      </c>
    </row>
    <row r="15" spans="1:3" x14ac:dyDescent="0.25">
      <c r="A15" s="789"/>
      <c r="B15" s="148" t="s">
        <v>315</v>
      </c>
      <c r="C15" s="730"/>
    </row>
    <row r="16" spans="1:3" x14ac:dyDescent="0.25">
      <c r="A16" s="789"/>
      <c r="B16" s="149" t="s">
        <v>311</v>
      </c>
      <c r="C16" s="730"/>
    </row>
    <row r="17" spans="1:4" x14ac:dyDescent="0.25">
      <c r="A17" s="789"/>
      <c r="B17" s="149" t="s">
        <v>312</v>
      </c>
      <c r="C17" s="730"/>
    </row>
    <row r="18" spans="1:4" x14ac:dyDescent="0.25">
      <c r="A18" s="789"/>
      <c r="B18" s="150" t="s">
        <v>313</v>
      </c>
      <c r="C18" s="730"/>
    </row>
    <row r="19" spans="1:4" x14ac:dyDescent="0.25">
      <c r="A19" t="s">
        <v>316</v>
      </c>
      <c r="B19" t="s">
        <v>309</v>
      </c>
    </row>
    <row r="20" spans="1:4" ht="30" x14ac:dyDescent="0.25">
      <c r="A20" t="s">
        <v>317</v>
      </c>
      <c r="B20" s="129" t="s">
        <v>318</v>
      </c>
      <c r="C20" t="s">
        <v>301</v>
      </c>
    </row>
    <row r="21" spans="1:4" ht="45" x14ac:dyDescent="0.25">
      <c r="A21" t="s">
        <v>319</v>
      </c>
      <c r="B21" s="129" t="s">
        <v>320</v>
      </c>
      <c r="C21" s="147" t="s">
        <v>321</v>
      </c>
    </row>
    <row r="22" spans="1:4" x14ac:dyDescent="0.25">
      <c r="A22" t="s">
        <v>322</v>
      </c>
      <c r="B22" t="s">
        <v>323</v>
      </c>
      <c r="C22" t="s">
        <v>324</v>
      </c>
    </row>
    <row r="23" spans="1:4" ht="24" x14ac:dyDescent="0.25">
      <c r="A23" t="s">
        <v>325</v>
      </c>
      <c r="B23" s="151" t="s">
        <v>326</v>
      </c>
    </row>
    <row r="24" spans="1:4" ht="45" x14ac:dyDescent="0.25">
      <c r="A24" t="s">
        <v>328</v>
      </c>
      <c r="B24" s="129" t="s">
        <v>327</v>
      </c>
      <c r="C24" t="s">
        <v>324</v>
      </c>
      <c r="D24" t="s">
        <v>329</v>
      </c>
    </row>
    <row r="25" spans="1:4" x14ac:dyDescent="0.25">
      <c r="A25" t="s">
        <v>342</v>
      </c>
      <c r="B25" s="129" t="s">
        <v>330</v>
      </c>
      <c r="C25" t="s">
        <v>301</v>
      </c>
      <c r="D25" t="s">
        <v>334</v>
      </c>
    </row>
    <row r="26" spans="1:4" x14ac:dyDescent="0.25">
      <c r="A26" t="s">
        <v>343</v>
      </c>
      <c r="B26" t="s">
        <v>331</v>
      </c>
      <c r="C26" t="s">
        <v>324</v>
      </c>
      <c r="D26" t="s">
        <v>329</v>
      </c>
    </row>
    <row r="27" spans="1:4" ht="30" x14ac:dyDescent="0.25">
      <c r="A27" t="s">
        <v>344</v>
      </c>
      <c r="B27" s="129" t="s">
        <v>332</v>
      </c>
      <c r="C27" t="s">
        <v>301</v>
      </c>
    </row>
    <row r="28" spans="1:4" x14ac:dyDescent="0.25">
      <c r="A28" t="s">
        <v>345</v>
      </c>
      <c r="B28" t="s">
        <v>333</v>
      </c>
      <c r="C28" t="s">
        <v>301</v>
      </c>
      <c r="D28" t="s">
        <v>334</v>
      </c>
    </row>
    <row r="29" spans="1:4" x14ac:dyDescent="0.25">
      <c r="A29" t="s">
        <v>346</v>
      </c>
      <c r="B29" t="s">
        <v>335</v>
      </c>
      <c r="C29" t="s">
        <v>301</v>
      </c>
      <c r="D29" t="s">
        <v>334</v>
      </c>
    </row>
    <row r="30" spans="1:4" x14ac:dyDescent="0.25">
      <c r="A30" t="s">
        <v>347</v>
      </c>
      <c r="B30" t="s">
        <v>336</v>
      </c>
    </row>
    <row r="31" spans="1:4" x14ac:dyDescent="0.25">
      <c r="A31" t="s">
        <v>348</v>
      </c>
      <c r="B31" s="129" t="s">
        <v>337</v>
      </c>
      <c r="C31" t="s">
        <v>338</v>
      </c>
      <c r="D31" t="s">
        <v>334</v>
      </c>
    </row>
    <row r="32" spans="1:4" x14ac:dyDescent="0.25">
      <c r="A32" t="s">
        <v>349</v>
      </c>
      <c r="B32" t="s">
        <v>339</v>
      </c>
    </row>
    <row r="33" spans="1:3" x14ac:dyDescent="0.25">
      <c r="A33" t="s">
        <v>350</v>
      </c>
      <c r="B33" t="s">
        <v>309</v>
      </c>
    </row>
    <row r="34" spans="1:3" ht="30" x14ac:dyDescent="0.25">
      <c r="A34" t="s">
        <v>351</v>
      </c>
      <c r="B34" s="129" t="s">
        <v>340</v>
      </c>
      <c r="C34" t="s">
        <v>301</v>
      </c>
    </row>
    <row r="35" spans="1:3" x14ac:dyDescent="0.25">
      <c r="A35" t="s">
        <v>341</v>
      </c>
    </row>
  </sheetData>
  <autoFilter ref="A1:C1" xr:uid="{00000000-0009-0000-0000-000059000000}"/>
  <mergeCells count="6">
    <mergeCell ref="A2:A5"/>
    <mergeCell ref="C2:C5"/>
    <mergeCell ref="A8:A10"/>
    <mergeCell ref="C8:C10"/>
    <mergeCell ref="A14:A18"/>
    <mergeCell ref="C14:C18"/>
  </mergeCells>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W29"/>
  <sheetViews>
    <sheetView workbookViewId="0">
      <selection activeCell="AG6" sqref="AG6"/>
    </sheetView>
  </sheetViews>
  <sheetFormatPr defaultRowHeight="15" x14ac:dyDescent="0.25"/>
  <cols>
    <col min="1" max="1" width="28.140625" customWidth="1"/>
    <col min="4" max="4" width="11.28515625" customWidth="1"/>
    <col min="5" max="5" width="11.42578125" customWidth="1"/>
    <col min="6" max="6" width="13.42578125" customWidth="1"/>
    <col min="7" max="7" width="11.5703125" customWidth="1"/>
    <col min="8" max="8" width="13.140625" bestFit="1" customWidth="1"/>
    <col min="14" max="14" width="28.7109375" customWidth="1"/>
    <col min="17" max="17" width="12.7109375" customWidth="1"/>
  </cols>
  <sheetData>
    <row r="1" spans="1:23" x14ac:dyDescent="0.25">
      <c r="I1" s="772" t="s">
        <v>352</v>
      </c>
      <c r="J1" s="772"/>
      <c r="K1" s="772"/>
    </row>
    <row r="2" spans="1:23" ht="45" x14ac:dyDescent="0.25">
      <c r="A2" s="3" t="s">
        <v>4</v>
      </c>
      <c r="B2" s="1" t="s">
        <v>43</v>
      </c>
      <c r="C2" s="1" t="s">
        <v>41</v>
      </c>
      <c r="D2" s="2" t="s">
        <v>44</v>
      </c>
      <c r="E2" s="2" t="s">
        <v>0</v>
      </c>
      <c r="F2" s="3" t="s">
        <v>45</v>
      </c>
      <c r="G2" s="3" t="s">
        <v>42</v>
      </c>
      <c r="H2" s="3" t="s">
        <v>362</v>
      </c>
      <c r="I2" s="3" t="s">
        <v>38</v>
      </c>
      <c r="J2" s="3" t="s">
        <v>39</v>
      </c>
      <c r="K2" s="3" t="s">
        <v>40</v>
      </c>
      <c r="L2" s="11"/>
      <c r="M2" s="11"/>
      <c r="N2" s="40" t="s">
        <v>6</v>
      </c>
      <c r="O2" s="41" t="s">
        <v>7</v>
      </c>
      <c r="P2" s="41" t="s">
        <v>8</v>
      </c>
      <c r="Q2" s="41" t="s">
        <v>9</v>
      </c>
      <c r="R2" s="40" t="s">
        <v>10</v>
      </c>
      <c r="S2" s="41" t="s">
        <v>90</v>
      </c>
      <c r="T2" s="40" t="s">
        <v>362</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4.6398642816531055E-2</v>
      </c>
      <c r="S3" s="44">
        <f>G10/AVERAGE(F23:G23)</f>
        <v>3.7796312259200007E-2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490521</v>
      </c>
      <c r="G5" s="90">
        <v>433427</v>
      </c>
      <c r="H5" s="85">
        <v>358355</v>
      </c>
      <c r="I5" s="85"/>
      <c r="J5" s="85"/>
      <c r="K5" s="85"/>
      <c r="L5" s="11"/>
      <c r="M5" s="11"/>
      <c r="N5" s="42" t="s">
        <v>13</v>
      </c>
      <c r="O5" s="46"/>
      <c r="P5" s="47" t="e">
        <f>D21/D20</f>
        <v>#DIV/0!</v>
      </c>
      <c r="Q5" s="47" t="e">
        <f>E21/E20</f>
        <v>#DIV/0!</v>
      </c>
      <c r="R5" s="47">
        <f>F21/F20</f>
        <v>0.40305305973735006</v>
      </c>
      <c r="S5" s="47">
        <f>G21/G20</f>
        <v>0.9019357231044024</v>
      </c>
      <c r="T5" s="47">
        <f>H21/H20</f>
        <v>1.1265987406610676</v>
      </c>
      <c r="U5" s="18"/>
      <c r="V5" s="18"/>
      <c r="W5" s="18"/>
    </row>
    <row r="6" spans="1:23" x14ac:dyDescent="0.25">
      <c r="A6" s="6" t="s">
        <v>50</v>
      </c>
      <c r="B6" s="7"/>
      <c r="C6" s="8"/>
      <c r="F6" s="85">
        <v>437799</v>
      </c>
      <c r="G6" s="85">
        <v>396845</v>
      </c>
      <c r="H6" s="85">
        <v>340019</v>
      </c>
      <c r="I6" s="85"/>
      <c r="J6" s="85"/>
      <c r="K6" s="85"/>
      <c r="L6" s="11"/>
      <c r="M6" s="11"/>
      <c r="N6" s="42" t="s">
        <v>14</v>
      </c>
      <c r="O6" s="43"/>
      <c r="P6" s="43"/>
      <c r="Q6" s="43"/>
      <c r="R6" s="43">
        <v>0.76729999999999998</v>
      </c>
      <c r="S6" s="48">
        <v>0.55410000000000004</v>
      </c>
      <c r="T6" s="48">
        <v>0.49270000000000003</v>
      </c>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0.78921596145084172</v>
      </c>
      <c r="S7" s="44">
        <f>G20/G23</f>
        <v>0.57315004104384792</v>
      </c>
      <c r="T7" s="18"/>
      <c r="U7" s="18"/>
      <c r="V7" s="18"/>
      <c r="W7" s="18"/>
    </row>
    <row r="8" spans="1:23" x14ac:dyDescent="0.25">
      <c r="A8" s="6" t="s">
        <v>52</v>
      </c>
      <c r="B8" s="7"/>
      <c r="C8" s="8"/>
      <c r="D8" s="85">
        <f>D5-D6-D7</f>
        <v>0</v>
      </c>
      <c r="E8" s="85">
        <f>E5-E6-E7</f>
        <v>0</v>
      </c>
      <c r="F8" s="85">
        <f>F5-F6-F7</f>
        <v>52722</v>
      </c>
      <c r="G8" s="85">
        <f>G5-G6-G7</f>
        <v>36582</v>
      </c>
      <c r="H8" s="85">
        <f>H5-H6-H7</f>
        <v>18336</v>
      </c>
      <c r="I8" s="85"/>
      <c r="J8" s="85"/>
      <c r="K8" s="85"/>
      <c r="L8" s="11"/>
      <c r="M8" s="11"/>
      <c r="N8" s="40" t="s">
        <v>16</v>
      </c>
      <c r="O8" s="45"/>
      <c r="P8" s="45"/>
      <c r="Q8" s="45"/>
      <c r="R8" s="46" t="s">
        <v>5</v>
      </c>
      <c r="S8" s="18"/>
      <c r="T8" s="18"/>
      <c r="U8" s="18"/>
      <c r="V8" s="18"/>
      <c r="W8" s="18"/>
    </row>
    <row r="9" spans="1:23" ht="33.75" x14ac:dyDescent="0.25">
      <c r="A9" s="6" t="s">
        <v>24</v>
      </c>
      <c r="B9" s="7"/>
      <c r="C9" s="7"/>
      <c r="D9" s="88"/>
      <c r="E9" s="85"/>
      <c r="F9" s="85">
        <v>160908</v>
      </c>
      <c r="G9" s="85">
        <v>121878</v>
      </c>
      <c r="H9" s="85">
        <v>151120</v>
      </c>
      <c r="I9" s="85"/>
      <c r="J9" s="85"/>
      <c r="K9" s="85"/>
      <c r="L9" s="11"/>
      <c r="M9" s="11"/>
      <c r="N9" s="49" t="s">
        <v>93</v>
      </c>
      <c r="O9" s="45"/>
      <c r="P9" s="93" t="e">
        <f>D14/(D11-D9)</f>
        <v>#DIV/0!</v>
      </c>
      <c r="Q9" s="93" t="e">
        <f>E14/(E11-E9)</f>
        <v>#DIV/0!</v>
      </c>
      <c r="R9" s="93">
        <f>F14/(F11-F9)</f>
        <v>0.27547760555560613</v>
      </c>
      <c r="S9" s="93">
        <f>G14/(G11-G9)</f>
        <v>0.31574487480300051</v>
      </c>
      <c r="T9" s="18"/>
      <c r="U9" s="18"/>
      <c r="V9" s="18"/>
      <c r="W9" s="18"/>
    </row>
    <row r="10" spans="1:23" ht="22.5" x14ac:dyDescent="0.25">
      <c r="A10" s="6" t="s">
        <v>53</v>
      </c>
      <c r="B10" s="10">
        <f t="shared" ref="B10:H10" si="0">B6-B9</f>
        <v>0</v>
      </c>
      <c r="C10" s="10">
        <f t="shared" si="0"/>
        <v>0</v>
      </c>
      <c r="D10" s="89">
        <f t="shared" si="0"/>
        <v>0</v>
      </c>
      <c r="E10" s="89">
        <f t="shared" si="0"/>
        <v>0</v>
      </c>
      <c r="F10" s="89">
        <f t="shared" si="0"/>
        <v>276891</v>
      </c>
      <c r="G10" s="89">
        <f t="shared" si="0"/>
        <v>274967</v>
      </c>
      <c r="H10" s="89">
        <f t="shared" si="0"/>
        <v>188899</v>
      </c>
      <c r="I10" s="89"/>
      <c r="J10" s="89"/>
      <c r="K10" s="89"/>
      <c r="L10" s="11"/>
      <c r="M10" s="11"/>
      <c r="N10" s="42" t="s">
        <v>92</v>
      </c>
      <c r="O10" s="43"/>
      <c r="P10" s="44" t="e">
        <f>D14/D11</f>
        <v>#DIV/0!</v>
      </c>
      <c r="Q10" s="44" t="e">
        <f>E14/E11</f>
        <v>#DIV/0!</v>
      </c>
      <c r="R10" s="44">
        <f>F14/F11</f>
        <v>0.18511134079886488</v>
      </c>
      <c r="S10" s="44">
        <f>G14/G11</f>
        <v>0.22695863432596491</v>
      </c>
      <c r="T10" s="18"/>
      <c r="U10" s="18"/>
      <c r="V10" s="18"/>
      <c r="W10" s="18"/>
    </row>
    <row r="11" spans="1:23" ht="22.5" x14ac:dyDescent="0.25">
      <c r="A11" s="6" t="s">
        <v>1</v>
      </c>
      <c r="B11" s="10">
        <f>B5-B9</f>
        <v>0</v>
      </c>
      <c r="C11" s="10">
        <f t="shared" ref="C11:H11" si="1">SUM(C6:C8)</f>
        <v>0</v>
      </c>
      <c r="D11" s="89">
        <f t="shared" si="1"/>
        <v>0</v>
      </c>
      <c r="E11" s="89">
        <f t="shared" si="1"/>
        <v>0</v>
      </c>
      <c r="F11" s="89">
        <f>SUM(F6:F8)</f>
        <v>490521</v>
      </c>
      <c r="G11" s="89">
        <f>SUM(G6:G8)</f>
        <v>433427</v>
      </c>
      <c r="H11" s="89">
        <f t="shared" si="1"/>
        <v>358355</v>
      </c>
      <c r="I11" s="89"/>
      <c r="J11" s="89"/>
      <c r="K11" s="89"/>
      <c r="L11" s="11"/>
      <c r="M11" s="11"/>
      <c r="N11" s="42" t="s">
        <v>17</v>
      </c>
      <c r="O11" s="43"/>
      <c r="P11" s="44" t="e">
        <f>D14/AVERAGE(C22:D22)</f>
        <v>#DIV/0!</v>
      </c>
      <c r="Q11" s="44" t="e">
        <f>E14/AVERAGE(D22:E22)</f>
        <v>#DIV/0!</v>
      </c>
      <c r="R11" s="44">
        <f>F14/AVERAGE(E22:F22)</f>
        <v>1.3625375331439607E-2</v>
      </c>
      <c r="S11" s="44">
        <f>G14/AVERAGE(F22:G22)</f>
        <v>1.2268386959666228E-2</v>
      </c>
      <c r="T11" s="18"/>
      <c r="U11" s="18"/>
      <c r="V11" s="18"/>
      <c r="W11" s="18"/>
    </row>
    <row r="12" spans="1:23" x14ac:dyDescent="0.25">
      <c r="A12" s="6" t="s">
        <v>91</v>
      </c>
      <c r="B12" s="10"/>
      <c r="C12" s="10"/>
      <c r="D12" s="89"/>
      <c r="E12" s="89"/>
      <c r="F12" s="89">
        <v>8</v>
      </c>
      <c r="G12" s="89">
        <v>16286</v>
      </c>
      <c r="H12" s="89">
        <v>1529</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0</v>
      </c>
      <c r="F13" s="88">
        <f>F11+F12</f>
        <v>490529</v>
      </c>
      <c r="G13" s="88">
        <f>G11+G12</f>
        <v>449713</v>
      </c>
      <c r="H13" s="88">
        <f>H11+H12</f>
        <v>359884</v>
      </c>
      <c r="I13" s="88"/>
      <c r="J13" s="88"/>
      <c r="K13" s="88"/>
      <c r="L13" s="11"/>
      <c r="M13" s="11"/>
      <c r="N13" s="42" t="s">
        <v>19</v>
      </c>
      <c r="O13" s="43"/>
      <c r="P13" s="44" t="e">
        <f>D24/D23</f>
        <v>#DIV/0!</v>
      </c>
      <c r="Q13" s="44" t="e">
        <f>E24/E23</f>
        <v>#DIV/0!</v>
      </c>
      <c r="R13" s="44">
        <f>F24/F23</f>
        <v>0</v>
      </c>
      <c r="S13" s="44">
        <f>G24/G23</f>
        <v>0</v>
      </c>
      <c r="T13" s="48"/>
      <c r="U13" s="18"/>
      <c r="V13" s="18"/>
      <c r="W13" s="18"/>
    </row>
    <row r="14" spans="1:23" x14ac:dyDescent="0.25">
      <c r="A14" s="6" t="s">
        <v>26</v>
      </c>
      <c r="B14" s="7"/>
      <c r="C14" s="7"/>
      <c r="D14" s="85"/>
      <c r="E14" s="85"/>
      <c r="F14" s="85">
        <f>40143+1112+49546</f>
        <v>90801</v>
      </c>
      <c r="G14" s="85">
        <f>44112+1996+52262</f>
        <v>98370</v>
      </c>
      <c r="H14" s="85">
        <f>25733+1454+23117</f>
        <v>50304</v>
      </c>
      <c r="I14" s="85"/>
      <c r="J14" s="85"/>
      <c r="K14" s="85"/>
      <c r="L14" s="11"/>
      <c r="M14" s="11"/>
      <c r="N14" s="42" t="s">
        <v>20</v>
      </c>
      <c r="O14" s="43"/>
      <c r="P14" s="44" t="e">
        <f>D25/D23</f>
        <v>#DIV/0!</v>
      </c>
      <c r="Q14" s="44" t="e">
        <f>E25/E23</f>
        <v>#DIV/0!</v>
      </c>
      <c r="R14" s="44">
        <f>F25/F23</f>
        <v>0</v>
      </c>
      <c r="S14" s="44">
        <f>G25/G23</f>
        <v>0</v>
      </c>
      <c r="T14" s="48"/>
      <c r="U14" s="18"/>
      <c r="V14" s="18"/>
      <c r="W14" s="18"/>
    </row>
    <row r="15" spans="1:23" x14ac:dyDescent="0.25">
      <c r="A15" s="6" t="s">
        <v>54</v>
      </c>
      <c r="B15" s="10"/>
      <c r="C15" s="10"/>
      <c r="D15" s="89">
        <f>D11-D14</f>
        <v>0</v>
      </c>
      <c r="E15" s="89">
        <f>E11-E14</f>
        <v>0</v>
      </c>
      <c r="F15" s="89">
        <f>F11-F14</f>
        <v>399720</v>
      </c>
      <c r="G15" s="89">
        <f>G11-G14</f>
        <v>335057</v>
      </c>
      <c r="H15" s="89">
        <f>H11-H14</f>
        <v>308051</v>
      </c>
      <c r="I15" s="89"/>
      <c r="J15" s="89"/>
      <c r="K15" s="89"/>
      <c r="L15" s="11"/>
      <c r="M15" s="11"/>
      <c r="N15" s="42" t="s">
        <v>21</v>
      </c>
      <c r="O15" s="43"/>
      <c r="P15" s="44" t="e">
        <f>(P13-P14)/P13</f>
        <v>#DIV/0!</v>
      </c>
      <c r="Q15" s="44" t="e">
        <f>(Q13-Q14)/Q13</f>
        <v>#DIV/0!</v>
      </c>
      <c r="R15" s="44" t="e">
        <f>(R13-R14)/R13</f>
        <v>#DIV/0!</v>
      </c>
      <c r="S15" s="44" t="e">
        <f>(S13-S14)/S13</f>
        <v>#DIV/0!</v>
      </c>
      <c r="T15" s="44" t="e">
        <f>(T13-T14)/T13</f>
        <v>#DIV/0!</v>
      </c>
      <c r="U15" s="18"/>
      <c r="V15" s="18"/>
      <c r="W15" s="18"/>
    </row>
    <row r="16" spans="1:23" x14ac:dyDescent="0.25">
      <c r="A16" s="6" t="s">
        <v>94</v>
      </c>
      <c r="B16" s="10"/>
      <c r="C16" s="10"/>
      <c r="D16" s="89">
        <f>D13-D14-D9</f>
        <v>0</v>
      </c>
      <c r="E16" s="89">
        <f>E13-E14-E9</f>
        <v>0</v>
      </c>
      <c r="F16" s="89">
        <f>F13-F14-F9</f>
        <v>238820</v>
      </c>
      <c r="G16" s="89">
        <f>G13-G14-G9</f>
        <v>229465</v>
      </c>
      <c r="H16" s="89">
        <f>H13-H14-H9</f>
        <v>158460</v>
      </c>
      <c r="I16" s="89"/>
      <c r="J16" s="89"/>
      <c r="K16" s="89"/>
      <c r="L16" s="11"/>
      <c r="M16" s="11"/>
      <c r="N16" s="42" t="s">
        <v>22</v>
      </c>
      <c r="O16" s="43"/>
      <c r="P16" s="44" t="e">
        <f>D17/AVERAGE(C23:D23)</f>
        <v>#DIV/0!</v>
      </c>
      <c r="Q16" s="44" t="e">
        <f>E17/AVERAGE(D23:E23)</f>
        <v>#DIV/0!</v>
      </c>
      <c r="R16" s="44">
        <f>F17/AVERAGE(E23:F23)</f>
        <v>0</v>
      </c>
      <c r="S16" s="44">
        <f>G17/AVERAGE(F23:G23)</f>
        <v>3.5876441535352246E-5</v>
      </c>
      <c r="T16" s="18"/>
      <c r="U16" s="18"/>
      <c r="V16" s="18"/>
      <c r="W16" s="18"/>
    </row>
    <row r="17" spans="1:23" x14ac:dyDescent="0.25">
      <c r="A17" s="6" t="s">
        <v>27</v>
      </c>
      <c r="B17" s="7"/>
      <c r="C17" s="7"/>
      <c r="D17" s="88"/>
      <c r="E17" s="85"/>
      <c r="F17" s="85"/>
      <c r="G17" s="85">
        <v>261</v>
      </c>
      <c r="H17" s="85">
        <v>143</v>
      </c>
      <c r="I17" s="85"/>
      <c r="J17" s="85"/>
      <c r="K17" s="85"/>
      <c r="L17" s="11"/>
      <c r="M17" s="11"/>
      <c r="N17" s="18"/>
      <c r="O17" s="18"/>
      <c r="P17" s="18"/>
      <c r="Q17" s="18"/>
      <c r="R17" s="18"/>
      <c r="S17" s="18"/>
      <c r="T17" s="18"/>
      <c r="U17" s="18"/>
      <c r="V17" s="18"/>
      <c r="W17" s="18"/>
    </row>
    <row r="18" spans="1:23" x14ac:dyDescent="0.25">
      <c r="A18" s="6" t="s">
        <v>55</v>
      </c>
      <c r="B18" s="7"/>
      <c r="C18" s="7"/>
      <c r="D18" s="88"/>
      <c r="E18" s="85"/>
      <c r="F18" s="89">
        <v>178074</v>
      </c>
      <c r="G18" s="89">
        <v>192334</v>
      </c>
      <c r="H18" s="89">
        <v>118419</v>
      </c>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c r="F19" s="85">
        <f>4709767</f>
        <v>4709767</v>
      </c>
      <c r="G19" s="85">
        <f>4918937</f>
        <v>4918937</v>
      </c>
      <c r="H19" s="85">
        <v>5037246</v>
      </c>
      <c r="I19" s="85"/>
      <c r="J19" s="85"/>
      <c r="K19" s="85"/>
      <c r="L19" s="11"/>
      <c r="M19" s="11"/>
      <c r="N19" s="46" t="s">
        <v>95</v>
      </c>
      <c r="O19" s="51"/>
      <c r="P19" s="51"/>
      <c r="Q19" s="52" t="e">
        <f>E16/AVERAGE(D22:E22)</f>
        <v>#DIV/0!</v>
      </c>
      <c r="R19" s="52">
        <f>F16/AVERAGE(E22:F22)</f>
        <v>3.5836743391090484E-2</v>
      </c>
      <c r="S19" s="52">
        <f>G16/AVERAGE(F22:G22)</f>
        <v>2.8618129650297967E-2</v>
      </c>
      <c r="T19" s="18"/>
      <c r="U19" s="18"/>
      <c r="V19" s="18"/>
      <c r="W19" s="18"/>
    </row>
    <row r="20" spans="1:23" x14ac:dyDescent="0.25">
      <c r="A20" s="6" t="s">
        <v>56</v>
      </c>
      <c r="B20" s="7"/>
      <c r="C20" s="7"/>
      <c r="D20" s="88">
        <f>D19-D71</f>
        <v>0</v>
      </c>
      <c r="E20" s="89">
        <f>E19-E71</f>
        <v>0</v>
      </c>
      <c r="F20" s="89">
        <f>F19-F71</f>
        <v>4709767</v>
      </c>
      <c r="G20" s="89">
        <f>G19-G71</f>
        <v>4918937</v>
      </c>
      <c r="H20" s="89">
        <f>H19-H71</f>
        <v>5037246</v>
      </c>
      <c r="I20" s="89"/>
      <c r="J20" s="89"/>
      <c r="K20" s="89"/>
      <c r="L20" s="11"/>
      <c r="M20" s="11"/>
      <c r="N20" s="42" t="s">
        <v>31</v>
      </c>
      <c r="O20" s="43"/>
      <c r="P20" s="43">
        <v>4.4699999999999997E-2</v>
      </c>
      <c r="Q20" s="44" t="e">
        <f>E18/AVERAGE(D22:E22)</f>
        <v>#DIV/0!</v>
      </c>
      <c r="R20" s="44">
        <f>F18/AVERAGE(E22:F22)</f>
        <v>2.6721347636818719E-2</v>
      </c>
      <c r="S20" s="44">
        <f>G18/AVERAGE(F22:G22)</f>
        <v>2.3987271907090012E-2</v>
      </c>
      <c r="T20" s="48"/>
      <c r="U20" s="18"/>
      <c r="V20" s="18"/>
      <c r="W20" s="18"/>
    </row>
    <row r="21" spans="1:23" x14ac:dyDescent="0.25">
      <c r="A21" s="6" t="s">
        <v>57</v>
      </c>
      <c r="B21" s="9"/>
      <c r="C21" s="9"/>
      <c r="D21" s="85"/>
      <c r="E21" s="85"/>
      <c r="F21" s="85">
        <f>247439+1650847</f>
        <v>1898286</v>
      </c>
      <c r="G21" s="85">
        <f>2816565+1620000</f>
        <v>4436565</v>
      </c>
      <c r="H21" s="85">
        <v>5674955</v>
      </c>
      <c r="I21" s="85"/>
      <c r="J21" s="85"/>
      <c r="K21" s="85"/>
      <c r="L21" s="11"/>
      <c r="M21" s="11"/>
      <c r="N21" s="42" t="s">
        <v>32</v>
      </c>
      <c r="O21" s="43"/>
      <c r="P21" s="44" t="e">
        <f>D18/AVERAGE(C19:D19)</f>
        <v>#DIV/0!</v>
      </c>
      <c r="Q21" s="44" t="e">
        <f>E18/AVERAGE(D19:E19)</f>
        <v>#DIV/0!</v>
      </c>
      <c r="R21" s="44">
        <f>F18/AVERAGE(E19:F19)</f>
        <v>3.7809513719043848E-2</v>
      </c>
      <c r="S21" s="44">
        <f>G18/AVERAGE(F19:G19)</f>
        <v>3.9950132437345673E-2</v>
      </c>
      <c r="T21" s="18"/>
      <c r="U21" s="18"/>
      <c r="V21" s="18"/>
      <c r="W21" s="18"/>
    </row>
    <row r="22" spans="1:23" x14ac:dyDescent="0.25">
      <c r="A22" s="6" t="s">
        <v>29</v>
      </c>
      <c r="B22" s="7"/>
      <c r="C22" s="7"/>
      <c r="D22" s="88"/>
      <c r="E22" s="85"/>
      <c r="F22" s="85">
        <v>6664110</v>
      </c>
      <c r="G22" s="85">
        <v>9372228</v>
      </c>
      <c r="H22" s="85">
        <v>10732733</v>
      </c>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c r="F23" s="85">
        <v>5967653</v>
      </c>
      <c r="G23" s="85">
        <v>8582285</v>
      </c>
      <c r="H23" s="85">
        <v>10014822</v>
      </c>
      <c r="I23" s="85"/>
      <c r="J23" s="85"/>
      <c r="K23" s="85"/>
      <c r="L23" s="11"/>
      <c r="M23" s="11"/>
      <c r="N23" s="42" t="s">
        <v>34</v>
      </c>
      <c r="O23" s="43"/>
      <c r="P23" s="44" t="e">
        <f>D6/AVERAGE(C23:D23)</f>
        <v>#DIV/0!</v>
      </c>
      <c r="Q23" s="44" t="e">
        <f>E6/AVERAGE(D23:E23)</f>
        <v>#DIV/0!</v>
      </c>
      <c r="R23" s="44">
        <f>F6/AVERAGE(E23:F23)</f>
        <v>7.3362006805690619E-2</v>
      </c>
      <c r="S23" s="44">
        <f>G6/AVERAGE(F23:G23)</f>
        <v>5.4549373337535872E-2</v>
      </c>
      <c r="T23" s="18"/>
      <c r="U23" s="18"/>
      <c r="V23" s="18"/>
      <c r="W23" s="18"/>
    </row>
    <row r="24" spans="1:23" x14ac:dyDescent="0.25">
      <c r="A24" s="6" t="s">
        <v>59</v>
      </c>
      <c r="B24" s="10"/>
      <c r="C24" s="10"/>
      <c r="D24" s="89"/>
      <c r="E24" s="89"/>
      <c r="F24" s="89"/>
      <c r="G24" s="89"/>
      <c r="H24" s="89"/>
      <c r="I24" s="89"/>
      <c r="J24" s="89"/>
      <c r="K24" s="89"/>
      <c r="L24" s="11"/>
      <c r="M24" s="11"/>
      <c r="N24" s="42" t="s">
        <v>35</v>
      </c>
      <c r="O24" s="43"/>
      <c r="P24" s="44" t="e">
        <f>D9/AVERAGE(C21:D21)</f>
        <v>#DIV/0!</v>
      </c>
      <c r="Q24" s="44" t="e">
        <f>E9/AVERAGE(D21:E21)</f>
        <v>#DIV/0!</v>
      </c>
      <c r="R24" s="44">
        <f>F9/AVERAGE(E21:F21)</f>
        <v>8.4764887904140898E-2</v>
      </c>
      <c r="S24" s="44">
        <f>G9/AVERAGE(F21:G21)</f>
        <v>3.8478568793488592E-2</v>
      </c>
      <c r="T24" s="18"/>
      <c r="U24" s="18"/>
      <c r="V24" s="18"/>
      <c r="W24" s="18"/>
    </row>
    <row r="25" spans="1:23" x14ac:dyDescent="0.25">
      <c r="A25" s="6" t="s">
        <v>60</v>
      </c>
      <c r="B25" s="10"/>
      <c r="C25" s="10"/>
      <c r="D25" s="89"/>
      <c r="E25" s="89"/>
      <c r="F25" s="89"/>
      <c r="G25" s="89"/>
      <c r="H25" s="89"/>
      <c r="I25" s="89"/>
      <c r="J25" s="89"/>
      <c r="K25" s="89"/>
      <c r="L25" s="11"/>
      <c r="M25" s="11"/>
      <c r="N25" s="42" t="s">
        <v>36</v>
      </c>
      <c r="O25" s="43"/>
      <c r="P25" s="48" t="e">
        <f>P23-P24</f>
        <v>#DIV/0!</v>
      </c>
      <c r="Q25" s="48" t="e">
        <f>Q23-Q24</f>
        <v>#DIV/0!</v>
      </c>
      <c r="R25" s="48">
        <f>R23-R24</f>
        <v>-1.1402881098450279E-2</v>
      </c>
      <c r="S25" s="48">
        <f>S23-S24</f>
        <v>1.607080454404728E-2</v>
      </c>
      <c r="T25" s="18"/>
      <c r="U25" s="18"/>
      <c r="V25" s="18"/>
      <c r="W25" s="18"/>
    </row>
    <row r="29" spans="1:23" x14ac:dyDescent="0.25">
      <c r="G29" s="155"/>
    </row>
  </sheetData>
  <mergeCells count="1">
    <mergeCell ref="I1:K1"/>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R65"/>
  <sheetViews>
    <sheetView topLeftCell="B5" workbookViewId="0">
      <selection activeCell="AG6" sqref="AG6"/>
    </sheetView>
  </sheetViews>
  <sheetFormatPr defaultColWidth="9" defaultRowHeight="10.5" x14ac:dyDescent="0.25"/>
  <cols>
    <col min="1" max="1" width="25.28515625" style="248" customWidth="1"/>
    <col min="2" max="2" width="10.85546875" style="248" bestFit="1" customWidth="1"/>
    <col min="3" max="3" width="8.42578125" style="248" bestFit="1" customWidth="1"/>
    <col min="4" max="4" width="11.7109375" style="248" bestFit="1" customWidth="1"/>
    <col min="5" max="5" width="11.7109375" style="248" customWidth="1"/>
    <col min="6" max="6" width="10.28515625" style="248" customWidth="1"/>
    <col min="7" max="9" width="8.42578125" style="248" customWidth="1"/>
    <col min="10" max="10" width="5.7109375" style="248" customWidth="1"/>
    <col min="11" max="11" width="23.5703125" style="248" customWidth="1"/>
    <col min="12" max="12" width="8.42578125" style="248" bestFit="1" customWidth="1"/>
    <col min="13" max="13" width="10" style="248" bestFit="1" customWidth="1"/>
    <col min="14" max="15" width="7.42578125" style="248" customWidth="1"/>
    <col min="16" max="16384" width="9" style="248"/>
  </cols>
  <sheetData>
    <row r="1" spans="1:18" hidden="1" x14ac:dyDescent="0.25">
      <c r="B1" s="249"/>
      <c r="C1" s="249"/>
      <c r="D1" s="249"/>
      <c r="E1" s="249"/>
      <c r="F1" s="249"/>
      <c r="G1" s="249"/>
      <c r="H1" s="249"/>
      <c r="I1" s="249"/>
    </row>
    <row r="2" spans="1:18" x14ac:dyDescent="0.25">
      <c r="C2" s="249"/>
      <c r="D2" s="249"/>
      <c r="E2" s="250">
        <f>10</f>
        <v>10</v>
      </c>
      <c r="F2" s="249"/>
      <c r="G2" s="249">
        <f>D7/C7-1</f>
        <v>-0.12654525054597188</v>
      </c>
      <c r="H2" s="249"/>
      <c r="I2" s="249"/>
    </row>
    <row r="3" spans="1:18" ht="21" x14ac:dyDescent="0.25">
      <c r="A3" s="771" t="s">
        <v>4</v>
      </c>
      <c r="B3" s="2" t="s">
        <v>0</v>
      </c>
      <c r="C3" s="3" t="s">
        <v>216</v>
      </c>
      <c r="D3" s="3" t="s">
        <v>363</v>
      </c>
      <c r="E3" s="3" t="s">
        <v>547</v>
      </c>
      <c r="F3" s="3" t="s">
        <v>548</v>
      </c>
      <c r="G3" s="3" t="s">
        <v>367</v>
      </c>
      <c r="H3" s="3" t="s">
        <v>368</v>
      </c>
      <c r="I3" s="3" t="s">
        <v>368</v>
      </c>
      <c r="J3" s="251"/>
      <c r="K3" s="792" t="s">
        <v>369</v>
      </c>
      <c r="L3" s="252" t="str">
        <f>B3</f>
        <v>FY20</v>
      </c>
      <c r="M3" s="253" t="s">
        <v>216</v>
      </c>
      <c r="N3" s="253" t="str">
        <f>D3</f>
        <v>FY22</v>
      </c>
      <c r="O3" s="3" t="s">
        <v>547</v>
      </c>
      <c r="P3" s="253" t="str">
        <f>F3</f>
        <v>H1 FY 24</v>
      </c>
      <c r="Q3" s="253" t="str">
        <f>G3</f>
        <v>FY 24</v>
      </c>
      <c r="R3" s="253" t="str">
        <f>H3</f>
        <v>FY 25</v>
      </c>
    </row>
    <row r="4" spans="1:18" ht="11.25" customHeight="1" x14ac:dyDescent="0.25">
      <c r="A4" s="771"/>
      <c r="B4" s="254" t="s">
        <v>47</v>
      </c>
      <c r="C4" s="3" t="s">
        <v>46</v>
      </c>
      <c r="D4" s="3" t="s">
        <v>46</v>
      </c>
      <c r="E4" s="3" t="s">
        <v>46</v>
      </c>
      <c r="F4" s="3" t="s">
        <v>370</v>
      </c>
      <c r="G4" s="3" t="s">
        <v>371</v>
      </c>
      <c r="H4" s="3" t="s">
        <v>371</v>
      </c>
      <c r="I4" s="3" t="s">
        <v>371</v>
      </c>
      <c r="J4" s="255"/>
      <c r="K4" s="793"/>
      <c r="L4" s="252" t="str">
        <f>B4</f>
        <v>Aud.</v>
      </c>
      <c r="M4" s="253" t="s">
        <v>46</v>
      </c>
      <c r="N4" s="253" t="str">
        <f>C4</f>
        <v>Aud</v>
      </c>
      <c r="O4" s="3" t="s">
        <v>46</v>
      </c>
      <c r="P4" s="253" t="str">
        <f>D4</f>
        <v>Aud</v>
      </c>
      <c r="Q4" s="253" t="str">
        <f>G4</f>
        <v>Proj</v>
      </c>
      <c r="R4" s="253" t="str">
        <f>H4</f>
        <v>Proj</v>
      </c>
    </row>
    <row r="5" spans="1:18" ht="22.5" x14ac:dyDescent="0.25">
      <c r="A5" s="771"/>
      <c r="B5" s="254" t="s">
        <v>49</v>
      </c>
      <c r="C5" s="254" t="s">
        <v>49</v>
      </c>
      <c r="D5" s="254" t="s">
        <v>49</v>
      </c>
      <c r="E5" s="254" t="s">
        <v>49</v>
      </c>
      <c r="F5" s="254" t="s">
        <v>49</v>
      </c>
      <c r="G5" s="254" t="s">
        <v>49</v>
      </c>
      <c r="H5" s="254" t="s">
        <v>49</v>
      </c>
      <c r="I5" s="254" t="s">
        <v>49</v>
      </c>
      <c r="J5" s="256"/>
      <c r="K5" s="794"/>
      <c r="L5" s="252" t="str">
        <f>B5</f>
        <v>Ind AS</v>
      </c>
      <c r="M5" s="252" t="str">
        <f>C5</f>
        <v>Ind AS</v>
      </c>
      <c r="N5" s="252" t="str">
        <f>C5</f>
        <v>Ind AS</v>
      </c>
      <c r="O5" s="254" t="s">
        <v>49</v>
      </c>
      <c r="P5" s="252" t="str">
        <f>D5</f>
        <v>Ind AS</v>
      </c>
      <c r="Q5" s="252" t="str">
        <f>F5</f>
        <v>Ind AS</v>
      </c>
      <c r="R5" s="252" t="str">
        <f>G5</f>
        <v>Ind AS</v>
      </c>
    </row>
    <row r="6" spans="1:18" x14ac:dyDescent="0.25">
      <c r="A6" s="157" t="s">
        <v>23</v>
      </c>
      <c r="B6" s="257">
        <f>SUM(B7:B9)</f>
        <v>203.66199999999998</v>
      </c>
      <c r="C6" s="257">
        <f>SUM(C7:C9)</f>
        <v>122.691</v>
      </c>
      <c r="D6" s="257">
        <v>107.26</v>
      </c>
      <c r="E6" s="257">
        <v>183.41</v>
      </c>
      <c r="F6" s="257">
        <v>104.49</v>
      </c>
      <c r="G6" s="257">
        <f>SUM(G7:G9)</f>
        <v>204</v>
      </c>
      <c r="H6" s="257"/>
      <c r="I6" s="257"/>
      <c r="J6" s="258"/>
      <c r="K6" s="158" t="s">
        <v>6</v>
      </c>
      <c r="L6" s="259"/>
      <c r="M6" s="260"/>
      <c r="N6" s="260"/>
      <c r="O6" s="260"/>
      <c r="P6" s="260"/>
    </row>
    <row r="7" spans="1:18" x14ac:dyDescent="0.25">
      <c r="A7" s="157" t="s">
        <v>372</v>
      </c>
      <c r="B7" s="257">
        <v>175.952</v>
      </c>
      <c r="C7" s="257">
        <f>(998.22)/10</f>
        <v>99.822000000000003</v>
      </c>
      <c r="D7" s="257">
        <v>87.19</v>
      </c>
      <c r="E7" s="257">
        <v>126.9</v>
      </c>
      <c r="F7" s="257">
        <v>64.260000000000005</v>
      </c>
      <c r="G7" s="257">
        <v>138</v>
      </c>
      <c r="H7" s="257"/>
      <c r="I7" s="257"/>
      <c r="J7" s="258"/>
      <c r="K7" s="156" t="s">
        <v>374</v>
      </c>
      <c r="L7" s="261">
        <f>B11/B22</f>
        <v>8.769361295090497E-2</v>
      </c>
      <c r="M7" s="261">
        <f>C11/AVERAGE(C22,B22)</f>
        <v>3.7265224006863551E-2</v>
      </c>
      <c r="N7" s="261">
        <f>D11/AVERAGE(D22,C22)</f>
        <v>6.8356165089309168E-2</v>
      </c>
      <c r="O7" s="261">
        <f>E11/AVERAGE(E22,D22)</f>
        <v>7.4597927930236341E-2</v>
      </c>
      <c r="P7" s="261">
        <f>F11/AVERAGE(F22,E22)*12/6</f>
        <v>5.395952349927647E-2</v>
      </c>
      <c r="Q7" s="261">
        <f>G11/AVERAGE(G22,F22)</f>
        <v>7.2242777012348366E-2</v>
      </c>
      <c r="R7" s="262"/>
    </row>
    <row r="8" spans="1:18" x14ac:dyDescent="0.25">
      <c r="A8" s="157" t="s">
        <v>51</v>
      </c>
      <c r="B8" s="257">
        <v>8.6519999999999992</v>
      </c>
      <c r="C8" s="257">
        <f>(100.74)/10</f>
        <v>10.074</v>
      </c>
      <c r="D8" s="257">
        <v>12.62</v>
      </c>
      <c r="E8" s="257">
        <v>19.63</v>
      </c>
      <c r="F8" s="257">
        <v>37.4</v>
      </c>
      <c r="G8" s="257">
        <v>8</v>
      </c>
      <c r="H8" s="257"/>
      <c r="I8" s="257"/>
      <c r="J8" s="258"/>
      <c r="K8" s="158" t="s">
        <v>12</v>
      </c>
      <c r="L8" s="263"/>
      <c r="M8" s="263"/>
      <c r="N8" s="263"/>
      <c r="O8" s="263"/>
      <c r="P8" s="263"/>
      <c r="Q8" s="258"/>
      <c r="R8" s="261"/>
    </row>
    <row r="9" spans="1:18" x14ac:dyDescent="0.25">
      <c r="A9" s="157" t="s">
        <v>52</v>
      </c>
      <c r="B9" s="257">
        <f>(1.65+180.76+8.17)/10</f>
        <v>19.058</v>
      </c>
      <c r="C9" s="257">
        <f>(126.52+1.43)/10</f>
        <v>12.795</v>
      </c>
      <c r="D9" s="257">
        <v>7.36</v>
      </c>
      <c r="E9" s="257">
        <v>36.880000000000003</v>
      </c>
      <c r="F9" s="257">
        <v>2.82</v>
      </c>
      <c r="G9" s="257">
        <v>58</v>
      </c>
      <c r="H9" s="257"/>
      <c r="I9" s="257"/>
      <c r="J9" s="258"/>
      <c r="K9" s="156" t="s">
        <v>375</v>
      </c>
      <c r="L9" s="264">
        <f t="shared" ref="L9:Q9" si="0">B20/B19</f>
        <v>1.7530248474444377</v>
      </c>
      <c r="M9" s="264">
        <f t="shared" si="0"/>
        <v>2.4043116989383253</v>
      </c>
      <c r="N9" s="265">
        <f t="shared" si="0"/>
        <v>1.0342027872630848</v>
      </c>
      <c r="O9" s="265">
        <f t="shared" si="0"/>
        <v>2.2348793481667188</v>
      </c>
      <c r="P9" s="265">
        <f t="shared" si="0"/>
        <v>2.251975794451242</v>
      </c>
      <c r="Q9" s="265">
        <f t="shared" si="0"/>
        <v>0.58723693143245081</v>
      </c>
      <c r="R9" s="258"/>
    </row>
    <row r="10" spans="1:18" x14ac:dyDescent="0.25">
      <c r="A10" s="157" t="s">
        <v>24</v>
      </c>
      <c r="B10" s="257">
        <v>107.00999999999999</v>
      </c>
      <c r="C10" s="257">
        <v>74.89</v>
      </c>
      <c r="D10" s="257">
        <v>54.02</v>
      </c>
      <c r="E10" s="257">
        <v>83.23</v>
      </c>
      <c r="F10" s="257">
        <v>44.59</v>
      </c>
      <c r="G10" s="257">
        <v>68</v>
      </c>
      <c r="H10" s="257"/>
      <c r="I10" s="257"/>
      <c r="J10" s="258"/>
      <c r="K10" s="156" t="s">
        <v>14</v>
      </c>
      <c r="L10" s="160">
        <v>0.43030000000000002</v>
      </c>
      <c r="M10" s="160">
        <v>0.3584</v>
      </c>
      <c r="N10" s="160">
        <v>0.98360000000000003</v>
      </c>
      <c r="O10" s="160">
        <v>0.378</v>
      </c>
      <c r="P10" s="160">
        <v>0.38800000000000001</v>
      </c>
      <c r="Q10" s="160" t="s">
        <v>373</v>
      </c>
      <c r="R10" s="265"/>
    </row>
    <row r="11" spans="1:18" x14ac:dyDescent="0.25">
      <c r="A11" s="157" t="s">
        <v>53</v>
      </c>
      <c r="B11" s="266">
        <f t="shared" ref="B11:G11" si="1">B7-B10</f>
        <v>68.942000000000007</v>
      </c>
      <c r="C11" s="266">
        <f t="shared" si="1"/>
        <v>24.932000000000002</v>
      </c>
      <c r="D11" s="266">
        <f t="shared" si="1"/>
        <v>33.169999999999995</v>
      </c>
      <c r="E11" s="266">
        <f t="shared" si="1"/>
        <v>43.67</v>
      </c>
      <c r="F11" s="266">
        <f t="shared" si="1"/>
        <v>19.670000000000002</v>
      </c>
      <c r="G11" s="266">
        <f t="shared" si="1"/>
        <v>70</v>
      </c>
      <c r="H11" s="266"/>
      <c r="I11" s="266"/>
      <c r="J11" s="258"/>
      <c r="K11" s="156" t="s">
        <v>15</v>
      </c>
      <c r="L11" s="262">
        <f t="shared" ref="L11:Q11" si="2">B19/B22</f>
        <v>0.43709291513656745</v>
      </c>
      <c r="M11" s="262">
        <f t="shared" si="2"/>
        <v>0.3445488888687569</v>
      </c>
      <c r="N11" s="262">
        <f t="shared" si="2"/>
        <v>1.0254212953008914</v>
      </c>
      <c r="O11" s="262">
        <f t="shared" si="2"/>
        <v>0.42421100210044937</v>
      </c>
      <c r="P11" s="262">
        <f t="shared" si="2"/>
        <v>0.42839738776897901</v>
      </c>
      <c r="Q11" s="262">
        <f t="shared" si="2"/>
        <v>1.1956168831168832</v>
      </c>
      <c r="R11" s="258"/>
    </row>
    <row r="12" spans="1:18" x14ac:dyDescent="0.25">
      <c r="A12" s="157" t="s">
        <v>1</v>
      </c>
      <c r="B12" s="266">
        <f t="shared" ref="B12:G12" si="3">SUM(B7:B9)</f>
        <v>203.66199999999998</v>
      </c>
      <c r="C12" s="266">
        <f t="shared" si="3"/>
        <v>122.691</v>
      </c>
      <c r="D12" s="266">
        <f t="shared" si="3"/>
        <v>107.17</v>
      </c>
      <c r="E12" s="266">
        <f t="shared" si="3"/>
        <v>183.41</v>
      </c>
      <c r="F12" s="266">
        <f t="shared" si="3"/>
        <v>104.47999999999999</v>
      </c>
      <c r="G12" s="266">
        <f t="shared" si="3"/>
        <v>204</v>
      </c>
      <c r="H12" s="266"/>
      <c r="I12" s="266"/>
      <c r="J12" s="258"/>
      <c r="K12" s="158" t="s">
        <v>18</v>
      </c>
      <c r="L12" s="263"/>
      <c r="M12" s="263"/>
      <c r="N12" s="263"/>
      <c r="O12" s="263"/>
      <c r="P12" s="263"/>
      <c r="Q12" s="258"/>
      <c r="R12" s="267"/>
    </row>
    <row r="13" spans="1:18" x14ac:dyDescent="0.25">
      <c r="A13" s="157" t="s">
        <v>25</v>
      </c>
      <c r="B13" s="268">
        <v>209.554</v>
      </c>
      <c r="C13" s="268">
        <v>127.25899999999999</v>
      </c>
      <c r="D13" s="268">
        <v>115.247</v>
      </c>
      <c r="E13" s="268">
        <v>199.28</v>
      </c>
      <c r="F13" s="268">
        <v>107</v>
      </c>
      <c r="G13" s="268">
        <f>G12</f>
        <v>204</v>
      </c>
      <c r="H13" s="268"/>
      <c r="I13" s="268"/>
      <c r="J13" s="258"/>
      <c r="K13" s="156" t="s">
        <v>376</v>
      </c>
      <c r="L13" s="159">
        <f>B12/B21</f>
        <v>0.17018549251027404</v>
      </c>
      <c r="M13" s="159">
        <f>C12/AVERAGE(B21,C21)</f>
        <v>0.11461344550767813</v>
      </c>
      <c r="N13" s="159">
        <f>D12/AVERAGE(C21,D21)</f>
        <v>9.5205733487019925E-2</v>
      </c>
      <c r="O13" s="159">
        <f>E12/AVERAGE(D21,E21)</f>
        <v>0.13048622321318679</v>
      </c>
      <c r="P13" s="159">
        <f>F12/AVERAGE(E21,F21)*12/6</f>
        <v>0.14062289698242211</v>
      </c>
      <c r="Q13" s="159">
        <f>G12/AVERAGE(F21,G21)</f>
        <v>0.11840398394581277</v>
      </c>
      <c r="R13" s="258"/>
    </row>
    <row r="14" spans="1:18" x14ac:dyDescent="0.25">
      <c r="A14" s="157" t="s">
        <v>26</v>
      </c>
      <c r="B14" s="266">
        <f>(645.85+119.49+9.4+473.63)/10</f>
        <v>124.83699999999999</v>
      </c>
      <c r="C14" s="257">
        <f>(536.23+89.86+363.22)/10</f>
        <v>98.931000000000012</v>
      </c>
      <c r="D14" s="257">
        <v>118.5</v>
      </c>
      <c r="E14" s="257">
        <v>125.08</v>
      </c>
      <c r="F14" s="257">
        <v>56.35</v>
      </c>
      <c r="G14" s="257">
        <v>128</v>
      </c>
      <c r="H14" s="257"/>
      <c r="I14" s="257"/>
      <c r="J14" s="258"/>
      <c r="K14" s="156" t="s">
        <v>377</v>
      </c>
      <c r="L14" s="269">
        <f t="shared" ref="L14:Q14" si="4">B14/(B12-B10)</f>
        <v>1.2916132102801805</v>
      </c>
      <c r="M14" s="269">
        <f t="shared" si="4"/>
        <v>2.0696428945001153</v>
      </c>
      <c r="N14" s="269">
        <f t="shared" si="4"/>
        <v>2.2295390404515523</v>
      </c>
      <c r="O14" s="269">
        <f t="shared" si="4"/>
        <v>1.2485526053104412</v>
      </c>
      <c r="P14" s="269">
        <f t="shared" si="4"/>
        <v>0.94089163466355008</v>
      </c>
      <c r="Q14" s="269">
        <f t="shared" si="4"/>
        <v>0.94117647058823528</v>
      </c>
      <c r="R14" s="159"/>
    </row>
    <row r="15" spans="1:18" x14ac:dyDescent="0.25">
      <c r="A15" s="157" t="s">
        <v>54</v>
      </c>
      <c r="B15" s="266">
        <f t="shared" ref="B15:G15" si="5">B12-B14-B10</f>
        <v>-28.185000000000002</v>
      </c>
      <c r="C15" s="266">
        <f t="shared" si="5"/>
        <v>-51.13000000000001</v>
      </c>
      <c r="D15" s="266">
        <f t="shared" si="5"/>
        <v>-65.349999999999994</v>
      </c>
      <c r="E15" s="266">
        <f t="shared" si="5"/>
        <v>-24.900000000000006</v>
      </c>
      <c r="F15" s="266">
        <f t="shared" si="5"/>
        <v>3.5399999999999849</v>
      </c>
      <c r="G15" s="266">
        <f t="shared" si="5"/>
        <v>8</v>
      </c>
      <c r="H15" s="266"/>
      <c r="I15" s="266"/>
      <c r="J15" s="258"/>
      <c r="K15" s="158" t="s">
        <v>378</v>
      </c>
      <c r="L15" s="270"/>
      <c r="M15" s="270"/>
      <c r="N15" s="270"/>
      <c r="O15" s="270"/>
      <c r="P15" s="270"/>
      <c r="Q15" s="270"/>
      <c r="R15" s="269"/>
    </row>
    <row r="16" spans="1:18" x14ac:dyDescent="0.25">
      <c r="A16" s="157" t="s">
        <v>27</v>
      </c>
      <c r="B16" s="257">
        <v>108.13</v>
      </c>
      <c r="C16" s="257">
        <v>79.092999999999989</v>
      </c>
      <c r="D16" s="257">
        <v>22.286000000000001</v>
      </c>
      <c r="E16" s="257">
        <v>91.31</v>
      </c>
      <c r="F16" s="257">
        <v>13.94</v>
      </c>
      <c r="G16" s="257">
        <v>6</v>
      </c>
      <c r="H16" s="257"/>
      <c r="I16" s="257"/>
      <c r="J16" s="258"/>
      <c r="K16" s="156" t="s">
        <v>379</v>
      </c>
      <c r="L16" s="159">
        <f>B23/B22</f>
        <v>2.7767566515596517E-2</v>
      </c>
      <c r="M16" s="159">
        <f>C23/AVERAGE(B22:C22)</f>
        <v>3.969855405191304E-2</v>
      </c>
      <c r="N16" s="159">
        <f>D23/AVERAGE(C22:D22)</f>
        <v>3.9010618183316935E-2</v>
      </c>
      <c r="O16" s="159">
        <f>E23/AVERAGE(D22:E22)</f>
        <v>4.9145463397135318E-2</v>
      </c>
      <c r="P16" s="159">
        <f>F23/AVERAGE(E22:F22)</f>
        <v>4.061366270497143E-2</v>
      </c>
      <c r="Q16" s="159">
        <f>G23/AVERAGE(F22:G22)</f>
        <v>3.8474438957433528E-2</v>
      </c>
      <c r="R16" s="270"/>
    </row>
    <row r="17" spans="1:18" x14ac:dyDescent="0.25">
      <c r="A17" s="157" t="s">
        <v>55</v>
      </c>
      <c r="B17" s="257">
        <v>-130.423</v>
      </c>
      <c r="C17" s="266">
        <v>-125.655</v>
      </c>
      <c r="D17" s="266">
        <v>-17.66</v>
      </c>
      <c r="E17" s="266">
        <v>-100.34</v>
      </c>
      <c r="F17" s="266">
        <v>-7.87</v>
      </c>
      <c r="G17" s="257">
        <v>2</v>
      </c>
      <c r="H17" s="266"/>
      <c r="I17" s="266"/>
      <c r="J17" s="258"/>
      <c r="K17" s="156" t="s">
        <v>380</v>
      </c>
      <c r="L17" s="159">
        <f>B24/B22</f>
        <v>7.097710543152936E-3</v>
      </c>
      <c r="M17" s="159">
        <f>C24/AVERAGE(B22:C22)</f>
        <v>1.5871350378601049E-2</v>
      </c>
      <c r="N17" s="159">
        <f>D24/AVERAGE(C22:D22)</f>
        <v>1.1272481852231571E-2</v>
      </c>
      <c r="O17" s="159">
        <f>E24/AVERAGE(D22:E22)</f>
        <v>9.8564241849659635E-3</v>
      </c>
      <c r="P17" s="159">
        <f>F24/AVERAGE(E22:F22)</f>
        <v>6.556342712926831E-3</v>
      </c>
      <c r="Q17" s="159">
        <f>G24/AVERAGE(F22:G22)</f>
        <v>1.6512634745679624E-2</v>
      </c>
      <c r="R17" s="159"/>
    </row>
    <row r="18" spans="1:18" x14ac:dyDescent="0.25">
      <c r="A18" s="157" t="s">
        <v>28</v>
      </c>
      <c r="B18" s="257">
        <f>(5240.17-115.78-7.98-123.42)/10</f>
        <v>499.29900000000009</v>
      </c>
      <c r="C18" s="257">
        <f>(4285.86-114.09-39.56-38.39-59.35)/10</f>
        <v>403.44699999999995</v>
      </c>
      <c r="D18" s="257">
        <f>(7624.72-92.18-7.95-59.08)/10</f>
        <v>746.55100000000004</v>
      </c>
      <c r="E18" s="257">
        <v>659.79</v>
      </c>
      <c r="F18" s="257">
        <v>656.41</v>
      </c>
      <c r="G18" s="257">
        <v>1823</v>
      </c>
      <c r="H18" s="257"/>
      <c r="I18" s="257"/>
      <c r="J18" s="258"/>
      <c r="K18" s="156" t="s">
        <v>381</v>
      </c>
      <c r="L18" s="160">
        <f t="shared" ref="L18:Q18" si="6">(L16-L17)/L16</f>
        <v>0.74438845625286298</v>
      </c>
      <c r="M18" s="160">
        <f t="shared" si="6"/>
        <v>0.60020331325301202</v>
      </c>
      <c r="N18" s="160">
        <f t="shared" si="6"/>
        <v>0.71104067617538302</v>
      </c>
      <c r="O18" s="160">
        <f t="shared" si="6"/>
        <v>0.79944386513729582</v>
      </c>
      <c r="P18" s="160">
        <f t="shared" si="6"/>
        <v>0.8385680513340088</v>
      </c>
      <c r="Q18" s="160">
        <f t="shared" si="6"/>
        <v>0.57081545064377692</v>
      </c>
      <c r="R18" s="159"/>
    </row>
    <row r="19" spans="1:18" x14ac:dyDescent="0.25">
      <c r="A19" s="157" t="s">
        <v>56</v>
      </c>
      <c r="B19" s="266">
        <f>B55</f>
        <v>343.6289000000001</v>
      </c>
      <c r="C19" s="266">
        <f>C55</f>
        <v>190.16169999999994</v>
      </c>
      <c r="D19" s="266">
        <f>D55</f>
        <v>429.23110000000008</v>
      </c>
      <c r="E19" s="266">
        <v>319.10000000000002</v>
      </c>
      <c r="F19" s="266">
        <f>F18-354</f>
        <v>302.40999999999997</v>
      </c>
      <c r="G19" s="266">
        <f>G18-350</f>
        <v>1473</v>
      </c>
      <c r="H19" s="266"/>
      <c r="I19" s="266"/>
      <c r="J19" s="258"/>
      <c r="K19" s="156" t="s">
        <v>382</v>
      </c>
      <c r="L19" s="271">
        <f>L27/AVERAGE(B22:B22)</f>
        <v>0.13754040161848152</v>
      </c>
      <c r="M19" s="271">
        <f>M27/AVERAGE(B22:C22)</f>
        <v>0.11821828823900443</v>
      </c>
      <c r="N19" s="271">
        <f>N27/AVERAGE(C22,D22)</f>
        <v>4.5926605220993205E-2</v>
      </c>
      <c r="O19" s="271">
        <f>O27/AVERAGE(D22:E22)</f>
        <v>0.15597748567231234</v>
      </c>
      <c r="P19" s="271">
        <f>P27/AVERAGE(E22,F22)*12/6</f>
        <v>3.824076042602511E-2</v>
      </c>
      <c r="Q19" s="271">
        <f>Q27/AVERAGE(F22:G22)</f>
        <v>6.1922380296298594E-3</v>
      </c>
      <c r="R19" s="160"/>
    </row>
    <row r="20" spans="1:18" x14ac:dyDescent="0.25">
      <c r="A20" s="157" t="s">
        <v>57</v>
      </c>
      <c r="B20" s="257">
        <f>(1596.64+4427.26)/10</f>
        <v>602.3900000000001</v>
      </c>
      <c r="C20" s="257">
        <f>(2310.83+2261.25)/10</f>
        <v>457.20799999999997</v>
      </c>
      <c r="D20" s="257">
        <f>(1974.59+2464.53)/10</f>
        <v>443.91199999999998</v>
      </c>
      <c r="E20" s="257">
        <v>713.15</v>
      </c>
      <c r="F20" s="257">
        <v>681.02</v>
      </c>
      <c r="G20" s="257">
        <v>865</v>
      </c>
      <c r="H20" s="257"/>
      <c r="I20" s="257"/>
      <c r="J20" s="258"/>
      <c r="K20" s="156" t="s">
        <v>30</v>
      </c>
      <c r="L20" s="263"/>
      <c r="M20" s="263"/>
      <c r="N20" s="272"/>
      <c r="O20" s="272"/>
      <c r="P20" s="272"/>
      <c r="Q20" s="272"/>
      <c r="R20" s="271"/>
    </row>
    <row r="21" spans="1:18" x14ac:dyDescent="0.25">
      <c r="A21" s="157" t="s">
        <v>29</v>
      </c>
      <c r="B21" s="257">
        <v>1196.7059999999999</v>
      </c>
      <c r="C21" s="257">
        <v>944.24699999999996</v>
      </c>
      <c r="D21" s="257">
        <v>1307.088</v>
      </c>
      <c r="E21" s="257">
        <v>1504.09</v>
      </c>
      <c r="F21" s="257">
        <v>1467.83</v>
      </c>
      <c r="G21" s="257">
        <v>1978</v>
      </c>
      <c r="H21" s="257"/>
      <c r="I21" s="257"/>
      <c r="J21" s="258"/>
      <c r="K21" s="156" t="s">
        <v>384</v>
      </c>
      <c r="L21" s="273">
        <f>B17/AVERAGE(B21:B21)</f>
        <v>-0.10898499715051149</v>
      </c>
      <c r="M21" s="273">
        <f>C17/AVERAGE(B21:C21)</f>
        <v>-0.11738230591703788</v>
      </c>
      <c r="N21" s="273">
        <f>D17/AVERAGE(C21,D21)</f>
        <v>-1.5688469286001417E-2</v>
      </c>
      <c r="O21" s="273">
        <f>E17/AVERAGE(D21:E21)</f>
        <v>-7.1386443690154094E-2</v>
      </c>
      <c r="P21" s="273">
        <f>F17/AVERAGE(E21,F21)*12/6</f>
        <v>-1.059247893617594E-2</v>
      </c>
      <c r="Q21" s="273">
        <f>G17/AVERAGE(F21:G21)</f>
        <v>1.1608233720177723E-3</v>
      </c>
      <c r="R21" s="272"/>
    </row>
    <row r="22" spans="1:18" x14ac:dyDescent="0.25">
      <c r="A22" s="157" t="s">
        <v>383</v>
      </c>
      <c r="B22" s="257">
        <v>786.16899999999998</v>
      </c>
      <c r="C22" s="257">
        <v>551.91499999999996</v>
      </c>
      <c r="D22" s="257">
        <v>418.59</v>
      </c>
      <c r="E22" s="257">
        <v>752.22</v>
      </c>
      <c r="F22" s="257">
        <v>705.91</v>
      </c>
      <c r="G22" s="257">
        <v>1232</v>
      </c>
      <c r="H22" s="274">
        <f>F22/C22-1</f>
        <v>0.27901941422139287</v>
      </c>
      <c r="I22" s="274"/>
      <c r="J22" s="274">
        <f>H22/G22-1</f>
        <v>-0.99977352320274238</v>
      </c>
      <c r="K22" s="156" t="s">
        <v>385</v>
      </c>
      <c r="L22" s="273">
        <f>B17/B18</f>
        <v>-0.26121221953178353</v>
      </c>
      <c r="M22" s="273">
        <f>C17/AVERAGE(C18,B18)</f>
        <v>-0.27838395296129803</v>
      </c>
      <c r="N22" s="273">
        <f>D17/AVERAGE(D18,C18)</f>
        <v>-3.0713096892342421E-2</v>
      </c>
      <c r="O22" s="273">
        <f>E17/AVERAGE(E18,D18)</f>
        <v>-0.14269654372588159</v>
      </c>
      <c r="P22" s="273">
        <f>F17/AVERAGE(F18,E18)*12/6</f>
        <v>-2.3917337790609328E-2</v>
      </c>
      <c r="Q22" s="273">
        <f>G17/AVERAGE(G18,F18)</f>
        <v>1.6132870319955151E-3</v>
      </c>
      <c r="R22" s="273"/>
    </row>
    <row r="23" spans="1:18" x14ac:dyDescent="0.25">
      <c r="A23" s="157" t="s">
        <v>59</v>
      </c>
      <c r="B23" s="266">
        <v>21.83</v>
      </c>
      <c r="C23" s="266">
        <v>26.56</v>
      </c>
      <c r="D23" s="266">
        <v>18.93</v>
      </c>
      <c r="E23" s="266">
        <v>28.77</v>
      </c>
      <c r="F23" s="266">
        <v>29.61</v>
      </c>
      <c r="G23" s="266">
        <v>37.28</v>
      </c>
      <c r="H23" s="266"/>
      <c r="I23" s="266"/>
      <c r="J23" s="258"/>
      <c r="K23" s="156" t="s">
        <v>33</v>
      </c>
      <c r="L23" s="263"/>
      <c r="M23" s="263"/>
      <c r="N23" s="263"/>
      <c r="O23" s="263"/>
      <c r="P23" s="263"/>
      <c r="Q23" s="263"/>
      <c r="R23" s="273"/>
    </row>
    <row r="24" spans="1:18" x14ac:dyDescent="0.25">
      <c r="A24" s="157" t="s">
        <v>60</v>
      </c>
      <c r="B24" s="266">
        <v>5.58</v>
      </c>
      <c r="C24" s="266">
        <v>10.618600000000001</v>
      </c>
      <c r="D24" s="266">
        <v>5.47</v>
      </c>
      <c r="E24" s="266">
        <v>5.77</v>
      </c>
      <c r="F24" s="266">
        <v>4.78</v>
      </c>
      <c r="G24" s="266">
        <v>16</v>
      </c>
      <c r="H24" s="266"/>
      <c r="I24" s="266"/>
      <c r="J24" s="258"/>
      <c r="K24" s="156" t="s">
        <v>386</v>
      </c>
      <c r="L24" s="262">
        <f>B7/AVERAGE(B22:B22)</f>
        <v>0.22380938449620882</v>
      </c>
      <c r="M24" s="262">
        <f>C7/AVERAGE(B22:C22)</f>
        <v>0.14920139542808974</v>
      </c>
      <c r="N24" s="262">
        <f>D7/AVERAGE(C22,D22)</f>
        <v>0.17967965131555222</v>
      </c>
      <c r="O24" s="262">
        <v>0.17599999999999999</v>
      </c>
      <c r="P24" s="262">
        <f>(F7/AVERAGE(D22,F22))*12/6</f>
        <v>0.22858159181858606</v>
      </c>
      <c r="Q24" s="262">
        <f>G7/AVERAGE(E22,G22)</f>
        <v>0.13909747911017931</v>
      </c>
      <c r="R24" s="263"/>
    </row>
    <row r="25" spans="1:18" x14ac:dyDescent="0.25">
      <c r="A25" s="157" t="s">
        <v>3</v>
      </c>
      <c r="B25" s="266">
        <v>1030.9842624910059</v>
      </c>
      <c r="C25" s="266">
        <v>680.76881282946499</v>
      </c>
      <c r="D25" s="266">
        <v>680.77073372645293</v>
      </c>
      <c r="E25" s="266">
        <v>1221.1300000000001</v>
      </c>
      <c r="F25" s="266">
        <v>1645.91</v>
      </c>
      <c r="G25" s="266">
        <v>1866</v>
      </c>
      <c r="H25" s="266"/>
      <c r="I25" s="266"/>
      <c r="J25" s="258"/>
      <c r="K25" s="156" t="s">
        <v>387</v>
      </c>
      <c r="L25" s="275">
        <f>B10/B20</f>
        <v>0.17764239114195118</v>
      </c>
      <c r="M25" s="275">
        <f>C10/AVERAGE(C20,B20)</f>
        <v>0.1413554951972352</v>
      </c>
      <c r="N25" s="275">
        <f>D10/AVERAGE(D20,C20)</f>
        <v>0.11989524147727275</v>
      </c>
      <c r="O25" s="275">
        <v>0.13400000000000001</v>
      </c>
      <c r="P25" s="275">
        <f>F10/(AVERAGE(F20,D20))*2</f>
        <v>0.15855180579803935</v>
      </c>
      <c r="Q25" s="275">
        <f>G10/AVERAGE(G20,E20)</f>
        <v>8.6176852643918514E-2</v>
      </c>
      <c r="R25" s="262"/>
    </row>
    <row r="26" spans="1:18" x14ac:dyDescent="0.25">
      <c r="A26" s="276"/>
      <c r="B26" s="277"/>
      <c r="C26" s="277"/>
      <c r="D26" s="277"/>
      <c r="E26" s="277"/>
      <c r="F26" s="277"/>
      <c r="G26" s="277"/>
      <c r="H26" s="277"/>
      <c r="I26" s="277"/>
      <c r="J26" s="258"/>
      <c r="K26" s="156" t="s">
        <v>36</v>
      </c>
      <c r="L26" s="273">
        <f t="shared" ref="L26:Q26" si="7">L24-L25</f>
        <v>4.6166993354257641E-2</v>
      </c>
      <c r="M26" s="273">
        <f t="shared" si="7"/>
        <v>7.8459002308545467E-3</v>
      </c>
      <c r="N26" s="273">
        <f t="shared" si="7"/>
        <v>5.978440983827947E-2</v>
      </c>
      <c r="O26" s="273">
        <f t="shared" si="7"/>
        <v>4.1999999999999982E-2</v>
      </c>
      <c r="P26" s="273">
        <f t="shared" si="7"/>
        <v>7.0029786020546714E-2</v>
      </c>
      <c r="Q26" s="273">
        <f t="shared" si="7"/>
        <v>5.2920626466260792E-2</v>
      </c>
      <c r="R26" s="275"/>
    </row>
    <row r="27" spans="1:18" x14ac:dyDescent="0.25">
      <c r="A27" s="157"/>
      <c r="B27" s="257"/>
      <c r="C27" s="266"/>
      <c r="D27" s="266"/>
      <c r="E27" s="266"/>
      <c r="F27" s="278">
        <f>D22/C22-1</f>
        <v>-0.2415679950717049</v>
      </c>
      <c r="G27" s="266"/>
      <c r="H27" s="266"/>
      <c r="I27" s="266"/>
      <c r="J27" s="258"/>
      <c r="K27" s="156" t="s">
        <v>388</v>
      </c>
      <c r="L27" s="279">
        <f t="shared" ref="L27:Q27" si="8">B16</f>
        <v>108.13</v>
      </c>
      <c r="M27" s="279">
        <f t="shared" si="8"/>
        <v>79.092999999999989</v>
      </c>
      <c r="N27" s="279">
        <f t="shared" si="8"/>
        <v>22.286000000000001</v>
      </c>
      <c r="O27" s="279">
        <f t="shared" si="8"/>
        <v>91.31</v>
      </c>
      <c r="P27" s="279">
        <f t="shared" si="8"/>
        <v>13.94</v>
      </c>
      <c r="Q27" s="279">
        <f t="shared" si="8"/>
        <v>6</v>
      </c>
      <c r="R27" s="273"/>
    </row>
    <row r="28" spans="1:18" x14ac:dyDescent="0.25">
      <c r="B28" s="277"/>
      <c r="C28" s="280"/>
      <c r="D28" s="277"/>
      <c r="E28" s="277"/>
      <c r="F28" s="277"/>
      <c r="G28" s="281">
        <f>F19*3</f>
        <v>907.2299999999999</v>
      </c>
      <c r="H28" s="277"/>
      <c r="I28" s="277"/>
      <c r="J28" s="258"/>
      <c r="R28" s="279"/>
    </row>
    <row r="29" spans="1:18" ht="11.25" x14ac:dyDescent="0.25">
      <c r="B29" s="277"/>
      <c r="C29" s="280"/>
      <c r="D29" s="277"/>
      <c r="E29" s="277"/>
      <c r="F29" s="277"/>
      <c r="G29" s="3" t="s">
        <v>366</v>
      </c>
      <c r="H29" s="3" t="s">
        <v>367</v>
      </c>
      <c r="I29" s="277"/>
      <c r="K29" s="282"/>
      <c r="L29" s="283"/>
      <c r="M29" s="283"/>
      <c r="N29" s="283"/>
      <c r="O29" s="283"/>
      <c r="P29" s="283"/>
      <c r="Q29" s="283"/>
      <c r="R29" s="283"/>
    </row>
    <row r="30" spans="1:18" ht="11.25" x14ac:dyDescent="0.25">
      <c r="B30" s="277"/>
      <c r="C30" s="280"/>
      <c r="D30" s="277"/>
      <c r="E30" s="277"/>
      <c r="F30" s="277"/>
      <c r="G30" s="284">
        <v>0.03</v>
      </c>
      <c r="H30" s="284">
        <v>2.5000000000000001E-2</v>
      </c>
      <c r="I30" s="277"/>
      <c r="K30" s="282"/>
      <c r="L30" s="283"/>
      <c r="M30" s="283"/>
      <c r="N30" s="283"/>
      <c r="O30" s="283"/>
      <c r="P30" s="283"/>
      <c r="Q30" s="283"/>
      <c r="R30" s="283"/>
    </row>
    <row r="31" spans="1:18" ht="11.25" x14ac:dyDescent="0.25">
      <c r="A31" s="248" t="s">
        <v>549</v>
      </c>
      <c r="B31" s="277"/>
      <c r="C31" s="280"/>
      <c r="D31" s="277"/>
      <c r="E31" s="277"/>
      <c r="F31" s="277"/>
      <c r="G31" s="284">
        <v>1.4999999999999999E-2</v>
      </c>
      <c r="H31" s="284">
        <v>1.2500000000000001E-2</v>
      </c>
      <c r="I31" s="277"/>
      <c r="K31" s="282"/>
      <c r="L31" s="283"/>
      <c r="M31" s="283"/>
      <c r="N31" s="283"/>
      <c r="O31" s="283"/>
      <c r="P31" s="283"/>
      <c r="Q31" s="283"/>
      <c r="R31" s="283"/>
    </row>
    <row r="32" spans="1:18" x14ac:dyDescent="0.25">
      <c r="A32" s="248" t="s">
        <v>550</v>
      </c>
      <c r="B32" s="277"/>
      <c r="C32" s="280"/>
      <c r="D32" s="277"/>
      <c r="E32" s="277"/>
      <c r="F32" s="277"/>
      <c r="G32" s="277">
        <f>G30*G25</f>
        <v>55.98</v>
      </c>
      <c r="H32" s="277">
        <f>H30*H25</f>
        <v>0</v>
      </c>
      <c r="I32" s="277"/>
      <c r="K32" s="282"/>
      <c r="L32" s="283"/>
      <c r="M32" s="283"/>
      <c r="N32" s="283"/>
      <c r="O32" s="283"/>
      <c r="P32" s="283"/>
      <c r="Q32" s="283"/>
      <c r="R32" s="283"/>
    </row>
    <row r="33" spans="1:18" x14ac:dyDescent="0.25">
      <c r="A33" s="285" t="s">
        <v>551</v>
      </c>
      <c r="B33" s="277"/>
      <c r="C33" s="277"/>
      <c r="D33" s="277"/>
      <c r="E33" s="277"/>
      <c r="F33" s="277"/>
      <c r="G33" s="277">
        <f>G31*G25</f>
        <v>27.99</v>
      </c>
      <c r="H33" s="277">
        <f>H31*H25</f>
        <v>0</v>
      </c>
      <c r="I33" s="277"/>
      <c r="K33" s="248" t="s">
        <v>389</v>
      </c>
      <c r="L33" s="249">
        <f>L27/B25</f>
        <v>0.10488035941377262</v>
      </c>
      <c r="M33" s="249">
        <f>M27/(AVERAGE(B25:C25))</f>
        <v>9.2411693182081603E-2</v>
      </c>
      <c r="N33" s="249">
        <f>N27/(AVERAGE(C25:D25))</f>
        <v>3.2736471087268154E-2</v>
      </c>
      <c r="O33" s="249">
        <f>O27/(AVERAGE(D25:E25))</f>
        <v>9.6019732660908644E-2</v>
      </c>
      <c r="P33" s="286">
        <f>P27/(AVERAGE(E25:F25))*2</f>
        <v>1.9448629945867515E-2</v>
      </c>
      <c r="Q33" s="286">
        <f>Q27/(AVERAGE(F25:G25))</f>
        <v>3.416944056083442E-3</v>
      </c>
      <c r="R33" s="286">
        <f>R28/(AVERAGE(G25:H25))</f>
        <v>0</v>
      </c>
    </row>
    <row r="34" spans="1:18" x14ac:dyDescent="0.25">
      <c r="A34" s="285" t="s">
        <v>552</v>
      </c>
      <c r="B34" s="287"/>
      <c r="C34" s="287"/>
      <c r="D34" s="287"/>
      <c r="E34" s="287"/>
      <c r="F34" s="287"/>
      <c r="G34" s="287"/>
      <c r="H34" s="287"/>
      <c r="I34" s="287"/>
      <c r="K34" s="248" t="s">
        <v>553</v>
      </c>
    </row>
    <row r="35" spans="1:18" x14ac:dyDescent="0.25">
      <c r="A35" s="285"/>
      <c r="B35" s="288"/>
      <c r="C35" s="288"/>
      <c r="D35" s="288"/>
      <c r="E35" s="288"/>
      <c r="F35" s="288"/>
      <c r="G35" s="288"/>
      <c r="H35" s="288"/>
      <c r="I35" s="288"/>
    </row>
    <row r="36" spans="1:18" x14ac:dyDescent="0.25">
      <c r="A36" s="285" t="s">
        <v>390</v>
      </c>
      <c r="C36" s="287"/>
      <c r="F36" s="277">
        <f>F18-D18-F17</f>
        <v>-82.271000000000072</v>
      </c>
      <c r="G36" s="277">
        <f>G18-F18-G17</f>
        <v>1164.5900000000001</v>
      </c>
      <c r="H36" s="277">
        <f>H18-G18-H17</f>
        <v>-1823</v>
      </c>
      <c r="L36" s="281"/>
      <c r="M36" s="281"/>
      <c r="N36" s="281"/>
      <c r="O36" s="281"/>
    </row>
    <row r="40" spans="1:18" x14ac:dyDescent="0.25">
      <c r="B40" s="248" t="str">
        <f>B3</f>
        <v>FY20</v>
      </c>
      <c r="C40" s="248" t="str">
        <f>C3</f>
        <v>FY21</v>
      </c>
      <c r="D40" s="248" t="str">
        <f>D3</f>
        <v>FY22</v>
      </c>
      <c r="F40" s="248">
        <f>10</f>
        <v>10</v>
      </c>
    </row>
    <row r="41" spans="1:18" x14ac:dyDescent="0.25">
      <c r="A41" s="248" t="s">
        <v>391</v>
      </c>
    </row>
    <row r="42" spans="1:18" x14ac:dyDescent="0.25">
      <c r="A42" s="248" t="s">
        <v>392</v>
      </c>
      <c r="C42" s="248">
        <f>0.39*(10)</f>
        <v>3.9000000000000004</v>
      </c>
      <c r="D42" s="248">
        <f>0.4*(10)</f>
        <v>4</v>
      </c>
    </row>
    <row r="43" spans="1:18" x14ac:dyDescent="0.25">
      <c r="A43" s="248" t="s">
        <v>393</v>
      </c>
      <c r="C43" s="248">
        <f>4.25*(10)</f>
        <v>42.5</v>
      </c>
      <c r="D43" s="248">
        <f>13.5*(10)</f>
        <v>135</v>
      </c>
    </row>
    <row r="44" spans="1:18" x14ac:dyDescent="0.25">
      <c r="C44" s="289">
        <f>SUM(C42:C43)</f>
        <v>46.4</v>
      </c>
      <c r="D44" s="289">
        <f>SUM(D42:D43)</f>
        <v>139</v>
      </c>
    </row>
    <row r="47" spans="1:18" x14ac:dyDescent="0.25">
      <c r="A47" s="290" t="s">
        <v>394</v>
      </c>
      <c r="B47" s="290" t="str">
        <f>B40</f>
        <v>FY20</v>
      </c>
      <c r="C47" s="290" t="str">
        <f>C40</f>
        <v>FY21</v>
      </c>
      <c r="D47" s="290" t="str">
        <f>D40</f>
        <v>FY22</v>
      </c>
      <c r="E47" s="291" t="s">
        <v>366</v>
      </c>
    </row>
    <row r="48" spans="1:18" x14ac:dyDescent="0.25">
      <c r="A48" s="258" t="s">
        <v>395</v>
      </c>
      <c r="B48" s="292">
        <f>B18</f>
        <v>499.29900000000009</v>
      </c>
      <c r="C48" s="292">
        <f>C18</f>
        <v>403.44699999999995</v>
      </c>
      <c r="D48" s="292">
        <f>D18</f>
        <v>746.55100000000004</v>
      </c>
      <c r="E48" s="292">
        <f>E18</f>
        <v>659.79</v>
      </c>
    </row>
    <row r="49" spans="1:6" x14ac:dyDescent="0.25">
      <c r="A49" s="293" t="s">
        <v>396</v>
      </c>
      <c r="B49" s="294">
        <v>114.5</v>
      </c>
      <c r="C49" s="294">
        <v>114.5</v>
      </c>
      <c r="D49" s="294">
        <f>3825.75*10^6/10^7</f>
        <v>382.57499999999999</v>
      </c>
      <c r="E49" s="294">
        <v>393.08</v>
      </c>
    </row>
    <row r="50" spans="1:6" x14ac:dyDescent="0.25">
      <c r="A50" s="295" t="s">
        <v>397</v>
      </c>
      <c r="B50" s="296">
        <v>33.6</v>
      </c>
      <c r="C50" s="296">
        <v>62.4</v>
      </c>
      <c r="D50" s="296">
        <v>0</v>
      </c>
      <c r="E50" s="296">
        <v>0</v>
      </c>
    </row>
    <row r="51" spans="1:6" x14ac:dyDescent="0.25">
      <c r="A51" s="295" t="s">
        <v>399</v>
      </c>
      <c r="B51" s="296">
        <v>57.5</v>
      </c>
      <c r="C51" s="296">
        <v>76.73</v>
      </c>
      <c r="D51" s="296">
        <v>9.4</v>
      </c>
      <c r="E51" s="296">
        <v>13.6</v>
      </c>
    </row>
    <row r="52" spans="1:6" x14ac:dyDescent="0.25">
      <c r="A52" s="297" t="s">
        <v>400</v>
      </c>
      <c r="B52" s="298">
        <f>SUM(B49:B51)</f>
        <v>205.6</v>
      </c>
      <c r="C52" s="298">
        <f>SUM(C49:C51)</f>
        <v>253.63</v>
      </c>
      <c r="D52" s="298">
        <f>SUM(D49:D51)</f>
        <v>391.97499999999997</v>
      </c>
      <c r="E52" s="298">
        <f>SUM(E49:E51)</f>
        <v>406.68</v>
      </c>
      <c r="F52" s="299">
        <f>D52-C52</f>
        <v>138.34499999999997</v>
      </c>
    </row>
    <row r="53" spans="1:6" x14ac:dyDescent="0.25">
      <c r="A53" s="258" t="s">
        <v>401</v>
      </c>
      <c r="B53" s="300">
        <f>B48*10%</f>
        <v>49.929900000000011</v>
      </c>
      <c r="C53" s="300">
        <f>C48*10%</f>
        <v>40.344699999999996</v>
      </c>
      <c r="D53" s="300">
        <f>D48*10%</f>
        <v>74.655100000000004</v>
      </c>
      <c r="E53" s="300">
        <f>E48*10%</f>
        <v>65.978999999999999</v>
      </c>
    </row>
    <row r="54" spans="1:6" x14ac:dyDescent="0.25">
      <c r="A54" s="258" t="s">
        <v>402</v>
      </c>
      <c r="B54" s="300">
        <f>B52-B53</f>
        <v>155.67009999999999</v>
      </c>
      <c r="C54" s="300">
        <f>C52-C53</f>
        <v>213.28530000000001</v>
      </c>
      <c r="D54" s="300">
        <f>D52-D53</f>
        <v>317.31989999999996</v>
      </c>
      <c r="E54" s="300">
        <f>E52-E53</f>
        <v>340.70100000000002</v>
      </c>
    </row>
    <row r="55" spans="1:6" x14ac:dyDescent="0.25">
      <c r="A55" s="290" t="s">
        <v>403</v>
      </c>
      <c r="B55" s="301">
        <f>B48-B54</f>
        <v>343.6289000000001</v>
      </c>
      <c r="C55" s="301">
        <f>C48-C54</f>
        <v>190.16169999999994</v>
      </c>
      <c r="D55" s="301">
        <f>D48-D54</f>
        <v>429.23110000000008</v>
      </c>
      <c r="E55" s="301">
        <f>E48-E54</f>
        <v>319.08899999999994</v>
      </c>
    </row>
    <row r="57" spans="1:6" x14ac:dyDescent="0.25">
      <c r="A57" s="248" t="s">
        <v>404</v>
      </c>
    </row>
    <row r="62" spans="1:6" ht="21" x14ac:dyDescent="0.25">
      <c r="A62" s="302" t="s">
        <v>554</v>
      </c>
      <c r="B62" s="290" t="s">
        <v>0</v>
      </c>
      <c r="C62" s="290" t="s">
        <v>216</v>
      </c>
      <c r="D62" s="290" t="s">
        <v>363</v>
      </c>
      <c r="E62" s="291" t="s">
        <v>365</v>
      </c>
    </row>
    <row r="63" spans="1:6" x14ac:dyDescent="0.25">
      <c r="A63" s="258" t="s">
        <v>405</v>
      </c>
      <c r="B63" s="258">
        <v>0.4</v>
      </c>
      <c r="C63" s="258">
        <v>0.4</v>
      </c>
      <c r="D63" s="258">
        <v>0.4</v>
      </c>
      <c r="E63" s="258"/>
    </row>
    <row r="64" spans="1:6" x14ac:dyDescent="0.25">
      <c r="A64" s="258" t="s">
        <v>406</v>
      </c>
      <c r="B64" s="258">
        <v>2.7</v>
      </c>
      <c r="C64" s="258">
        <v>4.2</v>
      </c>
      <c r="D64" s="258">
        <v>13.5</v>
      </c>
      <c r="E64" s="258"/>
    </row>
    <row r="65" spans="1:5" x14ac:dyDescent="0.25">
      <c r="A65" s="258"/>
      <c r="B65" s="258"/>
      <c r="C65" s="258"/>
      <c r="D65" s="258"/>
      <c r="E65" s="258"/>
    </row>
  </sheetData>
  <mergeCells count="2">
    <mergeCell ref="A3:A5"/>
    <mergeCell ref="K3:K5"/>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A25"/>
  <sheetViews>
    <sheetView workbookViewId="0">
      <selection activeCell="AA3" sqref="AA3"/>
    </sheetView>
  </sheetViews>
  <sheetFormatPr defaultRowHeight="15" x14ac:dyDescent="0.25"/>
  <cols>
    <col min="1" max="1" width="28.140625" customWidth="1"/>
    <col min="4" max="4" width="11.28515625" customWidth="1"/>
    <col min="5" max="5" width="11.42578125" customWidth="1"/>
    <col min="6" max="6" width="11.7109375" customWidth="1"/>
    <col min="7" max="9" width="10.42578125" customWidth="1"/>
    <col min="11" max="11" width="10.140625" bestFit="1" customWidth="1"/>
    <col min="13" max="13" width="10.140625" bestFit="1" customWidth="1"/>
    <col min="16" max="16" width="28.7109375" customWidth="1"/>
    <col min="19" max="19" width="13.42578125" bestFit="1" customWidth="1"/>
    <col min="20" max="21" width="12" bestFit="1" customWidth="1"/>
    <col min="22" max="22" width="12" customWidth="1"/>
  </cols>
  <sheetData>
    <row r="1" spans="1:27" x14ac:dyDescent="0.25">
      <c r="K1" s="772" t="s">
        <v>119</v>
      </c>
      <c r="L1" s="772"/>
      <c r="M1" s="772"/>
    </row>
    <row r="2" spans="1:27" ht="45" x14ac:dyDescent="0.25">
      <c r="A2" s="3" t="s">
        <v>4</v>
      </c>
      <c r="B2" s="1" t="s">
        <v>43</v>
      </c>
      <c r="C2" s="1" t="s">
        <v>41</v>
      </c>
      <c r="D2" s="2" t="s">
        <v>44</v>
      </c>
      <c r="E2" s="2" t="s">
        <v>0</v>
      </c>
      <c r="F2" s="3" t="s">
        <v>45</v>
      </c>
      <c r="G2" s="3" t="s">
        <v>42</v>
      </c>
      <c r="H2" s="3" t="s">
        <v>366</v>
      </c>
      <c r="I2" s="3" t="s">
        <v>367</v>
      </c>
      <c r="J2" s="3" t="s">
        <v>37</v>
      </c>
      <c r="K2" s="3" t="s">
        <v>38</v>
      </c>
      <c r="L2" s="3" t="s">
        <v>39</v>
      </c>
      <c r="M2" s="3" t="s">
        <v>40</v>
      </c>
      <c r="N2" s="11"/>
      <c r="O2" s="11"/>
      <c r="P2" s="40" t="s">
        <v>6</v>
      </c>
      <c r="Q2" s="41" t="s">
        <v>7</v>
      </c>
      <c r="R2" s="41" t="s">
        <v>8</v>
      </c>
      <c r="S2" s="41" t="s">
        <v>9</v>
      </c>
      <c r="T2" s="40" t="s">
        <v>10</v>
      </c>
      <c r="U2" s="41" t="s">
        <v>90</v>
      </c>
      <c r="V2" s="41" t="s">
        <v>492</v>
      </c>
      <c r="W2" s="41" t="s">
        <v>623</v>
      </c>
      <c r="X2" s="40" t="s">
        <v>37</v>
      </c>
      <c r="Y2" s="41" t="s">
        <v>38</v>
      </c>
      <c r="Z2" s="41" t="s">
        <v>39</v>
      </c>
      <c r="AA2" s="41" t="s">
        <v>40</v>
      </c>
    </row>
    <row r="3" spans="1:27" x14ac:dyDescent="0.25">
      <c r="A3" s="3"/>
      <c r="B3" s="1" t="s">
        <v>46</v>
      </c>
      <c r="C3" s="4" t="s">
        <v>47</v>
      </c>
      <c r="D3" s="5" t="s">
        <v>47</v>
      </c>
      <c r="E3" s="5" t="s">
        <v>47</v>
      </c>
      <c r="F3" s="1" t="s">
        <v>46</v>
      </c>
      <c r="G3" s="1" t="s">
        <v>46</v>
      </c>
      <c r="H3" s="1" t="s">
        <v>46</v>
      </c>
      <c r="I3" s="1" t="s">
        <v>46</v>
      </c>
      <c r="J3" s="1" t="s">
        <v>96</v>
      </c>
      <c r="K3" s="1"/>
      <c r="L3" s="1"/>
      <c r="M3" s="1"/>
      <c r="N3" s="11"/>
      <c r="O3" s="11"/>
      <c r="P3" s="42" t="s">
        <v>11</v>
      </c>
      <c r="Q3" s="43"/>
      <c r="R3" s="44" t="e">
        <f t="shared" ref="R3:W3" si="0">D10/AVERAGE(C23:D23)</f>
        <v>#DIV/0!</v>
      </c>
      <c r="S3" s="44" t="e">
        <f t="shared" si="0"/>
        <v>#DIV/0!</v>
      </c>
      <c r="T3" s="44">
        <f t="shared" si="0"/>
        <v>5.7064232216993166E-2</v>
      </c>
      <c r="U3" s="44">
        <f t="shared" si="0"/>
        <v>8.7561330914740276E-2</v>
      </c>
      <c r="V3" s="44">
        <f t="shared" si="0"/>
        <v>0.10390851726120411</v>
      </c>
      <c r="W3" s="44">
        <f t="shared" si="0"/>
        <v>0.10964574030915375</v>
      </c>
      <c r="X3" s="44">
        <f>J10/AVERAGE(G23:J23)</f>
        <v>2.8890924789844754E-2</v>
      </c>
      <c r="Y3" s="44">
        <f>K10/AVERAGE(J23:K23)</f>
        <v>2.588809330577313E-2</v>
      </c>
      <c r="Z3" s="44">
        <f>L10/AVERAGE(K23:L23)</f>
        <v>3.4059298476589638E-2</v>
      </c>
      <c r="AA3" s="44">
        <f>M10/AVERAGE(L23:M23)</f>
        <v>2.6022872232667978E-2</v>
      </c>
    </row>
    <row r="4" spans="1:27" x14ac:dyDescent="0.25">
      <c r="A4" s="3"/>
      <c r="B4" s="1" t="s">
        <v>48</v>
      </c>
      <c r="C4" s="1" t="s">
        <v>48</v>
      </c>
      <c r="D4" s="5" t="s">
        <v>49</v>
      </c>
      <c r="E4" s="5" t="s">
        <v>49</v>
      </c>
      <c r="F4" s="5" t="s">
        <v>49</v>
      </c>
      <c r="G4" s="5" t="s">
        <v>49</v>
      </c>
      <c r="H4" s="5" t="s">
        <v>49</v>
      </c>
      <c r="I4" s="5" t="s">
        <v>49</v>
      </c>
      <c r="J4" s="5"/>
      <c r="K4" s="5"/>
      <c r="L4" s="5"/>
      <c r="M4" s="5"/>
      <c r="N4" s="11"/>
      <c r="O4" s="11"/>
      <c r="P4" s="40" t="s">
        <v>12</v>
      </c>
      <c r="Q4" s="45"/>
      <c r="R4" s="45"/>
      <c r="S4" s="45"/>
      <c r="T4" s="46" t="s">
        <v>5</v>
      </c>
      <c r="U4" s="18"/>
      <c r="V4" s="18"/>
      <c r="W4" s="18"/>
      <c r="X4" s="18"/>
      <c r="Y4" s="18"/>
      <c r="Z4" s="18"/>
      <c r="AA4" s="18"/>
    </row>
    <row r="5" spans="1:27" x14ac:dyDescent="0.25">
      <c r="A5" s="6" t="s">
        <v>23</v>
      </c>
      <c r="B5" s="7"/>
      <c r="C5" s="8"/>
      <c r="F5" s="85">
        <v>8735.3700000000008</v>
      </c>
      <c r="G5" s="90">
        <v>15782.69</v>
      </c>
      <c r="H5" s="90">
        <v>24187.3</v>
      </c>
      <c r="I5" s="90">
        <v>41599.050000000003</v>
      </c>
      <c r="J5" s="85">
        <v>7920.41</v>
      </c>
      <c r="K5" s="85">
        <v>9767.5400000000009</v>
      </c>
      <c r="L5" s="85">
        <v>12172.72</v>
      </c>
      <c r="M5" s="85">
        <v>7384.64</v>
      </c>
      <c r="N5" s="11"/>
      <c r="O5" s="11"/>
      <c r="P5" s="42" t="s">
        <v>13</v>
      </c>
      <c r="Q5" s="46"/>
      <c r="R5" s="47" t="e">
        <f t="shared" ref="R5:W5" si="1">D21/D20</f>
        <v>#DIV/0!</v>
      </c>
      <c r="S5" s="47" t="e">
        <f t="shared" si="1"/>
        <v>#DIV/0!</v>
      </c>
      <c r="T5" s="47">
        <f t="shared" si="1"/>
        <v>4.8560862214708367</v>
      </c>
      <c r="U5" s="47">
        <f t="shared" si="1"/>
        <v>4.4308593706735184</v>
      </c>
      <c r="V5" s="47">
        <f t="shared" si="1"/>
        <v>3.1661019154233272</v>
      </c>
      <c r="W5" s="47">
        <f t="shared" si="1"/>
        <v>3.2755529630157718</v>
      </c>
      <c r="X5" s="47"/>
      <c r="Y5" s="47">
        <v>3.68</v>
      </c>
      <c r="Z5" s="47">
        <v>2.97</v>
      </c>
      <c r="AA5" s="47">
        <f>M21/M20</f>
        <v>3.1661019154233272</v>
      </c>
    </row>
    <row r="6" spans="1:27" x14ac:dyDescent="0.25">
      <c r="A6" s="6" t="s">
        <v>50</v>
      </c>
      <c r="B6" s="7"/>
      <c r="C6" s="8"/>
      <c r="F6" s="85">
        <v>6680.61</v>
      </c>
      <c r="G6" s="85">
        <v>12334.05</v>
      </c>
      <c r="H6" s="85">
        <v>20533.39</v>
      </c>
      <c r="I6" s="85">
        <v>30167.65</v>
      </c>
      <c r="J6" s="85">
        <v>6724.5</v>
      </c>
      <c r="K6" s="85">
        <v>7178.84</v>
      </c>
      <c r="L6" s="85">
        <v>8192.73</v>
      </c>
      <c r="M6" s="85">
        <v>5947.39</v>
      </c>
      <c r="N6" s="11"/>
      <c r="O6" s="11"/>
      <c r="P6" s="42" t="s">
        <v>14</v>
      </c>
      <c r="Q6" s="43"/>
      <c r="R6" s="43"/>
      <c r="S6" s="43"/>
      <c r="T6" s="43">
        <v>0.24740000000000001</v>
      </c>
      <c r="U6" s="48">
        <v>0.31459999999999999</v>
      </c>
      <c r="V6" s="48">
        <v>0.40579999999999999</v>
      </c>
      <c r="W6" s="48">
        <v>0.2949</v>
      </c>
      <c r="X6" s="48"/>
      <c r="Y6" s="18"/>
      <c r="Z6" s="18"/>
      <c r="AA6" s="18"/>
    </row>
    <row r="7" spans="1:27" x14ac:dyDescent="0.25">
      <c r="A7" s="6" t="s">
        <v>51</v>
      </c>
      <c r="B7" s="7"/>
      <c r="C7" s="8"/>
      <c r="D7" s="87"/>
      <c r="E7" s="85"/>
      <c r="F7" s="85">
        <v>0</v>
      </c>
      <c r="G7" s="85">
        <v>0</v>
      </c>
      <c r="H7" s="85"/>
      <c r="I7" s="85"/>
      <c r="J7" s="85"/>
      <c r="K7" s="85"/>
      <c r="L7" s="85"/>
      <c r="M7" s="85"/>
      <c r="N7" s="11"/>
      <c r="O7" s="11"/>
      <c r="P7" s="42" t="s">
        <v>15</v>
      </c>
      <c r="Q7" s="43"/>
      <c r="R7" s="44" t="e">
        <f t="shared" ref="R7:W7" si="2">D20/D23</f>
        <v>#DIV/0!</v>
      </c>
      <c r="S7" s="44" t="e">
        <f t="shared" si="2"/>
        <v>#DIV/0!</v>
      </c>
      <c r="T7" s="44">
        <f t="shared" si="2"/>
        <v>0.18231013995935608</v>
      </c>
      <c r="U7" s="44">
        <f t="shared" si="2"/>
        <v>0.21932488906429914</v>
      </c>
      <c r="V7" s="44">
        <f t="shared" si="2"/>
        <v>0.28277876025063253</v>
      </c>
      <c r="W7" s="44">
        <f t="shared" si="2"/>
        <v>0.25335911809974698</v>
      </c>
      <c r="X7" s="18"/>
      <c r="Y7" s="18"/>
      <c r="Z7" s="18"/>
      <c r="AA7" s="18"/>
    </row>
    <row r="8" spans="1:27" x14ac:dyDescent="0.25">
      <c r="A8" s="6" t="s">
        <v>52</v>
      </c>
      <c r="B8" s="7"/>
      <c r="C8" s="8"/>
      <c r="D8" s="85">
        <f t="shared" ref="D8:M8" si="3">D5-D6-D7</f>
        <v>0</v>
      </c>
      <c r="E8" s="85">
        <f t="shared" si="3"/>
        <v>0</v>
      </c>
      <c r="F8" s="85">
        <f t="shared" si="3"/>
        <v>2054.7600000000011</v>
      </c>
      <c r="G8" s="85">
        <f t="shared" si="3"/>
        <v>3448.6400000000012</v>
      </c>
      <c r="H8" s="85">
        <f t="shared" si="3"/>
        <v>3653.91</v>
      </c>
      <c r="I8" s="85">
        <f t="shared" si="3"/>
        <v>11431.400000000001</v>
      </c>
      <c r="J8" s="85">
        <f t="shared" si="3"/>
        <v>1195.9099999999999</v>
      </c>
      <c r="K8" s="85">
        <f t="shared" si="3"/>
        <v>2588.7000000000007</v>
      </c>
      <c r="L8" s="85">
        <f t="shared" si="3"/>
        <v>3979.99</v>
      </c>
      <c r="M8" s="85">
        <f t="shared" si="3"/>
        <v>1437.25</v>
      </c>
      <c r="N8" s="11"/>
      <c r="O8" s="11"/>
      <c r="P8" s="40" t="s">
        <v>16</v>
      </c>
      <c r="Q8" s="45"/>
      <c r="R8" s="45"/>
      <c r="S8" s="45"/>
      <c r="T8" s="46" t="s">
        <v>5</v>
      </c>
      <c r="U8" s="18"/>
      <c r="V8" s="18"/>
      <c r="W8" s="18"/>
      <c r="X8" s="18"/>
      <c r="Y8" s="18"/>
      <c r="Z8" s="18"/>
      <c r="AA8" s="18"/>
    </row>
    <row r="9" spans="1:27" ht="33.75" x14ac:dyDescent="0.25">
      <c r="A9" s="6" t="s">
        <v>24</v>
      </c>
      <c r="B9" s="7"/>
      <c r="C9" s="7"/>
      <c r="D9" s="88"/>
      <c r="E9" s="85"/>
      <c r="F9" s="85">
        <v>4044.17</v>
      </c>
      <c r="G9" s="85">
        <v>7247.47</v>
      </c>
      <c r="H9" s="85">
        <v>11615.88</v>
      </c>
      <c r="I9" s="85">
        <v>15928.95</v>
      </c>
      <c r="J9" s="85">
        <v>3549.35</v>
      </c>
      <c r="K9" s="85">
        <v>4027.58</v>
      </c>
      <c r="L9" s="85">
        <v>4046.82</v>
      </c>
      <c r="M9" s="85">
        <v>3316.64</v>
      </c>
      <c r="N9" s="11"/>
      <c r="O9" s="11"/>
      <c r="P9" s="49" t="s">
        <v>93</v>
      </c>
      <c r="Q9" s="45"/>
      <c r="R9" s="93" t="e">
        <f t="shared" ref="R9:W9" si="4">D14/(D11-D9)</f>
        <v>#DIV/0!</v>
      </c>
      <c r="S9" s="93" t="e">
        <f t="shared" si="4"/>
        <v>#DIV/0!</v>
      </c>
      <c r="T9" s="93">
        <f t="shared" si="4"/>
        <v>0.99854834583901764</v>
      </c>
      <c r="U9" s="93">
        <f t="shared" si="4"/>
        <v>0.75132216861428269</v>
      </c>
      <c r="V9" s="93">
        <f t="shared" si="4"/>
        <v>0.82085158239880618</v>
      </c>
      <c r="W9" s="93">
        <f t="shared" si="4"/>
        <v>0.73457524512954753</v>
      </c>
      <c r="X9" s="18"/>
      <c r="Y9" s="18"/>
      <c r="Z9" s="18"/>
      <c r="AA9" s="18"/>
    </row>
    <row r="10" spans="1:27" ht="22.5" x14ac:dyDescent="0.25">
      <c r="A10" s="6" t="s">
        <v>53</v>
      </c>
      <c r="B10" s="10">
        <f t="shared" ref="B10:J10" si="5">B6-B9</f>
        <v>0</v>
      </c>
      <c r="C10" s="10">
        <f t="shared" si="5"/>
        <v>0</v>
      </c>
      <c r="D10" s="89">
        <f t="shared" si="5"/>
        <v>0</v>
      </c>
      <c r="E10" s="89">
        <f t="shared" si="5"/>
        <v>0</v>
      </c>
      <c r="F10" s="89">
        <f t="shared" si="5"/>
        <v>2636.4399999999996</v>
      </c>
      <c r="G10" s="89">
        <f t="shared" si="5"/>
        <v>5086.579999999999</v>
      </c>
      <c r="H10" s="89">
        <f>H6-H9</f>
        <v>8917.51</v>
      </c>
      <c r="I10" s="89">
        <f>I6-I9</f>
        <v>14238.7</v>
      </c>
      <c r="J10" s="89">
        <f t="shared" si="5"/>
        <v>3175.15</v>
      </c>
      <c r="K10" s="89">
        <f>K6-K9</f>
        <v>3151.26</v>
      </c>
      <c r="L10" s="89">
        <f>L6-L9</f>
        <v>4145.91</v>
      </c>
      <c r="M10" s="89">
        <f>M6-M9</f>
        <v>2630.7500000000005</v>
      </c>
      <c r="N10" s="11"/>
      <c r="O10" s="11"/>
      <c r="P10" s="42" t="s">
        <v>92</v>
      </c>
      <c r="Q10" s="43"/>
      <c r="R10" s="44" t="e">
        <f t="shared" ref="R10:W10" si="6">D14/D11</f>
        <v>#DIV/0!</v>
      </c>
      <c r="S10" s="44" t="e">
        <f t="shared" si="6"/>
        <v>#DIV/0!</v>
      </c>
      <c r="T10" s="44">
        <f t="shared" si="6"/>
        <v>0.53625547629922943</v>
      </c>
      <c r="U10" s="44">
        <f t="shared" si="6"/>
        <v>0.40631223194525135</v>
      </c>
      <c r="V10" s="44">
        <f t="shared" si="6"/>
        <v>0.4266400135608357</v>
      </c>
      <c r="W10" s="44">
        <f t="shared" si="6"/>
        <v>0.45329448629235519</v>
      </c>
      <c r="X10" s="18"/>
      <c r="Y10" s="18"/>
      <c r="Z10" s="18"/>
      <c r="AA10" s="18"/>
    </row>
    <row r="11" spans="1:27" ht="22.5" x14ac:dyDescent="0.25">
      <c r="A11" s="6" t="s">
        <v>1</v>
      </c>
      <c r="B11" s="10">
        <f>B5-B9</f>
        <v>0</v>
      </c>
      <c r="C11" s="10">
        <f t="shared" ref="C11:J11" si="7">SUM(C6:C8)</f>
        <v>0</v>
      </c>
      <c r="D11" s="89">
        <f t="shared" si="7"/>
        <v>0</v>
      </c>
      <c r="E11" s="89">
        <f t="shared" si="7"/>
        <v>0</v>
      </c>
      <c r="F11" s="89">
        <f>SUM(F6:F8)</f>
        <v>8735.3700000000008</v>
      </c>
      <c r="G11" s="89">
        <f>SUM(G6:G8)</f>
        <v>15782.69</v>
      </c>
      <c r="H11" s="89">
        <f>SUM(H6:H8)</f>
        <v>24187.3</v>
      </c>
      <c r="I11" s="89">
        <f>SUM(I6:I8)</f>
        <v>41599.050000000003</v>
      </c>
      <c r="J11" s="89">
        <f t="shared" si="7"/>
        <v>7920.41</v>
      </c>
      <c r="K11" s="89">
        <f>SUM(K6:K8)</f>
        <v>9767.5400000000009</v>
      </c>
      <c r="L11" s="89">
        <f>SUM(L6:L8)</f>
        <v>12172.72</v>
      </c>
      <c r="M11" s="89">
        <f>SUM(M6:M8)</f>
        <v>7384.64</v>
      </c>
      <c r="N11" s="11"/>
      <c r="O11" s="11"/>
      <c r="P11" s="42" t="s">
        <v>17</v>
      </c>
      <c r="Q11" s="43"/>
      <c r="R11" s="44" t="e">
        <f t="shared" ref="R11:W11" si="8">D14/AVERAGE(C22:D22)</f>
        <v>#DIV/0!</v>
      </c>
      <c r="S11" s="44" t="e">
        <f t="shared" si="8"/>
        <v>#DIV/0!</v>
      </c>
      <c r="T11" s="44">
        <f t="shared" si="8"/>
        <v>8.9115989338171026E-2</v>
      </c>
      <c r="U11" s="44">
        <f t="shared" si="8"/>
        <v>8.8609921238082062E-2</v>
      </c>
      <c r="V11" s="44">
        <f t="shared" si="8"/>
        <v>9.4129927097052091E-2</v>
      </c>
      <c r="W11" s="44">
        <f t="shared" si="8"/>
        <v>0.11999560912982817</v>
      </c>
      <c r="X11" s="18"/>
      <c r="Y11" s="18"/>
      <c r="Z11" s="18"/>
      <c r="AA11" s="18"/>
    </row>
    <row r="12" spans="1:27" x14ac:dyDescent="0.25">
      <c r="A12" s="6" t="s">
        <v>91</v>
      </c>
      <c r="B12" s="10"/>
      <c r="C12" s="10"/>
      <c r="D12" s="89"/>
      <c r="E12" s="89"/>
      <c r="F12" s="89">
        <v>11.7</v>
      </c>
      <c r="G12" s="89">
        <v>21.6</v>
      </c>
      <c r="H12" s="89">
        <v>3.29</v>
      </c>
      <c r="I12" s="89">
        <v>85.87</v>
      </c>
      <c r="J12" s="89">
        <v>85.87</v>
      </c>
      <c r="K12" s="89"/>
      <c r="L12" s="89"/>
      <c r="M12" s="89">
        <v>1.46</v>
      </c>
      <c r="N12" s="11"/>
      <c r="O12" s="11"/>
      <c r="P12" s="40" t="s">
        <v>18</v>
      </c>
      <c r="Q12" s="45"/>
      <c r="R12" s="45"/>
      <c r="S12" s="45"/>
      <c r="T12" s="46" t="s">
        <v>5</v>
      </c>
      <c r="U12" s="18"/>
      <c r="V12" s="18"/>
      <c r="W12" s="18"/>
      <c r="X12" s="18"/>
      <c r="Y12" s="18"/>
      <c r="Z12" s="53"/>
      <c r="AA12" s="54"/>
    </row>
    <row r="13" spans="1:27" x14ac:dyDescent="0.25">
      <c r="A13" s="6" t="s">
        <v>25</v>
      </c>
      <c r="B13" s="7"/>
      <c r="C13" s="7"/>
      <c r="D13" s="88">
        <f t="shared" ref="D13:M13" si="9">D11+D12</f>
        <v>0</v>
      </c>
      <c r="E13" s="88">
        <f t="shared" si="9"/>
        <v>0</v>
      </c>
      <c r="F13" s="88">
        <f t="shared" si="9"/>
        <v>8747.0700000000015</v>
      </c>
      <c r="G13" s="88">
        <f t="shared" si="9"/>
        <v>15804.29</v>
      </c>
      <c r="H13" s="88">
        <f t="shared" si="9"/>
        <v>24190.59</v>
      </c>
      <c r="I13" s="88">
        <f t="shared" si="9"/>
        <v>41684.920000000006</v>
      </c>
      <c r="J13" s="88">
        <f t="shared" si="9"/>
        <v>8006.28</v>
      </c>
      <c r="K13" s="88">
        <f t="shared" si="9"/>
        <v>9767.5400000000009</v>
      </c>
      <c r="L13" s="88">
        <f t="shared" si="9"/>
        <v>12172.72</v>
      </c>
      <c r="M13" s="88">
        <f t="shared" si="9"/>
        <v>7386.1</v>
      </c>
      <c r="N13" s="11"/>
      <c r="O13" s="11"/>
      <c r="P13" s="42" t="s">
        <v>19</v>
      </c>
      <c r="Q13" s="43"/>
      <c r="R13" s="44" t="e">
        <f t="shared" ref="R13:W13" si="10">D24/D23</f>
        <v>#DIV/0!</v>
      </c>
      <c r="S13" s="44" t="e">
        <f t="shared" si="10"/>
        <v>#DIV/0!</v>
      </c>
      <c r="T13" s="44">
        <f t="shared" si="10"/>
        <v>0</v>
      </c>
      <c r="U13" s="44">
        <f t="shared" si="10"/>
        <v>3.4706077193014545E-3</v>
      </c>
      <c r="V13" s="44">
        <f t="shared" si="10"/>
        <v>5.6487544017002631E-3</v>
      </c>
      <c r="W13" s="44">
        <f t="shared" si="10"/>
        <v>9.7176860367480366E-3</v>
      </c>
      <c r="X13" s="48"/>
      <c r="Y13" s="48">
        <v>6.4999999999999997E-3</v>
      </c>
      <c r="Z13" s="48">
        <v>7.45E-3</v>
      </c>
      <c r="AA13" s="48">
        <v>5.1999999999999998E-3</v>
      </c>
    </row>
    <row r="14" spans="1:27" x14ac:dyDescent="0.25">
      <c r="A14" s="6" t="s">
        <v>26</v>
      </c>
      <c r="B14" s="7"/>
      <c r="C14" s="7"/>
      <c r="D14" s="85"/>
      <c r="E14" s="85"/>
      <c r="F14" s="85">
        <f>493.44+3290.84+319.11+581</f>
        <v>4684.3900000000003</v>
      </c>
      <c r="G14" s="85">
        <f>769.36+3933.72+647.81+1061.81</f>
        <v>6412.6999999999989</v>
      </c>
      <c r="H14" s="85">
        <f>942.45+6016.76+644.05+2716.01</f>
        <v>10319.27</v>
      </c>
      <c r="I14" s="85">
        <f>1479.44+12373.11+1005.14+3998.93</f>
        <v>18856.62</v>
      </c>
      <c r="J14" s="85">
        <f>2177.83+193.19+1186.37</f>
        <v>3557.39</v>
      </c>
      <c r="K14" s="85">
        <f>2581.06+220.14+1155.55</f>
        <v>3956.75</v>
      </c>
      <c r="L14" s="85">
        <f>3480.02+264.85+1504.48</f>
        <v>5249.35</v>
      </c>
      <c r="M14" s="85">
        <f>89.64+214.97+1116.27</f>
        <v>1420.88</v>
      </c>
      <c r="N14" s="11"/>
      <c r="O14" s="11"/>
      <c r="P14" s="42" t="s">
        <v>20</v>
      </c>
      <c r="Q14" s="43"/>
      <c r="R14" s="44" t="e">
        <f t="shared" ref="R14:W14" si="11">D25/D23</f>
        <v>#DIV/0!</v>
      </c>
      <c r="S14" s="44" t="e">
        <f t="shared" si="11"/>
        <v>#DIV/0!</v>
      </c>
      <c r="T14" s="44">
        <f t="shared" si="11"/>
        <v>0</v>
      </c>
      <c r="U14" s="44">
        <f t="shared" si="11"/>
        <v>2.0745340443354132E-3</v>
      </c>
      <c r="V14" s="44">
        <f t="shared" si="11"/>
        <v>3.1489408081363311E-3</v>
      </c>
      <c r="W14" s="44">
        <f t="shared" si="11"/>
        <v>5.4284284831451288E-3</v>
      </c>
      <c r="X14" s="48"/>
      <c r="Y14" s="48">
        <v>3.5999999999999999E-3</v>
      </c>
      <c r="Z14" s="48">
        <v>4.1000000000000003E-3</v>
      </c>
      <c r="AA14" s="48">
        <v>2.7000000000000001E-3</v>
      </c>
    </row>
    <row r="15" spans="1:27" x14ac:dyDescent="0.25">
      <c r="A15" s="6" t="s">
        <v>54</v>
      </c>
      <c r="B15" s="10"/>
      <c r="C15" s="10"/>
      <c r="D15" s="89">
        <f t="shared" ref="D15:M15" si="12">D11-D14</f>
        <v>0</v>
      </c>
      <c r="E15" s="89">
        <f t="shared" si="12"/>
        <v>0</v>
      </c>
      <c r="F15" s="89">
        <f t="shared" si="12"/>
        <v>4050.9800000000005</v>
      </c>
      <c r="G15" s="89">
        <f t="shared" si="12"/>
        <v>9369.9900000000016</v>
      </c>
      <c r="H15" s="89">
        <f>H11-H14</f>
        <v>13868.029999999999</v>
      </c>
      <c r="I15" s="89">
        <f>I11-I14</f>
        <v>22742.430000000004</v>
      </c>
      <c r="J15" s="89">
        <f t="shared" si="12"/>
        <v>4363.0200000000004</v>
      </c>
      <c r="K15" s="89">
        <f t="shared" si="12"/>
        <v>5810.7900000000009</v>
      </c>
      <c r="L15" s="89">
        <f t="shared" si="12"/>
        <v>6923.369999999999</v>
      </c>
      <c r="M15" s="89">
        <f t="shared" si="12"/>
        <v>5963.76</v>
      </c>
      <c r="N15" s="11"/>
      <c r="O15" s="11"/>
      <c r="P15" s="42" t="s">
        <v>21</v>
      </c>
      <c r="Q15" s="43"/>
      <c r="R15" s="44" t="e">
        <f t="shared" ref="R15:X15" si="13">(R13-R14)/R13</f>
        <v>#DIV/0!</v>
      </c>
      <c r="S15" s="44" t="e">
        <f t="shared" si="13"/>
        <v>#DIV/0!</v>
      </c>
      <c r="T15" s="44" t="e">
        <f t="shared" si="13"/>
        <v>#DIV/0!</v>
      </c>
      <c r="U15" s="44">
        <f t="shared" si="13"/>
        <v>0.4022562582345191</v>
      </c>
      <c r="V15" s="44">
        <f t="shared" si="13"/>
        <v>0.44254244666956905</v>
      </c>
      <c r="W15" s="44">
        <f t="shared" ref="W15" si="14">(W13-W14)/W13</f>
        <v>0.44138671875000002</v>
      </c>
      <c r="X15" s="44" t="e">
        <f t="shared" si="13"/>
        <v>#DIV/0!</v>
      </c>
      <c r="Y15" s="18"/>
      <c r="Z15" s="18"/>
      <c r="AA15" s="18"/>
    </row>
    <row r="16" spans="1:27" x14ac:dyDescent="0.25">
      <c r="A16" s="6" t="s">
        <v>94</v>
      </c>
      <c r="B16" s="10"/>
      <c r="C16" s="10"/>
      <c r="D16" s="89">
        <f t="shared" ref="D16:M16" si="15">D13-D14-D9</f>
        <v>0</v>
      </c>
      <c r="E16" s="89">
        <f t="shared" si="15"/>
        <v>0</v>
      </c>
      <c r="F16" s="89">
        <f t="shared" si="15"/>
        <v>18.510000000001128</v>
      </c>
      <c r="G16" s="89">
        <f t="shared" si="15"/>
        <v>2144.1200000000017</v>
      </c>
      <c r="H16" s="89">
        <f>H13-H14-H9</f>
        <v>2255.4400000000005</v>
      </c>
      <c r="I16" s="89">
        <f>I13-I14-I9</f>
        <v>6899.3500000000058</v>
      </c>
      <c r="J16" s="89">
        <f t="shared" si="15"/>
        <v>899.53999999999951</v>
      </c>
      <c r="K16" s="89">
        <f t="shared" si="15"/>
        <v>1783.2100000000009</v>
      </c>
      <c r="L16" s="89">
        <f t="shared" si="15"/>
        <v>2876.5499999999988</v>
      </c>
      <c r="M16" s="89">
        <f t="shared" si="15"/>
        <v>2648.5800000000004</v>
      </c>
      <c r="N16" s="11"/>
      <c r="O16" s="11"/>
      <c r="P16" s="42" t="s">
        <v>22</v>
      </c>
      <c r="Q16" s="43"/>
      <c r="R16" s="44" t="e">
        <f t="shared" ref="R16:W16" si="16">D17/AVERAGE(C23:D23)</f>
        <v>#DIV/0!</v>
      </c>
      <c r="S16" s="44" t="e">
        <f t="shared" si="16"/>
        <v>#DIV/0!</v>
      </c>
      <c r="T16" s="44">
        <f t="shared" si="16"/>
        <v>1.4555876927192695E-3</v>
      </c>
      <c r="U16" s="44">
        <f t="shared" si="16"/>
        <v>6.5911394284460106E-3</v>
      </c>
      <c r="V16" s="44">
        <f t="shared" si="16"/>
        <v>4.2518839842751376E-4</v>
      </c>
      <c r="W16" s="44">
        <f t="shared" si="16"/>
        <v>4.2090405160288757E-3</v>
      </c>
      <c r="X16" s="18"/>
      <c r="Y16" s="18"/>
      <c r="Z16" s="18"/>
      <c r="AA16" s="18"/>
    </row>
    <row r="17" spans="1:27" x14ac:dyDescent="0.25">
      <c r="A17" s="6" t="s">
        <v>27</v>
      </c>
      <c r="B17" s="7"/>
      <c r="C17" s="7"/>
      <c r="D17" s="88"/>
      <c r="E17" s="85"/>
      <c r="F17" s="85">
        <v>67.25</v>
      </c>
      <c r="G17" s="85">
        <v>382.89</v>
      </c>
      <c r="H17" s="85">
        <v>36.49</v>
      </c>
      <c r="I17" s="85">
        <v>546.59</v>
      </c>
      <c r="J17" s="85">
        <v>176.86</v>
      </c>
      <c r="K17" s="85">
        <v>-23.13</v>
      </c>
      <c r="L17" s="85">
        <v>81.91</v>
      </c>
      <c r="M17" s="85">
        <v>89.64</v>
      </c>
      <c r="N17" s="11"/>
      <c r="O17" s="11"/>
      <c r="P17" s="18"/>
      <c r="Q17" s="18"/>
      <c r="R17" s="18"/>
      <c r="S17" s="18"/>
      <c r="T17" s="18"/>
      <c r="U17" s="18"/>
      <c r="V17" s="18"/>
      <c r="W17" s="18"/>
      <c r="X17" s="18"/>
      <c r="Y17" s="18"/>
      <c r="Z17" s="18"/>
      <c r="AA17" s="18"/>
    </row>
    <row r="18" spans="1:27" x14ac:dyDescent="0.25">
      <c r="A18" s="6" t="s">
        <v>55</v>
      </c>
      <c r="B18" s="7"/>
      <c r="C18" s="7"/>
      <c r="D18" s="88"/>
      <c r="E18" s="85"/>
      <c r="F18" s="89">
        <v>-62.38</v>
      </c>
      <c r="G18" s="89">
        <v>1220.07</v>
      </c>
      <c r="H18" s="89">
        <v>1606.39</v>
      </c>
      <c r="I18" s="89">
        <v>4588</v>
      </c>
      <c r="J18" s="89">
        <v>543.6</v>
      </c>
      <c r="K18" s="89">
        <v>1360.71</v>
      </c>
      <c r="L18" s="89">
        <v>2049.6999999999998</v>
      </c>
      <c r="M18" s="89">
        <v>737.81</v>
      </c>
      <c r="N18" s="11"/>
      <c r="O18" s="11"/>
      <c r="P18" s="40" t="s">
        <v>30</v>
      </c>
      <c r="Q18" s="45"/>
      <c r="R18" s="45"/>
      <c r="S18" s="45"/>
      <c r="T18" s="46" t="s">
        <v>5</v>
      </c>
      <c r="U18" s="18"/>
      <c r="V18" s="18"/>
      <c r="W18" s="18"/>
      <c r="X18" s="18"/>
      <c r="Y18" s="18"/>
      <c r="Z18" s="18"/>
      <c r="AA18" s="18"/>
    </row>
    <row r="19" spans="1:27" ht="22.5" x14ac:dyDescent="0.25">
      <c r="A19" s="6" t="s">
        <v>28</v>
      </c>
      <c r="B19" s="7"/>
      <c r="C19" s="7"/>
      <c r="D19" s="88"/>
      <c r="E19" s="85"/>
      <c r="F19" s="85">
        <v>8422.9599999999991</v>
      </c>
      <c r="G19" s="85">
        <v>15348.79</v>
      </c>
      <c r="H19" s="85">
        <v>28747.17</v>
      </c>
      <c r="I19" s="85">
        <f>40255.67-209.14</f>
        <v>40046.53</v>
      </c>
      <c r="J19" s="85"/>
      <c r="K19" s="85">
        <f>30558.87-190.94</f>
        <v>30367.93</v>
      </c>
      <c r="L19" s="85"/>
      <c r="M19" s="85">
        <v>28747.17</v>
      </c>
      <c r="N19" s="11"/>
      <c r="O19" s="11"/>
      <c r="P19" s="46" t="s">
        <v>95</v>
      </c>
      <c r="Q19" s="51"/>
      <c r="R19" s="51"/>
      <c r="S19" s="52" t="e">
        <f>E16/AVERAGE(D22:E22)</f>
        <v>#DIV/0!</v>
      </c>
      <c r="T19" s="52">
        <f>F16/AVERAGE(E22:F22)</f>
        <v>3.52134848432698E-4</v>
      </c>
      <c r="U19" s="52">
        <f>G16/AVERAGE(F22:G22)</f>
        <v>2.9627193588503548E-2</v>
      </c>
      <c r="V19" s="52">
        <f>H16/AVERAGE(G22:H22)</f>
        <v>2.0573587353734827E-2</v>
      </c>
      <c r="W19" s="52">
        <f>I16/AVERAGE(H22:I22)</f>
        <v>4.3904565391352249E-2</v>
      </c>
      <c r="X19" s="18"/>
      <c r="Y19" s="18"/>
      <c r="Z19" s="18"/>
      <c r="AA19" s="18"/>
    </row>
    <row r="20" spans="1:27" x14ac:dyDescent="0.25">
      <c r="A20" s="6" t="s">
        <v>56</v>
      </c>
      <c r="B20" s="7"/>
      <c r="C20" s="7"/>
      <c r="D20" s="88">
        <f t="shared" ref="D20:L20" si="17">D19-D71</f>
        <v>0</v>
      </c>
      <c r="E20" s="89">
        <f t="shared" si="17"/>
        <v>0</v>
      </c>
      <c r="F20" s="89">
        <f t="shared" si="17"/>
        <v>8422.9599999999991</v>
      </c>
      <c r="G20" s="89">
        <f t="shared" si="17"/>
        <v>15348.79</v>
      </c>
      <c r="H20" s="89">
        <f t="shared" si="17"/>
        <v>28747.17</v>
      </c>
      <c r="I20" s="89">
        <f t="shared" si="17"/>
        <v>40046.53</v>
      </c>
      <c r="J20" s="89">
        <f t="shared" si="17"/>
        <v>0</v>
      </c>
      <c r="K20" s="89">
        <f t="shared" si="17"/>
        <v>30367.93</v>
      </c>
      <c r="L20" s="89">
        <f t="shared" si="17"/>
        <v>0</v>
      </c>
      <c r="M20" s="89">
        <v>28747.17</v>
      </c>
      <c r="N20" s="11"/>
      <c r="O20" s="11"/>
      <c r="P20" s="42" t="s">
        <v>31</v>
      </c>
      <c r="Q20" s="43"/>
      <c r="R20" s="43">
        <v>4.4699999999999997E-2</v>
      </c>
      <c r="S20" s="44" t="e">
        <f>E18/AVERAGE(D22:E22)</f>
        <v>#DIV/0!</v>
      </c>
      <c r="T20" s="44">
        <f>F18/AVERAGE(E22:F22)</f>
        <v>-1.1867191704608515E-3</v>
      </c>
      <c r="U20" s="44">
        <f>G18/AVERAGE(F22:G22)</f>
        <v>1.6858781262954262E-2</v>
      </c>
      <c r="V20" s="44">
        <f>H18/AVERAGE(G22:H22)</f>
        <v>1.4653107592827157E-2</v>
      </c>
      <c r="W20" s="44">
        <f>I18/AVERAGE(H22:I22)</f>
        <v>2.9196104852706989E-2</v>
      </c>
      <c r="X20" s="48"/>
      <c r="Y20" s="18"/>
      <c r="Z20" s="18"/>
      <c r="AA20" s="18"/>
    </row>
    <row r="21" spans="1:27" x14ac:dyDescent="0.25">
      <c r="A21" s="6" t="s">
        <v>57</v>
      </c>
      <c r="B21" s="9"/>
      <c r="C21" s="9"/>
      <c r="D21" s="85"/>
      <c r="E21" s="85"/>
      <c r="F21" s="85">
        <f>3249.45+37653.17</f>
        <v>40902.619999999995</v>
      </c>
      <c r="G21" s="85">
        <f>21206.79+46801.54</f>
        <v>68008.33</v>
      </c>
      <c r="H21" s="85">
        <f>33174.21+57842.26</f>
        <v>91016.47</v>
      </c>
      <c r="I21" s="85">
        <f>38437.71+92736.82</f>
        <v>131174.53</v>
      </c>
      <c r="J21" s="85"/>
      <c r="K21" s="85">
        <f>32836.92+79764.5</f>
        <v>112601.42</v>
      </c>
      <c r="L21" s="85"/>
      <c r="M21" s="85">
        <f>33174.21+57842.26</f>
        <v>91016.47</v>
      </c>
      <c r="N21" s="11"/>
      <c r="O21" s="11"/>
      <c r="P21" s="42" t="s">
        <v>32</v>
      </c>
      <c r="Q21" s="43"/>
      <c r="R21" s="44" t="e">
        <f t="shared" ref="R21:W21" si="18">D18/AVERAGE(C19:D19)</f>
        <v>#DIV/0!</v>
      </c>
      <c r="S21" s="44" t="e">
        <f t="shared" si="18"/>
        <v>#DIV/0!</v>
      </c>
      <c r="T21" s="44">
        <f t="shared" si="18"/>
        <v>-7.405947552879274E-3</v>
      </c>
      <c r="U21" s="44">
        <f t="shared" si="18"/>
        <v>0.10264873221365696</v>
      </c>
      <c r="V21" s="44">
        <f t="shared" si="18"/>
        <v>7.2858828790664729E-2</v>
      </c>
      <c r="W21" s="44">
        <f t="shared" si="18"/>
        <v>0.13338430699322759</v>
      </c>
      <c r="X21" s="18"/>
      <c r="Y21" s="18"/>
      <c r="Z21" s="18"/>
      <c r="AA21" s="18"/>
    </row>
    <row r="22" spans="1:27" x14ac:dyDescent="0.25">
      <c r="A22" s="6" t="s">
        <v>29</v>
      </c>
      <c r="B22" s="7"/>
      <c r="C22" s="7"/>
      <c r="D22" s="88"/>
      <c r="E22" s="85"/>
      <c r="F22" s="85">
        <v>52565.09</v>
      </c>
      <c r="G22" s="85">
        <v>92174.91</v>
      </c>
      <c r="H22" s="85">
        <v>127080.97</v>
      </c>
      <c r="I22" s="85">
        <v>187207.53</v>
      </c>
      <c r="J22" s="85"/>
      <c r="K22" s="85">
        <v>154932.60999999999</v>
      </c>
      <c r="L22" s="85"/>
      <c r="M22" s="85">
        <v>127080.97</v>
      </c>
      <c r="N22" s="11"/>
      <c r="O22" s="11"/>
      <c r="P22" s="40" t="s">
        <v>33</v>
      </c>
      <c r="Q22" s="45"/>
      <c r="R22" s="45"/>
      <c r="S22" s="45"/>
      <c r="T22" s="46" t="s">
        <v>5</v>
      </c>
      <c r="U22" s="18"/>
      <c r="V22" s="18"/>
      <c r="W22" s="18"/>
      <c r="X22" s="18"/>
      <c r="Y22" s="18"/>
      <c r="Z22" s="18"/>
      <c r="AA22" s="18"/>
    </row>
    <row r="23" spans="1:27" x14ac:dyDescent="0.25">
      <c r="A23" s="6" t="s">
        <v>58</v>
      </c>
      <c r="B23" s="7"/>
      <c r="C23" s="7"/>
      <c r="D23" s="88"/>
      <c r="E23" s="85"/>
      <c r="F23" s="85">
        <v>46201.27</v>
      </c>
      <c r="G23" s="85">
        <v>69981.98</v>
      </c>
      <c r="H23" s="85">
        <v>101659.58</v>
      </c>
      <c r="I23" s="85">
        <v>158062.32</v>
      </c>
      <c r="J23" s="85"/>
      <c r="K23" s="85">
        <v>121726.23</v>
      </c>
      <c r="L23" s="85"/>
      <c r="M23" s="85">
        <v>101093.75999999999</v>
      </c>
      <c r="N23" s="11"/>
      <c r="O23" s="11"/>
      <c r="P23" s="42" t="s">
        <v>34</v>
      </c>
      <c r="Q23" s="43"/>
      <c r="R23" s="44" t="e">
        <f t="shared" ref="R23:W23" si="19">D6/AVERAGE(C23:D23)</f>
        <v>#DIV/0!</v>
      </c>
      <c r="S23" s="44" t="e">
        <f t="shared" si="19"/>
        <v>#DIV/0!</v>
      </c>
      <c r="T23" s="44">
        <f t="shared" si="19"/>
        <v>0.14459797317259893</v>
      </c>
      <c r="U23" s="44">
        <f t="shared" si="19"/>
        <v>0.21232062280922592</v>
      </c>
      <c r="V23" s="44">
        <f t="shared" si="19"/>
        <v>0.23925895336770417</v>
      </c>
      <c r="W23" s="44">
        <f t="shared" si="19"/>
        <v>0.23230732564331308</v>
      </c>
      <c r="X23" s="18"/>
      <c r="Y23" s="18"/>
      <c r="Z23" s="18"/>
      <c r="AA23" s="18"/>
    </row>
    <row r="24" spans="1:27" x14ac:dyDescent="0.25">
      <c r="A24" s="6" t="s">
        <v>59</v>
      </c>
      <c r="B24" s="10"/>
      <c r="C24" s="10"/>
      <c r="D24" s="89"/>
      <c r="E24" s="89"/>
      <c r="F24" s="89"/>
      <c r="G24" s="89">
        <v>242.88</v>
      </c>
      <c r="H24" s="89">
        <v>574.25</v>
      </c>
      <c r="I24" s="89">
        <v>1536</v>
      </c>
      <c r="J24" s="89"/>
      <c r="K24" s="89"/>
      <c r="L24" s="89"/>
      <c r="M24" s="89"/>
      <c r="N24" s="11"/>
      <c r="O24" s="11"/>
      <c r="P24" s="42" t="s">
        <v>35</v>
      </c>
      <c r="Q24" s="43"/>
      <c r="R24" s="44" t="e">
        <f t="shared" ref="R24:W24" si="20">D9/AVERAGE(C21:D21)</f>
        <v>#DIV/0!</v>
      </c>
      <c r="S24" s="44" t="e">
        <f t="shared" si="20"/>
        <v>#DIV/0!</v>
      </c>
      <c r="T24" s="44">
        <f t="shared" si="20"/>
        <v>9.8873128420624415E-2</v>
      </c>
      <c r="U24" s="44">
        <f t="shared" si="20"/>
        <v>0.1330898316468638</v>
      </c>
      <c r="V24" s="44">
        <f t="shared" si="20"/>
        <v>0.14608891191814108</v>
      </c>
      <c r="W24" s="44">
        <f t="shared" si="20"/>
        <v>0.14338069498764577</v>
      </c>
      <c r="X24" s="18"/>
      <c r="Y24" s="18"/>
      <c r="Z24" s="18"/>
      <c r="AA24" s="18"/>
    </row>
    <row r="25" spans="1:27" x14ac:dyDescent="0.25">
      <c r="A25" s="6" t="s">
        <v>60</v>
      </c>
      <c r="B25" s="10"/>
      <c r="C25" s="10"/>
      <c r="D25" s="89"/>
      <c r="E25" s="89"/>
      <c r="F25" s="89"/>
      <c r="G25" s="89">
        <v>145.18</v>
      </c>
      <c r="H25" s="89">
        <v>320.12</v>
      </c>
      <c r="I25" s="89">
        <v>858.03</v>
      </c>
      <c r="J25" s="89"/>
      <c r="K25" s="89"/>
      <c r="L25" s="89"/>
      <c r="M25" s="89"/>
      <c r="N25" s="11"/>
      <c r="O25" s="11"/>
      <c r="P25" s="42" t="s">
        <v>36</v>
      </c>
      <c r="Q25" s="43"/>
      <c r="R25" s="48" t="e">
        <f t="shared" ref="R25:W25" si="21">R23-R24</f>
        <v>#DIV/0!</v>
      </c>
      <c r="S25" s="48" t="e">
        <f t="shared" si="21"/>
        <v>#DIV/0!</v>
      </c>
      <c r="T25" s="48">
        <f t="shared" si="21"/>
        <v>4.5724844751974511E-2</v>
      </c>
      <c r="U25" s="48">
        <f t="shared" si="21"/>
        <v>7.9230791162362119E-2</v>
      </c>
      <c r="V25" s="48">
        <f t="shared" si="21"/>
        <v>9.317004144956309E-2</v>
      </c>
      <c r="W25" s="48">
        <f t="shared" si="21"/>
        <v>8.8926630655667305E-2</v>
      </c>
      <c r="X25" s="18"/>
      <c r="Y25" s="18"/>
      <c r="Z25" s="18"/>
      <c r="AA25" s="18"/>
    </row>
  </sheetData>
  <mergeCells count="1">
    <mergeCell ref="K1:M1"/>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B1:Y75"/>
  <sheetViews>
    <sheetView workbookViewId="0"/>
  </sheetViews>
  <sheetFormatPr defaultRowHeight="15" x14ac:dyDescent="0.25"/>
  <cols>
    <col min="2" max="2" width="25.28515625" bestFit="1" customWidth="1"/>
    <col min="3" max="3" width="6.28515625" hidden="1" customWidth="1"/>
    <col min="4" max="4" width="6.5703125" bestFit="1" customWidth="1"/>
    <col min="5" max="5" width="6.5703125" customWidth="1"/>
    <col min="6" max="6" width="7" bestFit="1" customWidth="1"/>
    <col min="7" max="7" width="7" style="329" customWidth="1"/>
    <col min="8" max="8" width="6.28515625" style="310" bestFit="1" customWidth="1"/>
    <col min="9" max="9" width="6.28515625" customWidth="1"/>
    <col min="10" max="10" width="29" bestFit="1" customWidth="1"/>
    <col min="11" max="12" width="6.28515625" bestFit="1" customWidth="1"/>
    <col min="13" max="13" width="7.5703125" customWidth="1"/>
    <col min="15" max="15" width="23.5703125" bestFit="1" customWidth="1"/>
    <col min="16" max="16" width="7.42578125" bestFit="1" customWidth="1"/>
    <col min="17" max="17" width="7.42578125" customWidth="1"/>
    <col min="18" max="18" width="7.42578125" bestFit="1" customWidth="1"/>
    <col min="19" max="19" width="7.42578125" customWidth="1"/>
    <col min="20" max="20" width="7.42578125" bestFit="1" customWidth="1"/>
    <col min="21" max="21" width="7.42578125" customWidth="1"/>
    <col min="22" max="22" width="7.42578125" bestFit="1" customWidth="1"/>
    <col min="23" max="24" width="8.28515625" bestFit="1" customWidth="1"/>
  </cols>
  <sheetData>
    <row r="1" spans="2:25" x14ac:dyDescent="0.25">
      <c r="G1"/>
      <c r="P1">
        <f>(D21+F21)/2</f>
        <v>266.8</v>
      </c>
      <c r="Q1">
        <f>1.75/P1%</f>
        <v>0.65592203898050971</v>
      </c>
      <c r="S1">
        <f>10/25*100</f>
        <v>40</v>
      </c>
    </row>
    <row r="2" spans="2:25" x14ac:dyDescent="0.25">
      <c r="B2" s="795" t="s">
        <v>4</v>
      </c>
      <c r="C2" s="311" t="s">
        <v>0</v>
      </c>
      <c r="D2" s="312" t="s">
        <v>216</v>
      </c>
      <c r="E2" s="312" t="s">
        <v>363</v>
      </c>
      <c r="F2" s="312" t="s">
        <v>363</v>
      </c>
      <c r="G2" s="312" t="s">
        <v>495</v>
      </c>
      <c r="H2" s="313" t="s">
        <v>495</v>
      </c>
      <c r="I2" s="311" t="s">
        <v>570</v>
      </c>
      <c r="J2" s="312" t="s">
        <v>556</v>
      </c>
      <c r="K2" s="312" t="s">
        <v>571</v>
      </c>
      <c r="L2" s="311" t="s">
        <v>572</v>
      </c>
      <c r="M2" s="312" t="s">
        <v>573</v>
      </c>
      <c r="O2" s="795" t="s">
        <v>557</v>
      </c>
      <c r="P2" s="312" t="str">
        <f>D2</f>
        <v>FY21</v>
      </c>
      <c r="Q2" s="312" t="s">
        <v>363</v>
      </c>
      <c r="R2" s="312" t="str">
        <f>F2</f>
        <v>FY22</v>
      </c>
      <c r="S2" s="312" t="s">
        <v>495</v>
      </c>
      <c r="T2" s="312" t="str">
        <f t="shared" ref="T2:Y2" si="0">H2</f>
        <v>FY23</v>
      </c>
      <c r="U2" s="312" t="str">
        <f t="shared" si="0"/>
        <v>9MFY24</v>
      </c>
      <c r="V2" s="312" t="str">
        <f t="shared" si="0"/>
        <v>FY24</v>
      </c>
      <c r="W2" s="312" t="str">
        <f t="shared" si="0"/>
        <v>FY25</v>
      </c>
      <c r="X2" s="312" t="str">
        <f t="shared" si="0"/>
        <v>FY26</v>
      </c>
      <c r="Y2" s="312" t="str">
        <f t="shared" si="0"/>
        <v>FY27</v>
      </c>
    </row>
    <row r="3" spans="2:25" x14ac:dyDescent="0.25">
      <c r="B3" s="796"/>
      <c r="C3" s="314" t="s">
        <v>47</v>
      </c>
      <c r="D3" s="312" t="s">
        <v>46</v>
      </c>
      <c r="E3" s="312" t="s">
        <v>574</v>
      </c>
      <c r="F3" s="312" t="s">
        <v>46</v>
      </c>
      <c r="G3" s="312" t="s">
        <v>575</v>
      </c>
      <c r="H3" s="315" t="s">
        <v>47</v>
      </c>
      <c r="I3" s="312" t="s">
        <v>558</v>
      </c>
      <c r="J3" s="312" t="s">
        <v>576</v>
      </c>
      <c r="K3" s="312" t="s">
        <v>576</v>
      </c>
      <c r="L3" s="312" t="s">
        <v>576</v>
      </c>
      <c r="M3" s="312" t="s">
        <v>576</v>
      </c>
      <c r="O3" s="796"/>
      <c r="P3" s="312" t="str">
        <f>D3</f>
        <v>Aud</v>
      </c>
      <c r="Q3" s="312" t="s">
        <v>47</v>
      </c>
      <c r="R3" s="312" t="str">
        <f>F3</f>
        <v>Aud</v>
      </c>
      <c r="S3" s="312" t="s">
        <v>575</v>
      </c>
      <c r="T3" s="312" t="str">
        <f>H3</f>
        <v>Aud.</v>
      </c>
      <c r="U3" s="312" t="str">
        <f>I3</f>
        <v>Prov.</v>
      </c>
      <c r="V3" s="312" t="str">
        <f>H3</f>
        <v>Aud.</v>
      </c>
      <c r="W3" s="312" t="str">
        <f t="shared" ref="W3:Y4" si="1">J3</f>
        <v>Proj.</v>
      </c>
      <c r="X3" s="312" t="str">
        <f t="shared" si="1"/>
        <v>Proj.</v>
      </c>
      <c r="Y3" s="312" t="str">
        <f t="shared" si="1"/>
        <v>Proj.</v>
      </c>
    </row>
    <row r="4" spans="2:25" ht="21" x14ac:dyDescent="0.25">
      <c r="B4" s="797"/>
      <c r="C4" s="314" t="s">
        <v>49</v>
      </c>
      <c r="D4" s="314" t="s">
        <v>49</v>
      </c>
      <c r="E4" s="314" t="s">
        <v>577</v>
      </c>
      <c r="F4" s="314" t="s">
        <v>49</v>
      </c>
      <c r="G4" s="314" t="s">
        <v>577</v>
      </c>
      <c r="H4" s="316" t="s">
        <v>49</v>
      </c>
      <c r="I4" s="314" t="s">
        <v>49</v>
      </c>
      <c r="J4" s="314" t="s">
        <v>49</v>
      </c>
      <c r="K4" s="314" t="s">
        <v>49</v>
      </c>
      <c r="L4" s="314" t="s">
        <v>49</v>
      </c>
      <c r="M4" s="314" t="s">
        <v>49</v>
      </c>
      <c r="O4" s="797"/>
      <c r="P4" s="311" t="str">
        <f>C4</f>
        <v>Ind AS</v>
      </c>
      <c r="Q4" s="311" t="s">
        <v>578</v>
      </c>
      <c r="R4" s="311" t="str">
        <f>D4</f>
        <v>Ind AS</v>
      </c>
      <c r="S4" s="311" t="s">
        <v>578</v>
      </c>
      <c r="T4" s="311" t="str">
        <f>F4</f>
        <v>Ind AS</v>
      </c>
      <c r="U4" s="311" t="str">
        <f>H4</f>
        <v>Ind AS</v>
      </c>
      <c r="V4" s="311" t="str">
        <f>H4</f>
        <v>Ind AS</v>
      </c>
      <c r="W4" s="311" t="str">
        <f t="shared" si="1"/>
        <v>Ind AS</v>
      </c>
      <c r="X4" s="311" t="str">
        <f t="shared" si="1"/>
        <v>Ind AS</v>
      </c>
      <c r="Y4" s="311" t="str">
        <f t="shared" si="1"/>
        <v>Ind AS</v>
      </c>
    </row>
    <row r="5" spans="2:25" x14ac:dyDescent="0.25">
      <c r="B5" s="157" t="s">
        <v>23</v>
      </c>
      <c r="C5" s="257">
        <f>SUM(C6:C8)</f>
        <v>0</v>
      </c>
      <c r="D5" s="257">
        <f>SUM(D6:D8)</f>
        <v>21.68</v>
      </c>
      <c r="E5" s="257">
        <v>48.8</v>
      </c>
      <c r="F5" s="257">
        <f>SUM(F6:F8)</f>
        <v>49.73</v>
      </c>
      <c r="G5" s="257">
        <v>150.5</v>
      </c>
      <c r="H5" s="317">
        <f t="shared" ref="H5:M5" si="2">SUM(H6:H8)</f>
        <v>150.23999999999998</v>
      </c>
      <c r="I5" s="257">
        <v>223.53</v>
      </c>
      <c r="J5" s="257">
        <f t="shared" si="2"/>
        <v>348.00440754812524</v>
      </c>
      <c r="K5" s="257">
        <f t="shared" si="2"/>
        <v>572.69552574303907</v>
      </c>
      <c r="L5" s="257">
        <f t="shared" si="2"/>
        <v>887.45244478710981</v>
      </c>
      <c r="M5" s="257">
        <f t="shared" si="2"/>
        <v>1277.7412697138759</v>
      </c>
      <c r="O5" s="158" t="s">
        <v>6</v>
      </c>
      <c r="P5" s="260"/>
      <c r="Q5" s="260"/>
      <c r="R5" s="260"/>
      <c r="S5" s="260"/>
      <c r="T5" s="260"/>
      <c r="U5" s="260"/>
      <c r="V5" s="260"/>
      <c r="W5" s="260"/>
      <c r="X5" s="260"/>
      <c r="Y5" s="260"/>
    </row>
    <row r="6" spans="2:25" x14ac:dyDescent="0.25">
      <c r="B6" s="157" t="s">
        <v>372</v>
      </c>
      <c r="C6" s="257"/>
      <c r="D6" s="257">
        <v>21.02</v>
      </c>
      <c r="E6" s="257">
        <v>42.6</v>
      </c>
      <c r="F6" s="257">
        <v>47.92</v>
      </c>
      <c r="G6" s="257">
        <v>136.5</v>
      </c>
      <c r="H6" s="317">
        <v>148.16999999999999</v>
      </c>
      <c r="I6" s="257">
        <v>215.66</v>
      </c>
      <c r="J6" s="257">
        <v>309.96437001381219</v>
      </c>
      <c r="K6" s="257">
        <v>514.85464326525903</v>
      </c>
      <c r="L6" s="257">
        <v>796.1677962186219</v>
      </c>
      <c r="M6" s="257">
        <v>1194.8422041647823</v>
      </c>
      <c r="O6" s="156" t="s">
        <v>374</v>
      </c>
      <c r="P6" s="261">
        <f>D10/AVERAGE(D21,C21)</f>
        <v>0.12549712770658417</v>
      </c>
      <c r="Q6" s="261">
        <v>0.10299999999999999</v>
      </c>
      <c r="R6" s="261">
        <f>F10/AVERAGE(F21,D21)</f>
        <v>0.12207646176911544</v>
      </c>
      <c r="S6" s="261">
        <v>0.12</v>
      </c>
      <c r="T6" s="261">
        <f>H10/AVERAGE(H21,F21)</f>
        <v>0.13563879161892081</v>
      </c>
      <c r="U6" s="261">
        <f>I10/AVERAGE(I21,H21)*4/3</f>
        <v>0.1532633889160491</v>
      </c>
      <c r="V6" s="261">
        <f>J10/AVERAGE(J21,H21)</f>
        <v>0.13022254865932648</v>
      </c>
      <c r="W6" s="261">
        <f>K10/AVERAGE(K21,J21)</f>
        <v>0.11446046407677009</v>
      </c>
      <c r="X6" s="261">
        <f>L10/AVERAGE(L21,K21)</f>
        <v>0.11246798111247658</v>
      </c>
      <c r="Y6" s="261">
        <f>M10/AVERAGE(M21,L21)</f>
        <v>0.1086361249398423</v>
      </c>
    </row>
    <row r="7" spans="2:25" x14ac:dyDescent="0.25">
      <c r="B7" s="157" t="s">
        <v>51</v>
      </c>
      <c r="C7" s="257"/>
      <c r="D7" s="257">
        <v>0.62</v>
      </c>
      <c r="E7" s="257">
        <v>1.18</v>
      </c>
      <c r="F7" s="257">
        <v>0.26</v>
      </c>
      <c r="G7" s="257">
        <v>2.21</v>
      </c>
      <c r="H7" s="317">
        <v>0.76</v>
      </c>
      <c r="I7" s="257">
        <v>2.19</v>
      </c>
      <c r="J7" s="257">
        <v>13.733511873590983</v>
      </c>
      <c r="K7" s="257">
        <v>26.856028233705878</v>
      </c>
      <c r="L7" s="257">
        <v>48.336609501329157</v>
      </c>
      <c r="M7" s="257">
        <v>35.830796501702963</v>
      </c>
      <c r="O7" s="158" t="s">
        <v>12</v>
      </c>
      <c r="P7" s="318"/>
      <c r="Q7" s="318"/>
      <c r="R7" s="318"/>
      <c r="S7" s="318"/>
      <c r="T7" s="318"/>
      <c r="U7" s="318"/>
      <c r="V7" s="318"/>
      <c r="W7" s="318"/>
      <c r="X7" s="318"/>
      <c r="Y7" s="318"/>
    </row>
    <row r="8" spans="2:25" x14ac:dyDescent="0.25">
      <c r="B8" s="157" t="s">
        <v>52</v>
      </c>
      <c r="C8" s="257"/>
      <c r="D8" s="257">
        <v>0.04</v>
      </c>
      <c r="E8" s="257">
        <v>7.5</v>
      </c>
      <c r="F8" s="257">
        <v>1.55</v>
      </c>
      <c r="G8" s="257">
        <v>1.99</v>
      </c>
      <c r="H8" s="317">
        <v>1.31</v>
      </c>
      <c r="I8" s="257">
        <v>5.69</v>
      </c>
      <c r="J8" s="257">
        <v>24.306525660722084</v>
      </c>
      <c r="K8" s="257">
        <v>30.984854244074214</v>
      </c>
      <c r="L8" s="257">
        <v>42.948039067158739</v>
      </c>
      <c r="M8" s="257">
        <v>47.068269047390686</v>
      </c>
      <c r="O8" s="156" t="s">
        <v>375</v>
      </c>
      <c r="P8" s="319">
        <f>D19/D18</f>
        <v>0.82012231682455927</v>
      </c>
      <c r="Q8" s="319">
        <v>0.5</v>
      </c>
      <c r="R8" s="319">
        <f>F19/F18</f>
        <v>0.54666889856042855</v>
      </c>
      <c r="S8" s="319">
        <v>0.7</v>
      </c>
      <c r="T8" s="319">
        <f t="shared" ref="T8:Y8" si="3">H19/H18</f>
        <v>0.72967251724331295</v>
      </c>
      <c r="U8" s="319">
        <f t="shared" si="3"/>
        <v>0.67116209642905611</v>
      </c>
      <c r="V8" s="319">
        <f t="shared" si="3"/>
        <v>1.453521649283597</v>
      </c>
      <c r="W8" s="319">
        <f t="shared" si="3"/>
        <v>2.4030705907312551</v>
      </c>
      <c r="X8" s="319">
        <f t="shared" si="3"/>
        <v>1.9559796008861969</v>
      </c>
      <c r="Y8" s="319">
        <f t="shared" si="3"/>
        <v>2.7527269868896553</v>
      </c>
    </row>
    <row r="9" spans="2:25" x14ac:dyDescent="0.25">
      <c r="B9" s="157" t="s">
        <v>24</v>
      </c>
      <c r="C9" s="257"/>
      <c r="D9" s="257">
        <v>6.82</v>
      </c>
      <c r="E9" s="257">
        <v>15</v>
      </c>
      <c r="F9" s="257">
        <v>15.35</v>
      </c>
      <c r="G9" s="257">
        <v>42.2</v>
      </c>
      <c r="H9" s="317">
        <v>42.23</v>
      </c>
      <c r="I9" s="257">
        <v>52.25</v>
      </c>
      <c r="J9" s="257">
        <v>93.906930631177261</v>
      </c>
      <c r="K9" s="257">
        <v>193.16350897749669</v>
      </c>
      <c r="L9" s="257">
        <v>292.03007088194562</v>
      </c>
      <c r="M9" s="257">
        <v>461.54836082084677</v>
      </c>
      <c r="O9" s="156" t="s">
        <v>14</v>
      </c>
      <c r="P9" s="159">
        <v>0.5101</v>
      </c>
      <c r="Q9" s="159">
        <v>1.05</v>
      </c>
      <c r="R9" s="320">
        <v>0.61509999999999998</v>
      </c>
      <c r="S9" s="159">
        <v>1.4</v>
      </c>
      <c r="T9" s="320">
        <v>0.61829999999999996</v>
      </c>
      <c r="U9" s="320">
        <v>0.56299999999999994</v>
      </c>
      <c r="V9" s="320">
        <v>0.45</v>
      </c>
      <c r="W9" s="320">
        <v>0.32</v>
      </c>
      <c r="X9" s="320">
        <v>0.36</v>
      </c>
      <c r="Y9" s="320">
        <v>0.3</v>
      </c>
    </row>
    <row r="10" spans="2:25" x14ac:dyDescent="0.25">
      <c r="B10" s="157" t="s">
        <v>53</v>
      </c>
      <c r="C10" s="266">
        <f>C6-C9</f>
        <v>0</v>
      </c>
      <c r="D10" s="266">
        <f t="shared" ref="D10:M10" si="4">D6-D9</f>
        <v>14.2</v>
      </c>
      <c r="E10" s="266">
        <v>27.6</v>
      </c>
      <c r="F10" s="266">
        <f t="shared" si="4"/>
        <v>32.57</v>
      </c>
      <c r="G10" s="266">
        <v>94.3</v>
      </c>
      <c r="H10" s="321">
        <f t="shared" si="4"/>
        <v>105.94</v>
      </c>
      <c r="I10" s="266">
        <f t="shared" si="4"/>
        <v>163.41</v>
      </c>
      <c r="J10" s="266">
        <f t="shared" si="4"/>
        <v>216.05743938263493</v>
      </c>
      <c r="K10" s="266">
        <f t="shared" si="4"/>
        <v>321.69113428776234</v>
      </c>
      <c r="L10" s="266">
        <f t="shared" si="4"/>
        <v>504.13772533667628</v>
      </c>
      <c r="M10" s="266">
        <f t="shared" si="4"/>
        <v>733.29384334393558</v>
      </c>
      <c r="O10" s="156" t="s">
        <v>18</v>
      </c>
      <c r="P10" s="318"/>
      <c r="Q10" s="318"/>
      <c r="R10" s="318"/>
      <c r="S10" s="318"/>
      <c r="T10" s="318"/>
      <c r="U10" s="318"/>
      <c r="V10" s="318"/>
      <c r="W10" s="318"/>
      <c r="X10" s="318"/>
      <c r="Y10" s="318"/>
    </row>
    <row r="11" spans="2:25" x14ac:dyDescent="0.25">
      <c r="B11" s="157" t="s">
        <v>1</v>
      </c>
      <c r="C11" s="266">
        <f>SUM(C6:C8)</f>
        <v>0</v>
      </c>
      <c r="D11" s="266">
        <f>SUM(D6:D8)</f>
        <v>21.68</v>
      </c>
      <c r="E11" s="266">
        <v>33.799999999999997</v>
      </c>
      <c r="F11" s="266">
        <f>SUM(F6:F8)</f>
        <v>49.73</v>
      </c>
      <c r="G11" s="266">
        <v>108.3</v>
      </c>
      <c r="H11" s="317">
        <f t="shared" ref="H11:M11" si="5">SUM(H6:H8)</f>
        <v>150.23999999999998</v>
      </c>
      <c r="I11" s="257">
        <f t="shared" si="5"/>
        <v>223.54</v>
      </c>
      <c r="J11" s="257">
        <f t="shared" si="5"/>
        <v>348.00440754812524</v>
      </c>
      <c r="K11" s="257">
        <f t="shared" si="5"/>
        <v>572.69552574303907</v>
      </c>
      <c r="L11" s="257">
        <f t="shared" si="5"/>
        <v>887.45244478710981</v>
      </c>
      <c r="M11" s="257">
        <f t="shared" si="5"/>
        <v>1277.7412697138759</v>
      </c>
      <c r="O11" s="156" t="s">
        <v>377</v>
      </c>
      <c r="P11" s="322">
        <f>D13/(D11-D9)</f>
        <v>0.86810228802153433</v>
      </c>
      <c r="Q11" s="322">
        <v>1.0287999999999999</v>
      </c>
      <c r="R11" s="322">
        <f>F13/(F11-F9)</f>
        <v>0.77835951134380466</v>
      </c>
      <c r="S11" s="322">
        <v>0.59</v>
      </c>
      <c r="T11" s="322">
        <f t="shared" ref="T11:Y11" si="6">H13/(H11-H9)</f>
        <v>0.61216554022775682</v>
      </c>
      <c r="U11" s="322">
        <f t="shared" si="6"/>
        <v>0.42296689824274625</v>
      </c>
      <c r="V11" s="322">
        <f t="shared" si="6"/>
        <v>0.43972187223473458</v>
      </c>
      <c r="W11" s="322">
        <f t="shared" si="6"/>
        <v>0.4176303489030696</v>
      </c>
      <c r="X11" s="322">
        <f t="shared" si="6"/>
        <v>0.38442806078156272</v>
      </c>
      <c r="Y11" s="322">
        <f t="shared" si="6"/>
        <v>0.37898032958405115</v>
      </c>
    </row>
    <row r="12" spans="2:25" x14ac:dyDescent="0.25">
      <c r="B12" s="157" t="s">
        <v>25</v>
      </c>
      <c r="C12" s="268"/>
      <c r="D12" s="268">
        <f>D5</f>
        <v>21.68</v>
      </c>
      <c r="E12" s="268">
        <v>50.1</v>
      </c>
      <c r="F12" s="268">
        <f>F5</f>
        <v>49.73</v>
      </c>
      <c r="G12" s="268">
        <v>152.5</v>
      </c>
      <c r="H12" s="317">
        <v>150.41</v>
      </c>
      <c r="I12" s="257">
        <v>223.53</v>
      </c>
      <c r="J12" s="257">
        <v>348.00440754812524</v>
      </c>
      <c r="K12" s="257">
        <v>572.69552574303907</v>
      </c>
      <c r="L12" s="257">
        <v>887.45244478710981</v>
      </c>
      <c r="M12" s="257">
        <v>1277.7412697138759</v>
      </c>
      <c r="O12" s="158" t="s">
        <v>378</v>
      </c>
      <c r="P12" s="273"/>
      <c r="Q12" s="273"/>
      <c r="R12" s="273"/>
      <c r="S12" s="273"/>
      <c r="T12" s="273"/>
      <c r="U12" s="273"/>
      <c r="V12" s="273"/>
      <c r="W12" s="273"/>
      <c r="X12" s="273"/>
      <c r="Y12" s="273"/>
    </row>
    <row r="13" spans="2:25" x14ac:dyDescent="0.25">
      <c r="B13" s="157" t="s">
        <v>26</v>
      </c>
      <c r="C13" s="323"/>
      <c r="D13" s="323">
        <f>18.8-5.9</f>
        <v>12.9</v>
      </c>
      <c r="E13" s="323">
        <v>34.799999999999997</v>
      </c>
      <c r="F13" s="323">
        <v>26.76</v>
      </c>
      <c r="G13" s="323">
        <v>63.9</v>
      </c>
      <c r="H13" s="324">
        <v>66.12</v>
      </c>
      <c r="I13" s="323">
        <v>72.45</v>
      </c>
      <c r="J13" s="323">
        <v>111.73221828004262</v>
      </c>
      <c r="K13" s="323">
        <v>158.50408858167913</v>
      </c>
      <c r="L13" s="323">
        <v>228.89706854631683</v>
      </c>
      <c r="M13" s="323">
        <v>309.32105761644561</v>
      </c>
      <c r="O13" s="156" t="s">
        <v>379</v>
      </c>
      <c r="P13" s="325">
        <f t="shared" ref="P13:U13" si="7">D22/D21</f>
        <v>3.0944016742656403E-2</v>
      </c>
      <c r="Q13" s="325">
        <f t="shared" si="7"/>
        <v>1.3462976813762155E-2</v>
      </c>
      <c r="R13" s="325">
        <f t="shared" si="7"/>
        <v>1.6632900627798205E-2</v>
      </c>
      <c r="S13" s="325">
        <f t="shared" si="7"/>
        <v>8.5579803166452723E-3</v>
      </c>
      <c r="T13" s="325">
        <f t="shared" si="7"/>
        <v>1.0634270571635062E-2</v>
      </c>
      <c r="U13" s="325">
        <f t="shared" si="7"/>
        <v>1.4944108320988976E-2</v>
      </c>
      <c r="V13" s="325">
        <v>7.3000000000000001E-3</v>
      </c>
      <c r="W13" s="325">
        <v>8.5000000000000006E-3</v>
      </c>
      <c r="X13" s="325">
        <v>9.7000000000000003E-3</v>
      </c>
      <c r="Y13" s="325">
        <v>1.09E-2</v>
      </c>
    </row>
    <row r="14" spans="2:25" x14ac:dyDescent="0.25">
      <c r="B14" s="157" t="s">
        <v>54</v>
      </c>
      <c r="C14" s="266">
        <f>C12-C13-C9</f>
        <v>0</v>
      </c>
      <c r="D14" s="266">
        <f t="shared" ref="D14:M14" si="8">D12-D13-D9</f>
        <v>1.9599999999999991</v>
      </c>
      <c r="E14" s="266">
        <v>-0.9</v>
      </c>
      <c r="F14" s="266">
        <f t="shared" si="8"/>
        <v>7.6199999999999957</v>
      </c>
      <c r="G14" s="266">
        <v>33.799999999999997</v>
      </c>
      <c r="H14" s="321">
        <f t="shared" si="8"/>
        <v>42.059999999999995</v>
      </c>
      <c r="I14" s="266">
        <f t="shared" si="8"/>
        <v>98.829999999999984</v>
      </c>
      <c r="J14" s="266">
        <f t="shared" si="8"/>
        <v>142.36525863690537</v>
      </c>
      <c r="K14" s="266">
        <f t="shared" si="8"/>
        <v>221.02792818386325</v>
      </c>
      <c r="L14" s="266">
        <f t="shared" si="8"/>
        <v>366.52530535884733</v>
      </c>
      <c r="M14" s="266">
        <f t="shared" si="8"/>
        <v>506.87185127658353</v>
      </c>
      <c r="O14" s="156" t="s">
        <v>380</v>
      </c>
      <c r="P14" s="325">
        <f>D23/D21</f>
        <v>1.3902384333657225E-2</v>
      </c>
      <c r="Q14" s="325">
        <f t="shared" ref="Q14:Y14" si="9">E23/E21</f>
        <v>6.7314884068810773E-3</v>
      </c>
      <c r="R14" s="325">
        <f t="shared" si="9"/>
        <v>7.8037067607113382E-3</v>
      </c>
      <c r="S14" s="325">
        <f t="shared" si="9"/>
        <v>4.2789901583226361E-3</v>
      </c>
      <c r="T14" s="325">
        <f t="shared" si="9"/>
        <v>6.0226451457480127E-3</v>
      </c>
      <c r="U14" s="325">
        <f t="shared" si="9"/>
        <v>8.9950206135889048E-3</v>
      </c>
      <c r="V14" s="325">
        <f t="shared" si="9"/>
        <v>0</v>
      </c>
      <c r="W14" s="325">
        <f t="shared" si="9"/>
        <v>0</v>
      </c>
      <c r="X14" s="325">
        <f t="shared" si="9"/>
        <v>0</v>
      </c>
      <c r="Y14" s="325">
        <f t="shared" si="9"/>
        <v>0</v>
      </c>
    </row>
    <row r="15" spans="2:25" x14ac:dyDescent="0.25">
      <c r="B15" s="157" t="s">
        <v>27</v>
      </c>
      <c r="C15" s="257"/>
      <c r="D15" s="257">
        <v>5.9</v>
      </c>
      <c r="E15" s="257">
        <v>6.7</v>
      </c>
      <c r="F15" s="257">
        <v>10.29</v>
      </c>
      <c r="G15" s="257">
        <v>15.7</v>
      </c>
      <c r="H15" s="317">
        <v>21</v>
      </c>
      <c r="I15" s="257">
        <v>37.39</v>
      </c>
      <c r="J15" s="257">
        <v>47.901875785562439</v>
      </c>
      <c r="K15" s="257">
        <v>49.092888821934395</v>
      </c>
      <c r="L15" s="257">
        <v>79.41982895682213</v>
      </c>
      <c r="M15" s="257">
        <v>105.62478619602763</v>
      </c>
      <c r="O15" s="156" t="s">
        <v>381</v>
      </c>
      <c r="P15" s="159">
        <f t="shared" ref="P15:Y15" si="10">(P13-P14)/P13</f>
        <v>0.55072463768115931</v>
      </c>
      <c r="Q15" s="159">
        <v>0.5</v>
      </c>
      <c r="R15" s="159">
        <f t="shared" si="10"/>
        <v>0.53082706766917298</v>
      </c>
      <c r="S15" s="159">
        <v>0.5</v>
      </c>
      <c r="T15" s="159">
        <f t="shared" si="10"/>
        <v>0.43365695792880254</v>
      </c>
      <c r="U15" s="159">
        <f t="shared" si="10"/>
        <v>0.39808917197452237</v>
      </c>
      <c r="V15" s="159">
        <f t="shared" si="10"/>
        <v>1</v>
      </c>
      <c r="W15" s="159">
        <f t="shared" si="10"/>
        <v>1</v>
      </c>
      <c r="X15" s="159">
        <f t="shared" si="10"/>
        <v>1</v>
      </c>
      <c r="Y15" s="159">
        <f t="shared" si="10"/>
        <v>1</v>
      </c>
    </row>
    <row r="16" spans="2:25" x14ac:dyDescent="0.25">
      <c r="B16" s="157" t="s">
        <v>55</v>
      </c>
      <c r="C16" s="257"/>
      <c r="D16" s="266">
        <v>-3.27</v>
      </c>
      <c r="E16" s="266">
        <v>1</v>
      </c>
      <c r="F16" s="266">
        <v>-1.1399999999999999</v>
      </c>
      <c r="G16" s="266">
        <v>23</v>
      </c>
      <c r="H16" s="317">
        <v>16.12</v>
      </c>
      <c r="I16" s="257">
        <v>46.32</v>
      </c>
      <c r="J16" s="257">
        <v>70.688838655316928</v>
      </c>
      <c r="K16" s="257">
        <v>128.66242865531865</v>
      </c>
      <c r="L16" s="257">
        <v>214.8467701011634</v>
      </c>
      <c r="M16" s="257">
        <v>300.2612037410816</v>
      </c>
      <c r="O16" s="156" t="s">
        <v>382</v>
      </c>
      <c r="P16" s="326">
        <f>P24/AVERAGE(C21,D21)</f>
        <v>5.2143172779496247E-2</v>
      </c>
      <c r="Q16" s="326">
        <v>1.7000000000000001E-2</v>
      </c>
      <c r="R16" s="326">
        <f>R24/AVERAGE(D21,F21)</f>
        <v>3.8568215892053968E-2</v>
      </c>
      <c r="S16" s="326">
        <v>1.2999999999999999E-2</v>
      </c>
      <c r="T16" s="326">
        <f>T24/AVERAGE(F21,H21)</f>
        <v>2.6887055163274845E-2</v>
      </c>
      <c r="U16" s="326">
        <f>U24/AVERAGE(H21,I21)*4/3</f>
        <v>3.5068344113402337E-2</v>
      </c>
      <c r="V16" s="326">
        <f>V24/AVERAGE(H21,J21)</f>
        <v>2.8871509206915898E-2</v>
      </c>
      <c r="W16" s="326">
        <f>W24/AVERAGE(J21,K21)</f>
        <v>1.7467670813710867E-2</v>
      </c>
      <c r="X16" s="326">
        <f>X24/AVERAGE(K21,L21)</f>
        <v>1.771775325305569E-2</v>
      </c>
      <c r="Y16" s="326">
        <f>Y24/AVERAGE(L21,M21)</f>
        <v>1.5648116473485574E-2</v>
      </c>
    </row>
    <row r="17" spans="2:25" x14ac:dyDescent="0.25">
      <c r="B17" s="157" t="s">
        <v>28</v>
      </c>
      <c r="C17" s="257">
        <v>64.22</v>
      </c>
      <c r="D17" s="257">
        <v>83.39</v>
      </c>
      <c r="E17" s="257">
        <v>305.10000000000002</v>
      </c>
      <c r="F17" s="257">
        <v>298.7</v>
      </c>
      <c r="G17" s="257">
        <v>725.1</v>
      </c>
      <c r="H17" s="317">
        <v>713.32</v>
      </c>
      <c r="I17" s="257">
        <v>958.01</v>
      </c>
      <c r="J17" s="257">
        <v>989.92063865531668</v>
      </c>
      <c r="K17" s="257">
        <v>1118.5830673106354</v>
      </c>
      <c r="L17" s="257">
        <v>2033.4298374117989</v>
      </c>
      <c r="M17" s="257">
        <v>2333.6910411528802</v>
      </c>
      <c r="O17" s="158" t="s">
        <v>30</v>
      </c>
      <c r="P17" s="327"/>
      <c r="Q17" s="327"/>
      <c r="R17" s="327"/>
      <c r="S17" s="327"/>
      <c r="T17" s="327"/>
      <c r="U17" s="327"/>
      <c r="V17" s="327"/>
      <c r="W17" s="327"/>
      <c r="X17" s="327"/>
      <c r="Y17" s="327"/>
    </row>
    <row r="18" spans="2:25" x14ac:dyDescent="0.25">
      <c r="B18" s="157" t="s">
        <v>56</v>
      </c>
      <c r="C18" s="266">
        <f>C17</f>
        <v>64.22</v>
      </c>
      <c r="D18" s="266">
        <f>D17</f>
        <v>83.39</v>
      </c>
      <c r="E18" s="266">
        <v>305.10000000000002</v>
      </c>
      <c r="F18" s="268">
        <f>F17</f>
        <v>298.7</v>
      </c>
      <c r="G18" s="266">
        <v>725.1</v>
      </c>
      <c r="H18" s="317">
        <f t="shared" ref="H18:M18" si="11">H17</f>
        <v>713.32</v>
      </c>
      <c r="I18" s="257">
        <f t="shared" si="11"/>
        <v>958.01</v>
      </c>
      <c r="J18" s="257">
        <f t="shared" si="11"/>
        <v>989.92063865531668</v>
      </c>
      <c r="K18" s="257">
        <f t="shared" si="11"/>
        <v>1118.5830673106354</v>
      </c>
      <c r="L18" s="257">
        <f t="shared" si="11"/>
        <v>2033.4298374117989</v>
      </c>
      <c r="M18" s="257">
        <f t="shared" si="11"/>
        <v>2333.6910411528802</v>
      </c>
      <c r="O18" s="156" t="s">
        <v>384</v>
      </c>
      <c r="P18" s="159">
        <f>D16/AVERAGE(C20,D20)</f>
        <v>-2.3592222502795711E-2</v>
      </c>
      <c r="Q18" s="159">
        <v>3.0000000000000001E-3</v>
      </c>
      <c r="R18" s="159">
        <f>F16/AVERAGE(D20,F20)</f>
        <v>-3.3096240383219625E-3</v>
      </c>
      <c r="S18" s="159">
        <v>2.4E-2</v>
      </c>
      <c r="T18" s="159">
        <f>H16/AVERAGE(F20,H20)</f>
        <v>1.7344243421937456E-2</v>
      </c>
      <c r="U18" s="159">
        <f>I16/AVERAGE(H20,I20)*4/3</f>
        <v>3.9541204226862539E-2</v>
      </c>
      <c r="V18" s="159">
        <f>J16/AVERAGE(H20,J20)</f>
        <v>3.7045055060460075E-2</v>
      </c>
      <c r="W18" s="159">
        <f>K16/AVERAGE(J20,K20)</f>
        <v>4.0581930889583541E-2</v>
      </c>
      <c r="X18" s="159">
        <f>L16/AVERAGE(K20,L20)</f>
        <v>4.3135144658020583E-2</v>
      </c>
      <c r="Y18" s="159">
        <f>M16/AVERAGE(L20,M20)</f>
        <v>4.0122114734408423E-2</v>
      </c>
    </row>
    <row r="19" spans="2:25" x14ac:dyDescent="0.25">
      <c r="B19" s="157" t="s">
        <v>57</v>
      </c>
      <c r="C19" s="257">
        <v>36.520000000000003</v>
      </c>
      <c r="D19" s="257">
        <v>68.39</v>
      </c>
      <c r="E19" s="257">
        <v>162.69999999999999</v>
      </c>
      <c r="F19" s="257">
        <v>163.29</v>
      </c>
      <c r="G19" s="257">
        <v>519.70000000000005</v>
      </c>
      <c r="H19" s="317">
        <v>520.49</v>
      </c>
      <c r="I19" s="257">
        <v>642.98</v>
      </c>
      <c r="J19" s="257">
        <v>1438.8710793581474</v>
      </c>
      <c r="K19" s="257">
        <v>2688.0340723441477</v>
      </c>
      <c r="L19" s="257">
        <v>3977.3472818108148</v>
      </c>
      <c r="M19" s="257">
        <v>6424.0143080441503</v>
      </c>
      <c r="O19" s="156" t="s">
        <v>385</v>
      </c>
      <c r="P19" s="159">
        <f>D16/AVERAGE(D17,C17)</f>
        <v>-4.4305941331888081E-2</v>
      </c>
      <c r="Q19" s="159">
        <v>5.0000000000000001E-3</v>
      </c>
      <c r="R19" s="159">
        <f>F16/AVERAGE(F17,D17)</f>
        <v>-5.9671805072103431E-3</v>
      </c>
      <c r="S19" s="159">
        <v>4.4999999999999998E-2</v>
      </c>
      <c r="T19" s="159">
        <f>H16/AVERAGE(H17,F17)</f>
        <v>3.1857077923361198E-2</v>
      </c>
      <c r="U19" s="159">
        <f>I16/AVERAGE(I17,H17)*4/3</f>
        <v>7.3905213213428828E-2</v>
      </c>
      <c r="V19" s="159">
        <f>J16/AVERAGE(J17,H17)</f>
        <v>8.300511043598012E-2</v>
      </c>
      <c r="W19" s="159">
        <f>K16/AVERAGE(K17,J17)</f>
        <v>0.12204145365386071</v>
      </c>
      <c r="X19" s="159">
        <f>L16/AVERAGE(L17,K17)</f>
        <v>0.13632353457644411</v>
      </c>
      <c r="Y19" s="159">
        <f>M16/AVERAGE(M17,L17)</f>
        <v>0.13750991194902165</v>
      </c>
    </row>
    <row r="20" spans="2:25" x14ac:dyDescent="0.25">
      <c r="B20" s="157" t="s">
        <v>29</v>
      </c>
      <c r="C20" s="257">
        <v>104.72</v>
      </c>
      <c r="D20" s="257">
        <v>172.49</v>
      </c>
      <c r="E20" s="257">
        <v>525.6</v>
      </c>
      <c r="F20" s="257">
        <v>516.41</v>
      </c>
      <c r="G20" s="257">
        <v>1358.7</v>
      </c>
      <c r="H20" s="317">
        <v>1342.42</v>
      </c>
      <c r="I20" s="257">
        <v>1781.41</v>
      </c>
      <c r="J20" s="257">
        <v>2473.951094060888</v>
      </c>
      <c r="K20" s="257">
        <v>3866.9215965652425</v>
      </c>
      <c r="L20" s="257">
        <v>6094.6432389992815</v>
      </c>
      <c r="M20" s="257">
        <v>8872.7235475564557</v>
      </c>
      <c r="O20" s="158" t="s">
        <v>33</v>
      </c>
      <c r="P20" s="318"/>
      <c r="Q20" s="318"/>
      <c r="R20" s="318"/>
      <c r="S20" s="318"/>
      <c r="T20" s="318"/>
      <c r="U20" s="318"/>
      <c r="V20" s="318"/>
      <c r="W20" s="318"/>
      <c r="X20" s="318"/>
      <c r="Y20" s="318"/>
    </row>
    <row r="21" spans="2:25" x14ac:dyDescent="0.25">
      <c r="B21" s="157" t="s">
        <v>383</v>
      </c>
      <c r="C21" s="257">
        <v>92.51</v>
      </c>
      <c r="D21" s="257">
        <v>133.79</v>
      </c>
      <c r="E21" s="257">
        <v>401.1</v>
      </c>
      <c r="F21" s="257">
        <v>399.81</v>
      </c>
      <c r="G21" s="257">
        <v>1168.5</v>
      </c>
      <c r="H21" s="317">
        <v>1162.28</v>
      </c>
      <c r="I21" s="257">
        <v>1680.93</v>
      </c>
      <c r="J21" s="257">
        <v>2156</v>
      </c>
      <c r="K21" s="257">
        <v>3465</v>
      </c>
      <c r="L21" s="257">
        <v>5500</v>
      </c>
      <c r="M21" s="257">
        <v>8000</v>
      </c>
      <c r="N21" s="155"/>
      <c r="O21" s="156" t="s">
        <v>386</v>
      </c>
      <c r="P21" s="261">
        <f>D6/AVERAGE(C21,D21)</f>
        <v>0.18577110030932389</v>
      </c>
      <c r="Q21" s="261">
        <v>0.159</v>
      </c>
      <c r="R21" s="261">
        <f>F6/AVERAGE(D21,F21)</f>
        <v>0.17961019490254873</v>
      </c>
      <c r="S21" s="261">
        <v>0.17399999999999999</v>
      </c>
      <c r="T21" s="261">
        <f>H6/AVERAGE(F21,H21)</f>
        <v>0.18970737921630634</v>
      </c>
      <c r="U21" s="261">
        <v>0.192</v>
      </c>
      <c r="V21" s="261">
        <f>J6/AVERAGE(H21,J21)</f>
        <v>0.18682231156732537</v>
      </c>
      <c r="W21" s="261">
        <f>K6/AVERAGE(J21,K21)</f>
        <v>0.18318969694547554</v>
      </c>
      <c r="X21" s="261">
        <f>L6/AVERAGE(K21,L21)</f>
        <v>0.17761690936277119</v>
      </c>
      <c r="Y21" s="261">
        <f>M6/AVERAGE(L21,M21)</f>
        <v>0.17701365987626405</v>
      </c>
    </row>
    <row r="22" spans="2:25" x14ac:dyDescent="0.25">
      <c r="B22" s="157" t="s">
        <v>59</v>
      </c>
      <c r="C22" s="257"/>
      <c r="D22" s="328">
        <v>4.1399999999999997</v>
      </c>
      <c r="E22" s="328">
        <v>5.4</v>
      </c>
      <c r="F22" s="266">
        <v>6.65</v>
      </c>
      <c r="G22" s="328">
        <v>10</v>
      </c>
      <c r="H22" s="317">
        <v>12.36</v>
      </c>
      <c r="I22" s="257">
        <v>25.12</v>
      </c>
      <c r="J22" s="257">
        <v>0</v>
      </c>
      <c r="K22" s="257">
        <v>0</v>
      </c>
      <c r="L22" s="257">
        <v>0</v>
      </c>
      <c r="M22" s="257">
        <v>0</v>
      </c>
      <c r="O22" s="156" t="s">
        <v>387</v>
      </c>
      <c r="P22" s="261">
        <f>D9/AVERAGE(D19,C19)</f>
        <v>0.13001620436564676</v>
      </c>
      <c r="Q22" s="261">
        <v>0.13</v>
      </c>
      <c r="R22" s="261">
        <f>F9/AVERAGE(F19,D19)</f>
        <v>0.1325103591160221</v>
      </c>
      <c r="S22" s="261">
        <v>0.124</v>
      </c>
      <c r="T22" s="261">
        <f>H9/AVERAGE(H19,F19)</f>
        <v>0.12351926058088858</v>
      </c>
      <c r="U22" s="261">
        <f>I9/AVERAGE(I19,H19)*4/3</f>
        <v>0.11975670479972267</v>
      </c>
      <c r="V22" s="261">
        <f>J9/AVERAGE(J19,H19)</f>
        <v>9.5854645292780372E-2</v>
      </c>
      <c r="W22" s="261">
        <f>K9/AVERAGE(K19,J19)</f>
        <v>9.3611799581979349E-2</v>
      </c>
      <c r="X22" s="261">
        <f>L9/AVERAGE(L19,K19)</f>
        <v>8.7625915267370083E-2</v>
      </c>
      <c r="Y22" s="261">
        <f>M9/AVERAGE(M19,L19)</f>
        <v>8.8747681124944439E-2</v>
      </c>
    </row>
    <row r="23" spans="2:25" x14ac:dyDescent="0.25">
      <c r="B23" s="157" t="s">
        <v>60</v>
      </c>
      <c r="C23" s="257"/>
      <c r="D23" s="266">
        <v>1.86</v>
      </c>
      <c r="E23" s="266">
        <v>2.7</v>
      </c>
      <c r="F23" s="266">
        <v>3.12</v>
      </c>
      <c r="G23" s="266">
        <v>5</v>
      </c>
      <c r="H23" s="317">
        <v>7</v>
      </c>
      <c r="I23" s="257">
        <v>15.12</v>
      </c>
      <c r="J23" s="257">
        <v>0</v>
      </c>
      <c r="K23" s="257">
        <v>0</v>
      </c>
      <c r="L23" s="257">
        <v>0</v>
      </c>
      <c r="M23" s="257">
        <v>0</v>
      </c>
      <c r="O23" s="156" t="s">
        <v>36</v>
      </c>
      <c r="P23" s="159">
        <f t="shared" ref="P23:Y23" si="12">P21-P22</f>
        <v>5.5754895943677135E-2</v>
      </c>
      <c r="Q23" s="159">
        <v>2.9000000000000001E-2</v>
      </c>
      <c r="R23" s="159">
        <f t="shared" si="12"/>
        <v>4.7099835786526628E-2</v>
      </c>
      <c r="S23" s="159">
        <v>0.05</v>
      </c>
      <c r="T23" s="159">
        <f t="shared" si="12"/>
        <v>6.6188118635417764E-2</v>
      </c>
      <c r="U23" s="159">
        <f t="shared" si="12"/>
        <v>7.2243295200277335E-2</v>
      </c>
      <c r="V23" s="159">
        <f t="shared" si="12"/>
        <v>9.0967666274545E-2</v>
      </c>
      <c r="W23" s="159">
        <f t="shared" si="12"/>
        <v>8.9577897363496195E-2</v>
      </c>
      <c r="X23" s="159">
        <f t="shared" si="12"/>
        <v>8.9990994095401108E-2</v>
      </c>
      <c r="Y23" s="159">
        <f t="shared" si="12"/>
        <v>8.8265978751319613E-2</v>
      </c>
    </row>
    <row r="24" spans="2:25" x14ac:dyDescent="0.25">
      <c r="I24" s="330">
        <v>604</v>
      </c>
      <c r="J24">
        <f>I24/I21</f>
        <v>0.35932489752696423</v>
      </c>
      <c r="O24" s="156" t="s">
        <v>388</v>
      </c>
      <c r="P24" s="331">
        <f t="shared" ref="P24:Y24" si="13">D15</f>
        <v>5.9</v>
      </c>
      <c r="Q24" s="331">
        <f t="shared" si="13"/>
        <v>6.7</v>
      </c>
      <c r="R24" s="331">
        <f t="shared" si="13"/>
        <v>10.29</v>
      </c>
      <c r="S24" s="331">
        <f t="shared" si="13"/>
        <v>15.7</v>
      </c>
      <c r="T24" s="331">
        <f t="shared" si="13"/>
        <v>21</v>
      </c>
      <c r="U24" s="331">
        <f t="shared" si="13"/>
        <v>37.39</v>
      </c>
      <c r="V24" s="331">
        <f t="shared" si="13"/>
        <v>47.901875785562439</v>
      </c>
      <c r="W24" s="331">
        <f t="shared" si="13"/>
        <v>49.092888821934395</v>
      </c>
      <c r="X24" s="331">
        <f t="shared" si="13"/>
        <v>79.41982895682213</v>
      </c>
      <c r="Y24" s="331">
        <f t="shared" si="13"/>
        <v>105.62478619602763</v>
      </c>
    </row>
    <row r="25" spans="2:25" x14ac:dyDescent="0.25">
      <c r="D25" s="127">
        <v>45261</v>
      </c>
      <c r="E25" s="127"/>
      <c r="F25" s="127">
        <v>44986</v>
      </c>
      <c r="J25" s="155">
        <f>J19-I19</f>
        <v>795.89107935814741</v>
      </c>
    </row>
    <row r="26" spans="2:25" x14ac:dyDescent="0.25">
      <c r="B26" s="285" t="s">
        <v>579</v>
      </c>
      <c r="D26">
        <v>110</v>
      </c>
    </row>
    <row r="27" spans="2:25" x14ac:dyDescent="0.25">
      <c r="B27" s="285" t="s">
        <v>580</v>
      </c>
      <c r="D27">
        <v>960</v>
      </c>
      <c r="F27">
        <v>657</v>
      </c>
    </row>
    <row r="28" spans="2:25" x14ac:dyDescent="0.25">
      <c r="L28">
        <v>1162</v>
      </c>
      <c r="M28">
        <v>148</v>
      </c>
    </row>
    <row r="29" spans="2:25" x14ac:dyDescent="0.25">
      <c r="L29">
        <v>1681</v>
      </c>
      <c r="M29">
        <v>216</v>
      </c>
    </row>
    <row r="30" spans="2:25" x14ac:dyDescent="0.25">
      <c r="L30">
        <v>2156</v>
      </c>
      <c r="M30">
        <v>310</v>
      </c>
    </row>
    <row r="34" spans="5:17" x14ac:dyDescent="0.25">
      <c r="M34" s="332">
        <f>M30/AVERAGE(L28,L30)</f>
        <v>0.18685955394816153</v>
      </c>
    </row>
    <row r="37" spans="5:17" ht="45" x14ac:dyDescent="0.25">
      <c r="E37" s="333" t="s">
        <v>581</v>
      </c>
      <c r="G37"/>
      <c r="H37"/>
    </row>
    <row r="38" spans="5:17" ht="15.75" thickBot="1" x14ac:dyDescent="0.3">
      <c r="E38" s="333"/>
      <c r="G38"/>
      <c r="H38"/>
    </row>
    <row r="39" spans="5:17" ht="34.5" thickBot="1" x14ac:dyDescent="0.3">
      <c r="E39" s="334" t="s">
        <v>582</v>
      </c>
      <c r="F39" s="335" t="s">
        <v>583</v>
      </c>
      <c r="G39" s="335" t="s">
        <v>584</v>
      </c>
      <c r="H39" s="335" t="s">
        <v>585</v>
      </c>
      <c r="I39" s="335" t="s">
        <v>586</v>
      </c>
      <c r="J39" s="336" t="s">
        <v>587</v>
      </c>
      <c r="M39" s="335" t="s">
        <v>583</v>
      </c>
      <c r="N39" s="335" t="s">
        <v>584</v>
      </c>
      <c r="O39" s="335" t="s">
        <v>585</v>
      </c>
      <c r="P39" s="335" t="s">
        <v>586</v>
      </c>
      <c r="Q39" s="337" t="s">
        <v>587</v>
      </c>
    </row>
    <row r="40" spans="5:17" ht="23.25" thickBot="1" x14ac:dyDescent="0.3">
      <c r="E40" s="338" t="s">
        <v>588</v>
      </c>
      <c r="F40" s="339">
        <v>0.28000000000000003</v>
      </c>
      <c r="G40" s="339">
        <v>2.63</v>
      </c>
      <c r="H40" s="339">
        <v>1.0900000000000001</v>
      </c>
      <c r="I40" s="339">
        <v>0.83</v>
      </c>
    </row>
    <row r="41" spans="5:17" ht="23.25" thickBot="1" x14ac:dyDescent="0.3">
      <c r="E41" s="338" t="s">
        <v>589</v>
      </c>
      <c r="F41" s="339">
        <v>0.33</v>
      </c>
      <c r="G41" s="339">
        <v>6.28</v>
      </c>
      <c r="H41" s="339">
        <v>4.87</v>
      </c>
      <c r="I41" s="339">
        <v>8.82</v>
      </c>
    </row>
    <row r="42" spans="5:17" ht="34.5" thickBot="1" x14ac:dyDescent="0.3">
      <c r="E42" s="338" t="s">
        <v>590</v>
      </c>
      <c r="F42" s="339">
        <v>0.96</v>
      </c>
      <c r="G42" s="339">
        <v>9.0299999999999994</v>
      </c>
      <c r="H42" s="339">
        <v>5.97</v>
      </c>
      <c r="I42" s="339">
        <v>4.01</v>
      </c>
    </row>
    <row r="43" spans="5:17" ht="15.75" thickBot="1" x14ac:dyDescent="0.3">
      <c r="E43" s="338" t="s">
        <v>233</v>
      </c>
      <c r="F43" s="339">
        <v>0.06</v>
      </c>
      <c r="G43" s="339">
        <v>10.38</v>
      </c>
      <c r="H43" s="339">
        <v>13.94</v>
      </c>
      <c r="I43" s="339">
        <v>118.24</v>
      </c>
    </row>
    <row r="44" spans="5:17" ht="23.25" thickBot="1" x14ac:dyDescent="0.3">
      <c r="E44" s="338" t="s">
        <v>591</v>
      </c>
      <c r="F44" s="339">
        <v>0.31</v>
      </c>
      <c r="G44" s="339">
        <v>1.58</v>
      </c>
      <c r="H44" s="339">
        <v>1.59</v>
      </c>
      <c r="I44" s="339">
        <v>2.29</v>
      </c>
    </row>
    <row r="45" spans="5:17" ht="68.25" thickBot="1" x14ac:dyDescent="0.3">
      <c r="E45" s="338" t="s">
        <v>592</v>
      </c>
      <c r="F45" s="339">
        <v>1.94</v>
      </c>
      <c r="G45" s="339">
        <v>10.09</v>
      </c>
      <c r="H45" s="339">
        <v>15.11</v>
      </c>
      <c r="I45" s="339">
        <v>0</v>
      </c>
    </row>
    <row r="46" spans="5:17" ht="79.5" thickBot="1" x14ac:dyDescent="0.3">
      <c r="E46" s="338" t="s">
        <v>593</v>
      </c>
      <c r="F46" s="339">
        <v>0.75</v>
      </c>
      <c r="G46" s="339">
        <v>2.4300000000000002</v>
      </c>
      <c r="H46" s="339">
        <v>2.75</v>
      </c>
      <c r="I46" s="339">
        <v>7.07</v>
      </c>
    </row>
    <row r="47" spans="5:17" ht="79.5" thickBot="1" x14ac:dyDescent="0.3">
      <c r="E47" s="338" t="s">
        <v>594</v>
      </c>
      <c r="F47" s="339">
        <v>0.34</v>
      </c>
      <c r="G47" s="339">
        <v>5.81</v>
      </c>
      <c r="H47" s="339">
        <v>11.18</v>
      </c>
      <c r="I47" s="339">
        <v>11.36</v>
      </c>
    </row>
    <row r="48" spans="5:17" ht="57" thickBot="1" x14ac:dyDescent="0.3">
      <c r="E48" s="338" t="s">
        <v>595</v>
      </c>
      <c r="F48" s="339">
        <v>0</v>
      </c>
      <c r="G48" s="339">
        <v>3.78</v>
      </c>
      <c r="H48" s="339">
        <v>8.75</v>
      </c>
      <c r="I48" s="339">
        <v>59.84</v>
      </c>
    </row>
    <row r="49" spans="2:19" ht="45.75" thickBot="1" x14ac:dyDescent="0.3">
      <c r="E49" s="338" t="s">
        <v>596</v>
      </c>
      <c r="F49" s="339">
        <v>0.32</v>
      </c>
      <c r="G49" s="339">
        <v>8.2899999999999991</v>
      </c>
      <c r="H49" s="339">
        <v>13</v>
      </c>
      <c r="I49" s="339">
        <v>17.45</v>
      </c>
    </row>
    <row r="50" spans="2:19" ht="57" thickBot="1" x14ac:dyDescent="0.3">
      <c r="E50" s="338" t="s">
        <v>597</v>
      </c>
      <c r="F50" s="339">
        <v>0.34</v>
      </c>
      <c r="G50" s="339">
        <v>2.79</v>
      </c>
      <c r="H50" s="339">
        <v>1.27</v>
      </c>
      <c r="I50" s="339">
        <v>0.7</v>
      </c>
    </row>
    <row r="51" spans="2:19" ht="68.25" thickBot="1" x14ac:dyDescent="0.3">
      <c r="B51" t="s">
        <v>598</v>
      </c>
      <c r="E51" s="338" t="s">
        <v>599</v>
      </c>
      <c r="F51" s="339">
        <v>0.02</v>
      </c>
      <c r="G51" s="339">
        <v>1.17</v>
      </c>
      <c r="H51" s="339">
        <v>2.4500000000000002</v>
      </c>
      <c r="I51" s="339">
        <v>0.56999999999999995</v>
      </c>
    </row>
    <row r="52" spans="2:19" ht="68.25" thickBot="1" x14ac:dyDescent="0.3">
      <c r="E52" s="338" t="s">
        <v>600</v>
      </c>
      <c r="F52" s="339">
        <v>0.16</v>
      </c>
      <c r="G52" s="339">
        <v>1.97</v>
      </c>
      <c r="H52" s="339">
        <v>1.76</v>
      </c>
      <c r="I52" s="339">
        <v>2.13</v>
      </c>
    </row>
    <row r="53" spans="2:19" ht="57" thickBot="1" x14ac:dyDescent="0.3">
      <c r="E53" s="338" t="s">
        <v>601</v>
      </c>
      <c r="F53" s="339">
        <v>0.03</v>
      </c>
      <c r="G53" s="339">
        <v>1.73</v>
      </c>
      <c r="H53" s="339">
        <v>1.71</v>
      </c>
      <c r="I53" s="339">
        <v>3.89</v>
      </c>
    </row>
    <row r="54" spans="2:19" ht="45.75" thickBot="1" x14ac:dyDescent="0.3">
      <c r="E54" s="338" t="s">
        <v>602</v>
      </c>
      <c r="F54" s="339">
        <v>0.15</v>
      </c>
      <c r="G54" s="339">
        <v>0.41</v>
      </c>
      <c r="H54" s="339">
        <v>0.32</v>
      </c>
      <c r="I54" s="339">
        <v>5.51</v>
      </c>
      <c r="J54" s="340">
        <v>76.760000000000005</v>
      </c>
      <c r="K54">
        <f>0.09+0.33+0.44</f>
        <v>0.8600000000000001</v>
      </c>
      <c r="L54">
        <f>K54/J54%</f>
        <v>1.1203751954142782</v>
      </c>
      <c r="M54">
        <f>F54/F63%</f>
        <v>2.5041736227045073</v>
      </c>
      <c r="N54">
        <f>G54/G63%</f>
        <v>0.44405935232318855</v>
      </c>
      <c r="O54">
        <f>H54/H63%</f>
        <v>0.23805981252789768</v>
      </c>
      <c r="P54">
        <f>I54/I63%</f>
        <v>1.4385296190898886</v>
      </c>
      <c r="Q54">
        <f>J54/J63%</f>
        <v>10.990993570927419</v>
      </c>
      <c r="S54">
        <f>1.98+1.33+1.69</f>
        <v>5</v>
      </c>
    </row>
    <row r="55" spans="2:19" ht="45.75" thickBot="1" x14ac:dyDescent="0.3">
      <c r="E55" s="338" t="s">
        <v>603</v>
      </c>
      <c r="F55" s="339">
        <v>0</v>
      </c>
      <c r="G55" s="339">
        <v>4.32</v>
      </c>
      <c r="H55" s="339">
        <v>6.95</v>
      </c>
      <c r="I55" s="339">
        <v>19.88</v>
      </c>
    </row>
    <row r="56" spans="2:19" ht="34.5" thickBot="1" x14ac:dyDescent="0.3">
      <c r="E56" s="338" t="s">
        <v>604</v>
      </c>
      <c r="F56" s="339">
        <v>0</v>
      </c>
      <c r="G56" s="339">
        <v>8.44</v>
      </c>
      <c r="H56" s="339">
        <v>7.24</v>
      </c>
      <c r="I56" s="339">
        <v>0</v>
      </c>
    </row>
    <row r="57" spans="2:19" ht="45.75" thickBot="1" x14ac:dyDescent="0.3">
      <c r="E57" s="338" t="s">
        <v>605</v>
      </c>
      <c r="F57" s="339">
        <v>0</v>
      </c>
      <c r="G57" s="339">
        <v>0</v>
      </c>
      <c r="H57" s="339">
        <v>0</v>
      </c>
      <c r="I57" s="339">
        <v>2.77</v>
      </c>
    </row>
    <row r="58" spans="2:19" ht="45.75" thickBot="1" x14ac:dyDescent="0.3">
      <c r="E58" s="338" t="s">
        <v>606</v>
      </c>
      <c r="F58" s="339">
        <v>0</v>
      </c>
      <c r="G58" s="339">
        <v>3.78</v>
      </c>
      <c r="H58" s="339">
        <v>9.07</v>
      </c>
      <c r="I58" s="339">
        <v>21.97</v>
      </c>
    </row>
    <row r="59" spans="2:19" ht="79.5" thickBot="1" x14ac:dyDescent="0.3">
      <c r="E59" s="338" t="s">
        <v>607</v>
      </c>
      <c r="F59" s="339">
        <v>0</v>
      </c>
      <c r="G59" s="339">
        <v>2.69</v>
      </c>
      <c r="H59" s="339">
        <v>15.39</v>
      </c>
      <c r="I59" s="339">
        <v>63.37</v>
      </c>
    </row>
    <row r="60" spans="2:19" ht="34.5" thickBot="1" x14ac:dyDescent="0.3">
      <c r="E60" s="338" t="s">
        <v>608</v>
      </c>
      <c r="F60" s="339">
        <v>0</v>
      </c>
      <c r="G60" s="339">
        <v>2.2400000000000002</v>
      </c>
      <c r="H60" s="339">
        <v>1.81</v>
      </c>
      <c r="I60" s="339">
        <v>0</v>
      </c>
    </row>
    <row r="61" spans="2:19" ht="45.75" thickBot="1" x14ac:dyDescent="0.3">
      <c r="E61" s="338" t="s">
        <v>609</v>
      </c>
      <c r="F61" s="339">
        <v>0</v>
      </c>
      <c r="G61" s="339">
        <v>0.1</v>
      </c>
      <c r="H61" s="339">
        <v>0</v>
      </c>
      <c r="I61" s="339">
        <v>11.88</v>
      </c>
    </row>
    <row r="62" spans="2:19" ht="57" thickBot="1" x14ac:dyDescent="0.3">
      <c r="E62" s="338" t="s">
        <v>610</v>
      </c>
      <c r="F62" s="339">
        <v>0</v>
      </c>
      <c r="G62" s="339">
        <v>2.39</v>
      </c>
      <c r="H62" s="339">
        <v>8.1999999999999993</v>
      </c>
      <c r="I62" s="339">
        <v>20.45</v>
      </c>
    </row>
    <row r="63" spans="2:19" ht="34.5" thickBot="1" x14ac:dyDescent="0.3">
      <c r="E63" s="341" t="s">
        <v>611</v>
      </c>
      <c r="F63" s="342">
        <v>5.99</v>
      </c>
      <c r="G63" s="343">
        <v>92.33</v>
      </c>
      <c r="H63" s="343">
        <v>134.41999999999999</v>
      </c>
      <c r="I63" s="343">
        <v>383.03</v>
      </c>
      <c r="J63" s="344">
        <v>698.39</v>
      </c>
    </row>
    <row r="67" spans="10:20" ht="15.75" thickBot="1" x14ac:dyDescent="0.3"/>
    <row r="68" spans="10:20" ht="15.75" thickBot="1" x14ac:dyDescent="0.3">
      <c r="J68" s="345" t="s">
        <v>582</v>
      </c>
      <c r="K68" s="346" t="s">
        <v>612</v>
      </c>
      <c r="L68" s="346" t="s">
        <v>613</v>
      </c>
      <c r="M68" s="346" t="s">
        <v>614</v>
      </c>
      <c r="N68" s="346" t="s">
        <v>615</v>
      </c>
      <c r="O68" s="346" t="s">
        <v>616</v>
      </c>
      <c r="P68" s="346" t="s">
        <v>617</v>
      </c>
      <c r="Q68" s="346" t="s">
        <v>618</v>
      </c>
      <c r="R68" s="347" t="s">
        <v>86</v>
      </c>
    </row>
    <row r="69" spans="10:20" ht="15.75" thickBot="1" x14ac:dyDescent="0.3">
      <c r="J69" s="348" t="s">
        <v>619</v>
      </c>
      <c r="K69" s="349">
        <v>320.89</v>
      </c>
      <c r="L69" s="349">
        <v>13.12</v>
      </c>
      <c r="M69" s="349">
        <v>4.54</v>
      </c>
      <c r="N69" s="349">
        <v>1.1100000000000001</v>
      </c>
      <c r="O69" s="349">
        <v>2.27</v>
      </c>
      <c r="P69" s="349">
        <v>0.51</v>
      </c>
      <c r="Q69" s="349">
        <v>0.93</v>
      </c>
      <c r="R69" s="350">
        <v>343.38</v>
      </c>
      <c r="S69">
        <f>O69+P69+Q69</f>
        <v>3.7100000000000004</v>
      </c>
      <c r="T69">
        <f>S69/R69%</f>
        <v>1.0804356689382029</v>
      </c>
    </row>
    <row r="70" spans="10:20" ht="15.75" thickBot="1" x14ac:dyDescent="0.3">
      <c r="J70" s="348" t="s">
        <v>620</v>
      </c>
      <c r="K70" s="349">
        <v>286.67</v>
      </c>
      <c r="L70" s="349">
        <v>15.68</v>
      </c>
      <c r="M70" s="349">
        <v>11.22</v>
      </c>
      <c r="N70" s="349">
        <v>3.64</v>
      </c>
      <c r="O70" s="349">
        <v>1.98</v>
      </c>
      <c r="P70" s="349">
        <v>1.33</v>
      </c>
      <c r="Q70" s="349">
        <v>1.69</v>
      </c>
      <c r="R70" s="350">
        <v>322.22000000000003</v>
      </c>
      <c r="S70">
        <f>O70+P70+Q70</f>
        <v>5</v>
      </c>
      <c r="T70">
        <f>S70/R70%</f>
        <v>1.5517348395506174</v>
      </c>
    </row>
    <row r="71" spans="10:20" ht="15.75" thickBot="1" x14ac:dyDescent="0.3">
      <c r="J71" s="348" t="s">
        <v>621</v>
      </c>
      <c r="K71" s="349">
        <v>225.33</v>
      </c>
      <c r="L71" s="349">
        <v>10.98</v>
      </c>
      <c r="M71" s="349">
        <v>6.07</v>
      </c>
      <c r="N71" s="349">
        <v>2.87</v>
      </c>
      <c r="O71" s="349">
        <v>0.66</v>
      </c>
      <c r="P71" s="349">
        <v>1.32</v>
      </c>
      <c r="Q71" s="349">
        <v>0.53</v>
      </c>
      <c r="R71" s="350">
        <v>247.76</v>
      </c>
      <c r="S71">
        <f>O71+P71+Q71</f>
        <v>2.5099999999999998</v>
      </c>
      <c r="T71">
        <f>S71/R71%</f>
        <v>1.0130771714562479</v>
      </c>
    </row>
    <row r="73" spans="10:20" x14ac:dyDescent="0.25">
      <c r="R73">
        <f>SUM(L69:M69)</f>
        <v>17.66</v>
      </c>
      <c r="S73">
        <f>R73/R69%</f>
        <v>5.1429902731667543</v>
      </c>
    </row>
    <row r="74" spans="10:20" x14ac:dyDescent="0.25">
      <c r="R74">
        <f>SUM(L70:M70)</f>
        <v>26.9</v>
      </c>
      <c r="S74">
        <f>R74/R70%</f>
        <v>8.3483334367823208</v>
      </c>
    </row>
    <row r="75" spans="10:20" x14ac:dyDescent="0.25">
      <c r="R75">
        <f>SUM(L71:M71)</f>
        <v>17.05</v>
      </c>
      <c r="S75">
        <f>R75/R71%</f>
        <v>6.8816596706490163</v>
      </c>
    </row>
  </sheetData>
  <mergeCells count="2">
    <mergeCell ref="O2:O4"/>
    <mergeCell ref="B2:B4"/>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Y66"/>
  <sheetViews>
    <sheetView workbookViewId="0">
      <selection activeCell="AG6" sqref="AG6"/>
    </sheetView>
  </sheetViews>
  <sheetFormatPr defaultRowHeight="15" x14ac:dyDescent="0.25"/>
  <cols>
    <col min="1" max="1" width="28.140625" customWidth="1"/>
    <col min="4" max="4" width="11.28515625" customWidth="1"/>
    <col min="5" max="5" width="11.42578125" customWidth="1"/>
    <col min="6" max="6" width="11.7109375" customWidth="1"/>
    <col min="7" max="8" width="10.42578125" customWidth="1"/>
    <col min="15" max="15" width="28.7109375" customWidth="1"/>
    <col min="18" max="18" width="13.42578125" bestFit="1" customWidth="1"/>
    <col min="20" max="20" width="12.140625" customWidth="1"/>
    <col min="21" max="21" width="12.42578125" customWidth="1"/>
  </cols>
  <sheetData>
    <row r="1" spans="1:25" x14ac:dyDescent="0.25">
      <c r="J1" s="772" t="s">
        <v>119</v>
      </c>
      <c r="K1" s="772"/>
      <c r="L1" s="772"/>
    </row>
    <row r="2" spans="1:25" ht="45" x14ac:dyDescent="0.25">
      <c r="A2" s="3" t="s">
        <v>4</v>
      </c>
      <c r="B2" s="1" t="s">
        <v>43</v>
      </c>
      <c r="C2" s="1" t="s">
        <v>41</v>
      </c>
      <c r="D2" s="2" t="s">
        <v>44</v>
      </c>
      <c r="E2" s="2" t="s">
        <v>0</v>
      </c>
      <c r="F2" s="3" t="s">
        <v>45</v>
      </c>
      <c r="G2" s="3" t="s">
        <v>42</v>
      </c>
      <c r="H2" s="3" t="s">
        <v>495</v>
      </c>
      <c r="I2" s="3" t="s">
        <v>37</v>
      </c>
      <c r="J2" s="3" t="s">
        <v>38</v>
      </c>
      <c r="K2" s="3" t="s">
        <v>39</v>
      </c>
      <c r="L2" s="3" t="s">
        <v>40</v>
      </c>
      <c r="M2" s="11"/>
      <c r="N2" s="11"/>
      <c r="O2" s="40" t="s">
        <v>6</v>
      </c>
      <c r="P2" s="41" t="s">
        <v>7</v>
      </c>
      <c r="Q2" s="41" t="s">
        <v>8</v>
      </c>
      <c r="R2" s="41" t="s">
        <v>9</v>
      </c>
      <c r="S2" s="40" t="s">
        <v>10</v>
      </c>
      <c r="T2" s="41" t="s">
        <v>90</v>
      </c>
      <c r="U2" s="41" t="s">
        <v>497</v>
      </c>
      <c r="V2" s="40" t="s">
        <v>37</v>
      </c>
      <c r="W2" s="41" t="s">
        <v>38</v>
      </c>
      <c r="X2" s="41" t="s">
        <v>39</v>
      </c>
      <c r="Y2" s="41" t="s">
        <v>40</v>
      </c>
    </row>
    <row r="3" spans="1:25" x14ac:dyDescent="0.25">
      <c r="A3" s="3"/>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t="e">
        <f>E10/AVERAGE(D23:E23)</f>
        <v>#DIV/0!</v>
      </c>
      <c r="S3" s="44">
        <f>F10/AVERAGE(E23:F23)</f>
        <v>4.5644851565752924E-2</v>
      </c>
      <c r="T3" s="44">
        <f>G10/AVERAGE(F23:G23)</f>
        <v>0.14341777656140928</v>
      </c>
      <c r="U3" s="44">
        <f>H10/AVERAGE(G23:H23)</f>
        <v>0.13644546968243634</v>
      </c>
      <c r="V3" s="18"/>
      <c r="W3" s="18"/>
      <c r="X3" s="18"/>
      <c r="Y3" s="18"/>
    </row>
    <row r="4" spans="1:25" x14ac:dyDescent="0.25">
      <c r="A4" s="3"/>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F5" s="85">
        <v>2202.39</v>
      </c>
      <c r="G5" s="90">
        <v>14660.63</v>
      </c>
      <c r="H5" s="90">
        <f>43313-3984.43</f>
        <v>39328.57</v>
      </c>
      <c r="I5" s="85"/>
      <c r="J5" s="85"/>
      <c r="K5" s="85"/>
      <c r="L5" s="85"/>
      <c r="M5" s="11"/>
      <c r="N5" s="11"/>
      <c r="O5" s="42" t="s">
        <v>13</v>
      </c>
      <c r="P5" s="46"/>
      <c r="Q5" s="47" t="e">
        <f>D21/D20</f>
        <v>#DIV/0!</v>
      </c>
      <c r="R5" s="47" t="e">
        <f>E21/E20</f>
        <v>#DIV/0!</v>
      </c>
      <c r="S5" s="47">
        <f>F21/F20</f>
        <v>0</v>
      </c>
      <c r="T5" s="47">
        <f>G21/G20</f>
        <v>0.30215061659408898</v>
      </c>
      <c r="U5" s="47">
        <f>H21/H20</f>
        <v>0.88941607286075119</v>
      </c>
      <c r="V5" s="18"/>
      <c r="W5" s="18"/>
      <c r="X5" s="18"/>
      <c r="Y5" s="18"/>
    </row>
    <row r="6" spans="1:25" x14ac:dyDescent="0.25">
      <c r="A6" s="6" t="s">
        <v>50</v>
      </c>
      <c r="B6" s="7"/>
      <c r="C6" s="8"/>
      <c r="F6" s="85">
        <v>1469.28</v>
      </c>
      <c r="G6" s="85">
        <v>13191.5</v>
      </c>
      <c r="H6" s="85">
        <v>32981.949999999997</v>
      </c>
      <c r="I6" s="85"/>
      <c r="J6" s="85"/>
      <c r="K6" s="85"/>
      <c r="L6" s="85"/>
      <c r="M6" s="11"/>
      <c r="N6" s="11"/>
      <c r="O6" s="42" t="s">
        <v>14</v>
      </c>
      <c r="P6" s="43"/>
      <c r="Q6" s="43"/>
      <c r="R6" s="43"/>
      <c r="S6" s="43">
        <v>1.2744</v>
      </c>
      <c r="T6" s="48">
        <v>0.80589999999999995</v>
      </c>
      <c r="U6" s="48">
        <v>0.503</v>
      </c>
      <c r="V6" s="48"/>
      <c r="W6" s="18"/>
      <c r="X6" s="18"/>
      <c r="Y6" s="18"/>
    </row>
    <row r="7" spans="1:25" x14ac:dyDescent="0.25">
      <c r="A7" s="6" t="s">
        <v>51</v>
      </c>
      <c r="B7" s="7"/>
      <c r="C7" s="8"/>
      <c r="D7" s="87"/>
      <c r="E7" s="85"/>
      <c r="F7" s="85">
        <v>0</v>
      </c>
      <c r="G7" s="85">
        <v>0</v>
      </c>
      <c r="H7" s="85"/>
      <c r="I7" s="85"/>
      <c r="J7" s="85"/>
      <c r="K7" s="85"/>
      <c r="L7" s="85"/>
      <c r="M7" s="11"/>
      <c r="N7" s="11"/>
      <c r="O7" s="42" t="s">
        <v>15</v>
      </c>
      <c r="P7" s="43"/>
      <c r="Q7" s="44" t="e">
        <f>D20/D23</f>
        <v>#DIV/0!</v>
      </c>
      <c r="R7" s="44" t="e">
        <f>E20/E23</f>
        <v>#DIV/0!</v>
      </c>
      <c r="S7" s="44">
        <f>F20/F23</f>
        <v>1.4972329768259867</v>
      </c>
      <c r="T7" s="44">
        <f>G20/G23</f>
        <v>0.88536493971908903</v>
      </c>
      <c r="U7" s="44">
        <f>H20/H23</f>
        <v>0.56028430811730601</v>
      </c>
      <c r="V7" s="18"/>
      <c r="W7" s="18"/>
      <c r="X7" s="18"/>
      <c r="Y7" s="18"/>
    </row>
    <row r="8" spans="1:25" x14ac:dyDescent="0.25">
      <c r="A8" s="6" t="s">
        <v>52</v>
      </c>
      <c r="B8" s="7"/>
      <c r="C8" s="8"/>
      <c r="D8" s="85">
        <f t="shared" ref="D8:I8" si="0">D5-D6-D7</f>
        <v>0</v>
      </c>
      <c r="E8" s="85">
        <f t="shared" si="0"/>
        <v>0</v>
      </c>
      <c r="F8" s="85">
        <f t="shared" si="0"/>
        <v>733.1099999999999</v>
      </c>
      <c r="G8" s="85">
        <f t="shared" si="0"/>
        <v>1469.1299999999992</v>
      </c>
      <c r="H8" s="85">
        <f t="shared" si="0"/>
        <v>6346.6200000000026</v>
      </c>
      <c r="I8" s="85">
        <f t="shared" si="0"/>
        <v>0</v>
      </c>
      <c r="J8" s="85"/>
      <c r="K8" s="85"/>
      <c r="L8" s="85"/>
      <c r="M8" s="11"/>
      <c r="N8" s="11"/>
      <c r="O8" s="40" t="s">
        <v>16</v>
      </c>
      <c r="P8" s="45"/>
      <c r="Q8" s="45"/>
      <c r="R8" s="45"/>
      <c r="S8" s="46" t="s">
        <v>5</v>
      </c>
      <c r="T8" s="18"/>
      <c r="U8" s="18"/>
      <c r="V8" s="18"/>
      <c r="W8" s="18"/>
      <c r="X8" s="18"/>
      <c r="Y8" s="18"/>
    </row>
    <row r="9" spans="1:25" ht="33.75" x14ac:dyDescent="0.25">
      <c r="A9" s="6" t="s">
        <v>24</v>
      </c>
      <c r="B9" s="7"/>
      <c r="C9" s="7"/>
      <c r="D9" s="88"/>
      <c r="E9" s="85"/>
      <c r="F9" s="85">
        <v>0.31</v>
      </c>
      <c r="G9" s="85">
        <v>714.37</v>
      </c>
      <c r="H9" s="85">
        <v>7118.19</v>
      </c>
      <c r="I9" s="85"/>
      <c r="J9" s="85"/>
      <c r="K9" s="85"/>
      <c r="L9" s="85"/>
      <c r="M9" s="11"/>
      <c r="N9" s="11"/>
      <c r="O9" s="49" t="s">
        <v>93</v>
      </c>
      <c r="P9" s="45"/>
      <c r="Q9" s="93" t="e">
        <f>D14/(D11-D9)</f>
        <v>#DIV/0!</v>
      </c>
      <c r="R9" s="93" t="e">
        <f>E14/(E11-E9)</f>
        <v>#DIV/0!</v>
      </c>
      <c r="S9" s="93">
        <f>F14/(F11-F9)</f>
        <v>1.2579742788636199</v>
      </c>
      <c r="T9" s="93">
        <f>G14/(G11-G9)</f>
        <v>0.8811853500508382</v>
      </c>
      <c r="U9" s="93">
        <f>H14/(H11-H9)</f>
        <v>0.73206059661512846</v>
      </c>
      <c r="V9" s="18"/>
      <c r="W9" s="18"/>
      <c r="X9" s="18"/>
      <c r="Y9" s="18"/>
    </row>
    <row r="10" spans="1:25" ht="22.5" x14ac:dyDescent="0.25">
      <c r="A10" s="6" t="s">
        <v>53</v>
      </c>
      <c r="B10" s="10">
        <f t="shared" ref="B10:I10" si="1">B6-B9</f>
        <v>0</v>
      </c>
      <c r="C10" s="10">
        <f t="shared" si="1"/>
        <v>0</v>
      </c>
      <c r="D10" s="89">
        <f t="shared" si="1"/>
        <v>0</v>
      </c>
      <c r="E10" s="89">
        <f t="shared" si="1"/>
        <v>0</v>
      </c>
      <c r="F10" s="89">
        <f t="shared" si="1"/>
        <v>1468.97</v>
      </c>
      <c r="G10" s="89">
        <f t="shared" si="1"/>
        <v>12477.13</v>
      </c>
      <c r="H10" s="89">
        <f>H6-H9</f>
        <v>25863.759999999998</v>
      </c>
      <c r="I10" s="89">
        <f t="shared" si="1"/>
        <v>0</v>
      </c>
      <c r="J10" s="89"/>
      <c r="K10" s="89"/>
      <c r="L10" s="89"/>
      <c r="M10" s="11"/>
      <c r="N10" s="11"/>
      <c r="O10" s="42" t="s">
        <v>92</v>
      </c>
      <c r="P10" s="43"/>
      <c r="Q10" s="44" t="e">
        <f>D14/D11</f>
        <v>#DIV/0!</v>
      </c>
      <c r="R10" s="44" t="e">
        <f>E14/E11</f>
        <v>#DIV/0!</v>
      </c>
      <c r="S10" s="44">
        <f>F14/F11</f>
        <v>1.2577972112114566</v>
      </c>
      <c r="T10" s="44">
        <f>G14/G11</f>
        <v>0.83824774242307476</v>
      </c>
      <c r="U10" s="44">
        <f>H14/H11</f>
        <v>0.59956286231612288</v>
      </c>
      <c r="V10" s="18"/>
      <c r="W10" s="18"/>
      <c r="X10" s="18"/>
      <c r="Y10" s="18"/>
    </row>
    <row r="11" spans="1:25" ht="22.5" x14ac:dyDescent="0.25">
      <c r="A11" s="6" t="s">
        <v>1</v>
      </c>
      <c r="B11" s="10">
        <f>B5-B9</f>
        <v>0</v>
      </c>
      <c r="C11" s="10">
        <f t="shared" ref="C11:I11" si="2">SUM(C6:C8)</f>
        <v>0</v>
      </c>
      <c r="D11" s="89">
        <f t="shared" si="2"/>
        <v>0</v>
      </c>
      <c r="E11" s="89">
        <f t="shared" si="2"/>
        <v>0</v>
      </c>
      <c r="F11" s="89">
        <f>SUM(F6:F8)</f>
        <v>2202.39</v>
      </c>
      <c r="G11" s="89">
        <f>SUM(G6:G8)</f>
        <v>14660.63</v>
      </c>
      <c r="H11" s="89">
        <f>SUM(H6:H8)</f>
        <v>39328.57</v>
      </c>
      <c r="I11" s="89">
        <f t="shared" si="2"/>
        <v>0</v>
      </c>
      <c r="J11" s="89"/>
      <c r="K11" s="89"/>
      <c r="L11" s="89"/>
      <c r="M11" s="11"/>
      <c r="N11" s="11"/>
      <c r="O11" s="42" t="s">
        <v>17</v>
      </c>
      <c r="P11" s="43"/>
      <c r="Q11" s="44" t="e">
        <f>D14/AVERAGE(C22:D22)</f>
        <v>#DIV/0!</v>
      </c>
      <c r="R11" s="44" t="e">
        <f>E14/AVERAGE(D22:E22)</f>
        <v>#DIV/0!</v>
      </c>
      <c r="S11" s="44">
        <f>F14/AVERAGE(E22:F22)</f>
        <v>5.122058822985584E-2</v>
      </c>
      <c r="T11" s="44">
        <f>G14/AVERAGE(F22:G22)</f>
        <v>0.10314758499490044</v>
      </c>
      <c r="U11" s="44">
        <f>H14/AVERAGE(G22:H22)</f>
        <v>9.8636597137269577E-2</v>
      </c>
      <c r="V11" s="18"/>
      <c r="W11" s="18"/>
      <c r="X11" s="18"/>
      <c r="Y11" s="18"/>
    </row>
    <row r="12" spans="1:25" x14ac:dyDescent="0.25">
      <c r="A12" s="6" t="s">
        <v>91</v>
      </c>
      <c r="B12" s="10"/>
      <c r="C12" s="10"/>
      <c r="D12" s="89"/>
      <c r="E12" s="89"/>
      <c r="F12" s="89">
        <v>531.85</v>
      </c>
      <c r="G12" s="89">
        <v>1284.98</v>
      </c>
      <c r="H12" s="89">
        <v>3984.43</v>
      </c>
      <c r="I12" s="89">
        <v>0</v>
      </c>
      <c r="J12" s="89"/>
      <c r="K12" s="89"/>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I13" si="3">D11+D12</f>
        <v>0</v>
      </c>
      <c r="E13" s="88">
        <f t="shared" si="3"/>
        <v>0</v>
      </c>
      <c r="F13" s="88">
        <f t="shared" si="3"/>
        <v>2734.24</v>
      </c>
      <c r="G13" s="88">
        <f t="shared" si="3"/>
        <v>15945.609999999999</v>
      </c>
      <c r="H13" s="88">
        <f t="shared" si="3"/>
        <v>43313</v>
      </c>
      <c r="I13" s="88">
        <f t="shared" si="3"/>
        <v>0</v>
      </c>
      <c r="J13" s="88"/>
      <c r="K13" s="88"/>
      <c r="L13" s="88"/>
      <c r="M13" s="11"/>
      <c r="N13" s="11"/>
      <c r="O13" s="42" t="s">
        <v>19</v>
      </c>
      <c r="P13" s="43"/>
      <c r="Q13" s="44" t="e">
        <f>D24/D23</f>
        <v>#DIV/0!</v>
      </c>
      <c r="R13" s="44" t="e">
        <f>E24/E23</f>
        <v>#DIV/0!</v>
      </c>
      <c r="S13" s="44">
        <f>F24/F23</f>
        <v>2.6877878108045965E-4</v>
      </c>
      <c r="T13" s="44">
        <f>G24/G23</f>
        <v>1.5924337151140809E-3</v>
      </c>
      <c r="U13" s="44">
        <v>6.4999999999999997E-3</v>
      </c>
      <c r="V13" s="48"/>
      <c r="W13" s="18"/>
      <c r="X13" s="18"/>
      <c r="Y13" s="18"/>
    </row>
    <row r="14" spans="1:25" x14ac:dyDescent="0.25">
      <c r="A14" s="6" t="s">
        <v>26</v>
      </c>
      <c r="B14" s="7"/>
      <c r="C14" s="7"/>
      <c r="D14" s="85"/>
      <c r="E14" s="85"/>
      <c r="F14" s="85">
        <f>1598.95+182.61+988.6</f>
        <v>2770.16</v>
      </c>
      <c r="G14" s="85">
        <f>6871.17+803.3+4614.77</f>
        <v>12289.240000000002</v>
      </c>
      <c r="H14" s="85">
        <f>12435.07+1383.2+9761.68</f>
        <v>23579.95</v>
      </c>
      <c r="I14" s="85"/>
      <c r="J14" s="85"/>
      <c r="K14" s="85"/>
      <c r="L14" s="85"/>
      <c r="M14" s="11"/>
      <c r="N14" s="11"/>
      <c r="O14" s="42" t="s">
        <v>20</v>
      </c>
      <c r="P14" s="43"/>
      <c r="Q14" s="44" t="e">
        <f>D25/D23</f>
        <v>#DIV/0!</v>
      </c>
      <c r="R14" s="44" t="e">
        <f>E25/E23</f>
        <v>#DIV/0!</v>
      </c>
      <c r="S14" s="44">
        <f>F25/F23</f>
        <v>1.0440424328674501E-4</v>
      </c>
      <c r="T14" s="44">
        <f>G25/G23</f>
        <v>4.175881176506924E-4</v>
      </c>
      <c r="U14" s="44">
        <v>3.3E-3</v>
      </c>
      <c r="V14" s="48"/>
      <c r="W14" s="18"/>
      <c r="X14" s="18"/>
      <c r="Y14" s="18"/>
    </row>
    <row r="15" spans="1:25" x14ac:dyDescent="0.25">
      <c r="A15" s="6" t="s">
        <v>54</v>
      </c>
      <c r="B15" s="10"/>
      <c r="C15" s="10"/>
      <c r="D15" s="89">
        <f t="shared" ref="D15:I15" si="4">D11-D14</f>
        <v>0</v>
      </c>
      <c r="E15" s="89">
        <f t="shared" si="4"/>
        <v>0</v>
      </c>
      <c r="F15" s="89">
        <f t="shared" si="4"/>
        <v>-567.77</v>
      </c>
      <c r="G15" s="89">
        <f t="shared" si="4"/>
        <v>2371.3899999999976</v>
      </c>
      <c r="H15" s="89">
        <f t="shared" si="4"/>
        <v>15748.619999999999</v>
      </c>
      <c r="I15" s="89">
        <f t="shared" si="4"/>
        <v>0</v>
      </c>
      <c r="J15" s="89"/>
      <c r="K15" s="89"/>
      <c r="L15" s="89"/>
      <c r="M15" s="11"/>
      <c r="N15" s="11"/>
      <c r="O15" s="42" t="s">
        <v>21</v>
      </c>
      <c r="P15" s="43"/>
      <c r="Q15" s="44" t="e">
        <f t="shared" ref="Q15:V15" si="5">(Q13-Q14)/Q13</f>
        <v>#DIV/0!</v>
      </c>
      <c r="R15" s="44" t="e">
        <f t="shared" si="5"/>
        <v>#DIV/0!</v>
      </c>
      <c r="S15" s="44">
        <f t="shared" si="5"/>
        <v>0.61156069364161847</v>
      </c>
      <c r="T15" s="44">
        <f t="shared" si="5"/>
        <v>0.73776734711951475</v>
      </c>
      <c r="U15" s="44">
        <f t="shared" si="5"/>
        <v>0.49230769230769228</v>
      </c>
      <c r="V15" s="44" t="e">
        <f t="shared" si="5"/>
        <v>#DIV/0!</v>
      </c>
      <c r="W15" s="18"/>
      <c r="X15" s="18"/>
      <c r="Y15" s="18"/>
    </row>
    <row r="16" spans="1:25" x14ac:dyDescent="0.25">
      <c r="A16" s="6" t="s">
        <v>94</v>
      </c>
      <c r="B16" s="10"/>
      <c r="C16" s="10"/>
      <c r="D16" s="89">
        <f t="shared" ref="D16:I16" si="6">D13-D14-D9</f>
        <v>0</v>
      </c>
      <c r="E16" s="89">
        <f t="shared" si="6"/>
        <v>0</v>
      </c>
      <c r="F16" s="89">
        <f t="shared" si="6"/>
        <v>-36.230000000000075</v>
      </c>
      <c r="G16" s="89">
        <f t="shared" si="6"/>
        <v>2941.9999999999973</v>
      </c>
      <c r="H16" s="89">
        <f t="shared" si="6"/>
        <v>12614.86</v>
      </c>
      <c r="I16" s="89">
        <f t="shared" si="6"/>
        <v>0</v>
      </c>
      <c r="J16" s="89"/>
      <c r="K16" s="89"/>
      <c r="L16" s="89"/>
      <c r="M16" s="11"/>
      <c r="N16" s="11"/>
      <c r="O16" s="42" t="s">
        <v>22</v>
      </c>
      <c r="P16" s="43"/>
      <c r="Q16" s="44" t="e">
        <f>D17/AVERAGE(C23:D23)</f>
        <v>#DIV/0!</v>
      </c>
      <c r="R16" s="44" t="e">
        <f>E17/AVERAGE(D23:E23)</f>
        <v>#DIV/0!</v>
      </c>
      <c r="S16" s="44">
        <f>F17/AVERAGE(E23:F23)</f>
        <v>1.0441977963247221E-2</v>
      </c>
      <c r="T16" s="44">
        <f>G17/AVERAGE(F23:G23)</f>
        <v>1.1732502483663797E-2</v>
      </c>
      <c r="U16" s="44">
        <f>H17/AVERAGE(G23:H23)</f>
        <v>2.1323126065198792E-2</v>
      </c>
      <c r="V16" s="18"/>
      <c r="W16" s="18"/>
      <c r="X16" s="18"/>
      <c r="Y16" s="18"/>
    </row>
    <row r="17" spans="1:25" x14ac:dyDescent="0.25">
      <c r="A17" s="6" t="s">
        <v>27</v>
      </c>
      <c r="B17" s="7"/>
      <c r="C17" s="7"/>
      <c r="D17" s="88"/>
      <c r="E17" s="85"/>
      <c r="F17" s="85">
        <v>336.05</v>
      </c>
      <c r="G17" s="85">
        <v>1020.71</v>
      </c>
      <c r="H17" s="85">
        <v>4041.88</v>
      </c>
      <c r="I17" s="85"/>
      <c r="J17" s="85"/>
      <c r="K17" s="85"/>
      <c r="L17" s="85"/>
      <c r="M17" s="11"/>
      <c r="N17" s="11"/>
      <c r="O17" s="18"/>
      <c r="P17" s="18"/>
      <c r="Q17" s="18"/>
      <c r="R17" s="18"/>
      <c r="S17" s="18"/>
      <c r="T17" s="18"/>
      <c r="U17" s="18"/>
      <c r="V17" s="18"/>
      <c r="W17" s="18"/>
      <c r="X17" s="18"/>
      <c r="Y17" s="18"/>
    </row>
    <row r="18" spans="1:25" x14ac:dyDescent="0.25">
      <c r="A18" s="6" t="s">
        <v>55</v>
      </c>
      <c r="B18" s="7"/>
      <c r="C18" s="7"/>
      <c r="D18" s="88"/>
      <c r="E18" s="85"/>
      <c r="F18" s="89">
        <v>-294.63</v>
      </c>
      <c r="G18" s="89">
        <v>1395.64</v>
      </c>
      <c r="H18" s="89">
        <v>6313.14</v>
      </c>
      <c r="I18" s="89"/>
      <c r="J18" s="89"/>
      <c r="K18" s="89"/>
      <c r="L18" s="89"/>
      <c r="M18" s="11"/>
      <c r="N18" s="11"/>
      <c r="O18" s="40" t="s">
        <v>30</v>
      </c>
      <c r="P18" s="45"/>
      <c r="Q18" s="45"/>
      <c r="R18" s="45"/>
      <c r="S18" s="46" t="s">
        <v>5</v>
      </c>
      <c r="T18" s="18"/>
      <c r="U18" s="18"/>
      <c r="V18" s="18"/>
      <c r="W18" s="18"/>
      <c r="X18" s="18"/>
      <c r="Y18" s="18"/>
    </row>
    <row r="19" spans="1:25" ht="22.5" x14ac:dyDescent="0.25">
      <c r="A19" s="6" t="s">
        <v>28</v>
      </c>
      <c r="B19" s="7"/>
      <c r="C19" s="7"/>
      <c r="D19" s="88"/>
      <c r="E19" s="85"/>
      <c r="F19" s="85">
        <v>48184.85</v>
      </c>
      <c r="G19" s="85">
        <v>125557.48</v>
      </c>
      <c r="H19" s="85">
        <v>132951.69</v>
      </c>
      <c r="I19" s="85"/>
      <c r="J19" s="85"/>
      <c r="K19" s="85"/>
      <c r="L19" s="85"/>
      <c r="M19" s="11"/>
      <c r="N19" s="11"/>
      <c r="O19" s="46" t="s">
        <v>95</v>
      </c>
      <c r="P19" s="51"/>
      <c r="Q19" s="51"/>
      <c r="R19" s="52" t="e">
        <f>E16/AVERAGE(D22:E22)</f>
        <v>#DIV/0!</v>
      </c>
      <c r="S19" s="52">
        <f>F16/AVERAGE(E22:F22)</f>
        <v>-6.6989701373483155E-4</v>
      </c>
      <c r="T19" s="52">
        <f>G16/AVERAGE(F22:G22)</f>
        <v>2.4693162071454115E-2</v>
      </c>
      <c r="U19" s="52">
        <f>H16/AVERAGE(G22:H22)</f>
        <v>5.2768850814486734E-2</v>
      </c>
      <c r="V19" s="18"/>
      <c r="W19" s="18"/>
      <c r="X19" s="18"/>
      <c r="Y19" s="18"/>
    </row>
    <row r="20" spans="1:25" x14ac:dyDescent="0.25">
      <c r="A20" s="6" t="s">
        <v>56</v>
      </c>
      <c r="B20" s="7"/>
      <c r="C20" s="7"/>
      <c r="D20" s="88">
        <f t="shared" ref="D20:I20" si="7">D19-D71</f>
        <v>0</v>
      </c>
      <c r="E20" s="89">
        <f t="shared" si="7"/>
        <v>0</v>
      </c>
      <c r="F20" s="89">
        <f t="shared" si="7"/>
        <v>48184.85</v>
      </c>
      <c r="G20" s="89">
        <f t="shared" si="7"/>
        <v>125557.48</v>
      </c>
      <c r="H20" s="89">
        <f t="shared" si="7"/>
        <v>132951.69</v>
      </c>
      <c r="I20" s="89">
        <f t="shared" si="7"/>
        <v>0</v>
      </c>
      <c r="J20" s="89"/>
      <c r="K20" s="89"/>
      <c r="L20" s="89"/>
      <c r="M20" s="11"/>
      <c r="N20" s="11"/>
      <c r="O20" s="42" t="s">
        <v>31</v>
      </c>
      <c r="P20" s="43"/>
      <c r="Q20" s="43">
        <v>4.4699999999999997E-2</v>
      </c>
      <c r="R20" s="44" t="e">
        <f>E18/AVERAGE(D22:E22)</f>
        <v>#DIV/0!</v>
      </c>
      <c r="S20" s="44">
        <f>F18/AVERAGE(E22:F22)</f>
        <v>-5.4477437802012982E-3</v>
      </c>
      <c r="T20" s="44">
        <f>G18/AVERAGE(F22:G22)</f>
        <v>1.1714060065739041E-2</v>
      </c>
      <c r="U20" s="44">
        <f>H18/AVERAGE(G22:H22)</f>
        <v>2.6408310740742964E-2</v>
      </c>
      <c r="V20" s="48"/>
      <c r="W20" s="18"/>
      <c r="X20" s="18"/>
      <c r="Y20" s="18"/>
    </row>
    <row r="21" spans="1:25" x14ac:dyDescent="0.25">
      <c r="A21" s="6" t="s">
        <v>57</v>
      </c>
      <c r="B21" s="9"/>
      <c r="C21" s="9"/>
      <c r="D21" s="85"/>
      <c r="E21" s="85"/>
      <c r="F21" s="85"/>
      <c r="G21" s="85">
        <v>37937.269999999997</v>
      </c>
      <c r="H21" s="85">
        <f>14125.35+104124.02</f>
        <v>118249.37000000001</v>
      </c>
      <c r="I21" s="85"/>
      <c r="J21" s="85"/>
      <c r="K21" s="85"/>
      <c r="L21" s="85"/>
      <c r="M21" s="11"/>
      <c r="N21" s="11"/>
      <c r="O21" s="42" t="s">
        <v>32</v>
      </c>
      <c r="P21" s="43"/>
      <c r="Q21" s="44" t="e">
        <f>D18/AVERAGE(C19:D19)</f>
        <v>#DIV/0!</v>
      </c>
      <c r="R21" s="44" t="e">
        <f>E18/AVERAGE(D19:E19)</f>
        <v>#DIV/0!</v>
      </c>
      <c r="S21" s="44">
        <f>F18/AVERAGE(E19:F19)</f>
        <v>-6.114577507245535E-3</v>
      </c>
      <c r="T21" s="44">
        <f>G18/AVERAGE(F19:G19)</f>
        <v>1.6065630062633559E-2</v>
      </c>
      <c r="U21" s="44">
        <f>H18/AVERAGE(G19:H19)</f>
        <v>4.8842677418367793E-2</v>
      </c>
      <c r="V21" s="18"/>
      <c r="W21" s="18"/>
      <c r="X21" s="18"/>
      <c r="Y21" s="18"/>
    </row>
    <row r="22" spans="1:25" x14ac:dyDescent="0.25">
      <c r="A22" s="6" t="s">
        <v>29</v>
      </c>
      <c r="B22" s="7"/>
      <c r="C22" s="7"/>
      <c r="D22" s="88"/>
      <c r="E22" s="85"/>
      <c r="F22" s="85">
        <v>54082.94</v>
      </c>
      <c r="G22" s="85">
        <v>184201.65</v>
      </c>
      <c r="H22" s="85">
        <v>293916.02</v>
      </c>
      <c r="I22" s="85"/>
      <c r="J22" s="85"/>
      <c r="K22" s="85"/>
      <c r="L22" s="85"/>
      <c r="M22" s="11"/>
      <c r="N22" s="11"/>
      <c r="O22" s="40" t="s">
        <v>33</v>
      </c>
      <c r="P22" s="45"/>
      <c r="Q22" s="45"/>
      <c r="R22" s="45"/>
      <c r="S22" s="46" t="s">
        <v>5</v>
      </c>
      <c r="T22" s="18"/>
      <c r="U22" s="18"/>
      <c r="V22" s="18"/>
      <c r="W22" s="18"/>
      <c r="X22" s="18"/>
      <c r="Y22" s="18"/>
    </row>
    <row r="23" spans="1:25" x14ac:dyDescent="0.25">
      <c r="A23" s="6" t="s">
        <v>58</v>
      </c>
      <c r="B23" s="7"/>
      <c r="C23" s="7"/>
      <c r="D23" s="88"/>
      <c r="E23" s="85"/>
      <c r="F23" s="85">
        <v>32182.6</v>
      </c>
      <c r="G23" s="85">
        <v>141814.38</v>
      </c>
      <c r="H23" s="85">
        <v>237293.26</v>
      </c>
      <c r="I23" s="85"/>
      <c r="J23" s="85"/>
      <c r="K23" s="85"/>
      <c r="L23" s="85"/>
      <c r="M23" s="11"/>
      <c r="N23" s="11"/>
      <c r="O23" s="42" t="s">
        <v>34</v>
      </c>
      <c r="P23" s="43"/>
      <c r="Q23" s="44" t="e">
        <f>D6/AVERAGE(C23:D23)</f>
        <v>#DIV/0!</v>
      </c>
      <c r="R23" s="44" t="e">
        <f>E6/AVERAGE(D23:E23)</f>
        <v>#DIV/0!</v>
      </c>
      <c r="S23" s="44">
        <f>F6/AVERAGE(E23:F23)</f>
        <v>4.5654484100103782E-2</v>
      </c>
      <c r="T23" s="44">
        <f>G6/AVERAGE(F23:G23)</f>
        <v>0.15162906850452232</v>
      </c>
      <c r="U23" s="44">
        <f>H6/AVERAGE(G23:H23)</f>
        <v>0.17399781233635911</v>
      </c>
      <c r="V23" s="18"/>
      <c r="W23" s="18"/>
      <c r="X23" s="18"/>
      <c r="Y23" s="18"/>
    </row>
    <row r="24" spans="1:25" x14ac:dyDescent="0.25">
      <c r="A24" s="6" t="s">
        <v>59</v>
      </c>
      <c r="B24" s="10"/>
      <c r="C24" s="10"/>
      <c r="D24" s="89"/>
      <c r="E24" s="89"/>
      <c r="F24" s="89">
        <v>8.65</v>
      </c>
      <c r="G24" s="89">
        <v>225.83</v>
      </c>
      <c r="H24" s="89"/>
      <c r="I24" s="89"/>
      <c r="J24" s="89"/>
      <c r="K24" s="89"/>
      <c r="L24" s="89"/>
      <c r="M24" s="11"/>
      <c r="N24" s="11"/>
      <c r="O24" s="42" t="s">
        <v>35</v>
      </c>
      <c r="P24" s="43"/>
      <c r="Q24" s="44" t="e">
        <f>D9/AVERAGE(C21:D21)</f>
        <v>#DIV/0!</v>
      </c>
      <c r="R24" s="44" t="e">
        <f>E9/AVERAGE(D21:E21)</f>
        <v>#DIV/0!</v>
      </c>
      <c r="S24" s="44" t="e">
        <f>F9/AVERAGE(E21:F21)</f>
        <v>#DIV/0!</v>
      </c>
      <c r="T24" s="44">
        <f>G9/AVERAGE(F21:G21)</f>
        <v>1.8830295379714989E-2</v>
      </c>
      <c r="U24" s="44">
        <f>H9/AVERAGE(G21:H21)</f>
        <v>9.114979360590636E-2</v>
      </c>
      <c r="V24" s="18"/>
      <c r="W24" s="18"/>
      <c r="X24" s="18"/>
      <c r="Y24" s="18"/>
    </row>
    <row r="25" spans="1:25" x14ac:dyDescent="0.25">
      <c r="A25" s="6" t="s">
        <v>60</v>
      </c>
      <c r="B25" s="10"/>
      <c r="C25" s="10"/>
      <c r="D25" s="89"/>
      <c r="E25" s="89"/>
      <c r="F25" s="89">
        <v>3.36</v>
      </c>
      <c r="G25" s="89">
        <v>59.22</v>
      </c>
      <c r="H25" s="89"/>
      <c r="I25" s="89"/>
      <c r="J25" s="89"/>
      <c r="K25" s="89"/>
      <c r="L25" s="89"/>
      <c r="M25" s="11"/>
      <c r="N25" s="11"/>
      <c r="O25" s="42" t="s">
        <v>36</v>
      </c>
      <c r="P25" s="43"/>
      <c r="Q25" s="48" t="e">
        <f>Q23-Q24</f>
        <v>#DIV/0!</v>
      </c>
      <c r="R25" s="48" t="e">
        <f>R23-R24</f>
        <v>#DIV/0!</v>
      </c>
      <c r="S25" s="48" t="e">
        <f>S23-S24</f>
        <v>#DIV/0!</v>
      </c>
      <c r="T25" s="48">
        <f>T23-T24</f>
        <v>0.13279877312480734</v>
      </c>
      <c r="U25" s="48">
        <f>U23-U24</f>
        <v>8.2848018730452749E-2</v>
      </c>
      <c r="V25" s="18"/>
      <c r="W25" s="18"/>
      <c r="X25" s="18"/>
      <c r="Y25" s="18"/>
    </row>
    <row r="27" spans="1:25" x14ac:dyDescent="0.25">
      <c r="A27" s="184" t="s">
        <v>450</v>
      </c>
      <c r="B27" s="185" t="s">
        <v>364</v>
      </c>
      <c r="C27" s="185" t="s">
        <v>451</v>
      </c>
      <c r="D27" s="185" t="s">
        <v>452</v>
      </c>
      <c r="E27" s="185" t="s">
        <v>453</v>
      </c>
    </row>
    <row r="28" spans="1:25" x14ac:dyDescent="0.25">
      <c r="A28" s="184"/>
      <c r="B28" s="185" t="s">
        <v>454</v>
      </c>
      <c r="C28" s="185" t="s">
        <v>455</v>
      </c>
      <c r="D28" s="185" t="s">
        <v>454</v>
      </c>
      <c r="E28" s="185" t="s">
        <v>456</v>
      </c>
      <c r="J28" s="204">
        <f>(G23-F23)/F23</f>
        <v>3.406554473535389</v>
      </c>
    </row>
    <row r="29" spans="1:25" x14ac:dyDescent="0.25">
      <c r="A29" s="184"/>
      <c r="B29" s="185" t="s">
        <v>457</v>
      </c>
      <c r="C29" s="185" t="s">
        <v>457</v>
      </c>
      <c r="D29" s="185" t="s">
        <v>457</v>
      </c>
      <c r="E29" s="185" t="s">
        <v>457</v>
      </c>
    </row>
    <row r="30" spans="1:25" x14ac:dyDescent="0.25">
      <c r="A30" s="169" t="s">
        <v>458</v>
      </c>
      <c r="B30" s="186">
        <v>146.6</v>
      </c>
      <c r="C30" s="187">
        <v>65.84</v>
      </c>
      <c r="D30" s="187">
        <v>143.87</v>
      </c>
      <c r="E30" s="188">
        <v>225.31</v>
      </c>
    </row>
    <row r="31" spans="1:25" x14ac:dyDescent="0.25">
      <c r="A31" s="165" t="s">
        <v>459</v>
      </c>
      <c r="B31" s="189">
        <v>131.91999999999999</v>
      </c>
      <c r="C31" s="190">
        <v>63.5</v>
      </c>
      <c r="D31" s="190">
        <v>138.02000000000001</v>
      </c>
      <c r="E31" s="164">
        <v>214.81</v>
      </c>
    </row>
    <row r="32" spans="1:25" x14ac:dyDescent="0.25">
      <c r="A32" s="165" t="s">
        <v>460</v>
      </c>
      <c r="B32" s="189">
        <v>9.9600000000000009</v>
      </c>
      <c r="C32" s="190">
        <v>0.37</v>
      </c>
      <c r="D32" s="190">
        <v>2.29</v>
      </c>
      <c r="E32" s="164">
        <v>4.32</v>
      </c>
    </row>
    <row r="33" spans="1:5" x14ac:dyDescent="0.25">
      <c r="A33" s="165" t="s">
        <v>461</v>
      </c>
      <c r="B33" s="189">
        <v>4.7300000000000004</v>
      </c>
      <c r="C33" s="190">
        <v>1.97</v>
      </c>
      <c r="D33" s="190">
        <v>3.56</v>
      </c>
      <c r="E33" s="164">
        <v>6.18</v>
      </c>
    </row>
    <row r="34" spans="1:5" x14ac:dyDescent="0.25">
      <c r="A34" s="169" t="s">
        <v>424</v>
      </c>
      <c r="B34" s="186">
        <v>12.85</v>
      </c>
      <c r="C34" s="187">
        <v>10.41</v>
      </c>
      <c r="D34" s="187">
        <v>33.5</v>
      </c>
      <c r="E34" s="188">
        <v>71.86</v>
      </c>
    </row>
    <row r="35" spans="1:5" x14ac:dyDescent="0.25">
      <c r="A35" s="165" t="s">
        <v>462</v>
      </c>
      <c r="B35" s="189">
        <v>7.75</v>
      </c>
      <c r="C35" s="190">
        <v>2.93</v>
      </c>
      <c r="D35" s="190">
        <v>10.98</v>
      </c>
      <c r="E35" s="164">
        <v>20.68</v>
      </c>
    </row>
    <row r="36" spans="1:5" x14ac:dyDescent="0.25">
      <c r="A36" s="165" t="s">
        <v>463</v>
      </c>
      <c r="B36" s="189">
        <v>5.0999999999999996</v>
      </c>
      <c r="C36" s="190">
        <v>0.34</v>
      </c>
      <c r="D36" s="190">
        <v>0.71</v>
      </c>
      <c r="E36" s="164">
        <v>1.06</v>
      </c>
    </row>
    <row r="37" spans="1:5" x14ac:dyDescent="0.25">
      <c r="A37" s="165" t="s">
        <v>464</v>
      </c>
      <c r="B37" s="189" t="s">
        <v>465</v>
      </c>
      <c r="C37" s="190">
        <v>7.14</v>
      </c>
      <c r="D37" s="190">
        <v>21.81</v>
      </c>
      <c r="E37" s="164">
        <v>50.12</v>
      </c>
    </row>
    <row r="38" spans="1:5" x14ac:dyDescent="0.25">
      <c r="A38" s="191" t="s">
        <v>25</v>
      </c>
      <c r="B38" s="187">
        <v>159.44999999999999</v>
      </c>
      <c r="C38" s="187">
        <v>76.25</v>
      </c>
      <c r="D38" s="187">
        <v>177.37</v>
      </c>
      <c r="E38" s="187">
        <v>297.17</v>
      </c>
    </row>
    <row r="39" spans="1:5" x14ac:dyDescent="0.25">
      <c r="A39" s="168" t="s">
        <v>466</v>
      </c>
      <c r="B39" s="189">
        <v>114.86</v>
      </c>
      <c r="C39" s="190">
        <v>40.29</v>
      </c>
      <c r="D39" s="190">
        <v>91.1</v>
      </c>
      <c r="E39" s="164">
        <v>153.93</v>
      </c>
    </row>
    <row r="40" spans="1:5" x14ac:dyDescent="0.25">
      <c r="A40" s="168" t="s">
        <v>467</v>
      </c>
      <c r="B40" s="189">
        <v>8.0299999999999994</v>
      </c>
      <c r="C40" s="190">
        <v>2.6</v>
      </c>
      <c r="D40" s="190">
        <v>6.06</v>
      </c>
      <c r="E40" s="164">
        <v>9.93</v>
      </c>
    </row>
    <row r="41" spans="1:5" x14ac:dyDescent="0.25">
      <c r="A41" s="168" t="s">
        <v>468</v>
      </c>
      <c r="B41" s="189">
        <v>10.210000000000001</v>
      </c>
      <c r="C41" s="190">
        <v>5.49</v>
      </c>
      <c r="D41" s="190">
        <v>15.77</v>
      </c>
      <c r="E41" s="164">
        <v>27.66</v>
      </c>
    </row>
    <row r="42" spans="1:5" x14ac:dyDescent="0.25">
      <c r="A42" s="168" t="s">
        <v>469</v>
      </c>
      <c r="B42" s="189">
        <v>7.14</v>
      </c>
      <c r="C42" s="190">
        <v>9.34</v>
      </c>
      <c r="D42" s="190">
        <v>22.73</v>
      </c>
      <c r="E42" s="164">
        <v>44.33</v>
      </c>
    </row>
    <row r="43" spans="1:5" x14ac:dyDescent="0.25">
      <c r="A43" s="191" t="s">
        <v>470</v>
      </c>
      <c r="B43" s="187">
        <v>140.24</v>
      </c>
      <c r="C43" s="187">
        <v>57.72</v>
      </c>
      <c r="D43" s="187">
        <v>135.66</v>
      </c>
      <c r="E43" s="187">
        <v>235.85</v>
      </c>
    </row>
    <row r="44" spans="1:5" x14ac:dyDescent="0.25">
      <c r="A44" s="191" t="s">
        <v>471</v>
      </c>
      <c r="B44" s="190">
        <v>34.380000000000003</v>
      </c>
      <c r="C44" s="190">
        <v>30.47</v>
      </c>
      <c r="D44" s="190">
        <v>70.5</v>
      </c>
      <c r="E44" s="190">
        <v>115.58</v>
      </c>
    </row>
    <row r="45" spans="1:5" x14ac:dyDescent="0.25">
      <c r="A45" s="168" t="s">
        <v>472</v>
      </c>
      <c r="B45" s="190">
        <v>19.21</v>
      </c>
      <c r="C45" s="190">
        <v>18.53</v>
      </c>
      <c r="D45" s="190">
        <v>41.71</v>
      </c>
      <c r="E45" s="192">
        <v>61.32</v>
      </c>
    </row>
    <row r="46" spans="1:5" x14ac:dyDescent="0.25">
      <c r="A46" s="168" t="s">
        <v>473</v>
      </c>
      <c r="B46" s="189">
        <v>5.25</v>
      </c>
      <c r="C46" s="190">
        <v>5.67</v>
      </c>
      <c r="D46" s="190">
        <v>12.73</v>
      </c>
      <c r="E46" s="164">
        <v>18.03</v>
      </c>
    </row>
    <row r="47" spans="1:5" x14ac:dyDescent="0.25">
      <c r="A47" s="168" t="s">
        <v>474</v>
      </c>
      <c r="B47" s="190">
        <v>13.96</v>
      </c>
      <c r="C47" s="190">
        <v>12.86</v>
      </c>
      <c r="D47" s="190">
        <v>28.98</v>
      </c>
      <c r="E47" s="192">
        <v>43.29</v>
      </c>
    </row>
    <row r="48" spans="1:5" x14ac:dyDescent="0.25">
      <c r="A48" s="168" t="s">
        <v>3</v>
      </c>
      <c r="B48" s="193">
        <v>1415.12</v>
      </c>
      <c r="C48" s="194">
        <v>1581.04</v>
      </c>
      <c r="D48" s="194">
        <v>1957.88</v>
      </c>
      <c r="E48" s="195">
        <v>2302.86</v>
      </c>
    </row>
    <row r="49" spans="1:5" x14ac:dyDescent="0.25">
      <c r="A49" s="168" t="s">
        <v>475</v>
      </c>
      <c r="B49" s="190" t="s">
        <v>465</v>
      </c>
      <c r="C49" s="189">
        <v>35.659999999999997</v>
      </c>
      <c r="D49" s="189">
        <v>111.15</v>
      </c>
      <c r="E49" s="164">
        <v>284.89999999999998</v>
      </c>
    </row>
    <row r="50" spans="1:5" x14ac:dyDescent="0.25">
      <c r="A50" s="168" t="s">
        <v>476</v>
      </c>
      <c r="B50" s="190">
        <v>33.35</v>
      </c>
      <c r="C50" s="189">
        <v>26.61</v>
      </c>
      <c r="D50" s="189">
        <v>69.39</v>
      </c>
      <c r="E50" s="164">
        <v>89.49</v>
      </c>
    </row>
    <row r="51" spans="1:5" x14ac:dyDescent="0.25">
      <c r="A51" s="168" t="s">
        <v>477</v>
      </c>
      <c r="B51" s="193">
        <v>1415.12</v>
      </c>
      <c r="C51" s="194">
        <v>1545.38</v>
      </c>
      <c r="D51" s="194">
        <v>1846.73</v>
      </c>
      <c r="E51" s="195">
        <v>2017.96</v>
      </c>
    </row>
    <row r="52" spans="1:5" x14ac:dyDescent="0.25">
      <c r="A52" s="168" t="s">
        <v>478</v>
      </c>
      <c r="B52" s="196">
        <v>1255.57</v>
      </c>
      <c r="C52" s="196">
        <v>1268.45</v>
      </c>
      <c r="D52" s="196">
        <v>1284.57</v>
      </c>
      <c r="E52" s="195">
        <v>1298.8800000000001</v>
      </c>
    </row>
    <row r="53" spans="1:5" x14ac:dyDescent="0.25">
      <c r="A53" s="168" t="s">
        <v>479</v>
      </c>
      <c r="B53" s="190">
        <v>0.3</v>
      </c>
      <c r="C53" s="189">
        <v>0.36</v>
      </c>
      <c r="D53" s="189">
        <v>0.62</v>
      </c>
      <c r="E53" s="189">
        <v>0.81</v>
      </c>
    </row>
    <row r="54" spans="1:5" x14ac:dyDescent="0.25">
      <c r="A54" s="168" t="s">
        <v>480</v>
      </c>
      <c r="B54" s="190">
        <v>380.49</v>
      </c>
      <c r="C54" s="189">
        <v>457.6</v>
      </c>
      <c r="D54" s="189">
        <v>801.73</v>
      </c>
      <c r="E54" s="195">
        <v>1053.1400000000001</v>
      </c>
    </row>
    <row r="55" spans="1:5" x14ac:dyDescent="0.25">
      <c r="A55" s="197" t="s">
        <v>481</v>
      </c>
      <c r="B55" s="189">
        <v>2.2599999999999998</v>
      </c>
      <c r="C55" s="189">
        <v>3.47</v>
      </c>
      <c r="D55" s="189">
        <v>5.74</v>
      </c>
      <c r="E55" s="197">
        <v>16.850000000000001</v>
      </c>
    </row>
    <row r="56" spans="1:5" x14ac:dyDescent="0.25">
      <c r="A56" s="197" t="s">
        <v>482</v>
      </c>
      <c r="B56" s="198">
        <v>1.6000000000000001E-3</v>
      </c>
      <c r="C56" s="198">
        <v>2.2000000000000001E-3</v>
      </c>
      <c r="D56" s="198">
        <v>3.0999999999999999E-3</v>
      </c>
      <c r="E56" s="199">
        <v>8.2000000000000007E-3</v>
      </c>
    </row>
    <row r="57" spans="1:5" x14ac:dyDescent="0.25">
      <c r="A57" s="197" t="s">
        <v>27</v>
      </c>
      <c r="B57" s="189">
        <v>1.67</v>
      </c>
      <c r="C57" s="189">
        <v>2.2599999999999998</v>
      </c>
      <c r="D57" s="189">
        <v>3.73</v>
      </c>
      <c r="E57" s="197">
        <v>8.18</v>
      </c>
    </row>
    <row r="58" spans="1:5" x14ac:dyDescent="0.25">
      <c r="A58" s="197" t="s">
        <v>483</v>
      </c>
      <c r="B58" s="190">
        <v>0.59</v>
      </c>
      <c r="C58" s="189">
        <v>1.21</v>
      </c>
      <c r="D58" s="189">
        <v>2.0099999999999998</v>
      </c>
      <c r="E58" s="197">
        <v>8.67</v>
      </c>
    </row>
    <row r="59" spans="1:5" x14ac:dyDescent="0.25">
      <c r="A59" s="197" t="s">
        <v>484</v>
      </c>
      <c r="B59" s="200">
        <v>4.0000000000000002E-4</v>
      </c>
      <c r="C59" s="200">
        <v>8.0000000000000004E-4</v>
      </c>
      <c r="D59" s="200">
        <v>1.1000000000000001E-3</v>
      </c>
      <c r="E59" s="199">
        <v>4.3E-3</v>
      </c>
    </row>
    <row r="60" spans="1:5" x14ac:dyDescent="0.25">
      <c r="A60" s="168" t="s">
        <v>485</v>
      </c>
      <c r="B60" s="200">
        <v>0.79979999999999996</v>
      </c>
      <c r="C60" s="198">
        <v>0.74929999999999997</v>
      </c>
      <c r="D60" s="198">
        <v>0.63100000000000001</v>
      </c>
      <c r="E60" s="201">
        <v>0.56069999999999998</v>
      </c>
    </row>
    <row r="61" spans="1:5" x14ac:dyDescent="0.25">
      <c r="A61" s="168" t="s">
        <v>486</v>
      </c>
      <c r="B61" s="200">
        <v>0.80589999999999995</v>
      </c>
      <c r="C61" s="198">
        <v>0.75449999999999995</v>
      </c>
      <c r="D61" s="198">
        <v>0.63719999999999999</v>
      </c>
      <c r="E61" s="201">
        <v>0.56579999999999997</v>
      </c>
    </row>
    <row r="62" spans="1:5" ht="45" x14ac:dyDescent="0.25">
      <c r="A62" s="202" t="s">
        <v>487</v>
      </c>
      <c r="B62" s="203">
        <v>0.152</v>
      </c>
      <c r="C62" s="203">
        <v>0.1696</v>
      </c>
      <c r="D62" s="203">
        <v>0.16370000000000001</v>
      </c>
      <c r="E62" s="203">
        <v>0.15409999999999999</v>
      </c>
    </row>
    <row r="63" spans="1:5" x14ac:dyDescent="0.25">
      <c r="A63" s="192" t="s">
        <v>488</v>
      </c>
      <c r="B63" s="200">
        <v>0.14369999999999999</v>
      </c>
      <c r="C63" s="200">
        <v>0.1464</v>
      </c>
      <c r="D63" s="200">
        <v>0.1414</v>
      </c>
      <c r="E63" s="200">
        <v>0.13239999999999999</v>
      </c>
    </row>
    <row r="64" spans="1:5" x14ac:dyDescent="0.25">
      <c r="A64" s="192" t="s">
        <v>489</v>
      </c>
      <c r="B64" s="200">
        <v>9.1999999999999998E-2</v>
      </c>
      <c r="C64" s="200">
        <v>9.1899999999999996E-2</v>
      </c>
      <c r="D64" s="200">
        <v>9.35E-2</v>
      </c>
      <c r="E64" s="183">
        <v>9.3799999999999994E-2</v>
      </c>
    </row>
    <row r="65" spans="1:5" x14ac:dyDescent="0.25">
      <c r="A65" s="168" t="s">
        <v>33</v>
      </c>
      <c r="B65" s="200">
        <v>0.06</v>
      </c>
      <c r="C65" s="200">
        <v>7.7700000000000005E-2</v>
      </c>
      <c r="D65" s="200">
        <v>7.0199999999999999E-2</v>
      </c>
      <c r="E65" s="200">
        <v>6.0299999999999999E-2</v>
      </c>
    </row>
    <row r="66" spans="1:5" x14ac:dyDescent="0.25">
      <c r="A66" s="164" t="s">
        <v>434</v>
      </c>
      <c r="B66" s="798" t="s">
        <v>490</v>
      </c>
      <c r="C66" s="799"/>
      <c r="D66" s="799"/>
      <c r="E66" s="800"/>
    </row>
  </sheetData>
  <mergeCells count="2">
    <mergeCell ref="J1:L1"/>
    <mergeCell ref="B66:E66"/>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D25"/>
  <sheetViews>
    <sheetView topLeftCell="G1" workbookViewId="0">
      <selection activeCell="L10" sqref="L10"/>
    </sheetView>
  </sheetViews>
  <sheetFormatPr defaultRowHeight="15" x14ac:dyDescent="0.25"/>
  <cols>
    <col min="1" max="1" width="28.140625" customWidth="1"/>
    <col min="4" max="4" width="11.28515625" customWidth="1"/>
    <col min="5" max="5" width="11.42578125" customWidth="1"/>
    <col min="6" max="6" width="11.7109375" customWidth="1"/>
    <col min="7" max="8" width="10.42578125" customWidth="1"/>
    <col min="10" max="10" width="10.140625" bestFit="1" customWidth="1"/>
    <col min="12" max="12" width="10.140625" bestFit="1" customWidth="1"/>
    <col min="14" max="14" width="10.140625" bestFit="1" customWidth="1"/>
    <col min="15" max="15" width="10.140625" customWidth="1"/>
    <col min="17" max="17" width="28.7109375" customWidth="1"/>
    <col min="20" max="20" width="12.7109375" customWidth="1"/>
    <col min="22" max="23" width="13.5703125" customWidth="1"/>
  </cols>
  <sheetData>
    <row r="1" spans="1:30" x14ac:dyDescent="0.25">
      <c r="J1" s="772" t="s">
        <v>112</v>
      </c>
      <c r="K1" s="772"/>
      <c r="L1" s="772"/>
    </row>
    <row r="2" spans="1:30" ht="45" x14ac:dyDescent="0.25">
      <c r="A2" s="3" t="s">
        <v>4</v>
      </c>
      <c r="B2" s="1" t="s">
        <v>43</v>
      </c>
      <c r="C2" s="1" t="s">
        <v>41</v>
      </c>
      <c r="D2" s="2" t="s">
        <v>44</v>
      </c>
      <c r="E2" s="2" t="s">
        <v>0</v>
      </c>
      <c r="F2" s="3" t="s">
        <v>45</v>
      </c>
      <c r="G2" s="3" t="s">
        <v>42</v>
      </c>
      <c r="H2" s="3" t="s">
        <v>366</v>
      </c>
      <c r="I2" s="3" t="s">
        <v>37</v>
      </c>
      <c r="J2" s="3" t="s">
        <v>38</v>
      </c>
      <c r="K2" s="3" t="s">
        <v>39</v>
      </c>
      <c r="L2" s="3" t="s">
        <v>40</v>
      </c>
      <c r="M2" s="11"/>
      <c r="N2" s="11"/>
      <c r="O2" s="11"/>
      <c r="P2" s="11"/>
      <c r="Q2" s="40" t="s">
        <v>6</v>
      </c>
      <c r="R2" s="41" t="s">
        <v>7</v>
      </c>
      <c r="S2" s="41" t="s">
        <v>8</v>
      </c>
      <c r="T2" s="41" t="s">
        <v>9</v>
      </c>
      <c r="U2" s="40" t="s">
        <v>10</v>
      </c>
      <c r="V2" s="41" t="s">
        <v>90</v>
      </c>
      <c r="W2" s="41" t="s">
        <v>492</v>
      </c>
      <c r="X2" s="40" t="s">
        <v>37</v>
      </c>
      <c r="Y2" s="41" t="s">
        <v>38</v>
      </c>
      <c r="Z2" s="41" t="s">
        <v>39</v>
      </c>
      <c r="AA2" s="41" t="s">
        <v>40</v>
      </c>
    </row>
    <row r="3" spans="1:30" x14ac:dyDescent="0.25">
      <c r="A3" s="3"/>
      <c r="B3" s="1" t="s">
        <v>46</v>
      </c>
      <c r="C3" s="4" t="s">
        <v>47</v>
      </c>
      <c r="D3" s="5" t="s">
        <v>47</v>
      </c>
      <c r="E3" s="5" t="s">
        <v>47</v>
      </c>
      <c r="F3" s="1" t="s">
        <v>46</v>
      </c>
      <c r="G3" s="1" t="s">
        <v>46</v>
      </c>
      <c r="H3" s="1" t="s">
        <v>46</v>
      </c>
      <c r="I3" s="1" t="s">
        <v>96</v>
      </c>
      <c r="J3" s="1"/>
      <c r="K3" s="1"/>
      <c r="L3" s="1"/>
      <c r="M3" s="11"/>
      <c r="N3" s="11"/>
      <c r="O3" s="11"/>
      <c r="P3" s="11"/>
      <c r="Q3" s="42" t="s">
        <v>11</v>
      </c>
      <c r="R3" s="43"/>
      <c r="S3" s="44" t="e">
        <f>D10/AVERAGE(C23:D23)</f>
        <v>#DIV/0!</v>
      </c>
      <c r="T3" s="44" t="e">
        <f>E10/AVERAGE(D23:E23)</f>
        <v>#DIV/0!</v>
      </c>
      <c r="U3" s="44">
        <f>F10/AVERAGE(E23:F23)</f>
        <v>0.13595992777821389</v>
      </c>
      <c r="V3" s="44">
        <f>G10/AVERAGE(F23:G23)</f>
        <v>0.12921330586230811</v>
      </c>
      <c r="W3" s="44">
        <f>H10/AVERAGE(G23:H23)</f>
        <v>0.20416680590123545</v>
      </c>
      <c r="X3" s="44">
        <f>I10/AVERAGE(G23:I23)</f>
        <v>6.7563461053718965E-2</v>
      </c>
      <c r="Y3" s="44">
        <f>J10/AVERAGE(I23:J23)</f>
        <v>4.9848577039708332E-2</v>
      </c>
      <c r="Z3" s="44">
        <f>K10/AVERAGE(J23:K23)</f>
        <v>5.405082389722432E-2</v>
      </c>
      <c r="AA3" s="44">
        <f>L10/AVERAGE(K23:L23)</f>
        <v>4.9298915560143056E-2</v>
      </c>
      <c r="AB3" s="44">
        <f>M10/AVERAGE(G23:M23)</f>
        <v>6.83015693446693E-2</v>
      </c>
    </row>
    <row r="4" spans="1:30" x14ac:dyDescent="0.25">
      <c r="A4" s="3"/>
      <c r="B4" s="1" t="s">
        <v>48</v>
      </c>
      <c r="C4" s="1" t="s">
        <v>48</v>
      </c>
      <c r="D4" s="5" t="s">
        <v>49</v>
      </c>
      <c r="E4" s="5" t="s">
        <v>49</v>
      </c>
      <c r="F4" s="5" t="s">
        <v>49</v>
      </c>
      <c r="G4" s="5" t="s">
        <v>49</v>
      </c>
      <c r="H4" s="5" t="s">
        <v>49</v>
      </c>
      <c r="I4" s="5"/>
      <c r="J4" s="5"/>
      <c r="K4" s="5"/>
      <c r="L4" s="5"/>
      <c r="M4" s="11"/>
      <c r="N4" s="11"/>
      <c r="O4" s="11"/>
      <c r="P4" s="11"/>
      <c r="Q4" s="40" t="s">
        <v>12</v>
      </c>
      <c r="R4" s="45"/>
      <c r="S4" s="45"/>
      <c r="T4" s="45"/>
      <c r="U4" s="46" t="s">
        <v>5</v>
      </c>
      <c r="V4" s="18"/>
      <c r="W4" s="18"/>
      <c r="X4" s="18"/>
      <c r="Y4" s="18"/>
      <c r="Z4" s="18"/>
      <c r="AA4" s="18"/>
    </row>
    <row r="5" spans="1:30" x14ac:dyDescent="0.25">
      <c r="A5" s="6" t="s">
        <v>23</v>
      </c>
      <c r="B5" s="7"/>
      <c r="C5" s="8"/>
      <c r="F5" s="85">
        <v>7540.47</v>
      </c>
      <c r="G5" s="90">
        <v>8961.76</v>
      </c>
      <c r="H5" s="90">
        <v>16368.82</v>
      </c>
      <c r="I5" s="85">
        <v>5247.68</v>
      </c>
      <c r="J5" s="85">
        <v>6215.22</v>
      </c>
      <c r="K5" s="85">
        <v>7206.47</v>
      </c>
      <c r="L5" s="85">
        <v>7798.42</v>
      </c>
      <c r="M5" s="11">
        <v>8153.5</v>
      </c>
      <c r="N5" s="11">
        <v>8641.19</v>
      </c>
      <c r="O5" s="11">
        <v>7900.48</v>
      </c>
      <c r="P5" s="11"/>
      <c r="Q5" s="42" t="s">
        <v>13</v>
      </c>
      <c r="R5" s="46"/>
      <c r="S5" s="47" t="e">
        <f t="shared" ref="S5:AA5" si="0">D21/D20</f>
        <v>#DIV/0!</v>
      </c>
      <c r="T5" s="47" t="e">
        <f t="shared" si="0"/>
        <v>#DIV/0!</v>
      </c>
      <c r="U5" s="47">
        <f t="shared" si="0"/>
        <v>0.56615988454663602</v>
      </c>
      <c r="V5" s="47">
        <f t="shared" si="0"/>
        <v>0.71510337474178742</v>
      </c>
      <c r="W5" s="47">
        <f t="shared" si="0"/>
        <v>0.99492866689581605</v>
      </c>
      <c r="X5" s="47" t="e">
        <f t="shared" si="0"/>
        <v>#DIV/0!</v>
      </c>
      <c r="Y5" s="47">
        <f t="shared" si="0"/>
        <v>0.76295525036923195</v>
      </c>
      <c r="Z5" s="47" t="e">
        <f t="shared" si="0"/>
        <v>#DIV/0!</v>
      </c>
      <c r="AA5" s="47">
        <f t="shared" si="0"/>
        <v>1.0341089970579107</v>
      </c>
      <c r="AB5" s="47"/>
      <c r="AC5" s="47">
        <f t="shared" ref="AC5" si="1">N21/N20</f>
        <v>1.2200322127829972</v>
      </c>
    </row>
    <row r="6" spans="1:30" x14ac:dyDescent="0.25">
      <c r="A6" s="6" t="s">
        <v>50</v>
      </c>
      <c r="B6" s="7"/>
      <c r="C6" s="8"/>
      <c r="F6" s="85">
        <v>6394.7</v>
      </c>
      <c r="G6" s="85">
        <v>7280.54</v>
      </c>
      <c r="H6" s="85">
        <v>15391</v>
      </c>
      <c r="I6" s="85">
        <v>4939.37</v>
      </c>
      <c r="J6" s="85">
        <v>5977.16</v>
      </c>
      <c r="K6" s="85">
        <v>6894.33</v>
      </c>
      <c r="L6" s="85">
        <v>7490.86</v>
      </c>
      <c r="M6" s="11">
        <v>7531.31</v>
      </c>
      <c r="N6" s="11">
        <v>8168.71</v>
      </c>
      <c r="O6" s="11">
        <v>7427.96</v>
      </c>
      <c r="P6" s="11"/>
      <c r="Q6" s="42" t="s">
        <v>14</v>
      </c>
      <c r="R6" s="43"/>
      <c r="S6" s="43"/>
      <c r="T6" s="43"/>
      <c r="U6" s="43">
        <v>0.60199999999999998</v>
      </c>
      <c r="V6" s="48">
        <v>0.61309999999999998</v>
      </c>
      <c r="W6" s="48">
        <v>0.50870000000000004</v>
      </c>
      <c r="X6" s="48">
        <v>0.69120000000000004</v>
      </c>
      <c r="Y6" s="48">
        <v>0.57589999999999997</v>
      </c>
      <c r="Z6" s="48">
        <v>0.43509999999999999</v>
      </c>
      <c r="AA6" s="48">
        <v>0.47160000000000002</v>
      </c>
      <c r="AB6" s="80">
        <v>0.44629999999999997</v>
      </c>
      <c r="AC6" s="80">
        <v>0.43719999999999998</v>
      </c>
      <c r="AD6" s="80">
        <v>0.49719999999999998</v>
      </c>
    </row>
    <row r="7" spans="1:30" x14ac:dyDescent="0.25">
      <c r="A7" s="6" t="s">
        <v>51</v>
      </c>
      <c r="B7" s="7"/>
      <c r="C7" s="8"/>
      <c r="D7" s="87"/>
      <c r="E7" s="85"/>
      <c r="F7" s="85">
        <v>0</v>
      </c>
      <c r="G7" s="85">
        <v>0</v>
      </c>
      <c r="H7" s="85"/>
      <c r="I7" s="85"/>
      <c r="J7" s="85"/>
      <c r="K7" s="85"/>
      <c r="L7" s="85"/>
      <c r="M7" s="11"/>
      <c r="N7" s="11"/>
      <c r="O7" s="11"/>
      <c r="P7" s="11"/>
      <c r="Q7" s="42" t="s">
        <v>15</v>
      </c>
      <c r="R7" s="43"/>
      <c r="S7" s="44" t="e">
        <f>D20/D23</f>
        <v>#DIV/0!</v>
      </c>
      <c r="T7" s="44" t="e">
        <f>E20/E23</f>
        <v>#DIV/0!</v>
      </c>
      <c r="U7" s="44">
        <f>F20/F23</f>
        <v>1.0523456983955413</v>
      </c>
      <c r="V7" s="44">
        <f>G20/G23</f>
        <v>0.77107534927040045</v>
      </c>
      <c r="W7" s="44">
        <f>H20/H23</f>
        <v>0.57416679278957539</v>
      </c>
      <c r="X7" s="18"/>
      <c r="Y7" s="18"/>
      <c r="Z7" s="18"/>
      <c r="AA7" s="18"/>
    </row>
    <row r="8" spans="1:30" x14ac:dyDescent="0.25">
      <c r="A8" s="6" t="s">
        <v>52</v>
      </c>
      <c r="B8" s="7"/>
      <c r="C8" s="8"/>
      <c r="D8" s="85">
        <f t="shared" ref="D8:O8" si="2">D5-D6-D7</f>
        <v>0</v>
      </c>
      <c r="E8" s="85">
        <f t="shared" si="2"/>
        <v>0</v>
      </c>
      <c r="F8" s="85">
        <f t="shared" si="2"/>
        <v>1145.7700000000004</v>
      </c>
      <c r="G8" s="85">
        <f t="shared" si="2"/>
        <v>1681.2200000000003</v>
      </c>
      <c r="H8" s="85">
        <f t="shared" si="2"/>
        <v>977.81999999999971</v>
      </c>
      <c r="I8" s="85">
        <f t="shared" si="2"/>
        <v>308.3100000000004</v>
      </c>
      <c r="J8" s="85">
        <f t="shared" si="2"/>
        <v>238.0600000000004</v>
      </c>
      <c r="K8" s="85">
        <f t="shared" si="2"/>
        <v>312.14000000000033</v>
      </c>
      <c r="L8" s="85">
        <f t="shared" si="2"/>
        <v>307.5600000000004</v>
      </c>
      <c r="M8" s="85">
        <f t="shared" si="2"/>
        <v>622.1899999999996</v>
      </c>
      <c r="N8" s="85">
        <f t="shared" si="2"/>
        <v>472.48000000000047</v>
      </c>
      <c r="O8" s="85">
        <f t="shared" si="2"/>
        <v>472.51999999999953</v>
      </c>
      <c r="P8" s="11"/>
      <c r="Q8" s="40" t="s">
        <v>16</v>
      </c>
      <c r="R8" s="45"/>
      <c r="S8" s="45"/>
      <c r="T8" s="45"/>
      <c r="U8" s="46" t="s">
        <v>5</v>
      </c>
      <c r="V8" s="18"/>
      <c r="W8" s="18"/>
      <c r="X8" s="18"/>
      <c r="Y8" s="18"/>
      <c r="Z8" s="18"/>
      <c r="AA8" s="18"/>
    </row>
    <row r="9" spans="1:30" ht="33.75" x14ac:dyDescent="0.25">
      <c r="A9" s="6" t="s">
        <v>24</v>
      </c>
      <c r="B9" s="7"/>
      <c r="C9" s="7"/>
      <c r="D9" s="88"/>
      <c r="E9" s="85"/>
      <c r="F9" s="85">
        <v>1891.68</v>
      </c>
      <c r="G9" s="85">
        <v>1916.53</v>
      </c>
      <c r="H9" s="85">
        <v>3018.66</v>
      </c>
      <c r="I9" s="85">
        <v>845.08</v>
      </c>
      <c r="J9" s="85">
        <v>938.74</v>
      </c>
      <c r="K9" s="85">
        <v>1431.17</v>
      </c>
      <c r="L9" s="85">
        <v>1652.49</v>
      </c>
      <c r="M9" s="11">
        <v>1713.71</v>
      </c>
      <c r="N9" s="11">
        <v>1883.8</v>
      </c>
      <c r="O9" s="11">
        <v>1991.53</v>
      </c>
      <c r="P9" s="11"/>
      <c r="Q9" s="49" t="s">
        <v>93</v>
      </c>
      <c r="R9" s="45"/>
      <c r="S9" s="93" t="e">
        <f>D14/(D11-D9)</f>
        <v>#DIV/0!</v>
      </c>
      <c r="T9" s="93" t="e">
        <f>E14/(E11-E9)</f>
        <v>#DIV/0!</v>
      </c>
      <c r="U9" s="93">
        <f>F14/(F11-F9)</f>
        <v>0.45887172297076007</v>
      </c>
      <c r="V9" s="93">
        <f>G14/(G11-G9)</f>
        <v>0.42529200608070988</v>
      </c>
      <c r="W9" s="93">
        <f>H14/(H11-H9)</f>
        <v>0.38618413562084647</v>
      </c>
      <c r="X9" s="93"/>
      <c r="Y9" s="93"/>
      <c r="Z9" s="93"/>
      <c r="AA9" s="93"/>
      <c r="AB9" s="93">
        <f>M14/(M11-M9)</f>
        <v>0.31850106913424192</v>
      </c>
    </row>
    <row r="10" spans="1:30" ht="22.5" x14ac:dyDescent="0.25">
      <c r="A10" s="6" t="s">
        <v>53</v>
      </c>
      <c r="B10" s="10">
        <f t="shared" ref="B10:J10" si="3">B6-B9</f>
        <v>0</v>
      </c>
      <c r="C10" s="10">
        <f t="shared" si="3"/>
        <v>0</v>
      </c>
      <c r="D10" s="89">
        <f t="shared" si="3"/>
        <v>0</v>
      </c>
      <c r="E10" s="89">
        <f t="shared" si="3"/>
        <v>0</v>
      </c>
      <c r="F10" s="89">
        <f t="shared" si="3"/>
        <v>4503.0199999999995</v>
      </c>
      <c r="G10" s="89">
        <f t="shared" si="3"/>
        <v>5364.01</v>
      </c>
      <c r="H10" s="89">
        <f>H6-H9</f>
        <v>12372.34</v>
      </c>
      <c r="I10" s="89">
        <f t="shared" si="3"/>
        <v>4094.29</v>
      </c>
      <c r="J10" s="89">
        <f t="shared" si="3"/>
        <v>5038.42</v>
      </c>
      <c r="K10" s="89">
        <f>K6-K9</f>
        <v>5463.16</v>
      </c>
      <c r="L10" s="89">
        <f>L6-L9</f>
        <v>5838.37</v>
      </c>
      <c r="M10" s="89">
        <f>M6-M9</f>
        <v>5817.6</v>
      </c>
      <c r="N10" s="89">
        <f>N6-N9</f>
        <v>6284.91</v>
      </c>
      <c r="O10" s="89">
        <f>O6-O9</f>
        <v>5436.43</v>
      </c>
      <c r="P10" s="11"/>
      <c r="Q10" s="42" t="s">
        <v>92</v>
      </c>
      <c r="R10" s="43"/>
      <c r="S10" s="44" t="e">
        <f t="shared" ref="S10:AB10" si="4">D14/D11</f>
        <v>#DIV/0!</v>
      </c>
      <c r="T10" s="44" t="e">
        <f t="shared" si="4"/>
        <v>#DIV/0!</v>
      </c>
      <c r="U10" s="44">
        <f t="shared" si="4"/>
        <v>0.34375443440528236</v>
      </c>
      <c r="V10" s="44">
        <f t="shared" si="4"/>
        <v>0.33434057595829386</v>
      </c>
      <c r="W10" s="44">
        <f t="shared" si="4"/>
        <v>0.31496589247117385</v>
      </c>
      <c r="X10" s="44">
        <f t="shared" si="4"/>
        <v>0.29657486736996153</v>
      </c>
      <c r="Y10" s="44">
        <f t="shared" si="4"/>
        <v>0.27270152947120135</v>
      </c>
      <c r="Z10" s="44">
        <f t="shared" si="4"/>
        <v>0.27398296253227999</v>
      </c>
      <c r="AA10" s="44">
        <f t="shared" si="4"/>
        <v>0.25253961699934091</v>
      </c>
      <c r="AB10" s="44">
        <f t="shared" si="4"/>
        <v>0.2515582265284847</v>
      </c>
    </row>
    <row r="11" spans="1:30" ht="22.5" x14ac:dyDescent="0.25">
      <c r="A11" s="6" t="s">
        <v>1</v>
      </c>
      <c r="B11" s="10">
        <f>B5-B9</f>
        <v>0</v>
      </c>
      <c r="C11" s="10">
        <f t="shared" ref="C11:J11" si="5">SUM(C6:C8)</f>
        <v>0</v>
      </c>
      <c r="D11" s="89">
        <f t="shared" si="5"/>
        <v>0</v>
      </c>
      <c r="E11" s="89">
        <f t="shared" si="5"/>
        <v>0</v>
      </c>
      <c r="F11" s="89">
        <f>SUM(F6:F8)</f>
        <v>7540.47</v>
      </c>
      <c r="G11" s="89">
        <f>SUM(G6:G8)</f>
        <v>8961.76</v>
      </c>
      <c r="H11" s="89">
        <f>SUM(H6:H8)</f>
        <v>16368.82</v>
      </c>
      <c r="I11" s="89">
        <f t="shared" si="5"/>
        <v>5247.68</v>
      </c>
      <c r="J11" s="89">
        <f t="shared" si="5"/>
        <v>6215.22</v>
      </c>
      <c r="K11" s="89">
        <f>SUM(K6:K8)</f>
        <v>7206.47</v>
      </c>
      <c r="L11" s="89">
        <f>SUM(L6:L8)</f>
        <v>7798.42</v>
      </c>
      <c r="M11" s="89">
        <f>SUM(M6:M8)</f>
        <v>8153.5</v>
      </c>
      <c r="N11" s="89">
        <f>SUM(N6:N8)</f>
        <v>8641.19</v>
      </c>
      <c r="O11" s="89">
        <f>SUM(O6:O8)</f>
        <v>7900.48</v>
      </c>
      <c r="P11" s="11"/>
      <c r="Q11" s="42" t="s">
        <v>17</v>
      </c>
      <c r="R11" s="43"/>
      <c r="S11" s="44" t="e">
        <f>D14/AVERAGE(C22:D22)</f>
        <v>#DIV/0!</v>
      </c>
      <c r="T11" s="44" t="e">
        <f>E14/AVERAGE(D22:E22)</f>
        <v>#DIV/0!</v>
      </c>
      <c r="U11" s="44">
        <f>F14/AVERAGE(E22:F22)</f>
        <v>4.6417879283106672E-2</v>
      </c>
      <c r="V11" s="44">
        <f>G14/AVERAGE(F22:G22)</f>
        <v>4.8501377085386578E-2</v>
      </c>
      <c r="W11" s="44">
        <f>H14/AVERAGE(G22:H22)</f>
        <v>6.7386744575807025E-2</v>
      </c>
      <c r="X11" s="18"/>
      <c r="Y11" s="18"/>
      <c r="Z11" s="18"/>
      <c r="AA11" s="18"/>
    </row>
    <row r="12" spans="1:30" x14ac:dyDescent="0.25">
      <c r="A12" s="6" t="s">
        <v>91</v>
      </c>
      <c r="B12" s="10"/>
      <c r="C12" s="10"/>
      <c r="D12" s="89"/>
      <c r="E12" s="89"/>
      <c r="F12" s="89">
        <v>104.04</v>
      </c>
      <c r="G12" s="89">
        <v>144.51</v>
      </c>
      <c r="H12" s="89">
        <v>196.24</v>
      </c>
      <c r="I12" s="89">
        <v>20.75</v>
      </c>
      <c r="J12" s="89">
        <v>35.54</v>
      </c>
      <c r="K12" s="89">
        <v>40.729999999999997</v>
      </c>
      <c r="L12" s="89">
        <v>122.48</v>
      </c>
      <c r="M12" s="89">
        <v>89.24</v>
      </c>
      <c r="N12" s="440">
        <v>-10.220000000000001</v>
      </c>
      <c r="O12" s="440">
        <v>38.44</v>
      </c>
      <c r="P12" s="11"/>
      <c r="Q12" s="40" t="s">
        <v>18</v>
      </c>
      <c r="R12" s="45"/>
      <c r="S12" s="45"/>
      <c r="T12" s="45"/>
      <c r="U12" s="46" t="s">
        <v>5</v>
      </c>
      <c r="V12" s="18"/>
      <c r="W12" s="18"/>
      <c r="X12" s="18"/>
      <c r="Y12" s="18"/>
      <c r="Z12" s="53"/>
      <c r="AA12" s="54"/>
    </row>
    <row r="13" spans="1:30" x14ac:dyDescent="0.25">
      <c r="A13" s="6" t="s">
        <v>25</v>
      </c>
      <c r="B13" s="7"/>
      <c r="C13" s="7"/>
      <c r="D13" s="88">
        <f t="shared" ref="D13:O13" si="6">D11+D12</f>
        <v>0</v>
      </c>
      <c r="E13" s="88">
        <f t="shared" si="6"/>
        <v>0</v>
      </c>
      <c r="F13" s="88">
        <f t="shared" si="6"/>
        <v>7644.51</v>
      </c>
      <c r="G13" s="88">
        <f t="shared" si="6"/>
        <v>9106.27</v>
      </c>
      <c r="H13" s="88">
        <f t="shared" si="6"/>
        <v>16565.060000000001</v>
      </c>
      <c r="I13" s="88">
        <f t="shared" si="6"/>
        <v>5268.43</v>
      </c>
      <c r="J13" s="88">
        <f t="shared" si="6"/>
        <v>6250.76</v>
      </c>
      <c r="K13" s="88">
        <f t="shared" si="6"/>
        <v>7247.2</v>
      </c>
      <c r="L13" s="88">
        <f t="shared" si="6"/>
        <v>7920.9</v>
      </c>
      <c r="M13" s="88">
        <f t="shared" si="6"/>
        <v>8242.74</v>
      </c>
      <c r="N13" s="88">
        <f t="shared" si="6"/>
        <v>8630.9700000000012</v>
      </c>
      <c r="O13" s="88">
        <f t="shared" si="6"/>
        <v>7938.9199999999992</v>
      </c>
      <c r="P13" s="11"/>
      <c r="Q13" s="42" t="s">
        <v>19</v>
      </c>
      <c r="R13" s="43"/>
      <c r="S13" s="44" t="e">
        <f>D24/D23</f>
        <v>#DIV/0!</v>
      </c>
      <c r="T13" s="44" t="e">
        <f>E24/E23</f>
        <v>#DIV/0!</v>
      </c>
      <c r="U13" s="44">
        <f>F24/F23</f>
        <v>4.2979812923835008E-2</v>
      </c>
      <c r="V13" s="44">
        <f>G24/G23</f>
        <v>2.3969321192510801E-2</v>
      </c>
      <c r="W13" s="44">
        <f>H24/H23</f>
        <v>3.7960307121790125E-3</v>
      </c>
      <c r="X13" s="48">
        <v>3.6999999999999998E-2</v>
      </c>
      <c r="Y13" s="48">
        <v>3.9300000000000002E-2</v>
      </c>
      <c r="Z13" s="48">
        <v>2.6200000000000001E-2</v>
      </c>
      <c r="AA13" s="48">
        <v>2.6100000000000002E-2</v>
      </c>
      <c r="AB13" s="80">
        <v>2.5700000000000001E-2</v>
      </c>
      <c r="AC13" s="80">
        <v>2.5999999999999999E-2</v>
      </c>
      <c r="AD13" s="80">
        <v>3.2899999999999999E-2</v>
      </c>
    </row>
    <row r="14" spans="1:30" x14ac:dyDescent="0.25">
      <c r="A14" s="6" t="s">
        <v>26</v>
      </c>
      <c r="B14" s="7"/>
      <c r="C14" s="7"/>
      <c r="D14" s="85"/>
      <c r="E14" s="85"/>
      <c r="F14" s="85">
        <f>903.63+698.99+79.07+910.38</f>
        <v>2592.0699999999997</v>
      </c>
      <c r="G14" s="85">
        <f>671.05+839.86+98.68+1386.69</f>
        <v>2996.2799999999997</v>
      </c>
      <c r="H14" s="85">
        <f>1329.74+1235.22+108.2+2482.46</f>
        <v>5155.62</v>
      </c>
      <c r="I14" s="85">
        <f>377.83+417.01+25.8+735.69</f>
        <v>1556.33</v>
      </c>
      <c r="J14" s="85">
        <f>360.24+410.97+27.94+895.75</f>
        <v>1694.9</v>
      </c>
      <c r="K14" s="85">
        <f>419.04+448.07+31.06+1076.28</f>
        <v>1974.4499999999998</v>
      </c>
      <c r="L14" s="85">
        <f>426.89+357.99+31.6+1152.93</f>
        <v>1969.41</v>
      </c>
      <c r="M14" s="11">
        <f>322.57+534.54+30.58+1163.39</f>
        <v>2051.08</v>
      </c>
      <c r="N14" s="11">
        <f>595.65+497.94+42.23+1318.9</f>
        <v>2454.7200000000003</v>
      </c>
      <c r="O14" s="11">
        <f>703.41+512.26+42.14+1153.76</f>
        <v>2411.5700000000002</v>
      </c>
      <c r="P14" s="11"/>
      <c r="Q14" s="42" t="s">
        <v>20</v>
      </c>
      <c r="R14" s="43"/>
      <c r="S14" s="44" t="e">
        <f>D25/D23</f>
        <v>#DIV/0!</v>
      </c>
      <c r="T14" s="44" t="e">
        <f>E25/E23</f>
        <v>#DIV/0!</v>
      </c>
      <c r="U14" s="44">
        <f>F25/F23</f>
        <v>1.6180457847476768E-2</v>
      </c>
      <c r="V14" s="44">
        <f>G25/G23</f>
        <v>3.3262893478990074E-3</v>
      </c>
      <c r="W14" s="44">
        <f>H25/H23</f>
        <v>1.544754322626001E-3</v>
      </c>
      <c r="X14" s="48">
        <v>1.8800000000000001E-2</v>
      </c>
      <c r="Y14" s="48">
        <v>1.9599999999999999E-2</v>
      </c>
      <c r="Z14" s="48">
        <v>1.52E-2</v>
      </c>
      <c r="AA14" s="48">
        <v>1.5800000000000002E-2</v>
      </c>
      <c r="AB14" s="80">
        <v>1.5599999999999999E-2</v>
      </c>
      <c r="AC14" s="80">
        <v>1.4800000000000001E-2</v>
      </c>
      <c r="AD14" s="80">
        <v>1.83E-2</v>
      </c>
    </row>
    <row r="15" spans="1:30" x14ac:dyDescent="0.25">
      <c r="A15" s="6" t="s">
        <v>54</v>
      </c>
      <c r="B15" s="10"/>
      <c r="C15" s="10"/>
      <c r="D15" s="89">
        <f t="shared" ref="D15:J15" si="7">D11-D14</f>
        <v>0</v>
      </c>
      <c r="E15" s="89">
        <f t="shared" si="7"/>
        <v>0</v>
      </c>
      <c r="F15" s="89">
        <f t="shared" si="7"/>
        <v>4948.4000000000005</v>
      </c>
      <c r="G15" s="89">
        <f t="shared" si="7"/>
        <v>5965.4800000000005</v>
      </c>
      <c r="H15" s="89">
        <f>H11-H14</f>
        <v>11213.2</v>
      </c>
      <c r="I15" s="89">
        <f t="shared" si="7"/>
        <v>3691.3500000000004</v>
      </c>
      <c r="J15" s="89">
        <f t="shared" si="7"/>
        <v>4520.32</v>
      </c>
      <c r="K15" s="89">
        <f>K11-K14</f>
        <v>5232.0200000000004</v>
      </c>
      <c r="L15" s="89">
        <f>L11-L14</f>
        <v>5829.01</v>
      </c>
      <c r="M15" s="89">
        <f>M11-M14</f>
        <v>6102.42</v>
      </c>
      <c r="N15" s="89">
        <f>N11-N14</f>
        <v>6186.47</v>
      </c>
      <c r="O15" s="89">
        <f>O11-O14</f>
        <v>5488.91</v>
      </c>
      <c r="P15" s="11"/>
      <c r="Q15" s="42" t="s">
        <v>21</v>
      </c>
      <c r="R15" s="43"/>
      <c r="S15" s="44" t="e">
        <f t="shared" ref="S15:AA15" si="8">(S13-S14)/S13</f>
        <v>#DIV/0!</v>
      </c>
      <c r="T15" s="44" t="e">
        <f t="shared" si="8"/>
        <v>#DIV/0!</v>
      </c>
      <c r="U15" s="44">
        <f t="shared" si="8"/>
        <v>0.62353354408148931</v>
      </c>
      <c r="V15" s="44">
        <f t="shared" si="8"/>
        <v>0.86122721952850689</v>
      </c>
      <c r="W15" s="44">
        <f>(W13-W14)/W13</f>
        <v>0.5930606362930938</v>
      </c>
      <c r="X15" s="44">
        <f t="shared" si="8"/>
        <v>0.49189189189189186</v>
      </c>
      <c r="Y15" s="44">
        <f t="shared" si="8"/>
        <v>0.50127226463104324</v>
      </c>
      <c r="Z15" s="44">
        <f t="shared" si="8"/>
        <v>0.41984732824427484</v>
      </c>
      <c r="AA15" s="44">
        <f t="shared" si="8"/>
        <v>0.3946360153256705</v>
      </c>
    </row>
    <row r="16" spans="1:30" x14ac:dyDescent="0.25">
      <c r="A16" s="6" t="s">
        <v>94</v>
      </c>
      <c r="B16" s="10"/>
      <c r="C16" s="10"/>
      <c r="D16" s="89">
        <f t="shared" ref="D16:J16" si="9">D13-D14-D9</f>
        <v>0</v>
      </c>
      <c r="E16" s="89">
        <f t="shared" si="9"/>
        <v>0</v>
      </c>
      <c r="F16" s="89">
        <f t="shared" si="9"/>
        <v>3160.76</v>
      </c>
      <c r="G16" s="89">
        <f t="shared" si="9"/>
        <v>4193.4600000000009</v>
      </c>
      <c r="H16" s="89">
        <f>H13-H14-H9</f>
        <v>8390.7800000000025</v>
      </c>
      <c r="I16" s="89">
        <f t="shared" si="9"/>
        <v>2867.0200000000004</v>
      </c>
      <c r="J16" s="89">
        <f t="shared" si="9"/>
        <v>3617.1200000000008</v>
      </c>
      <c r="K16" s="89">
        <f>K13-K14-K9</f>
        <v>3841.58</v>
      </c>
      <c r="L16" s="89">
        <f>L13-L14-L9</f>
        <v>4299</v>
      </c>
      <c r="M16" s="89">
        <f>M13-M14-M9</f>
        <v>4477.95</v>
      </c>
      <c r="N16" s="89">
        <f>N13-N14-N9</f>
        <v>4292.4500000000007</v>
      </c>
      <c r="O16" s="89">
        <f>O13-O14-O9</f>
        <v>3535.8199999999988</v>
      </c>
      <c r="P16" s="11"/>
      <c r="Q16" s="42" t="s">
        <v>22</v>
      </c>
      <c r="R16" s="43"/>
      <c r="S16" s="44" t="e">
        <f>D17/AVERAGE(C23:D23)</f>
        <v>#DIV/0!</v>
      </c>
      <c r="T16" s="44" t="e">
        <f>E17/AVERAGE(D23:E23)</f>
        <v>#DIV/0!</v>
      </c>
      <c r="U16" s="44">
        <f>F17/AVERAGE(E23:F23)</f>
        <v>8.6012161762308206E-2</v>
      </c>
      <c r="V16" s="44">
        <f>G17/AVERAGE(F23:G23)</f>
        <v>8.2189771210490828E-2</v>
      </c>
      <c r="W16" s="44">
        <f>H17/AVERAGE(G23:H23)</f>
        <v>6.6208822149806487E-2</v>
      </c>
      <c r="X16" s="44">
        <f>I17/AVERAGE(G23:I23)</f>
        <v>2.5042255113209049E-2</v>
      </c>
      <c r="Y16" s="44">
        <f>J17/AVERAGE(I23:J23)</f>
        <v>2.0709674546992563E-2</v>
      </c>
      <c r="Z16" s="44">
        <f>K17/AVERAGE(J23:K23)</f>
        <v>2.5271161371067875E-2</v>
      </c>
      <c r="AA16" s="44">
        <f>L17/AVERAGE(K23:L23)</f>
        <v>2.5193628261434207E-2</v>
      </c>
      <c r="AB16" s="44">
        <f>M17/AVERAGE(G23:M23)</f>
        <v>4.0312906799370392E-2</v>
      </c>
      <c r="AC16" s="44">
        <f t="shared" ref="AC16:AD16" si="10">N17/AVERAGE(H23:N23)</f>
        <v>3.3251631577103535E-2</v>
      </c>
      <c r="AD16" s="44">
        <f t="shared" si="10"/>
        <v>3.6588359019563248E-2</v>
      </c>
    </row>
    <row r="17" spans="1:28" x14ac:dyDescent="0.25">
      <c r="A17" s="6" t="s">
        <v>27</v>
      </c>
      <c r="B17" s="7"/>
      <c r="C17" s="7"/>
      <c r="D17" s="88"/>
      <c r="E17" s="85"/>
      <c r="F17" s="85">
        <v>2848.74</v>
      </c>
      <c r="G17" s="85">
        <v>3411.93</v>
      </c>
      <c r="H17" s="85">
        <v>4012.2</v>
      </c>
      <c r="I17" s="85">
        <v>1517.54</v>
      </c>
      <c r="J17" s="85">
        <v>2093.2199999999998</v>
      </c>
      <c r="K17" s="85">
        <v>2554.27</v>
      </c>
      <c r="L17" s="85">
        <v>2983.63</v>
      </c>
      <c r="M17" s="11">
        <v>3433.66</v>
      </c>
      <c r="N17" s="11">
        <v>3483.41</v>
      </c>
      <c r="O17" s="11">
        <v>4241.12</v>
      </c>
      <c r="P17" s="11"/>
      <c r="Q17" s="18"/>
      <c r="R17" s="18"/>
      <c r="S17" s="18"/>
      <c r="T17" s="18"/>
      <c r="U17" s="18"/>
      <c r="V17" s="18"/>
      <c r="W17" s="18"/>
      <c r="X17" s="18"/>
      <c r="Y17" s="18"/>
      <c r="Z17" s="18"/>
      <c r="AA17" s="18"/>
    </row>
    <row r="18" spans="1:28" x14ac:dyDescent="0.25">
      <c r="A18" s="6" t="s">
        <v>55</v>
      </c>
      <c r="B18" s="7"/>
      <c r="C18" s="7"/>
      <c r="D18" s="88"/>
      <c r="E18" s="85"/>
      <c r="F18" s="89">
        <v>223.08</v>
      </c>
      <c r="G18" s="89">
        <v>577.79999999999995</v>
      </c>
      <c r="H18" s="89">
        <v>3240.16</v>
      </c>
      <c r="I18" s="89">
        <v>1007.54</v>
      </c>
      <c r="J18" s="89">
        <v>1132.57</v>
      </c>
      <c r="K18" s="89">
        <v>964.37</v>
      </c>
      <c r="L18" s="89">
        <v>1061.9000000000001</v>
      </c>
      <c r="M18" s="11">
        <v>777</v>
      </c>
      <c r="N18" s="11">
        <v>600.96</v>
      </c>
      <c r="O18" s="11">
        <v>-519.33000000000004</v>
      </c>
      <c r="P18" s="11"/>
      <c r="Q18" s="40" t="s">
        <v>30</v>
      </c>
      <c r="R18" s="45"/>
      <c r="S18" s="45"/>
      <c r="T18" s="45"/>
      <c r="U18" s="46" t="s">
        <v>5</v>
      </c>
      <c r="V18" s="18"/>
      <c r="W18" s="18"/>
      <c r="X18" s="18"/>
      <c r="Y18" s="18"/>
      <c r="Z18" s="18"/>
      <c r="AA18" s="18"/>
    </row>
    <row r="19" spans="1:28" ht="22.5" x14ac:dyDescent="0.25">
      <c r="A19" s="6" t="s">
        <v>28</v>
      </c>
      <c r="B19" s="7"/>
      <c r="C19" s="7"/>
      <c r="D19" s="88"/>
      <c r="E19" s="85"/>
      <c r="F19" s="85">
        <f>6436.58+28417.32</f>
        <v>34853.9</v>
      </c>
      <c r="G19" s="85">
        <f>6567+31913.87</f>
        <v>38480.869999999995</v>
      </c>
      <c r="H19" s="85">
        <f>42061.17-1127.16</f>
        <v>40934.009999999995</v>
      </c>
      <c r="I19" s="85"/>
      <c r="J19" s="85">
        <v>65981.55</v>
      </c>
      <c r="K19" s="85"/>
      <c r="L19" s="85">
        <f>68159.28-2043</f>
        <v>66116.28</v>
      </c>
      <c r="M19" s="85"/>
      <c r="N19" s="439">
        <f>69673.76-2462.44-33.02</f>
        <v>67178.299999999988</v>
      </c>
      <c r="O19" s="439"/>
      <c r="P19" s="11"/>
      <c r="Q19" s="46" t="s">
        <v>95</v>
      </c>
      <c r="R19" s="51"/>
      <c r="S19" s="51"/>
      <c r="T19" s="52" t="e">
        <f>E16/AVERAGE(D22:E22)</f>
        <v>#DIV/0!</v>
      </c>
      <c r="U19" s="52">
        <f>F16/AVERAGE(E22:F22)</f>
        <v>5.6601780091923549E-2</v>
      </c>
      <c r="V19" s="52">
        <f>G16/AVERAGE(F22:G22)</f>
        <v>6.7880366572044423E-2</v>
      </c>
      <c r="W19" s="52">
        <f>H16/AVERAGE(G22:H22)</f>
        <v>0.10967203724320067</v>
      </c>
      <c r="X19" s="18"/>
      <c r="Y19" s="18"/>
      <c r="Z19" s="18"/>
      <c r="AA19" s="18"/>
    </row>
    <row r="20" spans="1:28" x14ac:dyDescent="0.25">
      <c r="A20" s="6" t="s">
        <v>56</v>
      </c>
      <c r="B20" s="7"/>
      <c r="C20" s="7"/>
      <c r="D20" s="88">
        <f t="shared" ref="D20:L20" si="11">D19-D71</f>
        <v>0</v>
      </c>
      <c r="E20" s="89">
        <f t="shared" si="11"/>
        <v>0</v>
      </c>
      <c r="F20" s="89">
        <f t="shared" si="11"/>
        <v>34853.9</v>
      </c>
      <c r="G20" s="89">
        <f t="shared" si="11"/>
        <v>38480.869999999995</v>
      </c>
      <c r="H20" s="89">
        <f t="shared" si="11"/>
        <v>40934.009999999995</v>
      </c>
      <c r="I20" s="89">
        <f t="shared" si="11"/>
        <v>0</v>
      </c>
      <c r="J20" s="89">
        <f>J19-J71</f>
        <v>65981.55</v>
      </c>
      <c r="K20" s="89">
        <f t="shared" si="11"/>
        <v>0</v>
      </c>
      <c r="L20" s="89">
        <f t="shared" si="11"/>
        <v>66116.28</v>
      </c>
      <c r="M20" s="89">
        <f>M19-M71</f>
        <v>0</v>
      </c>
      <c r="N20" s="89">
        <f>N19-N71</f>
        <v>67178.299999999988</v>
      </c>
      <c r="O20" s="440"/>
      <c r="P20" s="11"/>
      <c r="Q20" s="42" t="s">
        <v>31</v>
      </c>
      <c r="R20" s="43"/>
      <c r="S20" s="43">
        <v>4.4699999999999997E-2</v>
      </c>
      <c r="T20" s="44" t="e">
        <f>E18/AVERAGE(D22:E22)</f>
        <v>#DIV/0!</v>
      </c>
      <c r="U20" s="44">
        <f>F18/AVERAGE(E22:F22)</f>
        <v>3.994838299303429E-3</v>
      </c>
      <c r="V20" s="44">
        <f>G18/AVERAGE(F22:G22)</f>
        <v>9.3529629006422511E-3</v>
      </c>
      <c r="W20" s="44">
        <f>H18/AVERAGE(G22:H22)</f>
        <v>4.2350645374319068E-2</v>
      </c>
      <c r="X20" s="44">
        <f>I18/AVERAGE(G22:I22)</f>
        <v>1.31690932671354E-2</v>
      </c>
      <c r="Y20" s="44">
        <f>J18/AVERAGE(I22:J22)</f>
        <v>9.456650678887105E-3</v>
      </c>
      <c r="Z20" s="44">
        <f>K18/AVERAGE(J22:K22)</f>
        <v>8.0522265424639167E-3</v>
      </c>
      <c r="AA20" s="44">
        <f>L18/AVERAGE(K22:L22)</f>
        <v>7.5723374291746864E-3</v>
      </c>
      <c r="AB20" s="44">
        <f>M18/AVERAGE(G22:M22)</f>
        <v>7.5251622613112601E-3</v>
      </c>
    </row>
    <row r="21" spans="1:28" x14ac:dyDescent="0.25">
      <c r="A21" s="6" t="s">
        <v>57</v>
      </c>
      <c r="B21" s="9"/>
      <c r="C21" s="9"/>
      <c r="D21" s="85"/>
      <c r="E21" s="85"/>
      <c r="F21" s="85">
        <f>18551.69+1181.19</f>
        <v>19732.879999999997</v>
      </c>
      <c r="G21" s="85">
        <f>18552.27+8965.53</f>
        <v>27517.800000000003</v>
      </c>
      <c r="H21" s="85">
        <f>16837.91+23888.51</f>
        <v>40726.42</v>
      </c>
      <c r="I21" s="85"/>
      <c r="J21" s="85">
        <f>13145.43+37195.54</f>
        <v>50340.97</v>
      </c>
      <c r="K21" s="85"/>
      <c r="L21" s="85">
        <f>8862.16+59509.28</f>
        <v>68371.44</v>
      </c>
      <c r="M21" s="85"/>
      <c r="N21" s="439">
        <f>12965.68+68994.01</f>
        <v>81959.69</v>
      </c>
      <c r="O21" s="439"/>
      <c r="P21" s="11"/>
      <c r="Q21" s="42" t="s">
        <v>32</v>
      </c>
      <c r="R21" s="43"/>
      <c r="S21" s="44" t="e">
        <f>D18/AVERAGE(C19:D19)</f>
        <v>#DIV/0!</v>
      </c>
      <c r="T21" s="44" t="e">
        <f>E18/AVERAGE(D19:E19)</f>
        <v>#DIV/0!</v>
      </c>
      <c r="U21" s="44">
        <f>F18/AVERAGE(E19:F19)</f>
        <v>6.400431515554931E-3</v>
      </c>
      <c r="V21" s="44">
        <f>G18/AVERAGE(F19:G19)</f>
        <v>1.5757873107122313E-2</v>
      </c>
      <c r="W21" s="44">
        <f>H18/AVERAGE(G19:H19)</f>
        <v>8.160082845935171E-2</v>
      </c>
      <c r="X21" s="18"/>
      <c r="Y21" s="18"/>
      <c r="Z21" s="18"/>
      <c r="AA21" s="18"/>
    </row>
    <row r="22" spans="1:28" x14ac:dyDescent="0.25">
      <c r="A22" s="6" t="s">
        <v>29</v>
      </c>
      <c r="B22" s="7"/>
      <c r="C22" s="7"/>
      <c r="D22" s="88"/>
      <c r="E22" s="85"/>
      <c r="F22" s="85">
        <v>55842.06</v>
      </c>
      <c r="G22" s="85">
        <v>67712.37</v>
      </c>
      <c r="H22" s="85">
        <v>85303.48</v>
      </c>
      <c r="I22" s="85"/>
      <c r="J22" s="85">
        <v>119764.39</v>
      </c>
      <c r="K22" s="85"/>
      <c r="L22" s="85">
        <v>140234.10999999999</v>
      </c>
      <c r="M22" s="85"/>
      <c r="N22" s="439">
        <v>156153.51</v>
      </c>
      <c r="O22" s="439"/>
      <c r="P22" s="11"/>
      <c r="Q22" s="40" t="s">
        <v>33</v>
      </c>
      <c r="R22" s="45"/>
      <c r="S22" s="45"/>
      <c r="T22" s="45"/>
      <c r="U22" s="46" t="s">
        <v>5</v>
      </c>
      <c r="V22" s="18"/>
      <c r="W22" s="18"/>
      <c r="X22" s="18"/>
      <c r="Y22" s="18"/>
      <c r="Z22" s="18"/>
      <c r="AA22" s="18"/>
    </row>
    <row r="23" spans="1:28" x14ac:dyDescent="0.25">
      <c r="A23" s="6" t="s">
        <v>58</v>
      </c>
      <c r="B23" s="7"/>
      <c r="C23" s="7"/>
      <c r="D23" s="88"/>
      <c r="E23" s="85"/>
      <c r="F23" s="85">
        <v>33120.199999999997</v>
      </c>
      <c r="G23" s="85">
        <v>49905.46</v>
      </c>
      <c r="H23" s="85">
        <v>71292.89</v>
      </c>
      <c r="I23" s="85"/>
      <c r="J23" s="85">
        <v>101074.5</v>
      </c>
      <c r="K23" s="85"/>
      <c r="L23" s="85">
        <v>118427.96</v>
      </c>
      <c r="M23" s="85"/>
      <c r="N23" s="439">
        <v>128240.93</v>
      </c>
      <c r="O23" s="439"/>
      <c r="P23" s="11"/>
      <c r="Q23" s="42" t="s">
        <v>34</v>
      </c>
      <c r="R23" s="43"/>
      <c r="S23" s="44" t="e">
        <f>D6/AVERAGE(C23:D23)</f>
        <v>#DIV/0!</v>
      </c>
      <c r="T23" s="44" t="e">
        <f>E6/AVERAGE(D23:E23)</f>
        <v>#DIV/0!</v>
      </c>
      <c r="U23" s="44">
        <f>F6/AVERAGE(E23:F23)</f>
        <v>0.19307552490625057</v>
      </c>
      <c r="V23" s="44">
        <f>G6/AVERAGE(F23:G23)</f>
        <v>0.17538047875801288</v>
      </c>
      <c r="W23" s="44">
        <f>H6/AVERAGE(G23:H23)</f>
        <v>0.25398035534312141</v>
      </c>
      <c r="X23" s="44">
        <f>I6/AVERAGE(G23:I23)</f>
        <v>8.1508865425973201E-2</v>
      </c>
      <c r="Y23" s="44">
        <f>J6/AVERAGE(I23:J23)</f>
        <v>5.9136181727339733E-2</v>
      </c>
      <c r="Z23" s="44">
        <f>K6/AVERAGE(J23:K23)</f>
        <v>6.8210379472567265E-2</v>
      </c>
      <c r="AA23" s="44">
        <f>L6/AVERAGE(K23:L23)</f>
        <v>6.3252461665302684E-2</v>
      </c>
      <c r="AB23" s="44">
        <f>M6/AVERAGE(G23:M23)</f>
        <v>8.8421392364755463E-2</v>
      </c>
    </row>
    <row r="24" spans="1:28" x14ac:dyDescent="0.25">
      <c r="A24" s="6" t="s">
        <v>59</v>
      </c>
      <c r="B24" s="10"/>
      <c r="C24" s="10"/>
      <c r="D24" s="89"/>
      <c r="E24" s="89"/>
      <c r="F24" s="89">
        <v>1423.5</v>
      </c>
      <c r="G24" s="89">
        <v>1196.2</v>
      </c>
      <c r="H24" s="89">
        <v>270.63</v>
      </c>
      <c r="I24" s="89"/>
      <c r="J24" s="89"/>
      <c r="K24" s="89"/>
      <c r="L24" s="89"/>
      <c r="M24" s="11"/>
      <c r="N24" s="11"/>
      <c r="O24" s="11"/>
      <c r="P24" s="11"/>
      <c r="Q24" s="42" t="s">
        <v>35</v>
      </c>
      <c r="R24" s="43"/>
      <c r="S24" s="44" t="e">
        <f>D9/AVERAGE(C21:D21)</f>
        <v>#DIV/0!</v>
      </c>
      <c r="T24" s="44" t="e">
        <f>E9/AVERAGE(D21:E21)</f>
        <v>#DIV/0!</v>
      </c>
      <c r="U24" s="44">
        <f>F9/AVERAGE(E21:F21)</f>
        <v>9.5864364451615794E-2</v>
      </c>
      <c r="V24" s="44">
        <f>G9/AVERAGE(F21:G21)</f>
        <v>8.1121795495853175E-2</v>
      </c>
      <c r="W24" s="44">
        <f>H9/AVERAGE(G21:H21)</f>
        <v>8.8466393197841511E-2</v>
      </c>
      <c r="X24" s="44">
        <f>I9/AVERAGE(G21:I21)</f>
        <v>2.4766346512569124E-2</v>
      </c>
      <c r="Y24" s="44">
        <f>J9/AVERAGE(I21:J21)</f>
        <v>1.8647634322501137E-2</v>
      </c>
      <c r="Z24" s="44">
        <f>K9/AVERAGE(J21:K21)</f>
        <v>2.8429527678946194E-2</v>
      </c>
      <c r="AA24" s="44">
        <f>L9/AVERAGE(K21:L21)</f>
        <v>2.416930227007066E-2</v>
      </c>
      <c r="AB24" s="44">
        <f>M9/AVERAGE(G21:M21)</f>
        <v>3.6665402023988131E-2</v>
      </c>
    </row>
    <row r="25" spans="1:28" x14ac:dyDescent="0.25">
      <c r="A25" s="6" t="s">
        <v>60</v>
      </c>
      <c r="B25" s="10"/>
      <c r="C25" s="10"/>
      <c r="D25" s="89"/>
      <c r="E25" s="89"/>
      <c r="F25" s="89">
        <v>535.9</v>
      </c>
      <c r="G25" s="89">
        <v>166</v>
      </c>
      <c r="H25" s="89">
        <v>110.13</v>
      </c>
      <c r="I25" s="89"/>
      <c r="J25" s="89"/>
      <c r="K25" s="89"/>
      <c r="L25" s="89"/>
      <c r="M25" s="11"/>
      <c r="N25" s="11"/>
      <c r="O25" s="11"/>
      <c r="P25" s="11"/>
      <c r="Q25" s="42" t="s">
        <v>36</v>
      </c>
      <c r="R25" s="43"/>
      <c r="S25" s="48" t="e">
        <f t="shared" ref="S25:AB25" si="12">S23-S24</f>
        <v>#DIV/0!</v>
      </c>
      <c r="T25" s="48" t="e">
        <f t="shared" si="12"/>
        <v>#DIV/0!</v>
      </c>
      <c r="U25" s="48">
        <f t="shared" si="12"/>
        <v>9.7211160454634779E-2</v>
      </c>
      <c r="V25" s="48">
        <f t="shared" si="12"/>
        <v>9.4258683262159706E-2</v>
      </c>
      <c r="W25" s="48">
        <f>W23-W24</f>
        <v>0.16551396214527991</v>
      </c>
      <c r="X25" s="48">
        <f t="shared" si="12"/>
        <v>5.674251891340408E-2</v>
      </c>
      <c r="Y25" s="48">
        <f t="shared" si="12"/>
        <v>4.0488547404838593E-2</v>
      </c>
      <c r="Z25" s="48">
        <f t="shared" si="12"/>
        <v>3.9780851793621071E-2</v>
      </c>
      <c r="AA25" s="48">
        <f t="shared" si="12"/>
        <v>3.908315939523202E-2</v>
      </c>
      <c r="AB25" s="48">
        <f t="shared" si="12"/>
        <v>5.1755990340767333E-2</v>
      </c>
    </row>
  </sheetData>
  <mergeCells count="1">
    <mergeCell ref="J1:L1"/>
  </mergeCells>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A25"/>
  <sheetViews>
    <sheetView workbookViewId="0">
      <selection activeCell="AG6" sqref="AG6"/>
    </sheetView>
  </sheetViews>
  <sheetFormatPr defaultRowHeight="15" x14ac:dyDescent="0.25"/>
  <cols>
    <col min="1" max="1" width="34.42578125" customWidth="1"/>
    <col min="4" max="4" width="11.28515625" customWidth="1"/>
    <col min="5" max="5" width="11.42578125" customWidth="1"/>
    <col min="6" max="6" width="11.7109375" customWidth="1"/>
    <col min="7" max="8" width="10.42578125" customWidth="1"/>
    <col min="9" max="9" width="10.140625" bestFit="1" customWidth="1"/>
    <col min="10" max="10" width="10.140625" customWidth="1"/>
    <col min="11" max="12" width="10.140625" bestFit="1" customWidth="1"/>
    <col min="16" max="16" width="28.7109375" customWidth="1"/>
    <col min="18" max="18" width="11.7109375" customWidth="1"/>
    <col min="19" max="19" width="12.7109375" customWidth="1"/>
    <col min="20" max="20" width="11.42578125" customWidth="1"/>
    <col min="21" max="23" width="12.140625" customWidth="1"/>
  </cols>
  <sheetData>
    <row r="1" spans="1:27" x14ac:dyDescent="0.25">
      <c r="K1" s="772" t="s">
        <v>119</v>
      </c>
      <c r="L1" s="772"/>
      <c r="M1" s="772"/>
    </row>
    <row r="2" spans="1:27" ht="45" x14ac:dyDescent="0.25">
      <c r="A2" s="3" t="s">
        <v>4</v>
      </c>
      <c r="B2" s="1" t="s">
        <v>43</v>
      </c>
      <c r="C2" s="1" t="s">
        <v>41</v>
      </c>
      <c r="D2" s="2" t="s">
        <v>44</v>
      </c>
      <c r="E2" s="2" t="s">
        <v>0</v>
      </c>
      <c r="F2" s="3" t="s">
        <v>45</v>
      </c>
      <c r="G2" s="3" t="s">
        <v>42</v>
      </c>
      <c r="H2" s="3" t="s">
        <v>366</v>
      </c>
      <c r="I2" s="3" t="s">
        <v>367</v>
      </c>
      <c r="J2" s="3" t="s">
        <v>37</v>
      </c>
      <c r="K2" s="3" t="s">
        <v>38</v>
      </c>
      <c r="L2" s="3" t="s">
        <v>39</v>
      </c>
      <c r="M2" s="3" t="s">
        <v>40</v>
      </c>
      <c r="N2" s="11"/>
      <c r="O2" s="11"/>
      <c r="P2" s="40" t="s">
        <v>6</v>
      </c>
      <c r="Q2" s="41" t="s">
        <v>7</v>
      </c>
      <c r="R2" s="41" t="s">
        <v>8</v>
      </c>
      <c r="S2" s="41" t="s">
        <v>9</v>
      </c>
      <c r="T2" s="40" t="s">
        <v>10</v>
      </c>
      <c r="U2" s="41" t="s">
        <v>90</v>
      </c>
      <c r="V2" s="41" t="s">
        <v>496</v>
      </c>
      <c r="W2" s="41" t="s">
        <v>622</v>
      </c>
      <c r="X2" s="40" t="s">
        <v>37</v>
      </c>
      <c r="Y2" s="41" t="s">
        <v>38</v>
      </c>
      <c r="Z2" s="41" t="s">
        <v>39</v>
      </c>
      <c r="AA2" s="41" t="s">
        <v>40</v>
      </c>
    </row>
    <row r="3" spans="1:27" x14ac:dyDescent="0.25">
      <c r="A3" s="3"/>
      <c r="B3" s="1" t="s">
        <v>46</v>
      </c>
      <c r="C3" s="4" t="s">
        <v>47</v>
      </c>
      <c r="D3" s="5" t="s">
        <v>47</v>
      </c>
      <c r="E3" s="5" t="s">
        <v>47</v>
      </c>
      <c r="F3" s="1" t="s">
        <v>46</v>
      </c>
      <c r="G3" s="1" t="s">
        <v>46</v>
      </c>
      <c r="H3" s="1" t="s">
        <v>46</v>
      </c>
      <c r="I3" s="1" t="s">
        <v>46</v>
      </c>
      <c r="J3" s="1"/>
      <c r="K3" s="1"/>
      <c r="L3" s="1"/>
      <c r="M3" s="1"/>
      <c r="N3" s="11"/>
      <c r="O3" s="11"/>
      <c r="P3" s="42" t="s">
        <v>11</v>
      </c>
      <c r="Q3" s="43"/>
      <c r="R3" s="44" t="e">
        <f t="shared" ref="R3:W3" si="0">D10/AVERAGE(C23:D23)</f>
        <v>#DIV/0!</v>
      </c>
      <c r="S3" s="44" t="e">
        <f t="shared" si="0"/>
        <v>#DIV/0!</v>
      </c>
      <c r="T3" s="44">
        <f t="shared" si="0"/>
        <v>0.27928111368514386</v>
      </c>
      <c r="U3" s="44">
        <f t="shared" si="0"/>
        <v>0.11431653973570761</v>
      </c>
      <c r="V3" s="44">
        <f t="shared" si="0"/>
        <v>0.10809562518625858</v>
      </c>
      <c r="W3" s="44">
        <f t="shared" si="0"/>
        <v>0.11749389463097025</v>
      </c>
      <c r="X3" s="18"/>
      <c r="Y3" s="18"/>
      <c r="Z3" s="18"/>
      <c r="AA3" s="18"/>
    </row>
    <row r="4" spans="1:27" x14ac:dyDescent="0.25">
      <c r="A4" s="3"/>
      <c r="B4" s="1" t="s">
        <v>48</v>
      </c>
      <c r="C4" s="1" t="s">
        <v>48</v>
      </c>
      <c r="D4" s="5" t="s">
        <v>49</v>
      </c>
      <c r="E4" s="5" t="s">
        <v>49</v>
      </c>
      <c r="F4" s="5" t="s">
        <v>49</v>
      </c>
      <c r="G4" s="5" t="s">
        <v>49</v>
      </c>
      <c r="H4" s="5" t="s">
        <v>49</v>
      </c>
      <c r="I4" s="5" t="s">
        <v>49</v>
      </c>
      <c r="J4" s="5"/>
      <c r="K4" s="5"/>
      <c r="L4" s="5"/>
      <c r="M4" s="5"/>
      <c r="N4" s="11"/>
      <c r="O4" s="11"/>
      <c r="P4" s="40" t="s">
        <v>12</v>
      </c>
      <c r="Q4" s="45"/>
      <c r="R4" s="45"/>
      <c r="S4" s="45"/>
      <c r="T4" s="46" t="s">
        <v>5</v>
      </c>
      <c r="U4" s="18"/>
      <c r="V4" s="18"/>
      <c r="W4" s="18"/>
      <c r="X4" s="18"/>
      <c r="Y4" s="18"/>
      <c r="Z4" s="18"/>
      <c r="AA4" s="18"/>
    </row>
    <row r="5" spans="1:27" x14ac:dyDescent="0.25">
      <c r="A5" s="6" t="s">
        <v>23</v>
      </c>
      <c r="B5" s="7"/>
      <c r="C5" s="8"/>
      <c r="F5" s="85">
        <v>5456.22</v>
      </c>
      <c r="G5" s="90">
        <v>7435.14</v>
      </c>
      <c r="H5" s="90">
        <v>14969.51</v>
      </c>
      <c r="I5" s="85">
        <v>28242.91</v>
      </c>
      <c r="J5" s="85"/>
      <c r="K5" s="85"/>
      <c r="L5" s="85"/>
      <c r="M5" s="85"/>
      <c r="N5" s="11"/>
      <c r="O5" s="11"/>
      <c r="P5" s="42" t="s">
        <v>13</v>
      </c>
      <c r="Q5" s="46"/>
      <c r="R5" s="47" t="e">
        <f t="shared" ref="R5:W5" si="1">D21/D20</f>
        <v>#DIV/0!</v>
      </c>
      <c r="S5" s="47" t="e">
        <f t="shared" si="1"/>
        <v>#DIV/0!</v>
      </c>
      <c r="T5" s="47">
        <f t="shared" si="1"/>
        <v>0.46489714912884583</v>
      </c>
      <c r="U5" s="47">
        <f t="shared" si="1"/>
        <v>2.2969180218993923</v>
      </c>
      <c r="V5" s="47">
        <f t="shared" si="1"/>
        <v>3.236959833139665</v>
      </c>
      <c r="W5" s="47">
        <f t="shared" si="1"/>
        <v>3.0429085361625408</v>
      </c>
      <c r="X5" s="18"/>
      <c r="Y5" s="18"/>
      <c r="Z5" s="18"/>
      <c r="AA5" s="18"/>
    </row>
    <row r="6" spans="1:27" x14ac:dyDescent="0.25">
      <c r="A6" s="6" t="s">
        <v>50</v>
      </c>
      <c r="B6" s="7"/>
      <c r="C6" s="8"/>
      <c r="F6" s="85">
        <v>5236.78</v>
      </c>
      <c r="G6" s="85">
        <v>6820.61</v>
      </c>
      <c r="H6" s="85">
        <v>13272.66</v>
      </c>
      <c r="I6" s="85">
        <v>23906.79</v>
      </c>
      <c r="J6" s="85"/>
      <c r="K6" s="85"/>
      <c r="L6" s="85"/>
      <c r="M6" s="85"/>
      <c r="N6" s="11"/>
      <c r="O6" s="11"/>
      <c r="P6" s="42" t="s">
        <v>14</v>
      </c>
      <c r="Q6" s="43"/>
      <c r="R6" s="43"/>
      <c r="S6" s="43"/>
      <c r="T6" s="43"/>
      <c r="U6" s="48">
        <v>0.29360000000000003</v>
      </c>
      <c r="V6" s="48">
        <v>0.26350000000000001</v>
      </c>
      <c r="W6" s="48">
        <v>0.2495</v>
      </c>
      <c r="X6" s="48"/>
      <c r="Y6" s="18"/>
      <c r="Z6" s="18"/>
      <c r="AA6" s="18"/>
    </row>
    <row r="7" spans="1:27" x14ac:dyDescent="0.25">
      <c r="A7" s="6" t="s">
        <v>51</v>
      </c>
      <c r="B7" s="7"/>
      <c r="C7" s="8"/>
      <c r="D7" s="87"/>
      <c r="E7" s="85"/>
      <c r="F7" s="85">
        <v>0</v>
      </c>
      <c r="G7" s="85">
        <v>0</v>
      </c>
      <c r="H7" s="85"/>
      <c r="I7" s="85"/>
      <c r="J7" s="85"/>
      <c r="K7" s="85"/>
      <c r="L7" s="85"/>
      <c r="M7" s="85"/>
      <c r="N7" s="11"/>
      <c r="O7" s="11"/>
      <c r="P7" s="42" t="s">
        <v>15</v>
      </c>
      <c r="Q7" s="43"/>
      <c r="R7" s="44" t="e">
        <f t="shared" ref="R7:W7" si="2">D20/D23</f>
        <v>#DIV/0!</v>
      </c>
      <c r="S7" s="44" t="e">
        <f t="shared" si="2"/>
        <v>#DIV/0!</v>
      </c>
      <c r="T7" s="44">
        <f t="shared" si="2"/>
        <v>0.94110133842504373</v>
      </c>
      <c r="U7" s="44">
        <f t="shared" si="2"/>
        <v>0.33732805317027592</v>
      </c>
      <c r="V7" s="44">
        <f t="shared" si="2"/>
        <v>0.26948407056493706</v>
      </c>
      <c r="W7" s="44">
        <f t="shared" si="2"/>
        <v>0.26401548568633665</v>
      </c>
      <c r="X7" s="18"/>
      <c r="Y7" s="18"/>
      <c r="Z7" s="18"/>
      <c r="AA7" s="18"/>
    </row>
    <row r="8" spans="1:27" x14ac:dyDescent="0.25">
      <c r="A8" s="6" t="s">
        <v>52</v>
      </c>
      <c r="B8" s="7"/>
      <c r="C8" s="8"/>
      <c r="D8" s="85">
        <f t="shared" ref="D8:N8" si="3">D5-D6-D7</f>
        <v>0</v>
      </c>
      <c r="E8" s="85">
        <f t="shared" si="3"/>
        <v>0</v>
      </c>
      <c r="F8" s="85">
        <f t="shared" si="3"/>
        <v>219.44000000000051</v>
      </c>
      <c r="G8" s="85">
        <f t="shared" si="3"/>
        <v>614.53000000000065</v>
      </c>
      <c r="H8" s="85">
        <f t="shared" si="3"/>
        <v>1696.8500000000004</v>
      </c>
      <c r="I8" s="85">
        <f t="shared" si="3"/>
        <v>4336.119999999999</v>
      </c>
      <c r="J8" s="85"/>
      <c r="K8" s="85">
        <f t="shared" si="3"/>
        <v>0</v>
      </c>
      <c r="L8" s="85">
        <f t="shared" si="3"/>
        <v>0</v>
      </c>
      <c r="M8" s="85">
        <f t="shared" si="3"/>
        <v>0</v>
      </c>
      <c r="N8" s="85">
        <f t="shared" si="3"/>
        <v>0</v>
      </c>
      <c r="O8" s="11"/>
      <c r="P8" s="40" t="s">
        <v>16</v>
      </c>
      <c r="Q8" s="45"/>
      <c r="R8" s="45"/>
      <c r="S8" s="45"/>
      <c r="T8" s="46" t="s">
        <v>5</v>
      </c>
      <c r="U8" s="18"/>
      <c r="V8" s="18"/>
      <c r="W8" s="18"/>
      <c r="X8" s="18"/>
      <c r="Y8" s="18"/>
      <c r="Z8" s="18"/>
      <c r="AA8" s="18"/>
    </row>
    <row r="9" spans="1:27" ht="33.75" x14ac:dyDescent="0.25">
      <c r="A9" s="6" t="s">
        <v>24</v>
      </c>
      <c r="B9" s="7"/>
      <c r="C9" s="7"/>
      <c r="D9" s="88"/>
      <c r="E9" s="85"/>
      <c r="F9" s="85">
        <v>2219.29</v>
      </c>
      <c r="G9" s="85">
        <v>3631.29</v>
      </c>
      <c r="H9" s="85">
        <v>6665.71</v>
      </c>
      <c r="I9" s="85">
        <v>11346.48</v>
      </c>
      <c r="J9" s="85"/>
      <c r="K9" s="85"/>
      <c r="L9" s="85"/>
      <c r="M9" s="85"/>
      <c r="N9" s="11"/>
      <c r="O9" s="11"/>
      <c r="P9" s="49" t="s">
        <v>93</v>
      </c>
      <c r="Q9" s="45"/>
      <c r="R9" s="93" t="e">
        <f t="shared" ref="R9:W9" si="4">D14/(D11-D9)</f>
        <v>#DIV/0!</v>
      </c>
      <c r="S9" s="93" t="e">
        <f t="shared" si="4"/>
        <v>#DIV/0!</v>
      </c>
      <c r="T9" s="93">
        <f t="shared" si="4"/>
        <v>0</v>
      </c>
      <c r="U9" s="93">
        <f t="shared" si="4"/>
        <v>1.0379904570369494</v>
      </c>
      <c r="V9" s="93">
        <f t="shared" si="4"/>
        <v>0.61408270912112539</v>
      </c>
      <c r="W9" s="93">
        <f t="shared" si="4"/>
        <v>0.65418848833747711</v>
      </c>
      <c r="X9" s="18"/>
      <c r="Y9" s="18"/>
      <c r="Z9" s="18"/>
      <c r="AA9" s="18"/>
    </row>
    <row r="10" spans="1:27" ht="22.5" x14ac:dyDescent="0.25">
      <c r="A10" s="6" t="s">
        <v>53</v>
      </c>
      <c r="B10" s="10">
        <f t="shared" ref="B10:I10" si="5">B6-B9</f>
        <v>0</v>
      </c>
      <c r="C10" s="10">
        <f t="shared" si="5"/>
        <v>0</v>
      </c>
      <c r="D10" s="89">
        <f t="shared" si="5"/>
        <v>0</v>
      </c>
      <c r="E10" s="89">
        <f t="shared" si="5"/>
        <v>0</v>
      </c>
      <c r="F10" s="89">
        <f t="shared" si="5"/>
        <v>3017.49</v>
      </c>
      <c r="G10" s="89">
        <f t="shared" si="5"/>
        <v>3189.3199999999997</v>
      </c>
      <c r="H10" s="89">
        <f>H6-H9</f>
        <v>6606.95</v>
      </c>
      <c r="I10" s="89">
        <f t="shared" si="5"/>
        <v>12560.310000000001</v>
      </c>
      <c r="J10" s="89"/>
      <c r="K10" s="89">
        <f>K6-K9</f>
        <v>0</v>
      </c>
      <c r="L10" s="89">
        <f>L6-L9</f>
        <v>0</v>
      </c>
      <c r="M10" s="89">
        <f>M6-M9</f>
        <v>0</v>
      </c>
      <c r="N10" s="11"/>
      <c r="O10" s="11"/>
      <c r="P10" s="42" t="s">
        <v>92</v>
      </c>
      <c r="Q10" s="43"/>
      <c r="R10" s="44" t="e">
        <f t="shared" ref="R10:W10" si="6">D14/D11</f>
        <v>#DIV/0!</v>
      </c>
      <c r="S10" s="44" t="e">
        <f t="shared" si="6"/>
        <v>#DIV/0!</v>
      </c>
      <c r="T10" s="44">
        <f t="shared" si="6"/>
        <v>0</v>
      </c>
      <c r="U10" s="44">
        <f t="shared" si="6"/>
        <v>0.5310404377052752</v>
      </c>
      <c r="V10" s="44">
        <f t="shared" si="6"/>
        <v>0.34064040840348148</v>
      </c>
      <c r="W10" s="44">
        <f t="shared" si="6"/>
        <v>0.3913707900496089</v>
      </c>
      <c r="X10" s="18"/>
      <c r="Y10" s="18"/>
      <c r="Z10" s="18"/>
      <c r="AA10" s="18"/>
    </row>
    <row r="11" spans="1:27" ht="22.5" x14ac:dyDescent="0.25">
      <c r="A11" s="6" t="s">
        <v>1</v>
      </c>
      <c r="B11" s="10">
        <f>B5-B9</f>
        <v>0</v>
      </c>
      <c r="C11" s="10">
        <f t="shared" ref="C11:I11" si="7">SUM(C6:C8)</f>
        <v>0</v>
      </c>
      <c r="D11" s="89">
        <f t="shared" si="7"/>
        <v>0</v>
      </c>
      <c r="E11" s="89">
        <f t="shared" si="7"/>
        <v>0</v>
      </c>
      <c r="F11" s="89">
        <f>SUM(F6:F8)</f>
        <v>5456.22</v>
      </c>
      <c r="G11" s="89">
        <f>SUM(G6:G8)</f>
        <v>7435.14</v>
      </c>
      <c r="H11" s="89">
        <f>SUM(H6:H8)</f>
        <v>14969.51</v>
      </c>
      <c r="I11" s="89">
        <f t="shared" si="7"/>
        <v>28242.91</v>
      </c>
      <c r="J11" s="89"/>
      <c r="K11" s="89">
        <f>SUM(K6:K8)</f>
        <v>0</v>
      </c>
      <c r="L11" s="89">
        <f>SUM(L6:L8)</f>
        <v>0</v>
      </c>
      <c r="M11" s="89">
        <f>SUM(M6:M8)</f>
        <v>0</v>
      </c>
      <c r="N11" s="11"/>
      <c r="O11" s="11"/>
      <c r="P11" s="42" t="s">
        <v>17</v>
      </c>
      <c r="Q11" s="43"/>
      <c r="R11" s="44" t="e">
        <f t="shared" ref="R11:W11" si="8">D14/AVERAGE(C22:D22)</f>
        <v>#DIV/0!</v>
      </c>
      <c r="S11" s="44" t="e">
        <f t="shared" si="8"/>
        <v>#DIV/0!</v>
      </c>
      <c r="T11" s="44">
        <f t="shared" si="8"/>
        <v>0</v>
      </c>
      <c r="U11" s="44">
        <f t="shared" si="8"/>
        <v>9.0587075999710928E-2</v>
      </c>
      <c r="V11" s="44">
        <f t="shared" si="8"/>
        <v>7.0494085678346016E-2</v>
      </c>
      <c r="W11" s="44">
        <f t="shared" si="8"/>
        <v>9.0374978343347651E-2</v>
      </c>
      <c r="X11" s="18"/>
      <c r="Y11" s="18"/>
      <c r="Z11" s="18"/>
      <c r="AA11" s="18"/>
    </row>
    <row r="12" spans="1:27" x14ac:dyDescent="0.25">
      <c r="A12" s="6" t="s">
        <v>91</v>
      </c>
      <c r="B12" s="10"/>
      <c r="C12" s="10"/>
      <c r="D12" s="89"/>
      <c r="E12" s="89"/>
      <c r="F12" s="89">
        <v>443.88</v>
      </c>
      <c r="G12" s="89">
        <v>687.62</v>
      </c>
      <c r="H12" s="89">
        <v>556.80999999999995</v>
      </c>
      <c r="I12" s="89">
        <v>844.23</v>
      </c>
      <c r="J12" s="89"/>
      <c r="K12" s="89"/>
      <c r="L12" s="89"/>
      <c r="M12" s="89"/>
      <c r="N12" s="11"/>
      <c r="O12" s="11"/>
      <c r="P12" s="40" t="s">
        <v>18</v>
      </c>
      <c r="Q12" s="45"/>
      <c r="R12" s="45"/>
      <c r="S12" s="45"/>
      <c r="T12" s="46" t="s">
        <v>5</v>
      </c>
      <c r="U12" s="18"/>
      <c r="V12" s="18"/>
      <c r="W12" s="18"/>
      <c r="X12" s="18"/>
      <c r="Y12" s="18"/>
      <c r="Z12" s="53"/>
      <c r="AA12" s="54"/>
    </row>
    <row r="13" spans="1:27" x14ac:dyDescent="0.25">
      <c r="A13" s="6" t="s">
        <v>25</v>
      </c>
      <c r="B13" s="7"/>
      <c r="C13" s="7"/>
      <c r="D13" s="88">
        <f t="shared" ref="D13:M13" si="9">D11+D12</f>
        <v>0</v>
      </c>
      <c r="E13" s="88">
        <f t="shared" si="9"/>
        <v>0</v>
      </c>
      <c r="F13" s="88">
        <f t="shared" si="9"/>
        <v>5900.1</v>
      </c>
      <c r="G13" s="88">
        <f t="shared" si="9"/>
        <v>8122.76</v>
      </c>
      <c r="H13" s="88">
        <f t="shared" si="9"/>
        <v>15526.32</v>
      </c>
      <c r="I13" s="88">
        <f t="shared" si="9"/>
        <v>29087.14</v>
      </c>
      <c r="J13" s="88"/>
      <c r="K13" s="88">
        <f t="shared" si="9"/>
        <v>0</v>
      </c>
      <c r="L13" s="88">
        <f t="shared" si="9"/>
        <v>0</v>
      </c>
      <c r="M13" s="88">
        <f t="shared" si="9"/>
        <v>0</v>
      </c>
      <c r="N13" s="11"/>
      <c r="O13" s="11"/>
      <c r="P13" s="42" t="s">
        <v>19</v>
      </c>
      <c r="Q13" s="43"/>
      <c r="R13" s="44" t="e">
        <f>D24/D23</f>
        <v>#DIV/0!</v>
      </c>
      <c r="S13" s="44" t="e">
        <f>E24/E23</f>
        <v>#DIV/0!</v>
      </c>
      <c r="T13" s="44">
        <f>F24/F23</f>
        <v>0</v>
      </c>
      <c r="U13" s="44">
        <f>G24/G23</f>
        <v>2.7670626640790372E-2</v>
      </c>
      <c r="V13" s="44">
        <f>H24/H23</f>
        <v>1.9974334986038029E-2</v>
      </c>
      <c r="W13" s="44">
        <v>2.9000000000000001E-2</v>
      </c>
      <c r="X13" s="48">
        <v>2.75E-2</v>
      </c>
      <c r="Y13" s="48">
        <v>3.04E-2</v>
      </c>
      <c r="Z13" s="48">
        <v>2.9899999999999999E-2</v>
      </c>
      <c r="AA13" s="18"/>
    </row>
    <row r="14" spans="1:27" x14ac:dyDescent="0.25">
      <c r="A14" s="6" t="s">
        <v>26</v>
      </c>
      <c r="B14" s="7"/>
      <c r="C14" s="7"/>
      <c r="D14" s="85"/>
      <c r="E14" s="85"/>
      <c r="F14" s="85"/>
      <c r="G14" s="85">
        <f>312.31+3631.29+4.76</f>
        <v>3948.36</v>
      </c>
      <c r="H14" s="85">
        <f>644.94+1.57+6540-2087.29</f>
        <v>5099.22</v>
      </c>
      <c r="I14" s="85">
        <f>734.31+15954.51-1137.78-4497.59</f>
        <v>11053.449999999999</v>
      </c>
      <c r="J14" s="85"/>
      <c r="K14" s="85"/>
      <c r="L14" s="85"/>
      <c r="M14" s="85"/>
      <c r="N14" s="11"/>
      <c r="O14" s="11"/>
      <c r="P14" s="42" t="s">
        <v>20</v>
      </c>
      <c r="Q14" s="43"/>
      <c r="R14" s="44" t="e">
        <f>D25/D23</f>
        <v>#DIV/0!</v>
      </c>
      <c r="S14" s="44" t="e">
        <f>E25/E23</f>
        <v>#DIV/0!</v>
      </c>
      <c r="T14" s="44">
        <f>F25/F23</f>
        <v>0</v>
      </c>
      <c r="U14" s="44">
        <f>G25/G23</f>
        <v>1.3846426021857351E-2</v>
      </c>
      <c r="V14" s="44">
        <f>H25/H23</f>
        <v>1.1404659185158461E-2</v>
      </c>
      <c r="W14" s="44">
        <v>1.5699999999999999E-2</v>
      </c>
      <c r="X14" s="48">
        <v>1.61E-2</v>
      </c>
      <c r="Y14" s="48">
        <v>1.7000000000000001E-2</v>
      </c>
      <c r="Z14" s="48">
        <v>1.6899999999999998E-2</v>
      </c>
      <c r="AA14" s="18"/>
    </row>
    <row r="15" spans="1:27" x14ac:dyDescent="0.25">
      <c r="A15" s="6" t="s">
        <v>54</v>
      </c>
      <c r="B15" s="10"/>
      <c r="C15" s="10"/>
      <c r="D15" s="89">
        <f t="shared" ref="D15:I15" si="10">D11-D14</f>
        <v>0</v>
      </c>
      <c r="E15" s="89">
        <f t="shared" si="10"/>
        <v>0</v>
      </c>
      <c r="F15" s="89">
        <f t="shared" si="10"/>
        <v>5456.22</v>
      </c>
      <c r="G15" s="89">
        <f t="shared" si="10"/>
        <v>3486.78</v>
      </c>
      <c r="H15" s="89">
        <f t="shared" si="10"/>
        <v>9870.2900000000009</v>
      </c>
      <c r="I15" s="89">
        <f t="shared" si="10"/>
        <v>17189.46</v>
      </c>
      <c r="J15" s="89"/>
      <c r="K15" s="89"/>
      <c r="L15" s="89">
        <f>L11-L14</f>
        <v>0</v>
      </c>
      <c r="M15" s="89">
        <f>M11-M14</f>
        <v>0</v>
      </c>
      <c r="N15" s="11"/>
      <c r="O15" s="11"/>
      <c r="P15" s="42" t="s">
        <v>21</v>
      </c>
      <c r="Q15" s="43"/>
      <c r="R15" s="44" t="e">
        <f t="shared" ref="R15:X15" si="11">(R13-R14)/R13</f>
        <v>#DIV/0!</v>
      </c>
      <c r="S15" s="44" t="e">
        <f t="shared" si="11"/>
        <v>#DIV/0!</v>
      </c>
      <c r="T15" s="44" t="e">
        <f t="shared" si="11"/>
        <v>#DIV/0!</v>
      </c>
      <c r="U15" s="44">
        <f t="shared" si="11"/>
        <v>0.49959839357429719</v>
      </c>
      <c r="V15" s="44">
        <f t="shared" si="11"/>
        <v>0.42903434867141926</v>
      </c>
      <c r="W15" s="44">
        <f>(W13-W14)/W13</f>
        <v>0.4586206896551725</v>
      </c>
      <c r="X15" s="44">
        <f t="shared" si="11"/>
        <v>0.41454545454545455</v>
      </c>
      <c r="Y15" s="18"/>
      <c r="Z15" s="18"/>
      <c r="AA15" s="18"/>
    </row>
    <row r="16" spans="1:27" x14ac:dyDescent="0.25">
      <c r="A16" s="6" t="s">
        <v>94</v>
      </c>
      <c r="B16" s="10"/>
      <c r="C16" s="10"/>
      <c r="D16" s="89">
        <f t="shared" ref="D16:I16" si="12">D13-D14-D9</f>
        <v>0</v>
      </c>
      <c r="E16" s="89">
        <f t="shared" si="12"/>
        <v>0</v>
      </c>
      <c r="F16" s="89">
        <f t="shared" si="12"/>
        <v>3680.8100000000004</v>
      </c>
      <c r="G16" s="89">
        <f t="shared" si="12"/>
        <v>543.10999999999967</v>
      </c>
      <c r="H16" s="89">
        <f t="shared" si="12"/>
        <v>3761.3899999999985</v>
      </c>
      <c r="I16" s="89">
        <f t="shared" si="12"/>
        <v>6687.2100000000028</v>
      </c>
      <c r="J16" s="89"/>
      <c r="K16" s="89">
        <f>K13-K14-K9</f>
        <v>0</v>
      </c>
      <c r="L16" s="89">
        <f>L13-L14-L9</f>
        <v>0</v>
      </c>
      <c r="M16" s="89">
        <f>M13-M14-M9</f>
        <v>0</v>
      </c>
      <c r="N16" s="11"/>
      <c r="O16" s="11"/>
      <c r="P16" s="42" t="s">
        <v>22</v>
      </c>
      <c r="Q16" s="43"/>
      <c r="R16" s="44" t="e">
        <f t="shared" ref="R16:W16" si="13">D17/AVERAGE(C23:D23)</f>
        <v>#DIV/0!</v>
      </c>
      <c r="S16" s="44" t="e">
        <f t="shared" si="13"/>
        <v>#DIV/0!</v>
      </c>
      <c r="T16" s="44">
        <f t="shared" si="13"/>
        <v>8.6520511379991089E-2</v>
      </c>
      <c r="U16" s="44">
        <f t="shared" si="13"/>
        <v>-1.8092388533291041E-2</v>
      </c>
      <c r="V16" s="44">
        <f t="shared" si="13"/>
        <v>3.4817787468518567E-2</v>
      </c>
      <c r="W16" s="44">
        <f t="shared" si="13"/>
        <v>5.2715384332594553E-2</v>
      </c>
      <c r="X16" s="18"/>
      <c r="Y16" s="18"/>
      <c r="Z16" s="18"/>
      <c r="AA16" s="18"/>
    </row>
    <row r="17" spans="1:27" x14ac:dyDescent="0.25">
      <c r="A17" s="6" t="s">
        <v>27</v>
      </c>
      <c r="B17" s="7"/>
      <c r="C17" s="7"/>
      <c r="D17" s="88"/>
      <c r="E17" s="85"/>
      <c r="F17" s="85">
        <v>934.81</v>
      </c>
      <c r="G17" s="85">
        <v>-504.76</v>
      </c>
      <c r="H17" s="85">
        <f>40.82+2087.29</f>
        <v>2128.11</v>
      </c>
      <c r="I17" s="85">
        <f>1137.78+4497.59</f>
        <v>5635.37</v>
      </c>
      <c r="J17" s="85"/>
      <c r="K17" s="85"/>
      <c r="L17" s="85"/>
      <c r="M17" s="85"/>
      <c r="N17" s="11"/>
      <c r="O17" s="11"/>
      <c r="P17" s="18"/>
      <c r="Q17" s="18"/>
      <c r="R17" s="18"/>
      <c r="S17" s="18"/>
      <c r="T17" s="18"/>
      <c r="U17" s="18"/>
      <c r="V17" s="18"/>
      <c r="W17" s="18"/>
      <c r="X17" s="18"/>
      <c r="Y17" s="18"/>
      <c r="Z17" s="18"/>
      <c r="AA17" s="18"/>
    </row>
    <row r="18" spans="1:27" x14ac:dyDescent="0.25">
      <c r="A18" s="6" t="s">
        <v>55</v>
      </c>
      <c r="B18" s="7"/>
      <c r="C18" s="7"/>
      <c r="D18" s="88"/>
      <c r="E18" s="85"/>
      <c r="F18" s="89">
        <v>16.57</v>
      </c>
      <c r="G18" s="89">
        <v>10.47</v>
      </c>
      <c r="H18" s="89">
        <v>1144.43</v>
      </c>
      <c r="I18" s="89">
        <v>748.74</v>
      </c>
      <c r="J18" s="89"/>
      <c r="K18" s="89"/>
      <c r="L18" s="89"/>
      <c r="M18" s="89"/>
      <c r="N18" s="11"/>
      <c r="O18" s="11"/>
      <c r="P18" s="40" t="s">
        <v>30</v>
      </c>
      <c r="Q18" s="45"/>
      <c r="R18" s="45"/>
      <c r="S18" s="45"/>
      <c r="T18" s="46" t="s">
        <v>5</v>
      </c>
      <c r="U18" s="18"/>
      <c r="V18" s="18"/>
      <c r="W18" s="18"/>
      <c r="X18" s="18"/>
      <c r="Y18" s="18"/>
      <c r="Z18" s="18"/>
      <c r="AA18" s="18"/>
    </row>
    <row r="19" spans="1:27" ht="22.5" x14ac:dyDescent="0.25">
      <c r="A19" s="6" t="s">
        <v>28</v>
      </c>
      <c r="B19" s="7"/>
      <c r="C19" s="7"/>
      <c r="D19" s="88"/>
      <c r="E19" s="85"/>
      <c r="F19" s="85">
        <v>10168.120000000001</v>
      </c>
      <c r="G19" s="85">
        <v>15177.59</v>
      </c>
      <c r="H19" s="85">
        <v>20817.41</v>
      </c>
      <c r="I19" s="85">
        <v>36052.5</v>
      </c>
      <c r="J19" s="85"/>
      <c r="K19" s="85"/>
      <c r="L19" s="85"/>
      <c r="M19" s="85"/>
      <c r="N19" s="11"/>
      <c r="O19" s="11"/>
      <c r="P19" s="46" t="s">
        <v>95</v>
      </c>
      <c r="Q19" s="51"/>
      <c r="R19" s="51"/>
      <c r="S19" s="52" t="e">
        <f>E16/AVERAGE(D22:E22)</f>
        <v>#DIV/0!</v>
      </c>
      <c r="T19" s="52">
        <f>F16/AVERAGE(E22:F22)</f>
        <v>0.10697202396227279</v>
      </c>
      <c r="U19" s="52">
        <f>G16/AVERAGE(F22:G22)</f>
        <v>1.2460552443597587E-2</v>
      </c>
      <c r="V19" s="52">
        <f>H16/AVERAGE(G22:H22)</f>
        <v>5.1999276150013887E-2</v>
      </c>
      <c r="W19" s="52">
        <f>I16/AVERAGE(H22:I22)</f>
        <v>5.467582147903307E-2</v>
      </c>
      <c r="X19" s="18"/>
      <c r="Y19" s="18"/>
      <c r="Z19" s="18"/>
      <c r="AA19" s="18"/>
    </row>
    <row r="20" spans="1:27" x14ac:dyDescent="0.25">
      <c r="A20" s="6" t="s">
        <v>56</v>
      </c>
      <c r="B20" s="7"/>
      <c r="C20" s="7"/>
      <c r="D20" s="88">
        <f t="shared" ref="D20:M20" si="14">D19-D71</f>
        <v>0</v>
      </c>
      <c r="E20" s="89">
        <f t="shared" si="14"/>
        <v>0</v>
      </c>
      <c r="F20" s="89">
        <f t="shared" si="14"/>
        <v>10168.120000000001</v>
      </c>
      <c r="G20" s="89">
        <f t="shared" si="14"/>
        <v>15177.59</v>
      </c>
      <c r="H20" s="89">
        <f t="shared" si="14"/>
        <v>20817.41</v>
      </c>
      <c r="I20" s="89">
        <f t="shared" si="14"/>
        <v>36052.5</v>
      </c>
      <c r="J20" s="89"/>
      <c r="K20" s="89">
        <f t="shared" si="14"/>
        <v>0</v>
      </c>
      <c r="L20" s="89">
        <f t="shared" si="14"/>
        <v>0</v>
      </c>
      <c r="M20" s="89">
        <f t="shared" si="14"/>
        <v>0</v>
      </c>
      <c r="N20" s="11"/>
      <c r="O20" s="11"/>
      <c r="P20" s="42" t="s">
        <v>31</v>
      </c>
      <c r="Q20" s="43"/>
      <c r="R20" s="43">
        <v>4.4699999999999997E-2</v>
      </c>
      <c r="S20" s="44" t="e">
        <f>E18/AVERAGE(D22:E22)</f>
        <v>#DIV/0!</v>
      </c>
      <c r="T20" s="44">
        <f>F18/AVERAGE(E22:F22)</f>
        <v>4.815587973991757E-4</v>
      </c>
      <c r="U20" s="44">
        <f>G18/AVERAGE(F22:G22)</f>
        <v>2.4021281892152018E-4</v>
      </c>
      <c r="V20" s="44">
        <f>H18/AVERAGE(G22:H22)</f>
        <v>1.5821154308476498E-2</v>
      </c>
      <c r="W20" s="44">
        <f>I18/AVERAGE(H22:I22)</f>
        <v>6.1218317615584382E-3</v>
      </c>
      <c r="X20" s="48"/>
      <c r="Y20" s="18"/>
      <c r="Z20" s="18"/>
      <c r="AA20" s="18"/>
    </row>
    <row r="21" spans="1:27" x14ac:dyDescent="0.25">
      <c r="A21" s="6" t="s">
        <v>57</v>
      </c>
      <c r="B21" s="9"/>
      <c r="C21" s="9"/>
      <c r="D21" s="85"/>
      <c r="E21" s="85"/>
      <c r="F21" s="85">
        <v>4727.13</v>
      </c>
      <c r="G21" s="85">
        <f>12894.82+21966.86</f>
        <v>34861.68</v>
      </c>
      <c r="H21" s="85">
        <f>26648.27+40736.85</f>
        <v>67385.119999999995</v>
      </c>
      <c r="I21" s="85">
        <f>39570.75+70133.71</f>
        <v>109704.46</v>
      </c>
      <c r="J21" s="85"/>
      <c r="K21" s="85"/>
      <c r="L21" s="85"/>
      <c r="M21" s="85"/>
      <c r="N21" s="11"/>
      <c r="O21" s="11"/>
      <c r="P21" s="42" t="s">
        <v>32</v>
      </c>
      <c r="Q21" s="43"/>
      <c r="R21" s="44" t="e">
        <f t="shared" ref="R21:W21" si="15">D18/AVERAGE(C19:D19)</f>
        <v>#DIV/0!</v>
      </c>
      <c r="S21" s="44" t="e">
        <f t="shared" si="15"/>
        <v>#DIV/0!</v>
      </c>
      <c r="T21" s="44">
        <f t="shared" si="15"/>
        <v>1.6296031124731021E-3</v>
      </c>
      <c r="U21" s="44">
        <f t="shared" si="15"/>
        <v>8.2617531724303648E-4</v>
      </c>
      <c r="V21" s="44">
        <f t="shared" si="15"/>
        <v>6.3588276149465203E-2</v>
      </c>
      <c r="W21" s="44">
        <f t="shared" si="15"/>
        <v>2.6331675221571475E-2</v>
      </c>
      <c r="X21" s="18"/>
      <c r="Y21" s="18"/>
      <c r="Z21" s="18"/>
      <c r="AA21" s="18"/>
    </row>
    <row r="22" spans="1:27" x14ac:dyDescent="0.25">
      <c r="A22" s="6" t="s">
        <v>29</v>
      </c>
      <c r="B22" s="7"/>
      <c r="C22" s="7"/>
      <c r="D22" s="88"/>
      <c r="E22" s="85"/>
      <c r="F22" s="85">
        <v>34409.089999999997</v>
      </c>
      <c r="G22" s="85">
        <v>52763.61</v>
      </c>
      <c r="H22" s="85">
        <v>91907.25</v>
      </c>
      <c r="I22" s="85">
        <v>152705.81</v>
      </c>
      <c r="J22" s="85"/>
      <c r="K22" s="85"/>
      <c r="L22" s="85"/>
      <c r="M22" s="85"/>
      <c r="N22" s="11"/>
      <c r="O22" s="11"/>
      <c r="P22" s="40" t="s">
        <v>33</v>
      </c>
      <c r="Q22" s="45"/>
      <c r="R22" s="45"/>
      <c r="S22" s="45"/>
      <c r="T22" s="46" t="s">
        <v>5</v>
      </c>
      <c r="U22" s="18"/>
      <c r="V22" s="18"/>
      <c r="W22" s="18"/>
      <c r="X22" s="18"/>
      <c r="Y22" s="18"/>
      <c r="Z22" s="18"/>
      <c r="AA22" s="18"/>
    </row>
    <row r="23" spans="1:27" x14ac:dyDescent="0.25">
      <c r="A23" s="6" t="s">
        <v>58</v>
      </c>
      <c r="B23" s="7"/>
      <c r="C23" s="7"/>
      <c r="D23" s="88"/>
      <c r="E23" s="85"/>
      <c r="F23" s="85">
        <v>10804.49</v>
      </c>
      <c r="G23" s="85">
        <f>19025.43+25968.13</f>
        <v>44993.56</v>
      </c>
      <c r="H23" s="85">
        <f>53138.89+24110.24</f>
        <v>77249.13</v>
      </c>
      <c r="I23" s="85">
        <f>49806.24+86748.25</f>
        <v>136554.49</v>
      </c>
      <c r="J23" s="85"/>
      <c r="K23" s="85"/>
      <c r="L23" s="85"/>
      <c r="M23" s="85"/>
      <c r="N23" s="11"/>
      <c r="O23" s="11"/>
      <c r="P23" s="42" t="s">
        <v>34</v>
      </c>
      <c r="Q23" s="43"/>
      <c r="R23" s="44" t="e">
        <f t="shared" ref="R23:W23" si="16">D6/AVERAGE(C23:D23)</f>
        <v>#DIV/0!</v>
      </c>
      <c r="S23" s="44" t="e">
        <f t="shared" si="16"/>
        <v>#DIV/0!</v>
      </c>
      <c r="T23" s="44">
        <f t="shared" si="16"/>
        <v>0.48468553351430749</v>
      </c>
      <c r="U23" s="44">
        <f t="shared" si="16"/>
        <v>0.24447485171972858</v>
      </c>
      <c r="V23" s="44">
        <f t="shared" si="16"/>
        <v>0.21715261665135149</v>
      </c>
      <c r="W23" s="44">
        <f t="shared" si="16"/>
        <v>0.22363316392865568</v>
      </c>
      <c r="X23" s="18"/>
      <c r="Y23" s="18"/>
      <c r="Z23" s="18"/>
      <c r="AA23" s="18"/>
    </row>
    <row r="24" spans="1:27" x14ac:dyDescent="0.25">
      <c r="A24" s="6" t="s">
        <v>59</v>
      </c>
      <c r="B24" s="10"/>
      <c r="C24" s="10"/>
      <c r="D24" s="89"/>
      <c r="E24" s="89"/>
      <c r="F24" s="89"/>
      <c r="G24" s="89">
        <v>1245</v>
      </c>
      <c r="H24" s="89">
        <v>1543</v>
      </c>
      <c r="I24" s="89"/>
      <c r="J24" s="89"/>
      <c r="K24" s="89"/>
      <c r="L24" s="89"/>
      <c r="M24" s="89"/>
      <c r="N24" s="11"/>
      <c r="O24" s="11"/>
      <c r="P24" s="42" t="s">
        <v>35</v>
      </c>
      <c r="Q24" s="43"/>
      <c r="R24" s="44" t="e">
        <f t="shared" ref="R24:W24" si="17">D9/AVERAGE(C21:D21)</f>
        <v>#DIV/0!</v>
      </c>
      <c r="S24" s="44" t="e">
        <f t="shared" si="17"/>
        <v>#DIV/0!</v>
      </c>
      <c r="T24" s="44">
        <f t="shared" si="17"/>
        <v>0.46947936697319514</v>
      </c>
      <c r="U24" s="44">
        <f t="shared" si="17"/>
        <v>0.18345032346261483</v>
      </c>
      <c r="V24" s="44">
        <f t="shared" si="17"/>
        <v>0.13038471619649711</v>
      </c>
      <c r="W24" s="44">
        <f t="shared" si="17"/>
        <v>0.12814395968413272</v>
      </c>
      <c r="X24" s="18"/>
      <c r="Y24" s="18"/>
      <c r="Z24" s="18"/>
      <c r="AA24" s="18"/>
    </row>
    <row r="25" spans="1:27" x14ac:dyDescent="0.25">
      <c r="A25" s="6" t="s">
        <v>60</v>
      </c>
      <c r="B25" s="10"/>
      <c r="C25" s="10"/>
      <c r="D25" s="89"/>
      <c r="E25" s="89"/>
      <c r="F25" s="89"/>
      <c r="G25" s="89">
        <v>623</v>
      </c>
      <c r="H25" s="89">
        <v>881</v>
      </c>
      <c r="I25" s="89"/>
      <c r="J25" s="89"/>
      <c r="K25" s="89"/>
      <c r="L25" s="89"/>
      <c r="M25" s="89"/>
      <c r="N25" s="11"/>
      <c r="O25" s="11"/>
      <c r="P25" s="42" t="s">
        <v>36</v>
      </c>
      <c r="Q25" s="43"/>
      <c r="R25" s="48" t="e">
        <f t="shared" ref="R25:W25" si="18">R23-R24</f>
        <v>#DIV/0!</v>
      </c>
      <c r="S25" s="48" t="e">
        <f t="shared" si="18"/>
        <v>#DIV/0!</v>
      </c>
      <c r="T25" s="48">
        <f t="shared" si="18"/>
        <v>1.5206166541112343E-2</v>
      </c>
      <c r="U25" s="48">
        <f t="shared" si="18"/>
        <v>6.1024528257113742E-2</v>
      </c>
      <c r="V25" s="48">
        <f t="shared" si="18"/>
        <v>8.6767900454854385E-2</v>
      </c>
      <c r="W25" s="48">
        <f t="shared" si="18"/>
        <v>9.5489204244522952E-2</v>
      </c>
      <c r="X25" s="18"/>
      <c r="Y25" s="18"/>
      <c r="Z25" s="18"/>
      <c r="AA25" s="18"/>
    </row>
  </sheetData>
  <mergeCells count="1">
    <mergeCell ref="K1:M1"/>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W25"/>
  <sheetViews>
    <sheetView workbookViewId="0">
      <selection activeCell="AG6" sqref="AG6"/>
    </sheetView>
  </sheetViews>
  <sheetFormatPr defaultColWidth="19.5703125" defaultRowHeight="15" x14ac:dyDescent="0.25"/>
  <cols>
    <col min="1" max="1" width="26.85546875" customWidth="1"/>
    <col min="3" max="3" width="8.85546875" customWidth="1"/>
    <col min="4" max="4" width="12.42578125" customWidth="1"/>
    <col min="5" max="5" width="11.140625" customWidth="1"/>
    <col min="8" max="9" width="13.140625" customWidth="1"/>
    <col min="10" max="10" width="12.5703125" customWidth="1"/>
    <col min="11" max="11" width="13.42578125" customWidth="1"/>
    <col min="14" max="14" width="38.140625" customWidth="1"/>
    <col min="15" max="15" width="7" customWidth="1"/>
    <col min="16" max="16" width="10.140625" customWidth="1"/>
    <col min="17" max="17" width="8.5703125" customWidth="1"/>
    <col min="18" max="18" width="14.7109375" customWidth="1"/>
    <col min="19" max="19" width="14" customWidth="1"/>
  </cols>
  <sheetData>
    <row r="1" spans="1:23" x14ac:dyDescent="0.25">
      <c r="I1" s="772" t="s">
        <v>119</v>
      </c>
      <c r="J1" s="772"/>
      <c r="K1" s="772"/>
    </row>
    <row r="2" spans="1:23" ht="78.7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0.13314478396090604</v>
      </c>
      <c r="S3" s="44">
        <f>G10/AVERAGE(F23:G23)</f>
        <v>0.16162643595550713</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50347.13</v>
      </c>
      <c r="G5" s="90">
        <v>62601.59</v>
      </c>
      <c r="H5" s="85"/>
      <c r="I5" s="85"/>
      <c r="J5" s="85"/>
      <c r="K5" s="85"/>
      <c r="L5" s="11"/>
      <c r="M5" s="11"/>
      <c r="N5" s="42" t="s">
        <v>13</v>
      </c>
      <c r="O5" s="46"/>
      <c r="P5" s="47" t="e">
        <f>D21/D20</f>
        <v>#DIV/0!</v>
      </c>
      <c r="Q5" s="47" t="e">
        <f>E21/E20</f>
        <v>#DIV/0!</v>
      </c>
      <c r="R5" s="47">
        <f>F21/F20</f>
        <v>2.2002334908322219</v>
      </c>
      <c r="S5" s="47">
        <f>G21/G20</f>
        <v>2.9924179538801612</v>
      </c>
      <c r="T5" s="18"/>
      <c r="U5" s="18"/>
      <c r="V5" s="18"/>
      <c r="W5" s="18"/>
    </row>
    <row r="6" spans="1:23" x14ac:dyDescent="0.25">
      <c r="A6" s="6" t="s">
        <v>50</v>
      </c>
      <c r="B6" s="7"/>
      <c r="C6" s="8"/>
      <c r="F6" s="85">
        <v>48210.04</v>
      </c>
      <c r="G6" s="85">
        <v>56982.81</v>
      </c>
      <c r="H6" s="85"/>
      <c r="I6" s="85"/>
      <c r="J6" s="85"/>
      <c r="K6" s="85"/>
      <c r="L6" s="11"/>
      <c r="M6" s="11"/>
      <c r="N6" s="42" t="s">
        <v>14</v>
      </c>
      <c r="O6" s="43"/>
      <c r="P6" s="43"/>
      <c r="Q6" s="43"/>
      <c r="R6" s="43">
        <v>0.38740000000000002</v>
      </c>
      <c r="S6" s="48">
        <v>0.25929999999999997</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0.35307241116674659</v>
      </c>
      <c r="S7" s="44">
        <f>G20/G23</f>
        <v>0.29845163325434676</v>
      </c>
      <c r="T7" s="18"/>
      <c r="U7" s="18"/>
      <c r="V7" s="18"/>
      <c r="W7" s="18"/>
    </row>
    <row r="8" spans="1:23" x14ac:dyDescent="0.25">
      <c r="A8" s="6" t="s">
        <v>52</v>
      </c>
      <c r="B8" s="7"/>
      <c r="C8" s="8"/>
      <c r="D8" s="85">
        <f>D5-D6-D7</f>
        <v>0</v>
      </c>
      <c r="E8" s="85">
        <f>E5-E6-E7</f>
        <v>0</v>
      </c>
      <c r="F8" s="85">
        <f>F5-F6-F7</f>
        <v>2137.0899999999965</v>
      </c>
      <c r="G8" s="85">
        <f>G5-G6-G7</f>
        <v>5618.7799999999988</v>
      </c>
      <c r="H8" s="85">
        <f>H5-H6-H7</f>
        <v>0</v>
      </c>
      <c r="I8" s="85"/>
      <c r="J8" s="85"/>
      <c r="K8" s="85"/>
      <c r="L8" s="11"/>
      <c r="M8" s="11"/>
      <c r="N8" s="40" t="s">
        <v>16</v>
      </c>
      <c r="O8" s="45"/>
      <c r="P8" s="45"/>
      <c r="Q8" s="45"/>
      <c r="R8" s="46" t="s">
        <v>5</v>
      </c>
      <c r="S8" s="18"/>
      <c r="T8" s="18"/>
      <c r="U8" s="18"/>
      <c r="V8" s="18"/>
      <c r="W8" s="18"/>
    </row>
    <row r="9" spans="1:23" ht="22.5" x14ac:dyDescent="0.25">
      <c r="A9" s="6" t="s">
        <v>24</v>
      </c>
      <c r="B9" s="7"/>
      <c r="C9" s="7"/>
      <c r="D9" s="88"/>
      <c r="E9" s="85"/>
      <c r="F9" s="85">
        <v>20243.54</v>
      </c>
      <c r="G9" s="85">
        <v>23750.51</v>
      </c>
      <c r="H9" s="85"/>
      <c r="I9" s="85"/>
      <c r="J9" s="85"/>
      <c r="K9" s="85"/>
      <c r="L9" s="11"/>
      <c r="M9" s="11"/>
      <c r="N9" s="49" t="s">
        <v>93</v>
      </c>
      <c r="O9" s="45"/>
      <c r="P9" s="93" t="e">
        <f>D14/(D11-D9)</f>
        <v>#DIV/0!</v>
      </c>
      <c r="Q9" s="93" t="e">
        <f>E14/(E11-E9)</f>
        <v>#DIV/0!</v>
      </c>
      <c r="R9" s="93">
        <f>F14/(F11-F9)</f>
        <v>0.33925687932901033</v>
      </c>
      <c r="S9" s="93">
        <f>G14/(G11-G9)</f>
        <v>0.28606489188974926</v>
      </c>
      <c r="T9" s="18"/>
      <c r="U9" s="18"/>
      <c r="V9" s="18"/>
      <c r="W9" s="18"/>
    </row>
    <row r="10" spans="1:23" ht="22.5" x14ac:dyDescent="0.25">
      <c r="A10" s="6" t="s">
        <v>53</v>
      </c>
      <c r="B10" s="10">
        <f t="shared" ref="B10:H10" si="0">B6-B9</f>
        <v>0</v>
      </c>
      <c r="C10" s="10">
        <f t="shared" si="0"/>
        <v>0</v>
      </c>
      <c r="D10" s="89">
        <f t="shared" si="0"/>
        <v>0</v>
      </c>
      <c r="E10" s="89">
        <f t="shared" si="0"/>
        <v>0</v>
      </c>
      <c r="F10" s="89">
        <f t="shared" si="0"/>
        <v>27966.5</v>
      </c>
      <c r="G10" s="89">
        <f t="shared" si="0"/>
        <v>33232.300000000003</v>
      </c>
      <c r="H10" s="89">
        <f t="shared" si="0"/>
        <v>0</v>
      </c>
      <c r="I10" s="89"/>
      <c r="J10" s="89"/>
      <c r="K10" s="89"/>
      <c r="L10" s="11"/>
      <c r="M10" s="11"/>
      <c r="N10" s="42" t="s">
        <v>92</v>
      </c>
      <c r="O10" s="43"/>
      <c r="P10" s="44" t="e">
        <f>D14/D11</f>
        <v>#DIV/0!</v>
      </c>
      <c r="Q10" s="44" t="e">
        <f>E14/E11</f>
        <v>#DIV/0!</v>
      </c>
      <c r="R10" s="44">
        <f>F14/F11</f>
        <v>0.20284870259734766</v>
      </c>
      <c r="S10" s="44">
        <f>G14/G11</f>
        <v>0.17753430863337499</v>
      </c>
      <c r="T10" s="18"/>
      <c r="U10" s="18"/>
      <c r="V10" s="18"/>
      <c r="W10" s="18"/>
    </row>
    <row r="11" spans="1:23" x14ac:dyDescent="0.25">
      <c r="A11" s="6" t="s">
        <v>1</v>
      </c>
      <c r="B11" s="10">
        <f>B5-B9</f>
        <v>0</v>
      </c>
      <c r="C11" s="10">
        <f t="shared" ref="C11:H11" si="1">SUM(C6:C8)</f>
        <v>0</v>
      </c>
      <c r="D11" s="89">
        <f t="shared" si="1"/>
        <v>0</v>
      </c>
      <c r="E11" s="89">
        <f t="shared" si="1"/>
        <v>0</v>
      </c>
      <c r="F11" s="89">
        <f>SUM(F6:F8)</f>
        <v>50347.13</v>
      </c>
      <c r="G11" s="89">
        <f>SUM(G6:G8)</f>
        <v>62601.59</v>
      </c>
      <c r="H11" s="89">
        <f t="shared" si="1"/>
        <v>0</v>
      </c>
      <c r="I11" s="89"/>
      <c r="J11" s="89"/>
      <c r="K11" s="89"/>
      <c r="L11" s="11"/>
      <c r="M11" s="11"/>
      <c r="N11" s="42" t="s">
        <v>17</v>
      </c>
      <c r="O11" s="43"/>
      <c r="P11" s="44" t="e">
        <f>D14/AVERAGE(C22:D22)</f>
        <v>#DIV/0!</v>
      </c>
      <c r="Q11" s="44" t="e">
        <f>E14/AVERAGE(D22:E22)</f>
        <v>#DIV/0!</v>
      </c>
      <c r="R11" s="44">
        <f>F14/AVERAGE(E22:F22)</f>
        <v>4.0591878261845592E-2</v>
      </c>
      <c r="S11" s="44">
        <f>G14/AVERAGE(F22:G22)</f>
        <v>4.3146899365823159E-2</v>
      </c>
      <c r="T11" s="18"/>
      <c r="U11" s="18"/>
      <c r="V11" s="18"/>
      <c r="W11" s="18"/>
    </row>
    <row r="12" spans="1:23" x14ac:dyDescent="0.25">
      <c r="A12" s="6" t="s">
        <v>91</v>
      </c>
      <c r="B12" s="10"/>
      <c r="C12" s="10"/>
      <c r="D12" s="89"/>
      <c r="E12" s="89"/>
      <c r="F12" s="89">
        <v>693.58</v>
      </c>
      <c r="G12" s="89">
        <v>1252.78</v>
      </c>
      <c r="H12" s="89">
        <v>0</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0</v>
      </c>
      <c r="F13" s="88">
        <f>F11+F12</f>
        <v>51040.71</v>
      </c>
      <c r="G13" s="88">
        <f>G11+G12</f>
        <v>63854.369999999995</v>
      </c>
      <c r="H13" s="88">
        <f>H11+H12</f>
        <v>0</v>
      </c>
      <c r="I13" s="88"/>
      <c r="J13" s="88"/>
      <c r="K13" s="88"/>
      <c r="L13" s="11"/>
      <c r="M13" s="11"/>
      <c r="N13" s="42" t="s">
        <v>19</v>
      </c>
      <c r="O13" s="43"/>
      <c r="P13" s="44" t="e">
        <f>D24/D23</f>
        <v>#DIV/0!</v>
      </c>
      <c r="Q13" s="44" t="e">
        <f>E24/E23</f>
        <v>#DIV/0!</v>
      </c>
      <c r="R13" s="44">
        <f>F24/F23</f>
        <v>2.4719277864092296E-2</v>
      </c>
      <c r="S13" s="44">
        <f>G24/G23</f>
        <v>3.8953057392667446E-2</v>
      </c>
      <c r="T13" s="48"/>
      <c r="U13" s="18"/>
      <c r="V13" s="18"/>
      <c r="W13" s="18"/>
    </row>
    <row r="14" spans="1:23" x14ac:dyDescent="0.25">
      <c r="A14" s="6" t="s">
        <v>26</v>
      </c>
      <c r="B14" s="7"/>
      <c r="C14" s="7"/>
      <c r="D14" s="85"/>
      <c r="E14" s="85"/>
      <c r="F14" s="85">
        <f>1237.71+3638.58+684+4652.56</f>
        <v>10212.85</v>
      </c>
      <c r="G14" s="85">
        <f>4411.14+569.57+6133.22</f>
        <v>11113.93</v>
      </c>
      <c r="H14" s="85"/>
      <c r="I14" s="85"/>
      <c r="J14" s="85"/>
      <c r="K14" s="85"/>
      <c r="L14" s="11"/>
      <c r="M14" s="11"/>
      <c r="N14" s="42" t="s">
        <v>20</v>
      </c>
      <c r="O14" s="43"/>
      <c r="P14" s="44" t="e">
        <f>D25/D23</f>
        <v>#DIV/0!</v>
      </c>
      <c r="Q14" s="44" t="e">
        <f>E25/E23</f>
        <v>#DIV/0!</v>
      </c>
      <c r="R14" s="44">
        <f>F25/F23</f>
        <v>8.8825874054694175E-3</v>
      </c>
      <c r="S14" s="44">
        <f>G25/G23</f>
        <v>1.592641016684794E-2</v>
      </c>
      <c r="T14" s="48"/>
      <c r="U14" s="18"/>
      <c r="V14" s="18"/>
      <c r="W14" s="18"/>
    </row>
    <row r="15" spans="1:23" x14ac:dyDescent="0.25">
      <c r="A15" s="6" t="s">
        <v>54</v>
      </c>
      <c r="B15" s="10"/>
      <c r="C15" s="10"/>
      <c r="D15" s="89">
        <f>D11-D14</f>
        <v>0</v>
      </c>
      <c r="E15" s="89">
        <f>E11-E14</f>
        <v>0</v>
      </c>
      <c r="F15" s="89">
        <f>F11-F14</f>
        <v>40134.28</v>
      </c>
      <c r="G15" s="89">
        <f>G11-G14</f>
        <v>51487.659999999996</v>
      </c>
      <c r="H15" s="89">
        <f>H11-H14</f>
        <v>0</v>
      </c>
      <c r="I15" s="89"/>
      <c r="J15" s="89"/>
      <c r="K15" s="89"/>
      <c r="L15" s="11"/>
      <c r="M15" s="11"/>
      <c r="N15" s="42" t="s">
        <v>21</v>
      </c>
      <c r="O15" s="43"/>
      <c r="P15" s="44" t="e">
        <f>(P13-P14)/P13</f>
        <v>#DIV/0!</v>
      </c>
      <c r="Q15" s="44" t="e">
        <f>(Q13-Q14)/Q13</f>
        <v>#DIV/0!</v>
      </c>
      <c r="R15" s="44">
        <f>(R13-R14)/R13</f>
        <v>0.64066153330585607</v>
      </c>
      <c r="S15" s="44">
        <f>(S13-S14)/S13</f>
        <v>0.59113837955513238</v>
      </c>
      <c r="T15" s="44" t="e">
        <f>(T13-T14)/T13</f>
        <v>#DIV/0!</v>
      </c>
      <c r="U15" s="18"/>
      <c r="V15" s="18"/>
      <c r="W15" s="18"/>
    </row>
    <row r="16" spans="1:23" x14ac:dyDescent="0.25">
      <c r="A16" s="6" t="s">
        <v>94</v>
      </c>
      <c r="B16" s="10"/>
      <c r="C16" s="10"/>
      <c r="D16" s="89">
        <f>D13-D14-D9</f>
        <v>0</v>
      </c>
      <c r="E16" s="89">
        <f>E13-E14-E9</f>
        <v>0</v>
      </c>
      <c r="F16" s="89">
        <f>F13-F14-F9</f>
        <v>20584.32</v>
      </c>
      <c r="G16" s="89">
        <f>G13-G14-G9</f>
        <v>28989.929999999997</v>
      </c>
      <c r="H16" s="89">
        <f>H13-H14-H9</f>
        <v>0</v>
      </c>
      <c r="I16" s="89"/>
      <c r="J16" s="89"/>
      <c r="K16" s="89"/>
      <c r="L16" s="11"/>
      <c r="M16" s="11"/>
      <c r="N16" s="42" t="s">
        <v>22</v>
      </c>
      <c r="O16" s="43"/>
      <c r="P16" s="44" t="e">
        <f>D17/AVERAGE(C23:D23)</f>
        <v>#DIV/0!</v>
      </c>
      <c r="Q16" s="44" t="e">
        <f>E17/AVERAGE(D23:E23)</f>
        <v>#DIV/0!</v>
      </c>
      <c r="R16" s="44">
        <f>F17/AVERAGE(E23:F23)</f>
        <v>8.4593558604224281E-2</v>
      </c>
      <c r="S16" s="44">
        <f>G17/AVERAGE(F23:G23)</f>
        <v>0.20169660994869529</v>
      </c>
      <c r="T16" s="18"/>
      <c r="U16" s="18"/>
      <c r="V16" s="18"/>
      <c r="W16" s="18"/>
    </row>
    <row r="17" spans="1:23" x14ac:dyDescent="0.25">
      <c r="A17" s="6" t="s">
        <v>27</v>
      </c>
      <c r="B17" s="7"/>
      <c r="C17" s="7"/>
      <c r="D17" s="88"/>
      <c r="E17" s="85"/>
      <c r="F17" s="85">
        <v>17768.52</v>
      </c>
      <c r="G17" s="85">
        <v>41471.199999999997</v>
      </c>
      <c r="H17" s="85"/>
      <c r="I17" s="85"/>
      <c r="J17" s="85"/>
      <c r="K17" s="85"/>
      <c r="L17" s="11"/>
      <c r="M17" s="11"/>
      <c r="N17" s="18"/>
      <c r="O17" s="18"/>
      <c r="P17" s="18"/>
      <c r="Q17" s="18"/>
      <c r="R17" s="18"/>
      <c r="S17" s="18"/>
      <c r="T17" s="18"/>
      <c r="U17" s="18"/>
      <c r="V17" s="18"/>
      <c r="W17" s="18"/>
    </row>
    <row r="18" spans="1:23" x14ac:dyDescent="0.25">
      <c r="A18" s="6" t="s">
        <v>55</v>
      </c>
      <c r="B18" s="7"/>
      <c r="C18" s="7"/>
      <c r="D18" s="88"/>
      <c r="E18" s="85"/>
      <c r="F18" s="89">
        <v>1831.94</v>
      </c>
      <c r="G18" s="89">
        <v>-14143.97</v>
      </c>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c r="F19" s="85">
        <v>74161.37</v>
      </c>
      <c r="G19" s="85">
        <v>60041.84</v>
      </c>
      <c r="H19" s="85"/>
      <c r="I19" s="85"/>
      <c r="J19" s="85"/>
      <c r="K19" s="85"/>
      <c r="L19" s="11"/>
      <c r="M19" s="11"/>
      <c r="N19" s="46" t="s">
        <v>95</v>
      </c>
      <c r="O19" s="51"/>
      <c r="P19" s="51"/>
      <c r="Q19" s="52" t="e">
        <f>E16/AVERAGE(D22:E22)</f>
        <v>#DIV/0!</v>
      </c>
      <c r="R19" s="52">
        <f>F16/AVERAGE(E22:F22)</f>
        <v>8.1814205784171257E-2</v>
      </c>
      <c r="S19" s="52">
        <f>G16/AVERAGE(F22:G22)</f>
        <v>0.11254575045301327</v>
      </c>
      <c r="T19" s="18"/>
      <c r="U19" s="18"/>
      <c r="V19" s="18"/>
      <c r="W19" s="18"/>
    </row>
    <row r="20" spans="1:23" x14ac:dyDescent="0.25">
      <c r="A20" s="6" t="s">
        <v>56</v>
      </c>
      <c r="B20" s="7"/>
      <c r="C20" s="7"/>
      <c r="D20" s="88">
        <f>D19-D71</f>
        <v>0</v>
      </c>
      <c r="E20" s="89">
        <f>E19-E71</f>
        <v>0</v>
      </c>
      <c r="F20" s="89">
        <f>F19-F71</f>
        <v>74161.37</v>
      </c>
      <c r="G20" s="89">
        <f>G19-G71</f>
        <v>60041.84</v>
      </c>
      <c r="H20" s="89">
        <f>H19-H71</f>
        <v>0</v>
      </c>
      <c r="I20" s="89"/>
      <c r="J20" s="89"/>
      <c r="K20" s="89"/>
      <c r="L20" s="11"/>
      <c r="M20" s="11"/>
      <c r="N20" s="42" t="s">
        <v>31</v>
      </c>
      <c r="O20" s="43"/>
      <c r="P20" s="43">
        <v>4.4699999999999997E-2</v>
      </c>
      <c r="Q20" s="44" t="e">
        <f>E18/AVERAGE(D22:E22)</f>
        <v>#DIV/0!</v>
      </c>
      <c r="R20" s="44">
        <f>F18/AVERAGE(E22:F22)</f>
        <v>7.2812080333115054E-3</v>
      </c>
      <c r="S20" s="44">
        <f>G18/AVERAGE(F22:G22)</f>
        <v>-5.4910229794791023E-2</v>
      </c>
      <c r="T20" s="48"/>
      <c r="U20" s="18"/>
      <c r="V20" s="18"/>
      <c r="W20" s="18"/>
    </row>
    <row r="21" spans="1:23" x14ac:dyDescent="0.25">
      <c r="A21" s="6" t="s">
        <v>57</v>
      </c>
      <c r="B21" s="9"/>
      <c r="C21" s="9"/>
      <c r="D21" s="85"/>
      <c r="E21" s="85"/>
      <c r="F21" s="85">
        <f>88678.55+71964.66+2529.12</f>
        <v>163172.33000000002</v>
      </c>
      <c r="G21" s="85">
        <f>120026.19+57114.59+2529.5</f>
        <v>179670.28</v>
      </c>
      <c r="H21" s="85"/>
      <c r="I21" s="85"/>
      <c r="J21" s="85"/>
      <c r="K21" s="85"/>
      <c r="L21" s="11"/>
      <c r="M21" s="11"/>
      <c r="N21" s="42" t="s">
        <v>32</v>
      </c>
      <c r="O21" s="43"/>
      <c r="P21" s="44" t="e">
        <f>D18/AVERAGE(C19:D19)</f>
        <v>#DIV/0!</v>
      </c>
      <c r="Q21" s="44" t="e">
        <f>E18/AVERAGE(D19:E19)</f>
        <v>#DIV/0!</v>
      </c>
      <c r="R21" s="44">
        <f>F18/AVERAGE(E19:F19)</f>
        <v>2.4702078723734474E-2</v>
      </c>
      <c r="S21" s="44">
        <f>G18/AVERAGE(F19:G19)</f>
        <v>-0.21078437691617063</v>
      </c>
      <c r="T21" s="18"/>
      <c r="U21" s="18"/>
      <c r="V21" s="18"/>
      <c r="W21" s="18"/>
    </row>
    <row r="22" spans="1:23" x14ac:dyDescent="0.25">
      <c r="A22" s="6" t="s">
        <v>29</v>
      </c>
      <c r="B22" s="7"/>
      <c r="C22" s="7"/>
      <c r="D22" s="88"/>
      <c r="E22" s="85"/>
      <c r="F22" s="85">
        <v>251598.36</v>
      </c>
      <c r="G22" s="85">
        <v>263568.67</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c r="F23" s="85">
        <v>210045.78</v>
      </c>
      <c r="G23" s="85">
        <v>201177.79</v>
      </c>
      <c r="H23" s="85"/>
      <c r="I23" s="85"/>
      <c r="J23" s="85"/>
      <c r="K23" s="85"/>
      <c r="L23" s="11"/>
      <c r="M23" s="11"/>
      <c r="N23" s="42" t="s">
        <v>34</v>
      </c>
      <c r="O23" s="43"/>
      <c r="P23" s="44" t="e">
        <f>D6/AVERAGE(C23:D23)</f>
        <v>#DIV/0!</v>
      </c>
      <c r="Q23" s="44" t="e">
        <f>E6/AVERAGE(D23:E23)</f>
        <v>#DIV/0!</v>
      </c>
      <c r="R23" s="44">
        <f>F6/AVERAGE(E23:F23)</f>
        <v>0.2295215833424504</v>
      </c>
      <c r="S23" s="44">
        <f>G6/AVERAGE(F23:G23)</f>
        <v>0.27713785958329185</v>
      </c>
      <c r="T23" s="18"/>
      <c r="U23" s="18"/>
      <c r="V23" s="18"/>
      <c r="W23" s="18"/>
    </row>
    <row r="24" spans="1:23" x14ac:dyDescent="0.25">
      <c r="A24" s="6" t="s">
        <v>59</v>
      </c>
      <c r="B24" s="10"/>
      <c r="C24" s="10"/>
      <c r="D24" s="89"/>
      <c r="E24" s="89"/>
      <c r="F24" s="89">
        <v>5192.18</v>
      </c>
      <c r="G24" s="89">
        <v>7836.49</v>
      </c>
      <c r="H24" s="89"/>
      <c r="I24" s="89"/>
      <c r="J24" s="89"/>
      <c r="K24" s="89"/>
      <c r="L24" s="11"/>
      <c r="M24" s="11"/>
      <c r="N24" s="42" t="s">
        <v>35</v>
      </c>
      <c r="O24" s="43"/>
      <c r="P24" s="44" t="e">
        <f>D9/AVERAGE(C21:D21)</f>
        <v>#DIV/0!</v>
      </c>
      <c r="Q24" s="44" t="e">
        <f>E9/AVERAGE(D21:E21)</f>
        <v>#DIV/0!</v>
      </c>
      <c r="R24" s="44">
        <f>F9/AVERAGE(E21:F21)</f>
        <v>0.12406233336252537</v>
      </c>
      <c r="S24" s="44">
        <f>G9/AVERAGE(F21:G21)</f>
        <v>0.13855051447659905</v>
      </c>
      <c r="T24" s="18"/>
      <c r="U24" s="18"/>
      <c r="V24" s="18"/>
      <c r="W24" s="18"/>
    </row>
    <row r="25" spans="1:23" x14ac:dyDescent="0.25">
      <c r="A25" s="6" t="s">
        <v>60</v>
      </c>
      <c r="B25" s="10"/>
      <c r="C25" s="10"/>
      <c r="D25" s="89"/>
      <c r="E25" s="89"/>
      <c r="F25" s="89">
        <v>1865.75</v>
      </c>
      <c r="G25" s="89">
        <v>3204.04</v>
      </c>
      <c r="H25" s="89"/>
      <c r="I25" s="89"/>
      <c r="J25" s="89"/>
      <c r="K25" s="89"/>
      <c r="L25" s="11"/>
      <c r="M25" s="11"/>
      <c r="N25" s="42" t="s">
        <v>36</v>
      </c>
      <c r="O25" s="43"/>
      <c r="P25" s="48" t="e">
        <f>P23-P24</f>
        <v>#DIV/0!</v>
      </c>
      <c r="Q25" s="48" t="e">
        <f>Q23-Q24</f>
        <v>#DIV/0!</v>
      </c>
      <c r="R25" s="48">
        <f>R23-R24</f>
        <v>0.10545924997992503</v>
      </c>
      <c r="S25" s="48">
        <f>S23-S24</f>
        <v>0.13858734510669279</v>
      </c>
      <c r="T25" s="18"/>
      <c r="U25" s="18"/>
      <c r="V25" s="18"/>
      <c r="W25" s="18"/>
    </row>
  </sheetData>
  <mergeCells count="1">
    <mergeCell ref="I1:K1"/>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W25"/>
  <sheetViews>
    <sheetView workbookViewId="0">
      <selection activeCell="F21" sqref="F21"/>
    </sheetView>
  </sheetViews>
  <sheetFormatPr defaultRowHeight="15" x14ac:dyDescent="0.25"/>
  <cols>
    <col min="1" max="1" width="28.140625" customWidth="1"/>
    <col min="4" max="4" width="11.28515625" customWidth="1"/>
    <col min="5" max="5" width="11.42578125" customWidth="1"/>
    <col min="6" max="6" width="11.7109375" customWidth="1"/>
    <col min="7" max="7" width="10.42578125" customWidth="1"/>
    <col min="14" max="14" width="28.7109375" customWidth="1"/>
    <col min="17" max="17" width="12.7109375" customWidth="1"/>
  </cols>
  <sheetData>
    <row r="1" spans="1:23" x14ac:dyDescent="0.25">
      <c r="I1" s="772" t="s">
        <v>114</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0.14588442432245488</v>
      </c>
      <c r="S3" s="44">
        <f>G10/AVERAGE(F23:G23)</f>
        <v>0.14664622161673929</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495.27</v>
      </c>
      <c r="G5" s="90">
        <v>431.92</v>
      </c>
      <c r="H5" s="85"/>
      <c r="I5" s="85"/>
      <c r="J5" s="85"/>
      <c r="K5" s="85"/>
      <c r="L5" s="11"/>
      <c r="M5" s="11"/>
      <c r="N5" s="42" t="s">
        <v>13</v>
      </c>
      <c r="O5" s="46"/>
      <c r="P5" s="47" t="e">
        <f>D21/D20</f>
        <v>#DIV/0!</v>
      </c>
      <c r="Q5" s="47" t="e">
        <f>E21/E20</f>
        <v>#DIV/0!</v>
      </c>
      <c r="R5" s="47">
        <f>F21/F20</f>
        <v>1.7601714209187092</v>
      </c>
      <c r="S5" s="47">
        <f>G21/G20</f>
        <v>2.1539921530856505</v>
      </c>
      <c r="T5" s="18"/>
      <c r="U5" s="18"/>
      <c r="V5" s="18"/>
      <c r="W5" s="18"/>
    </row>
    <row r="6" spans="1:23" x14ac:dyDescent="0.25">
      <c r="A6" s="6" t="s">
        <v>50</v>
      </c>
      <c r="B6" s="7"/>
      <c r="C6" s="8"/>
      <c r="F6" s="85">
        <v>467.15</v>
      </c>
      <c r="G6" s="85">
        <v>402.9</v>
      </c>
      <c r="H6" s="85"/>
      <c r="I6" s="85"/>
      <c r="J6" s="85"/>
      <c r="K6" s="85"/>
      <c r="L6" s="11"/>
      <c r="M6" s="11"/>
      <c r="N6" s="42" t="s">
        <v>14</v>
      </c>
      <c r="O6" s="43"/>
      <c r="P6" s="43"/>
      <c r="Q6" s="43"/>
      <c r="R6" s="43">
        <v>0.4118</v>
      </c>
      <c r="S6" s="48">
        <v>0.36030000000000001</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0.46953405017921152</v>
      </c>
      <c r="S7" s="44">
        <f>G20/G23</f>
        <v>0.40523817450249966</v>
      </c>
      <c r="T7" s="18"/>
      <c r="U7" s="18"/>
      <c r="V7" s="18"/>
      <c r="W7" s="18"/>
    </row>
    <row r="8" spans="1:23" x14ac:dyDescent="0.25">
      <c r="A8" s="6" t="s">
        <v>52</v>
      </c>
      <c r="B8" s="7"/>
      <c r="C8" s="8"/>
      <c r="D8" s="85">
        <f>D5-D6-D7</f>
        <v>0</v>
      </c>
      <c r="E8" s="85">
        <f>E5-E6-E7</f>
        <v>0</v>
      </c>
      <c r="F8" s="85">
        <f>F5-F6-F7</f>
        <v>28.120000000000005</v>
      </c>
      <c r="G8" s="85">
        <f>G5-G6-G7</f>
        <v>29.020000000000039</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c r="E9" s="85"/>
      <c r="F9" s="85">
        <v>235.15</v>
      </c>
      <c r="G9" s="85">
        <v>158.55000000000001</v>
      </c>
      <c r="H9" s="85"/>
      <c r="I9" s="85"/>
      <c r="J9" s="85"/>
      <c r="K9" s="85"/>
      <c r="L9" s="11"/>
      <c r="M9" s="11"/>
      <c r="N9" s="49" t="s">
        <v>93</v>
      </c>
      <c r="O9" s="45"/>
      <c r="P9" s="93" t="e">
        <f>D14/(D11-D9)</f>
        <v>#DIV/0!</v>
      </c>
      <c r="Q9" s="93" t="e">
        <f>E14/(E11-E9)</f>
        <v>#DIV/0!</v>
      </c>
      <c r="R9" s="93">
        <f>F14/(F11-F9)</f>
        <v>0.69525603567584193</v>
      </c>
      <c r="S9" s="93">
        <f>G14/(G11-G9)</f>
        <v>0.8382412115447927</v>
      </c>
      <c r="T9" s="18"/>
      <c r="U9" s="18"/>
      <c r="V9" s="18"/>
      <c r="W9" s="18"/>
    </row>
    <row r="10" spans="1:23" ht="22.5" x14ac:dyDescent="0.25">
      <c r="A10" s="6" t="s">
        <v>53</v>
      </c>
      <c r="B10" s="10">
        <f t="shared" ref="B10:H10" si="0">B6-B9</f>
        <v>0</v>
      </c>
      <c r="C10" s="10">
        <f t="shared" si="0"/>
        <v>0</v>
      </c>
      <c r="D10" s="89">
        <f t="shared" si="0"/>
        <v>0</v>
      </c>
      <c r="E10" s="89">
        <f t="shared" si="0"/>
        <v>0</v>
      </c>
      <c r="F10" s="89">
        <f t="shared" si="0"/>
        <v>231.99999999999997</v>
      </c>
      <c r="G10" s="89">
        <f t="shared" si="0"/>
        <v>244.34999999999997</v>
      </c>
      <c r="H10" s="89">
        <f t="shared" si="0"/>
        <v>0</v>
      </c>
      <c r="I10" s="89"/>
      <c r="J10" s="89"/>
      <c r="K10" s="89"/>
      <c r="L10" s="11"/>
      <c r="M10" s="11"/>
      <c r="N10" s="42" t="s">
        <v>92</v>
      </c>
      <c r="O10" s="43"/>
      <c r="P10" s="44" t="e">
        <f>D14/D11</f>
        <v>#DIV/0!</v>
      </c>
      <c r="Q10" s="44" t="e">
        <f>E14/E11</f>
        <v>#DIV/0!</v>
      </c>
      <c r="R10" s="44">
        <f>F14/F11</f>
        <v>0.36515436024794556</v>
      </c>
      <c r="S10" s="44">
        <f>G14/G11</f>
        <v>0.5305380626041859</v>
      </c>
      <c r="T10" s="18"/>
      <c r="U10" s="18"/>
      <c r="V10" s="18"/>
      <c r="W10" s="18"/>
    </row>
    <row r="11" spans="1:23" ht="22.5" x14ac:dyDescent="0.25">
      <c r="A11" s="6" t="s">
        <v>1</v>
      </c>
      <c r="B11" s="10">
        <f>B5-B9</f>
        <v>0</v>
      </c>
      <c r="C11" s="10">
        <f t="shared" ref="C11:H11" si="1">SUM(C6:C8)</f>
        <v>0</v>
      </c>
      <c r="D11" s="89">
        <f t="shared" si="1"/>
        <v>0</v>
      </c>
      <c r="E11" s="89">
        <f t="shared" si="1"/>
        <v>0</v>
      </c>
      <c r="F11" s="89">
        <f>SUM(F6:F8)</f>
        <v>495.27</v>
      </c>
      <c r="G11" s="89">
        <f>SUM(G6:G8)</f>
        <v>431.92</v>
      </c>
      <c r="H11" s="89">
        <f t="shared" si="1"/>
        <v>0</v>
      </c>
      <c r="I11" s="89"/>
      <c r="J11" s="89"/>
      <c r="K11" s="89"/>
      <c r="L11" s="11"/>
      <c r="M11" s="11"/>
      <c r="N11" s="42" t="s">
        <v>17</v>
      </c>
      <c r="O11" s="43"/>
      <c r="P11" s="44" t="e">
        <f>D14/AVERAGE(C22:D22)</f>
        <v>#DIV/0!</v>
      </c>
      <c r="Q11" s="44" t="e">
        <f>E14/AVERAGE(D22:E22)</f>
        <v>#DIV/0!</v>
      </c>
      <c r="R11" s="44">
        <f>F14/AVERAGE(E22:F22)</f>
        <v>8.5026257763318125E-2</v>
      </c>
      <c r="S11" s="44">
        <f>G14/AVERAGE(F22:G22)</f>
        <v>0.10314522027794969</v>
      </c>
      <c r="T11" s="18"/>
      <c r="U11" s="18"/>
      <c r="V11" s="18"/>
      <c r="W11" s="18"/>
    </row>
    <row r="12" spans="1:23" x14ac:dyDescent="0.25">
      <c r="A12" s="6" t="s">
        <v>91</v>
      </c>
      <c r="B12" s="10"/>
      <c r="C12" s="10"/>
      <c r="D12" s="89"/>
      <c r="E12" s="89"/>
      <c r="F12" s="89">
        <v>4.1500000000000004</v>
      </c>
      <c r="G12" s="89">
        <v>11.57</v>
      </c>
      <c r="H12" s="89">
        <v>0</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0</v>
      </c>
      <c r="F13" s="88">
        <f>F11+F12</f>
        <v>499.41999999999996</v>
      </c>
      <c r="G13" s="88">
        <f>G11+G12</f>
        <v>443.49</v>
      </c>
      <c r="H13" s="88">
        <f>H11+H12</f>
        <v>0</v>
      </c>
      <c r="I13" s="88"/>
      <c r="J13" s="88"/>
      <c r="K13" s="88"/>
      <c r="L13" s="11"/>
      <c r="M13" s="11"/>
      <c r="N13" s="42" t="s">
        <v>19</v>
      </c>
      <c r="O13" s="43"/>
      <c r="P13" s="44" t="e">
        <f>D24/D23</f>
        <v>#DIV/0!</v>
      </c>
      <c r="Q13" s="44" t="e">
        <f>E24/E23</f>
        <v>#DIV/0!</v>
      </c>
      <c r="R13" s="44">
        <f>F24/F23</f>
        <v>3.2685656794315537E-2</v>
      </c>
      <c r="S13" s="44">
        <f>G24/G23</f>
        <v>3.2877781668111193E-2</v>
      </c>
      <c r="T13" s="48"/>
      <c r="U13" s="18"/>
      <c r="V13" s="18"/>
      <c r="W13" s="18"/>
    </row>
    <row r="14" spans="1:23" x14ac:dyDescent="0.25">
      <c r="A14" s="6" t="s">
        <v>26</v>
      </c>
      <c r="B14" s="7"/>
      <c r="C14" s="7"/>
      <c r="D14" s="85"/>
      <c r="E14" s="85"/>
      <c r="F14" s="85">
        <f>141.44+9.29+30.12</f>
        <v>180.85</v>
      </c>
      <c r="G14" s="85">
        <f>175.76+9.97+43.42</f>
        <v>229.14999999999998</v>
      </c>
      <c r="H14" s="85"/>
      <c r="I14" s="85"/>
      <c r="J14" s="85"/>
      <c r="K14" s="85"/>
      <c r="L14" s="11"/>
      <c r="M14" s="11"/>
      <c r="N14" s="42" t="s">
        <v>20</v>
      </c>
      <c r="O14" s="43"/>
      <c r="P14" s="44" t="e">
        <f>D25/D23</f>
        <v>#DIV/0!</v>
      </c>
      <c r="Q14" s="44" t="e">
        <f>E25/E23</f>
        <v>#DIV/0!</v>
      </c>
      <c r="R14" s="44">
        <f>F25/F23</f>
        <v>7.7972709551656924E-3</v>
      </c>
      <c r="S14" s="44">
        <f>G25/G23</f>
        <v>1.3442696345446302E-2</v>
      </c>
      <c r="T14" s="48"/>
      <c r="U14" s="18"/>
      <c r="V14" s="18"/>
      <c r="W14" s="18"/>
    </row>
    <row r="15" spans="1:23" x14ac:dyDescent="0.25">
      <c r="A15" s="6" t="s">
        <v>54</v>
      </c>
      <c r="B15" s="10"/>
      <c r="C15" s="10"/>
      <c r="D15" s="89">
        <f>D11-D14</f>
        <v>0</v>
      </c>
      <c r="E15" s="89">
        <f>E11-E14</f>
        <v>0</v>
      </c>
      <c r="F15" s="89">
        <f>F11-F14</f>
        <v>314.41999999999996</v>
      </c>
      <c r="G15" s="89">
        <f>G11-G14</f>
        <v>202.77000000000004</v>
      </c>
      <c r="H15" s="89">
        <f>H11-H14</f>
        <v>0</v>
      </c>
      <c r="I15" s="89"/>
      <c r="J15" s="89"/>
      <c r="K15" s="89"/>
      <c r="L15" s="11"/>
      <c r="M15" s="11"/>
      <c r="N15" s="42" t="s">
        <v>21</v>
      </c>
      <c r="O15" s="43"/>
      <c r="P15" s="44" t="e">
        <f>(P13-P14)/P13</f>
        <v>#DIV/0!</v>
      </c>
      <c r="Q15" s="44" t="e">
        <f>(Q13-Q14)/Q13</f>
        <v>#DIV/0!</v>
      </c>
      <c r="R15" s="44">
        <f>(R13-R14)/R13</f>
        <v>0.761446710273182</v>
      </c>
      <c r="S15" s="44">
        <f>(S13-S14)/S13</f>
        <v>0.59113128491620115</v>
      </c>
      <c r="T15" s="44" t="e">
        <f>(T13-T14)/T13</f>
        <v>#DIV/0!</v>
      </c>
      <c r="U15" s="18"/>
      <c r="V15" s="18"/>
      <c r="W15" s="18"/>
    </row>
    <row r="16" spans="1:23" x14ac:dyDescent="0.25">
      <c r="A16" s="6" t="s">
        <v>94</v>
      </c>
      <c r="B16" s="10"/>
      <c r="C16" s="10"/>
      <c r="D16" s="89">
        <f>D13-D14-D9</f>
        <v>0</v>
      </c>
      <c r="E16" s="89">
        <f>E13-E14-E9</f>
        <v>0</v>
      </c>
      <c r="F16" s="89">
        <f>F13-F14-F9</f>
        <v>83.419999999999931</v>
      </c>
      <c r="G16" s="89">
        <f>G13-G14-G9</f>
        <v>55.79000000000002</v>
      </c>
      <c r="H16" s="89">
        <f>H13-H14-H9</f>
        <v>0</v>
      </c>
      <c r="I16" s="89"/>
      <c r="J16" s="89"/>
      <c r="K16" s="89"/>
      <c r="L16" s="11"/>
      <c r="M16" s="11"/>
      <c r="N16" s="42" t="s">
        <v>22</v>
      </c>
      <c r="O16" s="43"/>
      <c r="P16" s="44" t="e">
        <f>D17/AVERAGE(C23:D23)</f>
        <v>#DIV/0!</v>
      </c>
      <c r="Q16" s="44" t="e">
        <f>E17/AVERAGE(D23:E23)</f>
        <v>#DIV/0!</v>
      </c>
      <c r="R16" s="44">
        <f>F17/AVERAGE(E23:F23)</f>
        <v>3.4622398289630887E-2</v>
      </c>
      <c r="S16" s="44">
        <f>G17/AVERAGE(F23:G23)</f>
        <v>7.2677951454009126E-2</v>
      </c>
      <c r="T16" s="18"/>
      <c r="U16" s="18"/>
      <c r="V16" s="18"/>
      <c r="W16" s="18"/>
    </row>
    <row r="17" spans="1:23" x14ac:dyDescent="0.25">
      <c r="A17" s="6" t="s">
        <v>27</v>
      </c>
      <c r="B17" s="7"/>
      <c r="C17" s="7"/>
      <c r="D17" s="88"/>
      <c r="E17" s="85"/>
      <c r="F17" s="85">
        <v>55.06</v>
      </c>
      <c r="G17" s="85">
        <v>121.1</v>
      </c>
      <c r="H17" s="85"/>
      <c r="I17" s="85"/>
      <c r="J17" s="85"/>
      <c r="K17" s="85"/>
      <c r="L17" s="11"/>
      <c r="M17" s="11"/>
      <c r="N17" s="18"/>
      <c r="O17" s="18"/>
      <c r="P17" s="18"/>
      <c r="Q17" s="18"/>
      <c r="R17" s="18"/>
      <c r="S17" s="18"/>
      <c r="T17" s="18"/>
      <c r="U17" s="18"/>
      <c r="V17" s="18"/>
      <c r="W17" s="18"/>
    </row>
    <row r="18" spans="1:23" x14ac:dyDescent="0.25">
      <c r="A18" s="6" t="s">
        <v>55</v>
      </c>
      <c r="B18" s="7"/>
      <c r="C18" s="7"/>
      <c r="D18" s="88"/>
      <c r="E18" s="85"/>
      <c r="F18" s="89">
        <v>16.89</v>
      </c>
      <c r="G18" s="89">
        <v>-45.72</v>
      </c>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c r="F19" s="85">
        <v>746.7</v>
      </c>
      <c r="G19" s="85">
        <v>706.01</v>
      </c>
      <c r="H19" s="85"/>
      <c r="I19" s="85"/>
      <c r="J19" s="85"/>
      <c r="K19" s="85"/>
      <c r="L19" s="11"/>
      <c r="M19" s="11"/>
      <c r="N19" s="46" t="s">
        <v>95</v>
      </c>
      <c r="O19" s="51"/>
      <c r="P19" s="51"/>
      <c r="Q19" s="52" t="e">
        <f>E16/AVERAGE(D22:E22)</f>
        <v>#DIV/0!</v>
      </c>
      <c r="R19" s="52">
        <f>F16/AVERAGE(E22:F22)</f>
        <v>3.9219742452949916E-2</v>
      </c>
      <c r="S19" s="52">
        <f>G16/AVERAGE(F22:G22)</f>
        <v>2.5112248916896424E-2</v>
      </c>
      <c r="T19" s="18"/>
      <c r="U19" s="18"/>
      <c r="V19" s="18"/>
      <c r="W19" s="18"/>
    </row>
    <row r="20" spans="1:23" x14ac:dyDescent="0.25">
      <c r="A20" s="6" t="s">
        <v>56</v>
      </c>
      <c r="B20" s="7"/>
      <c r="C20" s="7"/>
      <c r="D20" s="88">
        <f>D19-D71</f>
        <v>0</v>
      </c>
      <c r="E20" s="89">
        <f>E19-E71</f>
        <v>0</v>
      </c>
      <c r="F20" s="89">
        <f>F19-F71</f>
        <v>746.7</v>
      </c>
      <c r="G20" s="89">
        <f>G19-G71</f>
        <v>706.01</v>
      </c>
      <c r="H20" s="89">
        <f>H19-H71</f>
        <v>0</v>
      </c>
      <c r="I20" s="89"/>
      <c r="J20" s="89"/>
      <c r="K20" s="89"/>
      <c r="L20" s="11"/>
      <c r="M20" s="11"/>
      <c r="N20" s="42" t="s">
        <v>31</v>
      </c>
      <c r="O20" s="43"/>
      <c r="P20" s="43">
        <v>4.4699999999999997E-2</v>
      </c>
      <c r="Q20" s="44" t="e">
        <f>E18/AVERAGE(D22:E22)</f>
        <v>#DIV/0!</v>
      </c>
      <c r="R20" s="44">
        <f>F18/AVERAGE(E22:F22)</f>
        <v>7.9407989694356817E-3</v>
      </c>
      <c r="S20" s="44">
        <f>G18/AVERAGE(F22:G22)</f>
        <v>-2.0579530748888762E-2</v>
      </c>
      <c r="T20" s="48"/>
      <c r="U20" s="18"/>
      <c r="V20" s="18"/>
      <c r="W20" s="18"/>
    </row>
    <row r="21" spans="1:23" x14ac:dyDescent="0.25">
      <c r="A21" s="6" t="s">
        <v>57</v>
      </c>
      <c r="B21" s="9"/>
      <c r="C21" s="9"/>
      <c r="D21" s="85"/>
      <c r="E21" s="85"/>
      <c r="F21" s="85">
        <f>945.44+368.88</f>
        <v>1314.3200000000002</v>
      </c>
      <c r="G21" s="85">
        <f>922.23+598.51</f>
        <v>1520.74</v>
      </c>
      <c r="H21" s="85"/>
      <c r="I21" s="85"/>
      <c r="J21" s="85"/>
      <c r="K21" s="85"/>
      <c r="L21" s="11"/>
      <c r="M21" s="11"/>
      <c r="N21" s="42" t="s">
        <v>32</v>
      </c>
      <c r="O21" s="43"/>
      <c r="P21" s="44" t="e">
        <f>D18/AVERAGE(C19:D19)</f>
        <v>#DIV/0!</v>
      </c>
      <c r="Q21" s="44" t="e">
        <f>E18/AVERAGE(D19:E19)</f>
        <v>#DIV/0!</v>
      </c>
      <c r="R21" s="44">
        <f>F18/AVERAGE(E19:F19)</f>
        <v>2.2619525914021697E-2</v>
      </c>
      <c r="S21" s="44">
        <f>G18/AVERAGE(F19:G19)</f>
        <v>-6.2944428000082597E-2</v>
      </c>
      <c r="T21" s="18"/>
      <c r="U21" s="18"/>
      <c r="V21" s="18"/>
      <c r="W21" s="18"/>
    </row>
    <row r="22" spans="1:23" x14ac:dyDescent="0.25">
      <c r="A22" s="6" t="s">
        <v>29</v>
      </c>
      <c r="B22" s="7"/>
      <c r="C22" s="7"/>
      <c r="D22" s="88"/>
      <c r="E22" s="85"/>
      <c r="F22" s="85">
        <v>2126.9899999999998</v>
      </c>
      <c r="G22" s="85">
        <v>2316.2600000000002</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c r="F23" s="85">
        <v>1590.3</v>
      </c>
      <c r="G23" s="85">
        <v>1742.21</v>
      </c>
      <c r="H23" s="85"/>
      <c r="I23" s="85"/>
      <c r="J23" s="85"/>
      <c r="K23" s="85"/>
      <c r="L23" s="11"/>
      <c r="M23" s="11"/>
      <c r="N23" s="42" t="s">
        <v>34</v>
      </c>
      <c r="O23" s="43"/>
      <c r="P23" s="44" t="e">
        <f>D6/AVERAGE(C23:D23)</f>
        <v>#DIV/0!</v>
      </c>
      <c r="Q23" s="44" t="e">
        <f>E6/AVERAGE(D23:E23)</f>
        <v>#DIV/0!</v>
      </c>
      <c r="R23" s="44">
        <f>F6/AVERAGE(E23:F23)</f>
        <v>0.29374960699239139</v>
      </c>
      <c r="S23" s="44">
        <f>G6/AVERAGE(F23:G23)</f>
        <v>0.24179972453195936</v>
      </c>
      <c r="T23" s="18"/>
      <c r="U23" s="18"/>
      <c r="V23" s="18"/>
      <c r="W23" s="18"/>
    </row>
    <row r="24" spans="1:23" x14ac:dyDescent="0.25">
      <c r="A24" s="6" t="s">
        <v>59</v>
      </c>
      <c r="B24" s="10"/>
      <c r="C24" s="10"/>
      <c r="D24" s="89"/>
      <c r="E24" s="89"/>
      <c r="F24" s="89">
        <v>51.98</v>
      </c>
      <c r="G24" s="89">
        <v>57.28</v>
      </c>
      <c r="H24" s="89"/>
      <c r="I24" s="89"/>
      <c r="J24" s="89"/>
      <c r="K24" s="89"/>
      <c r="L24" s="11"/>
      <c r="M24" s="11"/>
      <c r="N24" s="42" t="s">
        <v>35</v>
      </c>
      <c r="O24" s="43"/>
      <c r="P24" s="44" t="e">
        <f>D9/AVERAGE(C21:D21)</f>
        <v>#DIV/0!</v>
      </c>
      <c r="Q24" s="44" t="e">
        <f>E9/AVERAGE(D21:E21)</f>
        <v>#DIV/0!</v>
      </c>
      <c r="R24" s="44">
        <f>F9/AVERAGE(E21:F21)</f>
        <v>0.17891381094406231</v>
      </c>
      <c r="S24" s="44">
        <f>G9/AVERAGE(F21:G21)</f>
        <v>0.11184948466699117</v>
      </c>
      <c r="T24" s="18"/>
      <c r="U24" s="18"/>
      <c r="V24" s="18"/>
      <c r="W24" s="18"/>
    </row>
    <row r="25" spans="1:23" x14ac:dyDescent="0.25">
      <c r="A25" s="6" t="s">
        <v>60</v>
      </c>
      <c r="B25" s="10"/>
      <c r="C25" s="10"/>
      <c r="D25" s="89"/>
      <c r="E25" s="89"/>
      <c r="F25" s="89">
        <v>12.4</v>
      </c>
      <c r="G25" s="89">
        <v>23.42</v>
      </c>
      <c r="H25" s="89"/>
      <c r="I25" s="89"/>
      <c r="J25" s="89"/>
      <c r="K25" s="89"/>
      <c r="L25" s="11"/>
      <c r="M25" s="11"/>
      <c r="N25" s="42" t="s">
        <v>36</v>
      </c>
      <c r="O25" s="43"/>
      <c r="P25" s="48" t="e">
        <f>P23-P24</f>
        <v>#DIV/0!</v>
      </c>
      <c r="Q25" s="48" t="e">
        <f>Q23-Q24</f>
        <v>#DIV/0!</v>
      </c>
      <c r="R25" s="48">
        <f>R23-R24</f>
        <v>0.11483579604832908</v>
      </c>
      <c r="S25" s="48">
        <f>S23-S24</f>
        <v>0.12995023986496818</v>
      </c>
      <c r="T25" s="18"/>
      <c r="U25" s="18"/>
      <c r="V25" s="18"/>
      <c r="W25" s="18"/>
    </row>
  </sheetData>
  <mergeCells count="1">
    <mergeCell ref="I1:K1"/>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W25"/>
  <sheetViews>
    <sheetView workbookViewId="0">
      <selection activeCell="G13" sqref="G13"/>
    </sheetView>
  </sheetViews>
  <sheetFormatPr defaultRowHeight="15" x14ac:dyDescent="0.25"/>
  <cols>
    <col min="1" max="1" width="33.42578125" customWidth="1"/>
    <col min="4" max="4" width="11.28515625" customWidth="1"/>
    <col min="5" max="5" width="11.42578125" customWidth="1"/>
    <col min="6" max="6" width="11.7109375" customWidth="1"/>
    <col min="7" max="7" width="10.42578125" customWidth="1"/>
    <col min="14" max="14" width="28.7109375" customWidth="1"/>
    <col min="17" max="17" width="12.7109375" customWidth="1"/>
  </cols>
  <sheetData>
    <row r="1" spans="1:23" x14ac:dyDescent="0.25">
      <c r="I1" s="772" t="s">
        <v>119</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0.12062575221098368</v>
      </c>
      <c r="S3" s="44">
        <f>G10/AVERAGE(F23:G23)</f>
        <v>0.13590002245531482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31135.06</v>
      </c>
      <c r="G5" s="90">
        <v>36159.15</v>
      </c>
      <c r="H5" s="85"/>
      <c r="I5" s="85"/>
      <c r="J5" s="85"/>
      <c r="K5" s="85"/>
      <c r="L5" s="11"/>
      <c r="M5" s="11"/>
      <c r="N5" s="42" t="s">
        <v>13</v>
      </c>
      <c r="O5" s="46"/>
      <c r="P5" s="47" t="e">
        <f>D21/D20</f>
        <v>#DIV/0!</v>
      </c>
      <c r="Q5" s="47" t="e">
        <f>E21/E20</f>
        <v>#DIV/0!</v>
      </c>
      <c r="R5" s="47">
        <f>F21/F20</f>
        <v>3.8257284479083675</v>
      </c>
      <c r="S5" s="47">
        <f>G21/G20</f>
        <v>4.2734001033192976</v>
      </c>
      <c r="T5" s="18"/>
      <c r="U5" s="18"/>
      <c r="V5" s="18"/>
      <c r="W5" s="18"/>
    </row>
    <row r="6" spans="1:23" x14ac:dyDescent="0.25">
      <c r="A6" s="6" t="s">
        <v>50</v>
      </c>
      <c r="B6" s="7"/>
      <c r="C6" s="8"/>
      <c r="F6" s="85">
        <v>29594.81</v>
      </c>
      <c r="G6" s="85">
        <v>34962.35</v>
      </c>
      <c r="H6" s="85"/>
      <c r="I6" s="85"/>
      <c r="J6" s="85"/>
      <c r="K6" s="85"/>
      <c r="L6" s="11"/>
      <c r="M6" s="11"/>
      <c r="N6" s="42" t="s">
        <v>14</v>
      </c>
      <c r="O6" s="43"/>
      <c r="P6" s="43"/>
      <c r="Q6" s="43"/>
      <c r="R6" s="43">
        <v>0.2162</v>
      </c>
      <c r="S6" s="48">
        <v>0.23222000000000001</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0.25606584969850582</v>
      </c>
      <c r="S7" s="44">
        <f>G20/G23</f>
        <v>0.19417330269411781</v>
      </c>
      <c r="T7" s="18"/>
      <c r="U7" s="18"/>
      <c r="V7" s="18"/>
      <c r="W7" s="18"/>
    </row>
    <row r="8" spans="1:23" x14ac:dyDescent="0.25">
      <c r="A8" s="6" t="s">
        <v>52</v>
      </c>
      <c r="B8" s="7"/>
      <c r="C8" s="8"/>
      <c r="D8" s="85">
        <f>D5-D6-D7</f>
        <v>0</v>
      </c>
      <c r="E8" s="85">
        <f>E5-E6-E7</f>
        <v>0</v>
      </c>
      <c r="F8" s="85">
        <f>F5-F6-F7</f>
        <v>1540.25</v>
      </c>
      <c r="G8" s="85">
        <f>G5-G6-G7</f>
        <v>1196.8000000000029</v>
      </c>
      <c r="H8" s="85">
        <f>H5-H6-H7</f>
        <v>0</v>
      </c>
      <c r="I8" s="85"/>
      <c r="J8" s="85"/>
      <c r="K8" s="85"/>
      <c r="L8" s="11"/>
      <c r="M8" s="11"/>
      <c r="N8" s="40" t="s">
        <v>16</v>
      </c>
      <c r="O8" s="45"/>
      <c r="P8" s="45"/>
      <c r="Q8" s="45"/>
      <c r="R8" s="46" t="s">
        <v>5</v>
      </c>
      <c r="S8" s="18"/>
      <c r="T8" s="18"/>
      <c r="U8" s="18"/>
      <c r="V8" s="18"/>
      <c r="W8" s="18"/>
    </row>
    <row r="9" spans="1:23" ht="33.75" x14ac:dyDescent="0.25">
      <c r="A9" s="6" t="s">
        <v>24</v>
      </c>
      <c r="B9" s="7"/>
      <c r="C9" s="7"/>
      <c r="D9" s="88"/>
      <c r="E9" s="85"/>
      <c r="F9" s="85">
        <v>13571.68</v>
      </c>
      <c r="G9" s="85">
        <v>15341.7</v>
      </c>
      <c r="H9" s="85"/>
      <c r="I9" s="85"/>
      <c r="J9" s="85"/>
      <c r="K9" s="85"/>
      <c r="L9" s="11"/>
      <c r="M9" s="11"/>
      <c r="N9" s="49" t="s">
        <v>93</v>
      </c>
      <c r="O9" s="45"/>
      <c r="P9" s="93" t="e">
        <f>D14/(D11-D9)</f>
        <v>#DIV/0!</v>
      </c>
      <c r="Q9" s="93" t="e">
        <f>E14/(E11-E9)</f>
        <v>#DIV/0!</v>
      </c>
      <c r="R9" s="93">
        <f>F14/(F11-F9)</f>
        <v>0.62055424411474325</v>
      </c>
      <c r="S9" s="93">
        <f>G14/(G11-G9)</f>
        <v>0.54671057214019958</v>
      </c>
      <c r="T9" s="18"/>
      <c r="U9" s="18"/>
      <c r="V9" s="18"/>
      <c r="W9" s="18"/>
    </row>
    <row r="10" spans="1:23" ht="22.5" x14ac:dyDescent="0.25">
      <c r="A10" s="6" t="s">
        <v>53</v>
      </c>
      <c r="B10" s="10">
        <f t="shared" ref="B10:H10" si="0">B6-B9</f>
        <v>0</v>
      </c>
      <c r="C10" s="10">
        <f t="shared" si="0"/>
        <v>0</v>
      </c>
      <c r="D10" s="89">
        <f t="shared" si="0"/>
        <v>0</v>
      </c>
      <c r="E10" s="89">
        <f t="shared" si="0"/>
        <v>0</v>
      </c>
      <c r="F10" s="89">
        <f t="shared" si="0"/>
        <v>16023.130000000001</v>
      </c>
      <c r="G10" s="89">
        <f t="shared" si="0"/>
        <v>19620.649999999998</v>
      </c>
      <c r="H10" s="89">
        <f t="shared" si="0"/>
        <v>0</v>
      </c>
      <c r="I10" s="89"/>
      <c r="J10" s="89"/>
      <c r="K10" s="89"/>
      <c r="L10" s="11"/>
      <c r="M10" s="11"/>
      <c r="N10" s="42" t="s">
        <v>92</v>
      </c>
      <c r="O10" s="43"/>
      <c r="P10" s="44" t="e">
        <f>D14/D11</f>
        <v>#DIV/0!</v>
      </c>
      <c r="Q10" s="44" t="e">
        <f>E14/E11</f>
        <v>#DIV/0!</v>
      </c>
      <c r="R10" s="44">
        <f>F14/F11</f>
        <v>0.35005649579605758</v>
      </c>
      <c r="S10" s="44">
        <f>G14/G11</f>
        <v>0.31475076156380882</v>
      </c>
      <c r="T10" s="18"/>
      <c r="U10" s="18"/>
      <c r="V10" s="18"/>
      <c r="W10" s="18"/>
    </row>
    <row r="11" spans="1:23" ht="22.5" x14ac:dyDescent="0.25">
      <c r="A11" s="6" t="s">
        <v>1</v>
      </c>
      <c r="B11" s="10">
        <f>B5-B9</f>
        <v>0</v>
      </c>
      <c r="C11" s="10">
        <f t="shared" ref="C11:H11" si="1">SUM(C6:C8)</f>
        <v>0</v>
      </c>
      <c r="D11" s="89">
        <f t="shared" si="1"/>
        <v>0</v>
      </c>
      <c r="E11" s="89">
        <f t="shared" si="1"/>
        <v>0</v>
      </c>
      <c r="F11" s="89">
        <f>SUM(F6:F8)</f>
        <v>31135.06</v>
      </c>
      <c r="G11" s="89">
        <f>SUM(G6:G8)</f>
        <v>36159.15</v>
      </c>
      <c r="H11" s="89">
        <f t="shared" si="1"/>
        <v>0</v>
      </c>
      <c r="I11" s="89"/>
      <c r="J11" s="89"/>
      <c r="K11" s="89"/>
      <c r="L11" s="11"/>
      <c r="M11" s="11"/>
      <c r="N11" s="42" t="s">
        <v>17</v>
      </c>
      <c r="O11" s="43"/>
      <c r="P11" s="44" t="e">
        <f>D14/AVERAGE(C22:D22)</f>
        <v>#DIV/0!</v>
      </c>
      <c r="Q11" s="44" t="e">
        <f>E14/AVERAGE(D22:E22)</f>
        <v>#DIV/0!</v>
      </c>
      <c r="R11" s="44">
        <f>F14/AVERAGE(E22:F22)</f>
        <v>6.3887991218546797E-2</v>
      </c>
      <c r="S11" s="44">
        <f>G14/AVERAGE(F22:G22)</f>
        <v>6.7775012555455177E-2</v>
      </c>
      <c r="T11" s="18"/>
      <c r="U11" s="18"/>
      <c r="V11" s="18"/>
      <c r="W11" s="18"/>
    </row>
    <row r="12" spans="1:23" x14ac:dyDescent="0.25">
      <c r="A12" s="6" t="s">
        <v>91</v>
      </c>
      <c r="B12" s="10"/>
      <c r="C12" s="10"/>
      <c r="D12" s="89"/>
      <c r="E12" s="89"/>
      <c r="F12" s="89">
        <v>195.39</v>
      </c>
      <c r="G12" s="89">
        <v>116.59</v>
      </c>
      <c r="H12" s="89">
        <v>0</v>
      </c>
      <c r="I12" s="89"/>
      <c r="J12" s="89"/>
      <c r="K12" s="89"/>
      <c r="L12" s="11"/>
      <c r="M12" s="11"/>
      <c r="N12" s="40" t="s">
        <v>18</v>
      </c>
      <c r="O12" s="45"/>
      <c r="P12" s="45"/>
      <c r="Q12" s="45"/>
      <c r="R12" s="46" t="s">
        <v>5</v>
      </c>
      <c r="S12" s="18"/>
      <c r="T12" s="18"/>
      <c r="U12" s="18"/>
      <c r="V12" s="53"/>
      <c r="W12" s="54"/>
    </row>
    <row r="13" spans="1:23" x14ac:dyDescent="0.25">
      <c r="A13" s="6" t="s">
        <v>25</v>
      </c>
      <c r="B13" s="7"/>
      <c r="C13" s="7"/>
      <c r="D13" s="88">
        <f>D11+D12</f>
        <v>0</v>
      </c>
      <c r="E13" s="88">
        <f>E11+E12</f>
        <v>0</v>
      </c>
      <c r="F13" s="88">
        <f>F11+F12</f>
        <v>31330.45</v>
      </c>
      <c r="G13" s="88">
        <f>G11+G12</f>
        <v>36275.74</v>
      </c>
      <c r="H13" s="88">
        <f>H11+H12</f>
        <v>0</v>
      </c>
      <c r="I13" s="88"/>
      <c r="J13" s="88"/>
      <c r="K13" s="88"/>
      <c r="L13" s="11"/>
      <c r="M13" s="11"/>
      <c r="N13" s="42" t="s">
        <v>19</v>
      </c>
      <c r="O13" s="43"/>
      <c r="P13" s="44" t="e">
        <f>D24/D23</f>
        <v>#DIV/0!</v>
      </c>
      <c r="Q13" s="44" t="e">
        <f>E24/E23</f>
        <v>#DIV/0!</v>
      </c>
      <c r="R13" s="44">
        <f>F24/F23</f>
        <v>6.3969523932269762E-2</v>
      </c>
      <c r="S13" s="44">
        <f>G24/G23</f>
        <v>0.10822559549475516</v>
      </c>
      <c r="T13" s="48"/>
      <c r="U13" s="18"/>
      <c r="V13" s="18"/>
      <c r="W13" s="18"/>
    </row>
    <row r="14" spans="1:23" x14ac:dyDescent="0.25">
      <c r="A14" s="6" t="s">
        <v>26</v>
      </c>
      <c r="B14" s="7"/>
      <c r="C14" s="7"/>
      <c r="D14" s="85"/>
      <c r="E14" s="85"/>
      <c r="F14" s="85">
        <f>7185.75+968.47+2744.81</f>
        <v>10899.03</v>
      </c>
      <c r="G14" s="85">
        <f>6775.29+781.42+3824.41</f>
        <v>11381.119999999999</v>
      </c>
      <c r="H14" s="85"/>
      <c r="I14" s="85"/>
      <c r="J14" s="85"/>
      <c r="K14" s="85"/>
      <c r="L14" s="11"/>
      <c r="M14" s="11"/>
      <c r="N14" s="42" t="s">
        <v>20</v>
      </c>
      <c r="O14" s="43"/>
      <c r="P14" s="44" t="e">
        <f>D25/D23</f>
        <v>#DIV/0!</v>
      </c>
      <c r="Q14" s="44" t="e">
        <f>E25/E23</f>
        <v>#DIV/0!</v>
      </c>
      <c r="R14" s="44">
        <f>F25/F23</f>
        <v>2.4913385871822458E-2</v>
      </c>
      <c r="S14" s="44">
        <f>G25/G23</f>
        <v>4.1689779802605006E-2</v>
      </c>
      <c r="T14" s="48"/>
      <c r="U14" s="18"/>
      <c r="V14" s="18"/>
      <c r="W14" s="18"/>
    </row>
    <row r="15" spans="1:23" x14ac:dyDescent="0.25">
      <c r="A15" s="6" t="s">
        <v>54</v>
      </c>
      <c r="B15" s="10"/>
      <c r="C15" s="10"/>
      <c r="D15" s="89">
        <f>D11-D14</f>
        <v>0</v>
      </c>
      <c r="E15" s="89">
        <f>E11-E14</f>
        <v>0</v>
      </c>
      <c r="F15" s="89">
        <f>F11-F14</f>
        <v>20236.03</v>
      </c>
      <c r="G15" s="89">
        <f>G11-G14</f>
        <v>24778.030000000002</v>
      </c>
      <c r="H15" s="89">
        <f>H11-H14</f>
        <v>0</v>
      </c>
      <c r="I15" s="89"/>
      <c r="J15" s="89"/>
      <c r="K15" s="89"/>
      <c r="L15" s="11"/>
      <c r="M15" s="11"/>
      <c r="N15" s="42" t="s">
        <v>21</v>
      </c>
      <c r="O15" s="43"/>
      <c r="P15" s="44" t="e">
        <f>(P13-P14)/P13</f>
        <v>#DIV/0!</v>
      </c>
      <c r="Q15" s="44" t="e">
        <f>(Q13-Q14)/Q13</f>
        <v>#DIV/0!</v>
      </c>
      <c r="R15" s="44">
        <f>(R13-R14)/R13</f>
        <v>0.61054289073339862</v>
      </c>
      <c r="S15" s="44">
        <f>(S13-S14)/S13</f>
        <v>0.61478816899071365</v>
      </c>
      <c r="T15" s="44" t="e">
        <f>(T13-T14)/T13</f>
        <v>#DIV/0!</v>
      </c>
      <c r="U15" s="18"/>
      <c r="V15" s="18"/>
      <c r="W15" s="18"/>
    </row>
    <row r="16" spans="1:23" x14ac:dyDescent="0.25">
      <c r="A16" s="6" t="s">
        <v>94</v>
      </c>
      <c r="B16" s="10"/>
      <c r="C16" s="10"/>
      <c r="D16" s="89">
        <f>D13-D14-D9</f>
        <v>0</v>
      </c>
      <c r="E16" s="89">
        <f>E13-E14-E9</f>
        <v>0</v>
      </c>
      <c r="F16" s="89">
        <f>F13-F14-F9</f>
        <v>6859.739999999998</v>
      </c>
      <c r="G16" s="89">
        <f>G13-G14-G9</f>
        <v>9552.9199999999983</v>
      </c>
      <c r="H16" s="89">
        <f>H13-H14-H9</f>
        <v>0</v>
      </c>
      <c r="I16" s="89"/>
      <c r="J16" s="89"/>
      <c r="K16" s="89"/>
      <c r="L16" s="11"/>
      <c r="M16" s="11"/>
      <c r="N16" s="42" t="s">
        <v>22</v>
      </c>
      <c r="O16" s="43"/>
      <c r="P16" s="44" t="e">
        <f>D17/AVERAGE(C23:D23)</f>
        <v>#DIV/0!</v>
      </c>
      <c r="Q16" s="44" t="e">
        <f>E17/AVERAGE(D23:E23)</f>
        <v>#DIV/0!</v>
      </c>
      <c r="R16" s="44">
        <f>F17/AVERAGE(E23:F23)</f>
        <v>9.3792969705437809E-2</v>
      </c>
      <c r="S16" s="44">
        <f>G17/AVERAGE(F23:G23)</f>
        <v>0.10202816791366852</v>
      </c>
      <c r="T16" s="18"/>
      <c r="U16" s="18"/>
      <c r="V16" s="18"/>
      <c r="W16" s="18"/>
    </row>
    <row r="17" spans="1:23" x14ac:dyDescent="0.25">
      <c r="A17" s="6" t="s">
        <v>27</v>
      </c>
      <c r="B17" s="7"/>
      <c r="C17" s="7"/>
      <c r="D17" s="88"/>
      <c r="E17" s="85"/>
      <c r="F17" s="85">
        <v>12458.84</v>
      </c>
      <c r="G17" s="85">
        <v>14730.38</v>
      </c>
      <c r="H17" s="85"/>
      <c r="I17" s="85"/>
      <c r="J17" s="85"/>
      <c r="K17" s="85"/>
      <c r="L17" s="11"/>
      <c r="M17" s="11"/>
      <c r="N17" s="18"/>
      <c r="O17" s="18"/>
      <c r="P17" s="18"/>
      <c r="Q17" s="18"/>
      <c r="R17" s="18"/>
      <c r="S17" s="18"/>
      <c r="T17" s="18"/>
      <c r="U17" s="18"/>
      <c r="V17" s="18"/>
      <c r="W17" s="18"/>
    </row>
    <row r="18" spans="1:23" x14ac:dyDescent="0.25">
      <c r="A18" s="6" t="s">
        <v>55</v>
      </c>
      <c r="B18" s="7"/>
      <c r="C18" s="7"/>
      <c r="D18" s="88"/>
      <c r="E18" s="85"/>
      <c r="F18" s="89">
        <v>-4187.08</v>
      </c>
      <c r="G18" s="89">
        <v>-3945.41</v>
      </c>
      <c r="H18" s="89"/>
      <c r="I18" s="89"/>
      <c r="J18" s="89"/>
      <c r="K18" s="89"/>
      <c r="L18" s="11"/>
      <c r="M18" s="11"/>
      <c r="N18" s="40" t="s">
        <v>30</v>
      </c>
      <c r="O18" s="45"/>
      <c r="P18" s="45"/>
      <c r="Q18" s="45"/>
      <c r="R18" s="46" t="s">
        <v>5</v>
      </c>
      <c r="S18" s="18"/>
      <c r="T18" s="18"/>
      <c r="U18" s="18"/>
      <c r="V18" s="18"/>
      <c r="W18" s="18"/>
    </row>
    <row r="19" spans="1:23" ht="22.5" x14ac:dyDescent="0.25">
      <c r="A19" s="6" t="s">
        <v>28</v>
      </c>
      <c r="B19" s="7"/>
      <c r="C19" s="7"/>
      <c r="D19" s="88"/>
      <c r="E19" s="85"/>
      <c r="F19" s="85">
        <v>34014.1</v>
      </c>
      <c r="G19" s="85">
        <v>30275.08</v>
      </c>
      <c r="H19" s="85"/>
      <c r="I19" s="85"/>
      <c r="J19" s="85"/>
      <c r="K19" s="85"/>
      <c r="L19" s="11"/>
      <c r="M19" s="11"/>
      <c r="N19" s="46" t="s">
        <v>95</v>
      </c>
      <c r="O19" s="51"/>
      <c r="P19" s="51"/>
      <c r="Q19" s="52" t="e">
        <f>E16/AVERAGE(D22:E22)</f>
        <v>#DIV/0!</v>
      </c>
      <c r="R19" s="52">
        <f>F16/AVERAGE(E22:F22)</f>
        <v>4.0210459910791516E-2</v>
      </c>
      <c r="S19" s="52">
        <f>G16/AVERAGE(F22:G22)</f>
        <v>5.6888010401547368E-2</v>
      </c>
      <c r="T19" s="18"/>
      <c r="U19" s="18"/>
      <c r="V19" s="18"/>
      <c r="W19" s="18"/>
    </row>
    <row r="20" spans="1:23" x14ac:dyDescent="0.25">
      <c r="A20" s="6" t="s">
        <v>56</v>
      </c>
      <c r="B20" s="7"/>
      <c r="C20" s="7"/>
      <c r="D20" s="88">
        <f>D19-D71</f>
        <v>0</v>
      </c>
      <c r="E20" s="89">
        <f>E19-E71</f>
        <v>0</v>
      </c>
      <c r="F20" s="89">
        <f>F19-F71</f>
        <v>34014.1</v>
      </c>
      <c r="G20" s="89">
        <f>G19-G71</f>
        <v>30275.08</v>
      </c>
      <c r="H20" s="89">
        <f>H19-H71</f>
        <v>0</v>
      </c>
      <c r="I20" s="89"/>
      <c r="J20" s="89"/>
      <c r="K20" s="89"/>
      <c r="L20" s="11"/>
      <c r="M20" s="11"/>
      <c r="N20" s="42" t="s">
        <v>31</v>
      </c>
      <c r="O20" s="43"/>
      <c r="P20" s="43">
        <v>4.4699999999999997E-2</v>
      </c>
      <c r="Q20" s="44" t="e">
        <f>E18/AVERAGE(D22:E22)</f>
        <v>#DIV/0!</v>
      </c>
      <c r="R20" s="44">
        <f>F18/AVERAGE(E22:F22)</f>
        <v>-2.4543847504902079E-2</v>
      </c>
      <c r="S20" s="44">
        <f>G18/AVERAGE(F22:G22)</f>
        <v>-2.3495070106142314E-2</v>
      </c>
      <c r="T20" s="48"/>
      <c r="U20" s="18"/>
      <c r="V20" s="18"/>
      <c r="W20" s="18"/>
    </row>
    <row r="21" spans="1:23" x14ac:dyDescent="0.25">
      <c r="A21" s="6" t="s">
        <v>57</v>
      </c>
      <c r="B21" s="9"/>
      <c r="C21" s="9"/>
      <c r="D21" s="85"/>
      <c r="E21" s="85"/>
      <c r="F21" s="85">
        <f>88842.98+41285.73</f>
        <v>130128.70999999999</v>
      </c>
      <c r="G21" s="85">
        <f>79297.94+50079.59</f>
        <v>129377.53</v>
      </c>
      <c r="H21" s="85"/>
      <c r="I21" s="85"/>
      <c r="J21" s="85"/>
      <c r="K21" s="85"/>
      <c r="L21" s="11"/>
      <c r="M21" s="11"/>
      <c r="N21" s="42" t="s">
        <v>32</v>
      </c>
      <c r="O21" s="43"/>
      <c r="P21" s="44" t="e">
        <f>D18/AVERAGE(C19:D19)</f>
        <v>#DIV/0!</v>
      </c>
      <c r="Q21" s="44" t="e">
        <f>E18/AVERAGE(D19:E19)</f>
        <v>#DIV/0!</v>
      </c>
      <c r="R21" s="44">
        <f>F18/AVERAGE(E19:F19)</f>
        <v>-0.12309836214981434</v>
      </c>
      <c r="S21" s="44">
        <f>G18/AVERAGE(F19:G19)</f>
        <v>-0.12273947186758331</v>
      </c>
      <c r="T21" s="18"/>
      <c r="U21" s="18"/>
      <c r="V21" s="18"/>
      <c r="W21" s="18"/>
    </row>
    <row r="22" spans="1:23" x14ac:dyDescent="0.25">
      <c r="A22" s="6" t="s">
        <v>29</v>
      </c>
      <c r="B22" s="7"/>
      <c r="C22" s="7"/>
      <c r="D22" s="88"/>
      <c r="E22" s="85"/>
      <c r="F22" s="85">
        <v>170595.91</v>
      </c>
      <c r="G22" s="85">
        <v>165254.12</v>
      </c>
      <c r="H22" s="85"/>
      <c r="I22" s="85"/>
      <c r="J22" s="85"/>
      <c r="K22" s="85"/>
      <c r="L22" s="11"/>
      <c r="M22" s="11"/>
      <c r="N22" s="40" t="s">
        <v>33</v>
      </c>
      <c r="O22" s="45"/>
      <c r="P22" s="45"/>
      <c r="Q22" s="45"/>
      <c r="R22" s="46" t="s">
        <v>5</v>
      </c>
      <c r="S22" s="18"/>
      <c r="T22" s="18"/>
      <c r="U22" s="18"/>
      <c r="V22" s="18"/>
      <c r="W22" s="18"/>
    </row>
    <row r="23" spans="1:23" x14ac:dyDescent="0.25">
      <c r="A23" s="6" t="s">
        <v>58</v>
      </c>
      <c r="B23" s="7"/>
      <c r="C23" s="7"/>
      <c r="D23" s="88"/>
      <c r="E23" s="85"/>
      <c r="F23" s="85">
        <v>132833.41</v>
      </c>
      <c r="G23" s="85">
        <v>155917.82999999999</v>
      </c>
      <c r="H23" s="85"/>
      <c r="I23" s="85"/>
      <c r="J23" s="85"/>
      <c r="K23" s="85"/>
      <c r="L23" s="11"/>
      <c r="M23" s="11"/>
      <c r="N23" s="42" t="s">
        <v>34</v>
      </c>
      <c r="O23" s="43"/>
      <c r="P23" s="44" t="e">
        <f>D6/AVERAGE(C23:D23)</f>
        <v>#DIV/0!</v>
      </c>
      <c r="Q23" s="44" t="e">
        <f>E6/AVERAGE(D23:E23)</f>
        <v>#DIV/0!</v>
      </c>
      <c r="R23" s="44">
        <f>F6/AVERAGE(E23:F23)</f>
        <v>0.22279643351774225</v>
      </c>
      <c r="S23" s="44">
        <f>G6/AVERAGE(F23:G23)</f>
        <v>0.24216242326786197</v>
      </c>
      <c r="T23" s="18"/>
      <c r="U23" s="18"/>
      <c r="V23" s="18"/>
      <c r="W23" s="18"/>
    </row>
    <row r="24" spans="1:23" x14ac:dyDescent="0.25">
      <c r="A24" s="6" t="s">
        <v>59</v>
      </c>
      <c r="B24" s="10"/>
      <c r="C24" s="10"/>
      <c r="D24" s="89"/>
      <c r="E24" s="89"/>
      <c r="F24" s="89">
        <v>8497.2900000000009</v>
      </c>
      <c r="G24" s="89">
        <v>16874.3</v>
      </c>
      <c r="H24" s="89"/>
      <c r="I24" s="89"/>
      <c r="J24" s="89"/>
      <c r="K24" s="89"/>
      <c r="L24" s="11"/>
      <c r="M24" s="11"/>
      <c r="N24" s="42" t="s">
        <v>35</v>
      </c>
      <c r="O24" s="43"/>
      <c r="P24" s="44" t="e">
        <f>D9/AVERAGE(C21:D21)</f>
        <v>#DIV/0!</v>
      </c>
      <c r="Q24" s="44" t="e">
        <f>E9/AVERAGE(D21:E21)</f>
        <v>#DIV/0!</v>
      </c>
      <c r="R24" s="44">
        <f>F9/AVERAGE(E21:F21)</f>
        <v>0.10429427910259005</v>
      </c>
      <c r="S24" s="44">
        <f>G9/AVERAGE(F21:G21)</f>
        <v>0.11823761925724793</v>
      </c>
      <c r="T24" s="18"/>
      <c r="U24" s="18"/>
      <c r="V24" s="18"/>
      <c r="W24" s="18"/>
    </row>
    <row r="25" spans="1:23" x14ac:dyDescent="0.25">
      <c r="A25" s="6" t="s">
        <v>60</v>
      </c>
      <c r="B25" s="10"/>
      <c r="C25" s="10"/>
      <c r="D25" s="89"/>
      <c r="E25" s="89"/>
      <c r="F25" s="89">
        <v>3309.33</v>
      </c>
      <c r="G25" s="89">
        <v>6500.18</v>
      </c>
      <c r="H25" s="89"/>
      <c r="I25" s="89"/>
      <c r="J25" s="89"/>
      <c r="K25" s="89"/>
      <c r="L25" s="11"/>
      <c r="M25" s="11"/>
      <c r="N25" s="42" t="s">
        <v>36</v>
      </c>
      <c r="O25" s="43"/>
      <c r="P25" s="48" t="e">
        <f>P23-P24</f>
        <v>#DIV/0!</v>
      </c>
      <c r="Q25" s="48" t="e">
        <f>Q23-Q24</f>
        <v>#DIV/0!</v>
      </c>
      <c r="R25" s="48">
        <f>R23-R24</f>
        <v>0.1185021544151522</v>
      </c>
      <c r="S25" s="48">
        <f>S23-S24</f>
        <v>0.12392480401061404</v>
      </c>
      <c r="T25" s="18"/>
      <c r="U25" s="18"/>
      <c r="V25" s="18"/>
      <c r="W25" s="18"/>
    </row>
  </sheetData>
  <mergeCells count="1">
    <mergeCell ref="I1:K1"/>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D25"/>
  <sheetViews>
    <sheetView topLeftCell="E1" workbookViewId="0">
      <selection activeCell="AD13" sqref="AD13"/>
    </sheetView>
  </sheetViews>
  <sheetFormatPr defaultRowHeight="15" x14ac:dyDescent="0.25"/>
  <cols>
    <col min="1" max="1" width="33.42578125" customWidth="1"/>
    <col min="4" max="4" width="11.28515625" customWidth="1"/>
    <col min="5" max="5" width="11.42578125" customWidth="1"/>
    <col min="6" max="6" width="11.7109375" customWidth="1"/>
    <col min="7" max="8" width="10.42578125" customWidth="1"/>
    <col min="12" max="12" width="10.140625" bestFit="1" customWidth="1"/>
    <col min="17" max="17" width="28.7109375" customWidth="1"/>
    <col min="20" max="20" width="12.7109375" customWidth="1"/>
  </cols>
  <sheetData>
    <row r="1" spans="1:30" x14ac:dyDescent="0.25">
      <c r="J1" s="772" t="s">
        <v>112</v>
      </c>
      <c r="K1" s="772"/>
      <c r="L1" s="772"/>
    </row>
    <row r="2" spans="1:30" ht="45" x14ac:dyDescent="0.25">
      <c r="A2" s="3" t="s">
        <v>4</v>
      </c>
      <c r="B2" s="1" t="s">
        <v>43</v>
      </c>
      <c r="C2" s="1" t="s">
        <v>41</v>
      </c>
      <c r="D2" s="2" t="s">
        <v>44</v>
      </c>
      <c r="E2" s="2" t="s">
        <v>0</v>
      </c>
      <c r="F2" s="3" t="s">
        <v>42</v>
      </c>
      <c r="G2" s="3" t="s">
        <v>366</v>
      </c>
      <c r="H2" s="3" t="s">
        <v>367</v>
      </c>
      <c r="I2" s="3" t="s">
        <v>37</v>
      </c>
      <c r="J2" s="3" t="s">
        <v>38</v>
      </c>
      <c r="K2" s="3" t="s">
        <v>39</v>
      </c>
      <c r="L2" s="3" t="s">
        <v>40</v>
      </c>
      <c r="M2" s="11" t="s">
        <v>37</v>
      </c>
      <c r="N2" s="11" t="s">
        <v>38</v>
      </c>
      <c r="O2" s="11" t="s">
        <v>39</v>
      </c>
      <c r="P2" s="11"/>
      <c r="Q2" s="40" t="s">
        <v>6</v>
      </c>
      <c r="R2" s="41" t="s">
        <v>7</v>
      </c>
      <c r="S2" s="41" t="s">
        <v>8</v>
      </c>
      <c r="T2" s="41" t="s">
        <v>9</v>
      </c>
      <c r="U2" s="40" t="s">
        <v>90</v>
      </c>
      <c r="V2" s="41" t="s">
        <v>492</v>
      </c>
      <c r="W2" s="41"/>
      <c r="X2" s="40" t="s">
        <v>37</v>
      </c>
      <c r="Y2" s="41" t="s">
        <v>38</v>
      </c>
      <c r="Z2" s="41" t="s">
        <v>39</v>
      </c>
      <c r="AA2" s="41" t="s">
        <v>40</v>
      </c>
      <c r="AB2" s="423" t="s">
        <v>37</v>
      </c>
    </row>
    <row r="3" spans="1:30" x14ac:dyDescent="0.25">
      <c r="A3" s="3"/>
      <c r="B3" s="1" t="s">
        <v>46</v>
      </c>
      <c r="C3" s="4" t="s">
        <v>47</v>
      </c>
      <c r="D3" s="5" t="s">
        <v>47</v>
      </c>
      <c r="E3" s="5" t="s">
        <v>47</v>
      </c>
      <c r="F3" s="1" t="s">
        <v>46</v>
      </c>
      <c r="G3" s="1" t="s">
        <v>46</v>
      </c>
      <c r="H3" s="1" t="s">
        <v>46</v>
      </c>
      <c r="I3" s="1" t="s">
        <v>96</v>
      </c>
      <c r="J3" s="1"/>
      <c r="K3" s="1"/>
      <c r="L3" s="1"/>
      <c r="M3" s="11"/>
      <c r="N3" s="11"/>
      <c r="O3" s="11"/>
      <c r="P3" s="11"/>
      <c r="Q3" s="42" t="s">
        <v>11</v>
      </c>
      <c r="R3" s="43"/>
      <c r="S3" s="44" t="e">
        <f>D10/AVERAGE(C23:D23)</f>
        <v>#DIV/0!</v>
      </c>
      <c r="T3" s="44" t="e">
        <f>E10/AVERAGE(D23:E23)</f>
        <v>#DIV/0!</v>
      </c>
      <c r="U3" s="44">
        <f>F10/AVERAGE(E23:F23)</f>
        <v>8.3584428257663337E-2</v>
      </c>
      <c r="V3" s="44">
        <f>G10/AVERAGE(F23:G23)</f>
        <v>0.16464169694005867</v>
      </c>
      <c r="W3" s="44">
        <f>H10/AVERAGE(G23:H23)</f>
        <v>9.8283820872398051E-2</v>
      </c>
      <c r="X3" s="18"/>
      <c r="Y3" s="18"/>
      <c r="Z3" s="18"/>
      <c r="AA3" s="18"/>
    </row>
    <row r="4" spans="1:30" x14ac:dyDescent="0.25">
      <c r="A4" s="3"/>
      <c r="B4" s="1" t="s">
        <v>48</v>
      </c>
      <c r="C4" s="1" t="s">
        <v>48</v>
      </c>
      <c r="D4" s="5" t="s">
        <v>49</v>
      </c>
      <c r="E4" s="5" t="s">
        <v>49</v>
      </c>
      <c r="F4" s="5" t="s">
        <v>49</v>
      </c>
      <c r="G4" s="5" t="s">
        <v>49</v>
      </c>
      <c r="H4" s="5" t="s">
        <v>49</v>
      </c>
      <c r="I4" s="5"/>
      <c r="J4" s="5"/>
      <c r="K4" s="5"/>
      <c r="L4" s="5"/>
      <c r="M4" s="11"/>
      <c r="N4" s="11"/>
      <c r="O4" s="11"/>
      <c r="P4" s="11"/>
      <c r="Q4" s="40" t="s">
        <v>12</v>
      </c>
      <c r="R4" s="45"/>
      <c r="S4" s="45"/>
      <c r="T4" s="45"/>
      <c r="U4" s="46" t="s">
        <v>5</v>
      </c>
      <c r="V4" s="18"/>
      <c r="W4" s="18"/>
      <c r="X4" s="18"/>
      <c r="Y4" s="18"/>
      <c r="Z4" s="18"/>
      <c r="AA4" s="18"/>
    </row>
    <row r="5" spans="1:30" x14ac:dyDescent="0.25">
      <c r="A5" s="6" t="s">
        <v>23</v>
      </c>
      <c r="B5" s="7"/>
      <c r="C5" s="8"/>
      <c r="F5" s="85">
        <v>4571.1899999999996</v>
      </c>
      <c r="G5" s="90">
        <v>12830.16</v>
      </c>
      <c r="H5" s="90">
        <v>19062.29</v>
      </c>
      <c r="I5" s="85">
        <v>4387.3599999999997</v>
      </c>
      <c r="J5" s="85">
        <v>4215.28</v>
      </c>
      <c r="K5" s="85">
        <v>5081.5200000000004</v>
      </c>
      <c r="L5" s="85">
        <v>5378.13</v>
      </c>
      <c r="M5" s="11">
        <v>5476.59</v>
      </c>
      <c r="N5" s="11">
        <v>6371.09</v>
      </c>
      <c r="O5" s="11">
        <v>5739.69</v>
      </c>
      <c r="P5" s="11"/>
      <c r="Q5" s="42" t="s">
        <v>13</v>
      </c>
      <c r="R5" s="46"/>
      <c r="S5" s="47" t="e">
        <f>D21/D20</f>
        <v>#DIV/0!</v>
      </c>
      <c r="T5" s="47" t="e">
        <f>E21/E20</f>
        <v>#DIV/0!</v>
      </c>
      <c r="U5" s="47">
        <f>F21/F20</f>
        <v>2.3814776817277528</v>
      </c>
      <c r="V5" s="47">
        <f>G21/G20</f>
        <v>2.538756506997776</v>
      </c>
      <c r="W5" s="47">
        <f>H21/H20</f>
        <v>2.241213383655861</v>
      </c>
      <c r="X5" s="47"/>
      <c r="Y5" s="47">
        <f>J21/J20</f>
        <v>2.8399619074019018</v>
      </c>
      <c r="Z5" s="47"/>
      <c r="AA5" s="47">
        <f>L21/L20</f>
        <v>2.241213383655861</v>
      </c>
    </row>
    <row r="6" spans="1:30" x14ac:dyDescent="0.25">
      <c r="A6" s="6" t="s">
        <v>50</v>
      </c>
      <c r="B6" s="7"/>
      <c r="C6" s="8"/>
      <c r="F6" s="85">
        <v>3141.85</v>
      </c>
      <c r="G6" s="85">
        <v>11807.85</v>
      </c>
      <c r="H6" s="85">
        <v>13897.89</v>
      </c>
      <c r="I6" s="85">
        <v>3541.24</v>
      </c>
      <c r="J6" s="85">
        <v>3791.94</v>
      </c>
      <c r="K6" s="85">
        <v>4190.24</v>
      </c>
      <c r="L6" s="85">
        <v>4587.76</v>
      </c>
      <c r="M6" s="11">
        <v>4877.79</v>
      </c>
      <c r="N6" s="11">
        <v>5303.75</v>
      </c>
      <c r="O6" s="11">
        <v>5080.3</v>
      </c>
      <c r="P6" s="11"/>
      <c r="Q6" s="42" t="s">
        <v>14</v>
      </c>
      <c r="R6" s="43"/>
      <c r="S6" s="43"/>
      <c r="T6" s="43"/>
      <c r="U6" s="43"/>
      <c r="V6" s="48">
        <v>0.28370000000000001</v>
      </c>
      <c r="W6" s="48">
        <v>0.28420000000000001</v>
      </c>
      <c r="X6" s="48">
        <v>0.2787</v>
      </c>
      <c r="Y6" s="48">
        <v>0.25559999999999999</v>
      </c>
      <c r="Z6" s="48">
        <v>0.27089999999999997</v>
      </c>
      <c r="AA6" s="48">
        <v>0.28420000000000001</v>
      </c>
      <c r="AB6" s="80">
        <v>0.26850000000000002</v>
      </c>
      <c r="AC6" s="80">
        <v>0.2611</v>
      </c>
      <c r="AD6" s="80">
        <v>0.3039</v>
      </c>
    </row>
    <row r="7" spans="1:30" x14ac:dyDescent="0.25">
      <c r="A7" s="6" t="s">
        <v>51</v>
      </c>
      <c r="B7" s="7"/>
      <c r="C7" s="8"/>
      <c r="D7" s="87"/>
      <c r="E7" s="85"/>
      <c r="F7" s="85">
        <v>0</v>
      </c>
      <c r="G7" s="85"/>
      <c r="H7" s="85"/>
      <c r="I7" s="85"/>
      <c r="J7" s="85"/>
      <c r="K7" s="85"/>
      <c r="L7" s="85"/>
      <c r="M7" s="11"/>
      <c r="N7" s="11"/>
      <c r="O7" s="11"/>
      <c r="P7" s="11"/>
      <c r="Q7" s="42" t="s">
        <v>15</v>
      </c>
      <c r="R7" s="43"/>
      <c r="S7" s="44" t="e">
        <f>D20/D23</f>
        <v>#DIV/0!</v>
      </c>
      <c r="T7" s="44" t="e">
        <f>E20/E23</f>
        <v>#DIV/0!</v>
      </c>
      <c r="U7" s="44">
        <f>F20/F23</f>
        <v>0.42460578604383903</v>
      </c>
      <c r="V7" s="44">
        <f>G20/G23</f>
        <v>0.35636348678762081</v>
      </c>
      <c r="W7" s="44">
        <f>H20/H23</f>
        <v>0.33666418989693725</v>
      </c>
      <c r="X7" s="18"/>
      <c r="Y7" s="18"/>
      <c r="Z7" s="18"/>
      <c r="AA7" s="18"/>
    </row>
    <row r="8" spans="1:30" x14ac:dyDescent="0.25">
      <c r="A8" s="6" t="s">
        <v>52</v>
      </c>
      <c r="B8" s="7"/>
      <c r="C8" s="8"/>
      <c r="D8" s="85">
        <f t="shared" ref="D8:O8" si="0">D5-D6-D7</f>
        <v>0</v>
      </c>
      <c r="E8" s="85">
        <f t="shared" si="0"/>
        <v>0</v>
      </c>
      <c r="F8" s="85">
        <f t="shared" si="0"/>
        <v>1429.3399999999997</v>
      </c>
      <c r="G8" s="85">
        <f t="shared" si="0"/>
        <v>1022.3099999999995</v>
      </c>
      <c r="H8" s="85">
        <f t="shared" si="0"/>
        <v>5164.4000000000015</v>
      </c>
      <c r="I8" s="85">
        <f t="shared" si="0"/>
        <v>846.11999999999989</v>
      </c>
      <c r="J8" s="85">
        <f t="shared" si="0"/>
        <v>423.33999999999969</v>
      </c>
      <c r="K8" s="85">
        <f t="shared" si="0"/>
        <v>891.28000000000065</v>
      </c>
      <c r="L8" s="85">
        <f t="shared" si="0"/>
        <v>790.36999999999989</v>
      </c>
      <c r="M8" s="85">
        <f t="shared" si="0"/>
        <v>598.80000000000018</v>
      </c>
      <c r="N8" s="85">
        <f t="shared" si="0"/>
        <v>1067.3400000000001</v>
      </c>
      <c r="O8" s="85">
        <f t="shared" si="0"/>
        <v>659.38999999999942</v>
      </c>
      <c r="P8" s="11"/>
      <c r="Q8" s="40" t="s">
        <v>16</v>
      </c>
      <c r="R8" s="45"/>
      <c r="S8" s="45"/>
      <c r="T8" s="45"/>
      <c r="U8" s="46" t="s">
        <v>5</v>
      </c>
      <c r="V8" s="18"/>
      <c r="W8" s="18"/>
      <c r="X8" s="18"/>
      <c r="Y8" s="18"/>
      <c r="Z8" s="18"/>
      <c r="AA8" s="18"/>
    </row>
    <row r="9" spans="1:30" ht="33.75" x14ac:dyDescent="0.25">
      <c r="A9" s="6" t="s">
        <v>24</v>
      </c>
      <c r="B9" s="7"/>
      <c r="C9" s="7"/>
      <c r="D9" s="88"/>
      <c r="E9" s="85"/>
      <c r="F9" s="85">
        <v>808.64</v>
      </c>
      <c r="G9" s="85">
        <v>4266.47</v>
      </c>
      <c r="H9" s="85">
        <v>6577.34</v>
      </c>
      <c r="I9" s="85">
        <v>1472.23</v>
      </c>
      <c r="J9" s="85">
        <v>1578.44</v>
      </c>
      <c r="K9" s="85">
        <v>1749.48</v>
      </c>
      <c r="L9" s="85">
        <v>1777.19</v>
      </c>
      <c r="M9" s="11">
        <v>1831.46</v>
      </c>
      <c r="N9" s="11">
        <v>2144.9899999999998</v>
      </c>
      <c r="O9" s="11">
        <v>2105.7399999999998</v>
      </c>
      <c r="P9" s="11"/>
      <c r="Q9" s="49" t="s">
        <v>93</v>
      </c>
      <c r="R9" s="45"/>
      <c r="S9" s="93" t="e">
        <f>D14/(D11-D9)</f>
        <v>#DIV/0!</v>
      </c>
      <c r="T9" s="93" t="e">
        <f>E14/(E11-E9)</f>
        <v>#DIV/0!</v>
      </c>
      <c r="U9" s="93">
        <f>F14/(F11-F9)</f>
        <v>0.87031401576058798</v>
      </c>
      <c r="V9" s="93">
        <f>G14/(G11-G9)</f>
        <v>0.44745430999954466</v>
      </c>
      <c r="W9" s="93">
        <f>H14/(H11-H9)</f>
        <v>0.47821016503870661</v>
      </c>
      <c r="X9" s="18"/>
      <c r="Y9" s="18"/>
      <c r="Z9" s="18"/>
      <c r="AA9" s="18"/>
    </row>
    <row r="10" spans="1:30" ht="22.5" x14ac:dyDescent="0.25">
      <c r="A10" s="6" t="s">
        <v>53</v>
      </c>
      <c r="B10" s="10">
        <f t="shared" ref="B10:I10" si="1">B6-B9</f>
        <v>0</v>
      </c>
      <c r="C10" s="10">
        <f t="shared" si="1"/>
        <v>0</v>
      </c>
      <c r="D10" s="89">
        <f t="shared" si="1"/>
        <v>0</v>
      </c>
      <c r="E10" s="89">
        <f t="shared" si="1"/>
        <v>0</v>
      </c>
      <c r="F10" s="89">
        <f t="shared" si="1"/>
        <v>2333.21</v>
      </c>
      <c r="G10" s="89">
        <f t="shared" si="1"/>
        <v>7541.38</v>
      </c>
      <c r="H10" s="89">
        <f t="shared" ref="H10" si="2">H6-H9</f>
        <v>7320.5499999999993</v>
      </c>
      <c r="I10" s="89">
        <f t="shared" si="1"/>
        <v>2069.0099999999998</v>
      </c>
      <c r="J10" s="89">
        <f t="shared" ref="J10:O10" si="3">J6-J9</f>
        <v>2213.5</v>
      </c>
      <c r="K10" s="89">
        <f t="shared" si="3"/>
        <v>2440.7599999999998</v>
      </c>
      <c r="L10" s="89">
        <f t="shared" si="3"/>
        <v>2810.57</v>
      </c>
      <c r="M10" s="89">
        <f t="shared" si="3"/>
        <v>3046.33</v>
      </c>
      <c r="N10" s="89">
        <f t="shared" si="3"/>
        <v>3158.76</v>
      </c>
      <c r="O10" s="89">
        <f t="shared" si="3"/>
        <v>2974.5600000000004</v>
      </c>
      <c r="P10" s="11"/>
      <c r="Q10" s="42" t="s">
        <v>92</v>
      </c>
      <c r="R10" s="43"/>
      <c r="S10" s="44" t="e">
        <f>D14/D11</f>
        <v>#DIV/0!</v>
      </c>
      <c r="T10" s="44" t="e">
        <f>E14/E11</f>
        <v>#DIV/0!</v>
      </c>
      <c r="U10" s="44">
        <f>F14/F11</f>
        <v>0.71635613483578675</v>
      </c>
      <c r="V10" s="44">
        <f>G14/G11</f>
        <v>0.29866034406429853</v>
      </c>
      <c r="W10" s="44">
        <f>H14/H11</f>
        <v>0.3132063356501239</v>
      </c>
      <c r="X10" s="18"/>
      <c r="Y10" s="18"/>
      <c r="Z10" s="18"/>
      <c r="AA10" s="18"/>
    </row>
    <row r="11" spans="1:30" ht="22.5" x14ac:dyDescent="0.25">
      <c r="A11" s="6" t="s">
        <v>1</v>
      </c>
      <c r="B11" s="10">
        <f>B5-B9</f>
        <v>0</v>
      </c>
      <c r="C11" s="10">
        <f t="shared" ref="C11:I11" si="4">SUM(C6:C8)</f>
        <v>0</v>
      </c>
      <c r="D11" s="89">
        <f t="shared" si="4"/>
        <v>0</v>
      </c>
      <c r="E11" s="89">
        <f t="shared" si="4"/>
        <v>0</v>
      </c>
      <c r="F11" s="89">
        <f>SUM(F6:F8)</f>
        <v>4571.1899999999996</v>
      </c>
      <c r="G11" s="89">
        <f>SUM(G6:G8)</f>
        <v>12830.16</v>
      </c>
      <c r="H11" s="89">
        <f>SUM(H6:H8)</f>
        <v>19062.29</v>
      </c>
      <c r="I11" s="89">
        <f t="shared" si="4"/>
        <v>4387.3599999999997</v>
      </c>
      <c r="J11" s="89">
        <f t="shared" ref="J11:O11" si="5">SUM(J6:J8)</f>
        <v>4215.28</v>
      </c>
      <c r="K11" s="89">
        <f t="shared" si="5"/>
        <v>5081.5200000000004</v>
      </c>
      <c r="L11" s="89">
        <f t="shared" si="5"/>
        <v>5378.13</v>
      </c>
      <c r="M11" s="89">
        <f t="shared" si="5"/>
        <v>5476.59</v>
      </c>
      <c r="N11" s="89">
        <f t="shared" si="5"/>
        <v>6371.09</v>
      </c>
      <c r="O11" s="89">
        <f t="shared" si="5"/>
        <v>5739.69</v>
      </c>
      <c r="P11" s="11"/>
      <c r="Q11" s="42" t="s">
        <v>17</v>
      </c>
      <c r="R11" s="43"/>
      <c r="S11" s="44" t="e">
        <f>D14/AVERAGE(C22:D22)</f>
        <v>#DIV/0!</v>
      </c>
      <c r="T11" s="44" t="e">
        <f>E14/AVERAGE(D22:E22)</f>
        <v>#DIV/0!</v>
      </c>
      <c r="U11" s="44">
        <f>F14/AVERAGE(E22:F22)</f>
        <v>7.9090314057092062E-2</v>
      </c>
      <c r="V11" s="44">
        <f>G14/AVERAGE(F22:G22)</f>
        <v>6.0519620674049264E-2</v>
      </c>
      <c r="W11" s="44">
        <f>H14/AVERAGE(G22:H22)</f>
        <v>6.4050690163530988E-2</v>
      </c>
      <c r="X11" s="18"/>
      <c r="Y11" s="18"/>
      <c r="Z11" s="18"/>
      <c r="AA11" s="18"/>
    </row>
    <row r="12" spans="1:30" x14ac:dyDescent="0.25">
      <c r="A12" s="6" t="s">
        <v>91</v>
      </c>
      <c r="B12" s="10"/>
      <c r="C12" s="10"/>
      <c r="D12" s="89"/>
      <c r="E12" s="89"/>
      <c r="F12" s="89">
        <v>27.74</v>
      </c>
      <c r="G12" s="89">
        <v>940.36</v>
      </c>
      <c r="H12" s="89">
        <v>7079.98</v>
      </c>
      <c r="I12" s="89">
        <v>15.64</v>
      </c>
      <c r="J12" s="89">
        <v>5.18</v>
      </c>
      <c r="K12" s="89">
        <v>7053.73</v>
      </c>
      <c r="L12" s="89">
        <v>5.43</v>
      </c>
      <c r="M12" s="11">
        <v>8.7200000000000006</v>
      </c>
      <c r="N12" s="11">
        <v>88.43</v>
      </c>
      <c r="O12" s="11">
        <v>23.31</v>
      </c>
      <c r="P12" s="11"/>
      <c r="Q12" s="40" t="s">
        <v>18</v>
      </c>
      <c r="R12" s="45"/>
      <c r="S12" s="45"/>
      <c r="T12" s="45"/>
      <c r="U12" s="46" t="s">
        <v>5</v>
      </c>
      <c r="V12" s="18"/>
      <c r="W12" s="18"/>
      <c r="X12" s="18"/>
      <c r="Y12" s="18"/>
      <c r="Z12" s="53"/>
      <c r="AA12" s="54"/>
    </row>
    <row r="13" spans="1:30" x14ac:dyDescent="0.25">
      <c r="A13" s="6" t="s">
        <v>25</v>
      </c>
      <c r="B13" s="7"/>
      <c r="C13" s="7"/>
      <c r="D13" s="88">
        <f t="shared" ref="D13:O13" si="6">D11+D12</f>
        <v>0</v>
      </c>
      <c r="E13" s="88">
        <f t="shared" si="6"/>
        <v>0</v>
      </c>
      <c r="F13" s="88">
        <f t="shared" si="6"/>
        <v>4598.9299999999994</v>
      </c>
      <c r="G13" s="88">
        <f t="shared" si="6"/>
        <v>13770.52</v>
      </c>
      <c r="H13" s="88">
        <f t="shared" si="6"/>
        <v>26142.27</v>
      </c>
      <c r="I13" s="88">
        <f t="shared" si="6"/>
        <v>4403</v>
      </c>
      <c r="J13" s="88">
        <f t="shared" si="6"/>
        <v>4220.46</v>
      </c>
      <c r="K13" s="88">
        <f t="shared" si="6"/>
        <v>12135.25</v>
      </c>
      <c r="L13" s="88">
        <f t="shared" si="6"/>
        <v>5383.56</v>
      </c>
      <c r="M13" s="88">
        <f t="shared" si="6"/>
        <v>5485.31</v>
      </c>
      <c r="N13" s="88">
        <f t="shared" si="6"/>
        <v>6459.52</v>
      </c>
      <c r="O13" s="88">
        <f t="shared" si="6"/>
        <v>5763</v>
      </c>
      <c r="P13" s="11"/>
      <c r="Q13" s="42" t="s">
        <v>19</v>
      </c>
      <c r="R13" s="43"/>
      <c r="S13" s="44" t="e">
        <f>D24/D23</f>
        <v>#DIV/0!</v>
      </c>
      <c r="T13" s="44" t="e">
        <f>E24/E23</f>
        <v>#DIV/0!</v>
      </c>
      <c r="U13" s="44">
        <f>F24/F23</f>
        <v>0</v>
      </c>
      <c r="V13" s="44">
        <v>1.7000000000000001E-2</v>
      </c>
      <c r="W13" s="44">
        <v>1.7000000000000001E-2</v>
      </c>
      <c r="X13" s="48">
        <v>2.53E-2</v>
      </c>
      <c r="Y13" s="48">
        <v>2.6499999999999999E-2</v>
      </c>
      <c r="Z13" s="48">
        <v>2.7E-2</v>
      </c>
      <c r="AA13" s="48">
        <v>1.8700000000000001E-2</v>
      </c>
      <c r="AB13" s="80">
        <v>1.9199999999999998E-2</v>
      </c>
      <c r="AC13" s="80">
        <v>2.0400000000000001E-2</v>
      </c>
      <c r="AD13" s="80">
        <v>2.47E-2</v>
      </c>
    </row>
    <row r="14" spans="1:30" x14ac:dyDescent="0.25">
      <c r="A14" s="6" t="s">
        <v>26</v>
      </c>
      <c r="B14" s="7"/>
      <c r="C14" s="7"/>
      <c r="D14" s="85"/>
      <c r="E14" s="85"/>
      <c r="F14" s="85">
        <f>23.66+496.79+22.15+2732</f>
        <v>3274.6</v>
      </c>
      <c r="G14" s="85">
        <f>159.54+845.02+81.04+2746.26</f>
        <v>3831.86</v>
      </c>
      <c r="H14" s="85">
        <f>112.17+1498.7+292.23+4067.33</f>
        <v>5970.43</v>
      </c>
      <c r="I14" s="85">
        <f>62.95+316.27+68.7+873.39</f>
        <v>1321.31</v>
      </c>
      <c r="J14" s="85">
        <f>14.83+341.04+70.51+956.8</f>
        <v>1383.1799999999998</v>
      </c>
      <c r="K14" s="85">
        <f>26.32+395.1+78.91+1103.94</f>
        <v>1604.27</v>
      </c>
      <c r="L14" s="85">
        <f>8.07+446.29+74.11+1133.2</f>
        <v>1661.67</v>
      </c>
      <c r="M14" s="11">
        <f>14.41+436.53+59.24+1096.69</f>
        <v>1606.8700000000001</v>
      </c>
      <c r="N14" s="11">
        <f>46.04+376.04+46.98+1125.83</f>
        <v>1594.8899999999999</v>
      </c>
      <c r="O14" s="11">
        <f>7.25+375.32+35.17+972.18</f>
        <v>1389.92</v>
      </c>
      <c r="P14" s="11"/>
      <c r="Q14" s="42" t="s">
        <v>20</v>
      </c>
      <c r="R14" s="43"/>
      <c r="S14" s="44" t="e">
        <f>D25/D23</f>
        <v>#DIV/0!</v>
      </c>
      <c r="T14" s="44" t="e">
        <f>E25/E23</f>
        <v>#DIV/0!</v>
      </c>
      <c r="U14" s="44">
        <f>F25/F23</f>
        <v>0</v>
      </c>
      <c r="V14" s="44">
        <v>3.0000000000000001E-3</v>
      </c>
      <c r="W14" s="44">
        <v>3.0000000000000001E-3</v>
      </c>
      <c r="X14" s="48">
        <v>3.5000000000000001E-3</v>
      </c>
      <c r="Y14" s="48">
        <v>2.8999999999999998E-3</v>
      </c>
      <c r="Z14" s="48">
        <v>3.5999999999999999E-3</v>
      </c>
      <c r="AA14" s="48">
        <v>2.3E-3</v>
      </c>
      <c r="AB14" s="80">
        <v>1.5E-3</v>
      </c>
      <c r="AC14" s="80">
        <v>3.3999999999999998E-3</v>
      </c>
      <c r="AD14" s="80">
        <v>4.0000000000000001E-3</v>
      </c>
    </row>
    <row r="15" spans="1:30" x14ac:dyDescent="0.25">
      <c r="A15" s="6" t="s">
        <v>54</v>
      </c>
      <c r="B15" s="10"/>
      <c r="C15" s="10"/>
      <c r="D15" s="89">
        <f t="shared" ref="D15:L15" si="7">D11-D14</f>
        <v>0</v>
      </c>
      <c r="E15" s="89">
        <f t="shared" si="7"/>
        <v>0</v>
      </c>
      <c r="F15" s="89">
        <f t="shared" si="7"/>
        <v>1296.5899999999997</v>
      </c>
      <c r="G15" s="89">
        <f t="shared" si="7"/>
        <v>8998.2999999999993</v>
      </c>
      <c r="H15" s="89">
        <f t="shared" ref="H15" si="8">H11-H14</f>
        <v>13091.86</v>
      </c>
      <c r="I15" s="89">
        <f t="shared" si="7"/>
        <v>3066.0499999999997</v>
      </c>
      <c r="J15" s="89">
        <f t="shared" si="7"/>
        <v>2832.1</v>
      </c>
      <c r="K15" s="89">
        <f t="shared" si="7"/>
        <v>3477.2500000000005</v>
      </c>
      <c r="L15" s="89">
        <f t="shared" si="7"/>
        <v>3716.46</v>
      </c>
      <c r="M15" s="89">
        <f t="shared" ref="M15:N15" si="9">M11-M14</f>
        <v>3869.7200000000003</v>
      </c>
      <c r="N15" s="89">
        <f t="shared" si="9"/>
        <v>4776.2000000000007</v>
      </c>
      <c r="O15" s="89">
        <f t="shared" ref="O15" si="10">O11-O14</f>
        <v>4349.7699999999995</v>
      </c>
      <c r="P15" s="11"/>
      <c r="Q15" s="42" t="s">
        <v>21</v>
      </c>
      <c r="R15" s="43"/>
      <c r="S15" s="44" t="e">
        <f t="shared" ref="S15:Y15" si="11">(S13-S14)/S13</f>
        <v>#DIV/0!</v>
      </c>
      <c r="T15" s="44" t="e">
        <f t="shared" si="11"/>
        <v>#DIV/0!</v>
      </c>
      <c r="U15" s="44" t="e">
        <f t="shared" si="11"/>
        <v>#DIV/0!</v>
      </c>
      <c r="V15" s="44">
        <f t="shared" si="11"/>
        <v>0.82352941176470595</v>
      </c>
      <c r="W15" s="44">
        <f t="shared" ref="W15" si="12">(W13-W14)/W13</f>
        <v>0.82352941176470595</v>
      </c>
      <c r="X15" s="44">
        <f t="shared" si="11"/>
        <v>0.86166007905138342</v>
      </c>
      <c r="Y15" s="44">
        <f t="shared" si="11"/>
        <v>0.89056603773584908</v>
      </c>
      <c r="Z15" s="18"/>
      <c r="AA15" s="18"/>
    </row>
    <row r="16" spans="1:30" x14ac:dyDescent="0.25">
      <c r="A16" s="6" t="s">
        <v>94</v>
      </c>
      <c r="B16" s="10"/>
      <c r="C16" s="10"/>
      <c r="D16" s="89">
        <f t="shared" ref="D16:L16" si="13">D13-D14-D9</f>
        <v>0</v>
      </c>
      <c r="E16" s="89">
        <f t="shared" si="13"/>
        <v>0</v>
      </c>
      <c r="F16" s="89">
        <f t="shared" si="13"/>
        <v>515.68999999999949</v>
      </c>
      <c r="G16" s="89">
        <f t="shared" si="13"/>
        <v>5672.19</v>
      </c>
      <c r="H16" s="89">
        <f t="shared" ref="H16" si="14">H13-H14-H9</f>
        <v>13594.5</v>
      </c>
      <c r="I16" s="89">
        <f t="shared" si="13"/>
        <v>1609.46</v>
      </c>
      <c r="J16" s="89">
        <f t="shared" si="13"/>
        <v>1258.8400000000001</v>
      </c>
      <c r="K16" s="89">
        <f t="shared" si="13"/>
        <v>8781.5</v>
      </c>
      <c r="L16" s="89">
        <f t="shared" si="13"/>
        <v>1944.7000000000003</v>
      </c>
      <c r="M16" s="89">
        <f t="shared" ref="M16:N16" si="15">M13-M14-M9</f>
        <v>2046.9800000000005</v>
      </c>
      <c r="N16" s="89">
        <f t="shared" si="15"/>
        <v>2719.6400000000012</v>
      </c>
      <c r="O16" s="89">
        <f t="shared" ref="O16" si="16">O13-O14-O9</f>
        <v>2267.34</v>
      </c>
      <c r="P16" s="11"/>
      <c r="Q16" s="42" t="s">
        <v>22</v>
      </c>
      <c r="R16" s="43"/>
      <c r="S16" s="44" t="e">
        <f>D17/AVERAGE(C23:D23)</f>
        <v>#DIV/0!</v>
      </c>
      <c r="T16" s="44" t="e">
        <f>E17/AVERAGE(D23:E23)</f>
        <v>#DIV/0!</v>
      </c>
      <c r="U16" s="44">
        <f>F17/AVERAGE(E23:F23)</f>
        <v>5.0167637431706422E-2</v>
      </c>
      <c r="V16" s="44">
        <f>G17/AVERAGE(F23:G23)</f>
        <v>8.0626921196031848E-2</v>
      </c>
      <c r="W16" s="44">
        <f>H17/AVERAGE(G23:H23)</f>
        <v>6.6544962308905539E-2</v>
      </c>
      <c r="X16" s="18"/>
      <c r="Y16" s="18"/>
      <c r="Z16" s="18"/>
      <c r="AA16" s="18"/>
    </row>
    <row r="17" spans="1:27" x14ac:dyDescent="0.25">
      <c r="A17" s="6" t="s">
        <v>27</v>
      </c>
      <c r="B17" s="7"/>
      <c r="C17" s="7"/>
      <c r="D17" s="88"/>
      <c r="E17" s="85"/>
      <c r="F17" s="85">
        <v>1400.4</v>
      </c>
      <c r="G17" s="85">
        <v>3693.1</v>
      </c>
      <c r="H17" s="85">
        <v>4956.5200000000004</v>
      </c>
      <c r="I17" s="85">
        <v>1259.3900000000001</v>
      </c>
      <c r="J17" s="85">
        <v>1110.07</v>
      </c>
      <c r="K17" s="85">
        <v>1203</v>
      </c>
      <c r="L17" s="85">
        <v>1384.06</v>
      </c>
      <c r="M17" s="11">
        <v>1275.3800000000001</v>
      </c>
      <c r="N17" s="11">
        <v>1701.79</v>
      </c>
      <c r="O17" s="11">
        <v>1456.45</v>
      </c>
      <c r="P17" s="11"/>
      <c r="Q17" s="18"/>
      <c r="R17" s="18"/>
      <c r="S17" s="18"/>
      <c r="T17" s="18"/>
      <c r="U17" s="18"/>
      <c r="V17" s="18"/>
      <c r="W17" s="18"/>
      <c r="X17" s="18"/>
      <c r="Y17" s="18"/>
      <c r="Z17" s="18"/>
      <c r="AA17" s="18"/>
    </row>
    <row r="18" spans="1:27" x14ac:dyDescent="0.25">
      <c r="A18" s="6" t="s">
        <v>55</v>
      </c>
      <c r="B18" s="7"/>
      <c r="C18" s="7"/>
      <c r="D18" s="88"/>
      <c r="E18" s="85"/>
      <c r="F18" s="89">
        <v>-669.08</v>
      </c>
      <c r="G18" s="89">
        <v>1719.86</v>
      </c>
      <c r="H18" s="89">
        <v>6688.22</v>
      </c>
      <c r="I18" s="89">
        <v>350.07</v>
      </c>
      <c r="J18" s="89">
        <v>108.62</v>
      </c>
      <c r="K18" s="89">
        <v>5918.99</v>
      </c>
      <c r="L18" s="89">
        <v>398.53</v>
      </c>
      <c r="M18" s="11">
        <v>588.4</v>
      </c>
      <c r="N18" s="11">
        <v>707.53</v>
      </c>
      <c r="O18" s="11">
        <v>620.41999999999996</v>
      </c>
      <c r="P18" s="11"/>
      <c r="Q18" s="40" t="s">
        <v>30</v>
      </c>
      <c r="R18" s="45"/>
      <c r="S18" s="45"/>
      <c r="T18" s="45"/>
      <c r="U18" s="46" t="s">
        <v>5</v>
      </c>
      <c r="V18" s="18"/>
      <c r="W18" s="18"/>
      <c r="X18" s="18"/>
      <c r="Y18" s="18"/>
      <c r="Z18" s="18"/>
      <c r="AA18" s="18"/>
    </row>
    <row r="19" spans="1:27" ht="22.5" x14ac:dyDescent="0.25">
      <c r="A19" s="6" t="s">
        <v>28</v>
      </c>
      <c r="B19" s="7"/>
      <c r="C19" s="7"/>
      <c r="D19" s="88"/>
      <c r="E19" s="85"/>
      <c r="F19" s="85">
        <v>11852.62</v>
      </c>
      <c r="G19" s="85">
        <v>22698.639999999999</v>
      </c>
      <c r="H19" s="85">
        <f>29336.35-628.2</f>
        <v>28708.149999999998</v>
      </c>
      <c r="I19" s="85"/>
      <c r="J19" s="85">
        <f>23061.68-695.13</f>
        <v>22366.55</v>
      </c>
      <c r="K19" s="85"/>
      <c r="L19" s="85">
        <f>29336.35-628.2</f>
        <v>28708.149999999998</v>
      </c>
      <c r="M19" s="11"/>
      <c r="N19" s="11">
        <f>30662.67-864.49</f>
        <v>29798.179999999997</v>
      </c>
      <c r="O19" s="11"/>
      <c r="P19" s="11"/>
      <c r="Q19" s="46" t="s">
        <v>95</v>
      </c>
      <c r="R19" s="51"/>
      <c r="S19" s="51"/>
      <c r="T19" s="52" t="e">
        <f>E16/AVERAGE(D22:E22)</f>
        <v>#DIV/0!</v>
      </c>
      <c r="U19" s="52">
        <f>F16/AVERAGE(E22:F22)</f>
        <v>1.2455287380474489E-2</v>
      </c>
      <c r="V19" s="52">
        <f>G16/AVERAGE(F22:G22)</f>
        <v>8.9585419924301898E-2</v>
      </c>
      <c r="W19" s="52">
        <f>H16/AVERAGE(G22:H22)</f>
        <v>0.14584160729262749</v>
      </c>
      <c r="X19" s="18"/>
      <c r="Y19" s="18"/>
      <c r="Z19" s="18"/>
      <c r="AA19" s="18"/>
    </row>
    <row r="20" spans="1:27" x14ac:dyDescent="0.25">
      <c r="A20" s="6" t="s">
        <v>56</v>
      </c>
      <c r="B20" s="7"/>
      <c r="C20" s="7"/>
      <c r="D20" s="88">
        <f t="shared" ref="D20:N20" si="17">D19-D71</f>
        <v>0</v>
      </c>
      <c r="E20" s="89">
        <f t="shared" si="17"/>
        <v>0</v>
      </c>
      <c r="F20" s="89">
        <f t="shared" si="17"/>
        <v>11852.62</v>
      </c>
      <c r="G20" s="89">
        <f t="shared" si="17"/>
        <v>22698.639999999999</v>
      </c>
      <c r="H20" s="89">
        <f t="shared" si="17"/>
        <v>28708.149999999998</v>
      </c>
      <c r="I20" s="89">
        <f t="shared" si="17"/>
        <v>0</v>
      </c>
      <c r="J20" s="89">
        <f t="shared" si="17"/>
        <v>22366.55</v>
      </c>
      <c r="K20" s="89">
        <f t="shared" si="17"/>
        <v>0</v>
      </c>
      <c r="L20" s="89">
        <f t="shared" si="17"/>
        <v>28708.149999999998</v>
      </c>
      <c r="M20" s="89">
        <f t="shared" si="17"/>
        <v>0</v>
      </c>
      <c r="N20" s="89">
        <f t="shared" si="17"/>
        <v>29798.179999999997</v>
      </c>
      <c r="O20" s="440"/>
      <c r="P20" s="11"/>
      <c r="Q20" s="42" t="s">
        <v>31</v>
      </c>
      <c r="R20" s="43"/>
      <c r="S20" s="43">
        <v>4.4699999999999997E-2</v>
      </c>
      <c r="T20" s="44" t="e">
        <f>E18/AVERAGE(D22:E22)</f>
        <v>#DIV/0!</v>
      </c>
      <c r="U20" s="44">
        <f>F18/AVERAGE(E22:F22)</f>
        <v>-1.6160064535918634E-2</v>
      </c>
      <c r="V20" s="44">
        <f>G18/AVERAGE(F22:G22)</f>
        <v>2.7163120472165049E-2</v>
      </c>
      <c r="W20" s="44">
        <f>H18/AVERAGE(G22:H22)</f>
        <v>7.175113131977616E-2</v>
      </c>
      <c r="X20" s="48"/>
      <c r="Y20" s="18"/>
      <c r="Z20" s="18"/>
      <c r="AA20" s="18"/>
    </row>
    <row r="21" spans="1:27" x14ac:dyDescent="0.25">
      <c r="A21" s="6" t="s">
        <v>57</v>
      </c>
      <c r="B21" s="9"/>
      <c r="C21" s="9"/>
      <c r="D21" s="85"/>
      <c r="E21" s="85"/>
      <c r="F21" s="85">
        <f>20111.26+8016.02+99.47</f>
        <v>28226.75</v>
      </c>
      <c r="G21" s="85">
        <f>26572.15+30954.53+99.64</f>
        <v>57626.32</v>
      </c>
      <c r="H21" s="85">
        <f>20937.36+43403.73</f>
        <v>64341.090000000004</v>
      </c>
      <c r="I21" s="85"/>
      <c r="J21" s="85">
        <f>26860.82+36559.6+99.73</f>
        <v>63520.15</v>
      </c>
      <c r="K21" s="85"/>
      <c r="L21" s="85">
        <f>20937.36+43403.73</f>
        <v>64341.090000000004</v>
      </c>
      <c r="M21" s="11"/>
      <c r="N21" s="11">
        <f>27851.1+47712.16</f>
        <v>75563.260000000009</v>
      </c>
      <c r="O21" s="11"/>
      <c r="P21" s="11"/>
      <c r="Q21" s="42" t="s">
        <v>32</v>
      </c>
      <c r="R21" s="43"/>
      <c r="S21" s="44" t="e">
        <f>D18/AVERAGE(C19:D19)</f>
        <v>#DIV/0!</v>
      </c>
      <c r="T21" s="44" t="e">
        <f>E18/AVERAGE(D19:E19)</f>
        <v>#DIV/0!</v>
      </c>
      <c r="U21" s="44">
        <f>F18/AVERAGE(E19:F19)</f>
        <v>-5.6449966336556814E-2</v>
      </c>
      <c r="V21" s="44">
        <f>G18/AVERAGE(F19:G19)</f>
        <v>9.9554111774794882E-2</v>
      </c>
      <c r="W21" s="44">
        <f>H18/AVERAGE(G19:H19)</f>
        <v>0.26020764961204546</v>
      </c>
      <c r="X21" s="18"/>
      <c r="Y21" s="18"/>
      <c r="Z21" s="18"/>
      <c r="AA21" s="18"/>
    </row>
    <row r="22" spans="1:27" x14ac:dyDescent="0.25">
      <c r="A22" s="6" t="s">
        <v>29</v>
      </c>
      <c r="B22" s="7"/>
      <c r="C22" s="7"/>
      <c r="D22" s="88"/>
      <c r="E22" s="85"/>
      <c r="F22" s="85">
        <v>41403.300000000003</v>
      </c>
      <c r="G22" s="85">
        <v>85228.69</v>
      </c>
      <c r="H22" s="85">
        <v>101199.59</v>
      </c>
      <c r="I22" s="85"/>
      <c r="J22" s="85">
        <v>97381.88</v>
      </c>
      <c r="K22" s="85"/>
      <c r="L22" s="85">
        <v>101199.59</v>
      </c>
      <c r="M22" s="11"/>
      <c r="N22" s="11">
        <v>113486.01</v>
      </c>
      <c r="O22" s="11"/>
      <c r="P22" s="11"/>
      <c r="Q22" s="40" t="s">
        <v>33</v>
      </c>
      <c r="R22" s="45"/>
      <c r="S22" s="45"/>
      <c r="T22" s="45"/>
      <c r="U22" s="46" t="s">
        <v>5</v>
      </c>
      <c r="V22" s="18"/>
      <c r="W22" s="18"/>
      <c r="X22" s="18"/>
      <c r="Y22" s="18"/>
      <c r="Z22" s="18"/>
      <c r="AA22" s="18"/>
    </row>
    <row r="23" spans="1:27" x14ac:dyDescent="0.25">
      <c r="A23" s="6" t="s">
        <v>58</v>
      </c>
      <c r="B23" s="7"/>
      <c r="C23" s="7"/>
      <c r="D23" s="88"/>
      <c r="E23" s="85"/>
      <c r="F23" s="85">
        <v>27914.41</v>
      </c>
      <c r="G23" s="85">
        <v>63695.19</v>
      </c>
      <c r="H23" s="85">
        <v>85272.36</v>
      </c>
      <c r="I23" s="85"/>
      <c r="J23" s="85">
        <v>70153.119999999995</v>
      </c>
      <c r="K23" s="85"/>
      <c r="L23" s="85">
        <v>80367</v>
      </c>
      <c r="M23" s="11"/>
      <c r="N23" s="11">
        <v>87720.94</v>
      </c>
      <c r="O23" s="11"/>
      <c r="P23" s="11"/>
      <c r="Q23" s="42" t="s">
        <v>34</v>
      </c>
      <c r="R23" s="43"/>
      <c r="S23" s="44" t="e">
        <f>D6/AVERAGE(C23:D23)</f>
        <v>#DIV/0!</v>
      </c>
      <c r="T23" s="44" t="e">
        <f>E6/AVERAGE(D23:E23)</f>
        <v>#DIV/0!</v>
      </c>
      <c r="U23" s="44">
        <f>F6/AVERAGE(E23:F23)</f>
        <v>0.11255297890945931</v>
      </c>
      <c r="V23" s="44">
        <f>G6/AVERAGE(F23:G23)</f>
        <v>0.25778630187229284</v>
      </c>
      <c r="W23" s="44">
        <f>H6/AVERAGE(G23:H23)</f>
        <v>0.18658949549750936</v>
      </c>
      <c r="X23" s="18"/>
      <c r="Y23" s="18"/>
      <c r="Z23" s="18"/>
      <c r="AA23" s="18"/>
    </row>
    <row r="24" spans="1:27" x14ac:dyDescent="0.25">
      <c r="A24" s="6" t="s">
        <v>59</v>
      </c>
      <c r="B24" s="10"/>
      <c r="C24" s="10"/>
      <c r="D24" s="89"/>
      <c r="E24" s="89"/>
      <c r="F24" s="89"/>
      <c r="G24" s="89"/>
      <c r="H24" s="89">
        <v>1593.93</v>
      </c>
      <c r="I24" s="89"/>
      <c r="J24" s="89"/>
      <c r="K24" s="89"/>
      <c r="L24" s="89"/>
      <c r="M24" s="11"/>
      <c r="N24" s="11"/>
      <c r="O24" s="11"/>
      <c r="P24" s="11"/>
      <c r="Q24" s="42" t="s">
        <v>35</v>
      </c>
      <c r="R24" s="43"/>
      <c r="S24" s="44" t="e">
        <f>D9/AVERAGE(C21:D21)</f>
        <v>#DIV/0!</v>
      </c>
      <c r="T24" s="44" t="e">
        <f>E9/AVERAGE(D21:E21)</f>
        <v>#DIV/0!</v>
      </c>
      <c r="U24" s="44">
        <f>F9/AVERAGE(E21:F21)</f>
        <v>2.8648002338207551E-2</v>
      </c>
      <c r="V24" s="44">
        <f>G9/AVERAGE(F21:G21)</f>
        <v>9.939003928455907E-2</v>
      </c>
      <c r="W24" s="44">
        <f>H9/AVERAGE(G21:H21)</f>
        <v>0.10785405707967399</v>
      </c>
      <c r="X24" s="18"/>
      <c r="Y24" s="18"/>
      <c r="Z24" s="18"/>
      <c r="AA24" s="18"/>
    </row>
    <row r="25" spans="1:27" x14ac:dyDescent="0.25">
      <c r="A25" s="6" t="s">
        <v>60</v>
      </c>
      <c r="B25" s="10"/>
      <c r="C25" s="10"/>
      <c r="D25" s="89"/>
      <c r="E25" s="89"/>
      <c r="F25" s="89"/>
      <c r="G25" s="89"/>
      <c r="H25" s="89">
        <v>196.83</v>
      </c>
      <c r="I25" s="89"/>
      <c r="J25" s="89"/>
      <c r="K25" s="89"/>
      <c r="L25" s="89"/>
      <c r="M25" s="11"/>
      <c r="N25" s="11"/>
      <c r="O25" s="11"/>
      <c r="P25" s="11"/>
      <c r="Q25" s="42" t="s">
        <v>36</v>
      </c>
      <c r="R25" s="43"/>
      <c r="S25" s="48" t="e">
        <f>S23-S24</f>
        <v>#DIV/0!</v>
      </c>
      <c r="T25" s="48" t="e">
        <f>T23-T24</f>
        <v>#DIV/0!</v>
      </c>
      <c r="U25" s="48">
        <f>U23-U24</f>
        <v>8.390497657125176E-2</v>
      </c>
      <c r="V25" s="48">
        <f>V23-V24</f>
        <v>0.15839626258773376</v>
      </c>
      <c r="W25" s="48">
        <f>W23-W24</f>
        <v>7.8735438417835368E-2</v>
      </c>
      <c r="X25" s="18"/>
      <c r="Y25" s="18"/>
      <c r="Z25" s="18"/>
      <c r="AA25" s="18"/>
    </row>
  </sheetData>
  <mergeCells count="1">
    <mergeCell ref="J1:L1"/>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W159"/>
  <sheetViews>
    <sheetView topLeftCell="D7" zoomScale="103" zoomScaleNormal="85" workbookViewId="0">
      <selection activeCell="X15" sqref="X15"/>
    </sheetView>
  </sheetViews>
  <sheetFormatPr defaultRowHeight="15" x14ac:dyDescent="0.25"/>
  <cols>
    <col min="1" max="1" width="33.140625" customWidth="1"/>
    <col min="2" max="2" width="11.7109375" customWidth="1"/>
    <col min="3" max="4" width="11.42578125" customWidth="1"/>
    <col min="5" max="5" width="15" customWidth="1"/>
    <col min="6" max="6" width="16.5703125" customWidth="1"/>
    <col min="7" max="11" width="12.7109375" customWidth="1"/>
    <col min="13" max="13" width="25.7109375" customWidth="1"/>
    <col min="14" max="15" width="13.28515625" bestFit="1" customWidth="1"/>
    <col min="16" max="16" width="13.28515625" customWidth="1"/>
    <col min="17" max="20" width="12.7109375" customWidth="1"/>
  </cols>
  <sheetData>
    <row r="1" spans="1:23" x14ac:dyDescent="0.25">
      <c r="L1" s="772" t="s">
        <v>113</v>
      </c>
      <c r="M1" s="772"/>
      <c r="N1" s="772"/>
    </row>
    <row r="2" spans="1:23" ht="22.5" x14ac:dyDescent="0.25">
      <c r="A2" s="3" t="s">
        <v>4</v>
      </c>
      <c r="B2" s="3" t="s">
        <v>42</v>
      </c>
      <c r="C2" s="3" t="s">
        <v>366</v>
      </c>
      <c r="D2" s="3" t="s">
        <v>367</v>
      </c>
      <c r="E2" s="3" t="s">
        <v>37</v>
      </c>
      <c r="F2" s="3" t="s">
        <v>38</v>
      </c>
      <c r="G2" s="3" t="s">
        <v>39</v>
      </c>
      <c r="H2" s="3" t="s">
        <v>40</v>
      </c>
      <c r="I2" s="11"/>
      <c r="J2" s="11"/>
      <c r="K2" s="11"/>
      <c r="L2" s="11"/>
      <c r="M2" s="40" t="s">
        <v>6</v>
      </c>
      <c r="N2" s="40" t="s">
        <v>90</v>
      </c>
      <c r="O2" s="41" t="s">
        <v>492</v>
      </c>
      <c r="P2" s="41" t="s">
        <v>623</v>
      </c>
      <c r="Q2" s="40" t="s">
        <v>37</v>
      </c>
      <c r="R2" s="41" t="s">
        <v>38</v>
      </c>
      <c r="S2" s="41" t="s">
        <v>39</v>
      </c>
      <c r="T2" s="41" t="s">
        <v>40</v>
      </c>
    </row>
    <row r="3" spans="1:23" x14ac:dyDescent="0.25">
      <c r="A3" s="3"/>
      <c r="B3" s="1" t="s">
        <v>46</v>
      </c>
      <c r="C3" s="1" t="s">
        <v>46</v>
      </c>
      <c r="D3" s="1" t="s">
        <v>46</v>
      </c>
      <c r="E3" s="1" t="s">
        <v>96</v>
      </c>
      <c r="F3" s="1"/>
      <c r="G3" s="1"/>
      <c r="H3" s="1"/>
      <c r="I3" s="11"/>
      <c r="J3" s="11"/>
      <c r="K3" s="11"/>
      <c r="L3" s="11"/>
      <c r="M3" s="42" t="s">
        <v>11</v>
      </c>
      <c r="N3" s="44">
        <f>B10/AVERAGE(B23:B23)</f>
        <v>7.9608713415310353E-2</v>
      </c>
      <c r="O3" s="44">
        <f>C10/AVERAGE(B23:C23)</f>
        <v>0.16996488778014188</v>
      </c>
      <c r="P3" s="44">
        <f>D10/AVERAGE(C23:D23)</f>
        <v>0.27227848668584942</v>
      </c>
      <c r="Q3" s="18"/>
      <c r="R3" s="18"/>
      <c r="S3" s="18"/>
      <c r="T3" s="18"/>
    </row>
    <row r="4" spans="1:23" x14ac:dyDescent="0.25">
      <c r="A4" s="3"/>
      <c r="B4" s="5" t="s">
        <v>49</v>
      </c>
      <c r="C4" s="5" t="s">
        <v>49</v>
      </c>
      <c r="D4" s="5" t="s">
        <v>49</v>
      </c>
      <c r="E4" s="5"/>
      <c r="F4" s="5"/>
      <c r="G4" s="5"/>
      <c r="H4" s="5"/>
      <c r="I4" s="11"/>
      <c r="J4" s="11"/>
      <c r="K4" s="11"/>
      <c r="L4" s="11"/>
      <c r="M4" s="40" t="s">
        <v>12</v>
      </c>
      <c r="N4" s="46" t="s">
        <v>5</v>
      </c>
      <c r="O4" s="18"/>
      <c r="P4" s="18"/>
      <c r="Q4" s="18"/>
      <c r="R4" s="18"/>
      <c r="S4" s="18"/>
      <c r="T4" s="18"/>
    </row>
    <row r="5" spans="1:23" x14ac:dyDescent="0.25">
      <c r="A5" s="6" t="s">
        <v>23</v>
      </c>
      <c r="B5" s="85">
        <v>33659.449999999997</v>
      </c>
      <c r="C5" s="90">
        <v>71700.789999999994</v>
      </c>
      <c r="D5" s="90">
        <v>139925.71</v>
      </c>
      <c r="E5" s="85">
        <v>25841.360000000001</v>
      </c>
      <c r="F5" s="85">
        <v>29927.51</v>
      </c>
      <c r="G5" s="85">
        <v>38151.81</v>
      </c>
      <c r="H5" s="85">
        <v>46005.02</v>
      </c>
      <c r="I5" s="11">
        <v>50948.36</v>
      </c>
      <c r="J5" s="11">
        <v>51872.56</v>
      </c>
      <c r="K5" s="11">
        <v>56624.14</v>
      </c>
      <c r="L5" s="11"/>
      <c r="M5" s="42" t="s">
        <v>13</v>
      </c>
      <c r="N5" s="47">
        <f>B21/B20</f>
        <v>1.3779072189604757</v>
      </c>
      <c r="O5" s="47">
        <f>C21/C20</f>
        <v>0.82585796567358438</v>
      </c>
      <c r="P5" s="47">
        <f>D21/D20</f>
        <v>1.3832666872663599</v>
      </c>
      <c r="Q5" s="47"/>
      <c r="R5" s="47">
        <f>F21/F20</f>
        <v>1.1369057190248406</v>
      </c>
      <c r="S5" s="47"/>
      <c r="T5" s="47">
        <f>H21/H20</f>
        <v>1.383197897926022</v>
      </c>
      <c r="U5" s="47"/>
      <c r="V5" s="47">
        <f t="shared" ref="V5" si="0">J21/J20</f>
        <v>1.5959896956768143</v>
      </c>
    </row>
    <row r="6" spans="1:23" x14ac:dyDescent="0.25">
      <c r="A6" s="6" t="s">
        <v>50</v>
      </c>
      <c r="B6" s="85">
        <v>17187.98</v>
      </c>
      <c r="C6" s="85">
        <v>47270</v>
      </c>
      <c r="D6" s="85">
        <v>122079.86</v>
      </c>
      <c r="E6" s="85">
        <v>22204.41</v>
      </c>
      <c r="F6" s="85">
        <v>26526.41</v>
      </c>
      <c r="G6" s="85">
        <v>33973.269999999997</v>
      </c>
      <c r="H6" s="85">
        <v>39879.32</v>
      </c>
      <c r="I6" s="11">
        <v>43686.33</v>
      </c>
      <c r="J6" s="11">
        <v>39813.03</v>
      </c>
      <c r="K6" s="11">
        <v>38484.910000000003</v>
      </c>
      <c r="L6" s="11"/>
      <c r="M6" s="42" t="s">
        <v>14</v>
      </c>
      <c r="N6" s="43">
        <v>0.40550000000000003</v>
      </c>
      <c r="O6" s="48">
        <v>0.60160000000000002</v>
      </c>
      <c r="P6" s="48">
        <v>0.33889999999999998</v>
      </c>
      <c r="Q6" s="48"/>
      <c r="R6" s="18"/>
      <c r="S6" s="18"/>
      <c r="T6" s="18"/>
    </row>
    <row r="7" spans="1:23" x14ac:dyDescent="0.25">
      <c r="A7" s="6" t="s">
        <v>51</v>
      </c>
      <c r="B7" s="85">
        <v>0</v>
      </c>
      <c r="C7" s="85">
        <v>0</v>
      </c>
      <c r="D7" s="85"/>
      <c r="E7" s="85"/>
      <c r="F7" s="85"/>
      <c r="G7" s="85"/>
      <c r="H7" s="85"/>
      <c r="I7" s="11"/>
      <c r="J7" s="11"/>
      <c r="K7" s="11"/>
      <c r="L7" s="11"/>
      <c r="M7" s="42" t="s">
        <v>15</v>
      </c>
      <c r="N7" s="44">
        <f>B20/B23</f>
        <v>0.48092605701013219</v>
      </c>
      <c r="O7" s="44">
        <f>C20/C23</f>
        <v>0.64812937709432172</v>
      </c>
      <c r="P7" s="44">
        <f>D20/D23</f>
        <v>0.41060719285074304</v>
      </c>
      <c r="Q7" s="18"/>
      <c r="R7" s="18"/>
      <c r="S7" s="18"/>
      <c r="T7" s="18"/>
    </row>
    <row r="8" spans="1:23" x14ac:dyDescent="0.25">
      <c r="A8" s="6" t="s">
        <v>52</v>
      </c>
      <c r="B8" s="85">
        <f t="shared" ref="B8:K8" si="1">B5-B6-B7</f>
        <v>16471.469999999998</v>
      </c>
      <c r="C8" s="85">
        <f t="shared" si="1"/>
        <v>24430.789999999994</v>
      </c>
      <c r="D8" s="85">
        <f t="shared" si="1"/>
        <v>17845.849999999991</v>
      </c>
      <c r="E8" s="85">
        <f t="shared" si="1"/>
        <v>3636.9500000000007</v>
      </c>
      <c r="F8" s="85">
        <f t="shared" si="1"/>
        <v>3401.0999999999985</v>
      </c>
      <c r="G8" s="85">
        <f t="shared" si="1"/>
        <v>4178.5400000000009</v>
      </c>
      <c r="H8" s="85">
        <f t="shared" si="1"/>
        <v>6125.6999999999971</v>
      </c>
      <c r="I8" s="85">
        <f t="shared" si="1"/>
        <v>7262.0299999999988</v>
      </c>
      <c r="J8" s="85">
        <f t="shared" si="1"/>
        <v>12059.529999999999</v>
      </c>
      <c r="K8" s="85">
        <f t="shared" si="1"/>
        <v>18139.229999999996</v>
      </c>
      <c r="L8" s="11"/>
      <c r="M8" s="40" t="s">
        <v>16</v>
      </c>
      <c r="N8" s="46" t="s">
        <v>5</v>
      </c>
      <c r="O8" s="18"/>
      <c r="P8" s="18"/>
      <c r="Q8" s="18"/>
      <c r="R8" s="18"/>
      <c r="S8" s="18"/>
      <c r="T8" s="18"/>
    </row>
    <row r="9" spans="1:23" ht="33.75" x14ac:dyDescent="0.25">
      <c r="A9" s="6" t="s">
        <v>24</v>
      </c>
      <c r="B9" s="85">
        <v>7532.88</v>
      </c>
      <c r="C9" s="85">
        <v>16425.09</v>
      </c>
      <c r="D9" s="85">
        <v>23510.14</v>
      </c>
      <c r="E9" s="85">
        <v>4175.76</v>
      </c>
      <c r="F9" s="85">
        <v>5203.71</v>
      </c>
      <c r="G9" s="85">
        <v>6436.35</v>
      </c>
      <c r="H9" s="85">
        <v>7593.04</v>
      </c>
      <c r="I9" s="11">
        <v>8492.82</v>
      </c>
      <c r="J9" s="11">
        <v>9293.7199999999993</v>
      </c>
      <c r="K9" s="11">
        <v>9712.81</v>
      </c>
      <c r="L9" s="11"/>
      <c r="M9" s="49" t="s">
        <v>93</v>
      </c>
      <c r="N9" s="93">
        <f>B14/(B11-B9)</f>
        <v>0.22322792467591426</v>
      </c>
      <c r="O9" s="93">
        <f>C14/(C11-C9)</f>
        <v>0.38667986113246872</v>
      </c>
      <c r="P9" s="93">
        <f>D14/(D11-D9)</f>
        <v>0.39939399858627161</v>
      </c>
      <c r="Q9" s="18"/>
      <c r="R9" s="18"/>
      <c r="S9" s="18"/>
      <c r="T9" s="18"/>
    </row>
    <row r="10" spans="1:23" ht="22.5" x14ac:dyDescent="0.25">
      <c r="A10" s="6" t="s">
        <v>53</v>
      </c>
      <c r="B10" s="89">
        <f t="shared" ref="B10:H10" si="2">B6-B9</f>
        <v>9655.0999999999985</v>
      </c>
      <c r="C10" s="89">
        <f t="shared" si="2"/>
        <v>30844.91</v>
      </c>
      <c r="D10" s="89">
        <f t="shared" ref="D10" si="3">D6-D9</f>
        <v>98569.72</v>
      </c>
      <c r="E10" s="89">
        <f t="shared" si="2"/>
        <v>18028.650000000001</v>
      </c>
      <c r="F10" s="89">
        <f t="shared" si="2"/>
        <v>21322.7</v>
      </c>
      <c r="G10" s="89">
        <f t="shared" si="2"/>
        <v>27536.92</v>
      </c>
      <c r="H10" s="89">
        <f t="shared" si="2"/>
        <v>32286.28</v>
      </c>
      <c r="I10" s="89">
        <f t="shared" ref="I10:J10" si="4">I6-I9</f>
        <v>35193.51</v>
      </c>
      <c r="J10" s="89">
        <f t="shared" si="4"/>
        <v>30519.309999999998</v>
      </c>
      <c r="K10" s="89">
        <f t="shared" ref="K10" si="5">K6-K9</f>
        <v>28772.100000000006</v>
      </c>
      <c r="L10" s="11"/>
      <c r="M10" s="42" t="s">
        <v>92</v>
      </c>
      <c r="N10" s="44">
        <f>B14/B11</f>
        <v>0.17327021089174069</v>
      </c>
      <c r="O10" s="44">
        <f>C14/C11</f>
        <v>0.29809992330628438</v>
      </c>
      <c r="P10" s="44">
        <f>D14/D11</f>
        <v>0.3322883264269304</v>
      </c>
      <c r="Q10" s="18"/>
      <c r="R10" s="18"/>
      <c r="S10" s="18"/>
      <c r="T10" s="18"/>
    </row>
    <row r="11" spans="1:23" ht="22.5" x14ac:dyDescent="0.25">
      <c r="A11" s="6" t="s">
        <v>1</v>
      </c>
      <c r="B11" s="89">
        <f t="shared" ref="B11:H11" si="6">SUM(B6:B8)</f>
        <v>33659.449999999997</v>
      </c>
      <c r="C11" s="89">
        <f t="shared" si="6"/>
        <v>71700.789999999994</v>
      </c>
      <c r="D11" s="89">
        <f t="shared" ref="D11" si="7">SUM(D6:D8)</f>
        <v>139925.71</v>
      </c>
      <c r="E11" s="89">
        <f t="shared" si="6"/>
        <v>25841.360000000001</v>
      </c>
      <c r="F11" s="89">
        <f t="shared" si="6"/>
        <v>29927.51</v>
      </c>
      <c r="G11" s="89">
        <f t="shared" si="6"/>
        <v>38151.81</v>
      </c>
      <c r="H11" s="89">
        <f t="shared" si="6"/>
        <v>46005.02</v>
      </c>
      <c r="I11" s="89">
        <f t="shared" ref="I11:J11" si="8">SUM(I6:I8)</f>
        <v>50948.36</v>
      </c>
      <c r="J11" s="89">
        <f t="shared" si="8"/>
        <v>51872.56</v>
      </c>
      <c r="K11" s="89">
        <f t="shared" ref="K11" si="9">SUM(K6:K8)</f>
        <v>56624.14</v>
      </c>
      <c r="L11" s="11"/>
      <c r="M11" s="42" t="s">
        <v>17</v>
      </c>
      <c r="N11" s="44">
        <f>B14/AVERAGE(B22:B22)</f>
        <v>4.0471062522045187E-2</v>
      </c>
      <c r="O11" s="44">
        <f>C14/AVERAGE(B22:C22)</f>
        <v>9.7860784495159642E-2</v>
      </c>
      <c r="P11" s="44">
        <f>D14/AVERAGE(C22:D22)</f>
        <v>0.11670451402668221</v>
      </c>
      <c r="Q11" s="18"/>
      <c r="R11" s="18"/>
      <c r="S11" s="18"/>
      <c r="T11" s="18"/>
    </row>
    <row r="12" spans="1:23" x14ac:dyDescent="0.25">
      <c r="A12" s="6" t="s">
        <v>91</v>
      </c>
      <c r="B12" s="89">
        <v>27.92</v>
      </c>
      <c r="C12" s="89">
        <v>207.11</v>
      </c>
      <c r="D12" s="89">
        <v>107.01</v>
      </c>
      <c r="E12" s="89">
        <v>51.57</v>
      </c>
      <c r="F12" s="89">
        <v>0.52</v>
      </c>
      <c r="G12" s="89">
        <v>25.77</v>
      </c>
      <c r="H12" s="89">
        <v>106.44</v>
      </c>
      <c r="I12" s="11">
        <v>23.31</v>
      </c>
      <c r="J12" s="11">
        <v>0.05</v>
      </c>
      <c r="K12" s="11">
        <v>1.83</v>
      </c>
      <c r="L12" s="11"/>
      <c r="M12" s="40" t="s">
        <v>18</v>
      </c>
      <c r="N12" s="46" t="s">
        <v>5</v>
      </c>
      <c r="O12" s="18"/>
      <c r="P12" s="18"/>
      <c r="Q12" s="18"/>
      <c r="R12" s="18"/>
      <c r="S12" s="53"/>
      <c r="T12" s="54"/>
    </row>
    <row r="13" spans="1:23" x14ac:dyDescent="0.25">
      <c r="A13" s="6" t="s">
        <v>25</v>
      </c>
      <c r="B13" s="88">
        <f t="shared" ref="B13:K13" si="10">B11+B12</f>
        <v>33687.369999999995</v>
      </c>
      <c r="C13" s="88">
        <f t="shared" si="10"/>
        <v>71907.899999999994</v>
      </c>
      <c r="D13" s="88">
        <f t="shared" si="10"/>
        <v>140032.72</v>
      </c>
      <c r="E13" s="88">
        <f t="shared" si="10"/>
        <v>25892.93</v>
      </c>
      <c r="F13" s="88">
        <f t="shared" si="10"/>
        <v>29928.03</v>
      </c>
      <c r="G13" s="88">
        <f t="shared" si="10"/>
        <v>38177.579999999994</v>
      </c>
      <c r="H13" s="88">
        <f t="shared" si="10"/>
        <v>46111.46</v>
      </c>
      <c r="I13" s="88">
        <f t="shared" si="10"/>
        <v>50971.67</v>
      </c>
      <c r="J13" s="88">
        <f t="shared" si="10"/>
        <v>51872.61</v>
      </c>
      <c r="K13" s="88">
        <f t="shared" si="10"/>
        <v>56625.97</v>
      </c>
      <c r="L13" s="11"/>
      <c r="M13" s="42" t="s">
        <v>19</v>
      </c>
      <c r="N13" s="44">
        <f>B24/B23</f>
        <v>2.7955849984272186E-2</v>
      </c>
      <c r="O13" s="44">
        <f>C24/C23</f>
        <v>2.2913564954421511E-2</v>
      </c>
      <c r="P13" s="44">
        <f>D24/D23</f>
        <v>2.2913405196689107E-2</v>
      </c>
      <c r="Q13" s="48"/>
      <c r="R13" s="48">
        <v>2.2200000000000001E-2</v>
      </c>
      <c r="S13" s="48">
        <v>2.3199999999999998E-2</v>
      </c>
      <c r="T13" s="48">
        <v>2.29E-2</v>
      </c>
      <c r="U13" s="80">
        <v>2.8899999999999999E-2</v>
      </c>
      <c r="V13" s="80">
        <v>3.4200000000000001E-2</v>
      </c>
      <c r="W13" s="80">
        <v>3.15E-2</v>
      </c>
    </row>
    <row r="14" spans="1:23" x14ac:dyDescent="0.25">
      <c r="A14" s="6" t="s">
        <v>26</v>
      </c>
      <c r="B14" s="85">
        <f>1679.41+2562.77+267.43+1322.57</f>
        <v>5832.18</v>
      </c>
      <c r="C14" s="85">
        <f>14373.25+3680.02+165.15+3155.58</f>
        <v>21374</v>
      </c>
      <c r="D14" s="85">
        <f>11107.5+18834.64+364.67+16188.87</f>
        <v>46495.68</v>
      </c>
      <c r="E14" s="85">
        <f>3503.74+2698.8+49.22+2240.31</f>
        <v>8492.07</v>
      </c>
      <c r="F14" s="85">
        <f>2683.41+3959.11+83.77+3984.25</f>
        <v>10710.54</v>
      </c>
      <c r="G14" s="85">
        <f>2026.44+6403.18+90.74+4602.02</f>
        <v>13122.380000000001</v>
      </c>
      <c r="H14" s="85">
        <f>2597.53+5732.28+140.94+5878.51</f>
        <v>14349.26</v>
      </c>
      <c r="I14" s="11">
        <f>2946.47+7033.07+168.88+6096.09</f>
        <v>16244.509999999998</v>
      </c>
      <c r="J14" s="11">
        <f>5188.98+7678.42+227.1+6716.43</f>
        <v>19810.93</v>
      </c>
      <c r="K14" s="11">
        <f>3764+7904+228.92+7394.04</f>
        <v>19290.96</v>
      </c>
      <c r="L14" s="11"/>
      <c r="M14" s="42" t="s">
        <v>20</v>
      </c>
      <c r="N14" s="44">
        <f>B25/B23</f>
        <v>7.5661712233353771E-3</v>
      </c>
      <c r="O14" s="44">
        <f>C25/C23</f>
        <v>8.3993205566615676E-3</v>
      </c>
      <c r="P14" s="44">
        <f>D25/D23</f>
        <v>6.4793074177068848E-3</v>
      </c>
      <c r="Q14" s="48"/>
      <c r="R14" s="48">
        <v>6.8999999999999999E-3</v>
      </c>
      <c r="S14" s="48">
        <v>7.3000000000000001E-3</v>
      </c>
      <c r="T14" s="48">
        <v>6.6E-3</v>
      </c>
      <c r="U14" s="80">
        <v>8.8999999999999999E-3</v>
      </c>
      <c r="V14" s="80">
        <v>1.0500000000000001E-2</v>
      </c>
      <c r="W14" s="80">
        <v>9.2999999999999992E-3</v>
      </c>
    </row>
    <row r="15" spans="1:23" x14ac:dyDescent="0.25">
      <c r="A15" s="6" t="s">
        <v>54</v>
      </c>
      <c r="B15" s="89">
        <f t="shared" ref="B15:H15" si="11">B11-B14</f>
        <v>27827.269999999997</v>
      </c>
      <c r="C15" s="89">
        <f t="shared" si="11"/>
        <v>50326.789999999994</v>
      </c>
      <c r="D15" s="89">
        <f t="shared" ref="D15" si="12">D11-D14</f>
        <v>93430.03</v>
      </c>
      <c r="E15" s="89">
        <f t="shared" si="11"/>
        <v>17349.29</v>
      </c>
      <c r="F15" s="89">
        <f t="shared" si="11"/>
        <v>19216.969999999998</v>
      </c>
      <c r="G15" s="89">
        <f t="shared" si="11"/>
        <v>25029.429999999997</v>
      </c>
      <c r="H15" s="89">
        <f t="shared" si="11"/>
        <v>31655.759999999995</v>
      </c>
      <c r="I15" s="89">
        <f t="shared" ref="I15:J15" si="13">I11-I14</f>
        <v>34703.850000000006</v>
      </c>
      <c r="J15" s="89">
        <f t="shared" si="13"/>
        <v>32061.629999999997</v>
      </c>
      <c r="K15" s="89">
        <f t="shared" ref="K15" si="14">K11-K14</f>
        <v>37333.18</v>
      </c>
      <c r="L15" s="11"/>
      <c r="M15" s="42" t="s">
        <v>21</v>
      </c>
      <c r="N15" s="44">
        <f>(N13-N14)/N13</f>
        <v>0.72935284644923815</v>
      </c>
      <c r="O15" s="44">
        <f>(O13-O14)/O13</f>
        <v>0.63343458019871346</v>
      </c>
      <c r="P15" s="44">
        <f>(P13-P14)/P13</f>
        <v>0.71722634143252006</v>
      </c>
      <c r="Q15" s="44" t="e">
        <f>(Q13-Q14)/Q13</f>
        <v>#DIV/0!</v>
      </c>
      <c r="R15" s="18"/>
      <c r="S15" s="18"/>
      <c r="T15" s="18"/>
    </row>
    <row r="16" spans="1:23" x14ac:dyDescent="0.25">
      <c r="A16" s="6" t="s">
        <v>94</v>
      </c>
      <c r="B16" s="89">
        <f t="shared" ref="B16:H16" si="15">B13-B14-B9</f>
        <v>20322.309999999994</v>
      </c>
      <c r="C16" s="89">
        <f t="shared" si="15"/>
        <v>34108.81</v>
      </c>
      <c r="D16" s="89">
        <f t="shared" ref="D16" si="16">D13-D14-D9</f>
        <v>70026.900000000009</v>
      </c>
      <c r="E16" s="89">
        <f t="shared" si="15"/>
        <v>13225.1</v>
      </c>
      <c r="F16" s="89">
        <f t="shared" si="15"/>
        <v>14013.779999999999</v>
      </c>
      <c r="G16" s="89">
        <f t="shared" si="15"/>
        <v>18618.849999999991</v>
      </c>
      <c r="H16" s="89">
        <f t="shared" si="15"/>
        <v>24169.159999999996</v>
      </c>
      <c r="I16" s="89">
        <f t="shared" ref="I16:J16" si="17">I13-I14-I9</f>
        <v>26234.340000000004</v>
      </c>
      <c r="J16" s="89">
        <f t="shared" si="17"/>
        <v>22767.96</v>
      </c>
      <c r="K16" s="89">
        <f t="shared" ref="K16" si="18">K13-K14-K9</f>
        <v>27622.200000000004</v>
      </c>
      <c r="L16" s="11"/>
      <c r="M16" s="42" t="s">
        <v>22</v>
      </c>
      <c r="N16" s="44">
        <f>B17/AVERAGE(B23:B23)</f>
        <v>0.13343931228018679</v>
      </c>
      <c r="O16" s="44">
        <f>C17/AVERAGE(B23:C23)</f>
        <v>0.13694884336751761</v>
      </c>
      <c r="P16" s="44">
        <f>D17/AVERAGE(C23:D23)</f>
        <v>0.11928475108387214</v>
      </c>
      <c r="Q16" s="18"/>
      <c r="R16" s="18"/>
      <c r="S16" s="18"/>
      <c r="T16" s="18"/>
    </row>
    <row r="17" spans="1:20" x14ac:dyDescent="0.25">
      <c r="A17" s="6" t="s">
        <v>27</v>
      </c>
      <c r="B17" s="85">
        <v>16183.78</v>
      </c>
      <c r="C17" s="85">
        <v>24853.22</v>
      </c>
      <c r="D17" s="85">
        <v>43183.23</v>
      </c>
      <c r="E17" s="85">
        <v>7091.86</v>
      </c>
      <c r="F17" s="85">
        <v>10691.73</v>
      </c>
      <c r="G17" s="85">
        <v>9722.44</v>
      </c>
      <c r="H17" s="85">
        <v>15682.2</v>
      </c>
      <c r="I17" s="11">
        <v>18532.13</v>
      </c>
      <c r="J17" s="11">
        <v>19972.23</v>
      </c>
      <c r="K17" s="11">
        <v>21289.9</v>
      </c>
      <c r="L17" s="11"/>
      <c r="M17" s="18"/>
      <c r="N17" s="18"/>
      <c r="O17" s="18"/>
      <c r="P17" s="18"/>
      <c r="Q17" s="18"/>
      <c r="R17" s="18"/>
      <c r="S17" s="18"/>
      <c r="T17" s="18"/>
    </row>
    <row r="18" spans="1:20" x14ac:dyDescent="0.25">
      <c r="A18" s="6" t="s">
        <v>55</v>
      </c>
      <c r="B18" s="89">
        <v>2878.94</v>
      </c>
      <c r="C18" s="89">
        <v>6508.95</v>
      </c>
      <c r="D18" s="89">
        <v>20035.82</v>
      </c>
      <c r="E18" s="89">
        <v>4580.68</v>
      </c>
      <c r="F18" s="89">
        <v>2481.48</v>
      </c>
      <c r="G18" s="89">
        <v>6647.79</v>
      </c>
      <c r="H18" s="89">
        <v>6325.86</v>
      </c>
      <c r="I18" s="11">
        <v>5745.29</v>
      </c>
      <c r="J18" s="11">
        <v>2074.77</v>
      </c>
      <c r="K18" s="11">
        <v>4704.8900000000003</v>
      </c>
      <c r="L18" s="11"/>
      <c r="M18" s="40" t="s">
        <v>30</v>
      </c>
      <c r="N18" s="46" t="s">
        <v>5</v>
      </c>
      <c r="O18" s="18"/>
      <c r="P18" s="18"/>
      <c r="Q18" s="18"/>
      <c r="R18" s="18"/>
      <c r="S18" s="18"/>
      <c r="T18" s="18"/>
    </row>
    <row r="19" spans="1:20" ht="22.5" x14ac:dyDescent="0.25">
      <c r="A19" s="6" t="s">
        <v>28</v>
      </c>
      <c r="B19" s="85">
        <f>60650.94-2323.29</f>
        <v>58327.65</v>
      </c>
      <c r="C19" s="85">
        <f>159053.97-2417.75</f>
        <v>156636.22</v>
      </c>
      <c r="D19" s="85">
        <f>205033.94-6962.89-9.85</f>
        <v>198061.19999999998</v>
      </c>
      <c r="E19" s="85"/>
      <c r="F19" s="85">
        <f>167371.62-4556.8</f>
        <v>162814.82</v>
      </c>
      <c r="G19" s="85"/>
      <c r="H19" s="85">
        <f>205033.94-6962.89</f>
        <v>198071.05</v>
      </c>
      <c r="I19" s="11"/>
      <c r="J19" s="11">
        <f>216743.55-9482.97</f>
        <v>207260.58</v>
      </c>
      <c r="K19" s="11"/>
      <c r="L19" s="11"/>
      <c r="M19" s="46" t="s">
        <v>95</v>
      </c>
      <c r="N19" s="52">
        <f>B16/AVERAGE(B22:B22)</f>
        <v>0.14102196410302562</v>
      </c>
      <c r="O19" s="52">
        <f>C16/AVERAGE(B22:C22)</f>
        <v>0.15616706768954552</v>
      </c>
      <c r="P19" s="52">
        <f>D16/AVERAGE(C22:D22)</f>
        <v>0.17576805701723414</v>
      </c>
      <c r="Q19" s="18"/>
      <c r="R19" s="18"/>
      <c r="S19" s="18"/>
      <c r="T19" s="18"/>
    </row>
    <row r="20" spans="1:20" x14ac:dyDescent="0.25">
      <c r="A20" s="6" t="s">
        <v>56</v>
      </c>
      <c r="B20" s="89">
        <f>B19-G71</f>
        <v>58327.65</v>
      </c>
      <c r="C20" s="89">
        <f>C19-H71</f>
        <v>156636.22</v>
      </c>
      <c r="D20" s="89">
        <f>D19-I71</f>
        <v>198061.19999999998</v>
      </c>
      <c r="E20" s="89">
        <f t="shared" ref="E20" si="19">E19-I71</f>
        <v>0</v>
      </c>
      <c r="F20" s="89">
        <f>F19-L71</f>
        <v>162814.82</v>
      </c>
      <c r="G20" s="89" t="e">
        <f>G19-M71</f>
        <v>#VALUE!</v>
      </c>
      <c r="H20" s="89">
        <f>H19-N71</f>
        <v>198071.05</v>
      </c>
      <c r="I20" s="89">
        <f>I19-O71</f>
        <v>0</v>
      </c>
      <c r="J20" s="89">
        <f>J19-P71</f>
        <v>207260.58</v>
      </c>
      <c r="K20" s="440"/>
      <c r="L20" s="11"/>
      <c r="M20" s="42" t="s">
        <v>31</v>
      </c>
      <c r="N20" s="44">
        <f>B18/AVERAGE(B22:B22)</f>
        <v>1.9977737439039394E-2</v>
      </c>
      <c r="O20" s="44">
        <f>C18/AVERAGE(B22:C22)</f>
        <v>2.9801204886299677E-2</v>
      </c>
      <c r="P20" s="44">
        <f>D18/AVERAGE(C22:D22)</f>
        <v>5.0290062135365687E-2</v>
      </c>
      <c r="Q20" s="48"/>
      <c r="R20" s="18"/>
      <c r="S20" s="18"/>
      <c r="T20" s="18"/>
    </row>
    <row r="21" spans="1:20" x14ac:dyDescent="0.25">
      <c r="A21" s="6" t="s">
        <v>57</v>
      </c>
      <c r="B21" s="85">
        <f>26799.76+53570.33</f>
        <v>80370.09</v>
      </c>
      <c r="C21" s="85">
        <f>66114.94+63244.33</f>
        <v>129359.27</v>
      </c>
      <c r="D21" s="85">
        <f>120184.1+153787.36</f>
        <v>273971.45999999996</v>
      </c>
      <c r="E21" s="85"/>
      <c r="F21" s="85">
        <f>87612.61+97492.49</f>
        <v>185105.1</v>
      </c>
      <c r="G21" s="85"/>
      <c r="H21" s="85">
        <f>120184.1+153787.36</f>
        <v>273971.45999999996</v>
      </c>
      <c r="I21" s="11"/>
      <c r="J21" s="11">
        <f>144520.82+186264.93</f>
        <v>330785.75</v>
      </c>
      <c r="K21" s="11"/>
      <c r="L21" s="11"/>
      <c r="M21" s="42" t="s">
        <v>32</v>
      </c>
      <c r="N21" s="44">
        <f>B18/AVERAGE(B19:B19)</f>
        <v>4.9358066028718797E-2</v>
      </c>
      <c r="O21" s="44">
        <f>C18/AVERAGE(B19:C19)</f>
        <v>6.055854874588925E-2</v>
      </c>
      <c r="P21" s="44">
        <f>D18/AVERAGE(C19:D19)</f>
        <v>0.11297415132029999</v>
      </c>
      <c r="Q21" s="18"/>
      <c r="R21" s="18"/>
      <c r="S21" s="18"/>
      <c r="T21" s="18"/>
    </row>
    <row r="22" spans="1:20" x14ac:dyDescent="0.25">
      <c r="A22" s="6" t="s">
        <v>29</v>
      </c>
      <c r="B22" s="85">
        <v>144107.41</v>
      </c>
      <c r="C22" s="85">
        <v>292717.21000000002</v>
      </c>
      <c r="D22" s="85">
        <v>504093.1</v>
      </c>
      <c r="E22" s="85"/>
      <c r="F22" s="85">
        <v>381259.01</v>
      </c>
      <c r="G22" s="85"/>
      <c r="H22" s="85">
        <v>504093.1</v>
      </c>
      <c r="I22" s="11"/>
      <c r="J22" s="11">
        <v>594817.75</v>
      </c>
      <c r="K22" s="11"/>
      <c r="L22" s="11"/>
      <c r="M22" s="40" t="s">
        <v>33</v>
      </c>
      <c r="N22" s="46" t="s">
        <v>5</v>
      </c>
      <c r="O22" s="18"/>
      <c r="P22" s="18"/>
      <c r="Q22" s="18"/>
      <c r="R22" s="18"/>
      <c r="S22" s="18"/>
      <c r="T22" s="18"/>
    </row>
    <row r="23" spans="1:20" x14ac:dyDescent="0.25">
      <c r="A23" s="6" t="s">
        <v>58</v>
      </c>
      <c r="B23" s="85">
        <v>121281.95</v>
      </c>
      <c r="C23" s="85">
        <v>241674.31</v>
      </c>
      <c r="D23" s="85">
        <v>482361.74</v>
      </c>
      <c r="E23" s="85"/>
      <c r="F23" s="85">
        <v>340282.77</v>
      </c>
      <c r="G23" s="85"/>
      <c r="H23" s="85">
        <v>456693.19</v>
      </c>
      <c r="I23" s="11"/>
      <c r="J23" s="11">
        <v>521916.05</v>
      </c>
      <c r="K23" s="11"/>
      <c r="L23" s="11"/>
      <c r="M23" s="42" t="s">
        <v>34</v>
      </c>
      <c r="N23" s="44">
        <f>B6/AVERAGE(B23:B23)</f>
        <v>0.14171919234478009</v>
      </c>
      <c r="O23" s="44">
        <f>C6/AVERAGE(B23:C23)</f>
        <v>0.26047215716846983</v>
      </c>
      <c r="P23" s="44">
        <f>D6/AVERAGE(C23:D23)</f>
        <v>0.33722039116698677</v>
      </c>
      <c r="Q23" s="18"/>
      <c r="R23" s="18"/>
      <c r="S23" s="18"/>
      <c r="T23" s="18"/>
    </row>
    <row r="24" spans="1:20" x14ac:dyDescent="0.25">
      <c r="A24" s="6" t="s">
        <v>59</v>
      </c>
      <c r="B24" s="89">
        <v>3390.54</v>
      </c>
      <c r="C24" s="89">
        <v>5537.62</v>
      </c>
      <c r="D24" s="89">
        <v>11052.55</v>
      </c>
      <c r="E24" s="89"/>
      <c r="F24" s="89"/>
      <c r="G24" s="89"/>
      <c r="H24" s="89"/>
      <c r="I24" s="11"/>
      <c r="J24" s="11"/>
      <c r="K24" s="11"/>
      <c r="L24" s="11"/>
      <c r="M24" s="42" t="s">
        <v>35</v>
      </c>
      <c r="N24" s="44">
        <f>B9/AVERAGE(B21:B21)</f>
        <v>9.372740530712359E-2</v>
      </c>
      <c r="O24" s="44">
        <f>C9/AVERAGE(B21:C21)</f>
        <v>0.15663128900979817</v>
      </c>
      <c r="P24" s="44">
        <f>D9/AVERAGE(C21:D21)</f>
        <v>0.11657995908221523</v>
      </c>
      <c r="Q24" s="18"/>
      <c r="R24" s="18"/>
      <c r="S24" s="18"/>
      <c r="T24" s="18"/>
    </row>
    <row r="25" spans="1:20" x14ac:dyDescent="0.25">
      <c r="A25" s="6" t="s">
        <v>60</v>
      </c>
      <c r="B25" s="89">
        <v>917.64</v>
      </c>
      <c r="C25" s="89">
        <v>2029.9</v>
      </c>
      <c r="D25" s="89">
        <v>3125.37</v>
      </c>
      <c r="E25" s="89"/>
      <c r="F25" s="89"/>
      <c r="G25" s="89"/>
      <c r="H25" s="89"/>
      <c r="I25" s="11"/>
      <c r="J25" s="11"/>
      <c r="K25" s="11"/>
      <c r="L25" s="11"/>
      <c r="M25" s="42" t="s">
        <v>36</v>
      </c>
      <c r="N25" s="48">
        <f>N23-N24</f>
        <v>4.7991787037656497E-2</v>
      </c>
      <c r="O25" s="48">
        <f>O23-O24</f>
        <v>0.10384086815867166</v>
      </c>
      <c r="P25" s="48">
        <f>P23-P24</f>
        <v>0.22064043208477152</v>
      </c>
      <c r="Q25" s="18"/>
      <c r="R25" s="18"/>
      <c r="S25" s="18"/>
      <c r="T25" s="18"/>
    </row>
    <row r="65" spans="2:21" x14ac:dyDescent="0.25">
      <c r="G65" s="80"/>
    </row>
    <row r="66" spans="2:21" x14ac:dyDescent="0.25">
      <c r="G66" s="80"/>
    </row>
    <row r="68" spans="2:21" x14ac:dyDescent="0.25">
      <c r="B68" s="18" t="s">
        <v>499</v>
      </c>
      <c r="C68" s="18"/>
      <c r="D68" s="18"/>
      <c r="E68" s="18"/>
      <c r="F68" s="18"/>
      <c r="G68" s="18"/>
      <c r="H68" s="18"/>
      <c r="I68" s="18"/>
      <c r="J68" s="11"/>
      <c r="K68" s="11"/>
      <c r="M68" s="18" t="s">
        <v>409</v>
      </c>
      <c r="N68" s="18"/>
      <c r="O68" s="18"/>
      <c r="P68" s="18"/>
      <c r="Q68" s="18"/>
      <c r="R68" s="18"/>
      <c r="S68" s="206"/>
      <c r="T68" s="206"/>
    </row>
    <row r="69" spans="2:21" x14ac:dyDescent="0.25">
      <c r="B69" s="207" t="s">
        <v>500</v>
      </c>
      <c r="C69" s="208">
        <v>43555</v>
      </c>
      <c r="D69" s="208"/>
      <c r="E69" s="208">
        <v>43921</v>
      </c>
      <c r="F69" s="208">
        <v>44286</v>
      </c>
      <c r="G69" s="208">
        <v>44651</v>
      </c>
      <c r="H69" s="208">
        <v>45016</v>
      </c>
      <c r="I69" s="208">
        <v>45382</v>
      </c>
      <c r="J69" s="449"/>
      <c r="K69" s="449"/>
      <c r="M69" s="207" t="s">
        <v>500</v>
      </c>
      <c r="N69" s="208">
        <v>43555</v>
      </c>
      <c r="O69" s="208">
        <v>43921</v>
      </c>
      <c r="P69" s="208"/>
      <c r="Q69" s="208">
        <v>44286</v>
      </c>
      <c r="R69" s="208">
        <v>44651</v>
      </c>
      <c r="S69" s="208">
        <v>45016</v>
      </c>
      <c r="T69" s="208">
        <v>45382</v>
      </c>
    </row>
    <row r="70" spans="2:21" x14ac:dyDescent="0.25">
      <c r="B70" s="207" t="s">
        <v>501</v>
      </c>
      <c r="C70" s="209" t="s">
        <v>454</v>
      </c>
      <c r="D70" s="209"/>
      <c r="E70" s="209" t="s">
        <v>454</v>
      </c>
      <c r="F70" s="209" t="s">
        <v>454</v>
      </c>
      <c r="G70" s="209" t="s">
        <v>454</v>
      </c>
      <c r="H70" s="209" t="s">
        <v>454</v>
      </c>
      <c r="I70" s="209" t="s">
        <v>371</v>
      </c>
      <c r="J70" s="450"/>
      <c r="K70" s="450"/>
      <c r="M70" s="207" t="s">
        <v>501</v>
      </c>
      <c r="N70" s="209" t="s">
        <v>502</v>
      </c>
      <c r="O70" s="209" t="s">
        <v>502</v>
      </c>
      <c r="P70" s="209"/>
      <c r="Q70" s="209" t="s">
        <v>502</v>
      </c>
      <c r="R70" s="209" t="s">
        <v>502</v>
      </c>
      <c r="S70" s="209" t="s">
        <v>371</v>
      </c>
      <c r="T70" s="209" t="s">
        <v>371</v>
      </c>
    </row>
    <row r="71" spans="2:21" x14ac:dyDescent="0.25">
      <c r="B71" s="210" t="s">
        <v>503</v>
      </c>
      <c r="C71" s="210"/>
      <c r="D71" s="210"/>
      <c r="E71" s="211"/>
      <c r="F71" s="211"/>
      <c r="G71" s="211"/>
      <c r="H71" s="211"/>
      <c r="I71" s="211"/>
      <c r="J71" s="451"/>
      <c r="K71" s="451"/>
      <c r="M71" s="210" t="s">
        <v>503</v>
      </c>
      <c r="N71" s="210"/>
      <c r="O71" s="211"/>
      <c r="P71" s="211"/>
      <c r="Q71" s="211"/>
      <c r="R71" s="211"/>
      <c r="S71" s="212"/>
      <c r="T71" s="212"/>
    </row>
    <row r="72" spans="2:21" x14ac:dyDescent="0.25">
      <c r="B72" s="213" t="s">
        <v>23</v>
      </c>
      <c r="C72" s="91">
        <f>C73+C74</f>
        <v>5787.2199999999993</v>
      </c>
      <c r="D72" s="91"/>
      <c r="E72" s="91">
        <f>E73+E74</f>
        <v>40177.229999999996</v>
      </c>
      <c r="F72" s="91">
        <f>F73+F74</f>
        <v>21886.65</v>
      </c>
      <c r="G72" s="91">
        <f>G73+G74</f>
        <v>33659.449999999997</v>
      </c>
      <c r="H72" s="91">
        <v>71700.789999999994</v>
      </c>
      <c r="I72" s="91">
        <f>I73+I74</f>
        <v>89240</v>
      </c>
      <c r="J72" s="452"/>
      <c r="K72" s="452"/>
      <c r="M72" s="213" t="s">
        <v>23</v>
      </c>
      <c r="N72" s="214">
        <f>C72/100</f>
        <v>57.872199999999992</v>
      </c>
      <c r="O72" s="214">
        <f t="shared" ref="O72:O75" si="20">E72/100</f>
        <v>401.77229999999997</v>
      </c>
      <c r="P72" s="214"/>
      <c r="Q72" s="214">
        <f t="shared" ref="Q72:T75" si="21">F72/100</f>
        <v>218.8665</v>
      </c>
      <c r="R72" s="214">
        <f t="shared" si="21"/>
        <v>336.59449999999998</v>
      </c>
      <c r="S72" s="215">
        <f t="shared" si="21"/>
        <v>717.00789999999995</v>
      </c>
      <c r="T72" s="215">
        <f t="shared" si="21"/>
        <v>892.4</v>
      </c>
    </row>
    <row r="73" spans="2:21" x14ac:dyDescent="0.25">
      <c r="B73" s="213" t="s">
        <v>50</v>
      </c>
      <c r="C73" s="216">
        <v>2619.87</v>
      </c>
      <c r="D73" s="216"/>
      <c r="E73" s="216">
        <v>21366.28</v>
      </c>
      <c r="F73" s="216">
        <v>13885.45</v>
      </c>
      <c r="G73" s="216">
        <v>17500.34</v>
      </c>
      <c r="H73" s="216">
        <v>47270</v>
      </c>
      <c r="I73" s="216">
        <v>64270</v>
      </c>
      <c r="J73" s="453"/>
      <c r="K73" s="453"/>
      <c r="M73" s="213" t="s">
        <v>50</v>
      </c>
      <c r="N73" s="214">
        <f>C73/100</f>
        <v>26.198699999999999</v>
      </c>
      <c r="O73" s="214">
        <f t="shared" si="20"/>
        <v>213.66279999999998</v>
      </c>
      <c r="P73" s="214"/>
      <c r="Q73" s="214">
        <f t="shared" si="21"/>
        <v>138.8545</v>
      </c>
      <c r="R73" s="214">
        <f t="shared" si="21"/>
        <v>175.0034</v>
      </c>
      <c r="S73" s="215">
        <f t="shared" si="21"/>
        <v>472.7</v>
      </c>
      <c r="T73" s="215">
        <f t="shared" si="21"/>
        <v>642.70000000000005</v>
      </c>
      <c r="U73" s="217">
        <f>R73/Q73-1</f>
        <v>0.2603365393271373</v>
      </c>
    </row>
    <row r="74" spans="2:21" x14ac:dyDescent="0.25">
      <c r="B74" s="213" t="s">
        <v>504</v>
      </c>
      <c r="C74" s="216">
        <v>3167.35</v>
      </c>
      <c r="D74" s="216"/>
      <c r="E74" s="216">
        <v>18810.95</v>
      </c>
      <c r="F74" s="216">
        <v>8001.2</v>
      </c>
      <c r="G74" s="216">
        <v>16159.109999999999</v>
      </c>
      <c r="H74" s="216">
        <v>23474.21</v>
      </c>
      <c r="I74" s="216">
        <v>24970</v>
      </c>
      <c r="J74" s="453"/>
      <c r="K74" s="453"/>
      <c r="M74" s="213" t="s">
        <v>504</v>
      </c>
      <c r="N74" s="214">
        <f>C74/100</f>
        <v>31.673500000000001</v>
      </c>
      <c r="O74" s="214">
        <f t="shared" si="20"/>
        <v>188.1095</v>
      </c>
      <c r="P74" s="214"/>
      <c r="Q74" s="214">
        <f t="shared" si="21"/>
        <v>80.012</v>
      </c>
      <c r="R74" s="214">
        <f t="shared" si="21"/>
        <v>161.59109999999998</v>
      </c>
      <c r="S74" s="215">
        <f t="shared" si="21"/>
        <v>234.74209999999999</v>
      </c>
      <c r="T74" s="215">
        <f t="shared" si="21"/>
        <v>249.7</v>
      </c>
      <c r="U74" s="217">
        <f>R74/Q74-1</f>
        <v>1.0195858121281804</v>
      </c>
    </row>
    <row r="75" spans="2:21" x14ac:dyDescent="0.25">
      <c r="B75" s="213" t="s">
        <v>505</v>
      </c>
      <c r="C75" s="216">
        <v>383.56</v>
      </c>
      <c r="D75" s="216"/>
      <c r="E75" s="216">
        <v>7715.64</v>
      </c>
      <c r="F75" s="216">
        <v>6104.06</v>
      </c>
      <c r="G75" s="216">
        <v>7532.88</v>
      </c>
      <c r="H75" s="216">
        <v>16425.09</v>
      </c>
      <c r="I75" s="216">
        <v>29000</v>
      </c>
      <c r="J75" s="453"/>
      <c r="K75" s="453"/>
      <c r="M75" s="213" t="s">
        <v>505</v>
      </c>
      <c r="N75" s="214">
        <f>C75/100</f>
        <v>3.8355999999999999</v>
      </c>
      <c r="O75" s="214">
        <f t="shared" si="20"/>
        <v>77.156400000000005</v>
      </c>
      <c r="P75" s="214"/>
      <c r="Q75" s="214">
        <f t="shared" si="21"/>
        <v>61.040600000000005</v>
      </c>
      <c r="R75" s="214">
        <f t="shared" si="21"/>
        <v>75.328800000000001</v>
      </c>
      <c r="S75" s="215">
        <f t="shared" si="21"/>
        <v>164.2509</v>
      </c>
      <c r="T75" s="215">
        <f t="shared" si="21"/>
        <v>290</v>
      </c>
      <c r="U75" s="217">
        <f>R75/Q75-1</f>
        <v>0.23407699137950799</v>
      </c>
    </row>
    <row r="76" spans="2:21" x14ac:dyDescent="0.25">
      <c r="B76" s="218" t="s">
        <v>506</v>
      </c>
      <c r="C76" s="219">
        <f t="shared" ref="C76:I76" si="22">C73-C75</f>
        <v>2236.31</v>
      </c>
      <c r="D76" s="219"/>
      <c r="E76" s="219">
        <f t="shared" si="22"/>
        <v>13650.64</v>
      </c>
      <c r="F76" s="219">
        <f t="shared" si="22"/>
        <v>7781.39</v>
      </c>
      <c r="G76" s="219">
        <f t="shared" si="22"/>
        <v>9967.4599999999991</v>
      </c>
      <c r="H76" s="219">
        <f t="shared" si="22"/>
        <v>30844.91</v>
      </c>
      <c r="I76" s="219">
        <f t="shared" si="22"/>
        <v>35270</v>
      </c>
      <c r="J76" s="454"/>
      <c r="K76" s="454"/>
      <c r="M76" s="213" t="s">
        <v>506</v>
      </c>
      <c r="N76" s="214">
        <f t="shared" ref="N76:T76" si="23">N73-N75</f>
        <v>22.363099999999999</v>
      </c>
      <c r="O76" s="214">
        <f t="shared" si="23"/>
        <v>136.50639999999999</v>
      </c>
      <c r="P76" s="214"/>
      <c r="Q76" s="214">
        <f t="shared" si="23"/>
        <v>77.81389999999999</v>
      </c>
      <c r="R76" s="214">
        <f t="shared" si="23"/>
        <v>99.674599999999998</v>
      </c>
      <c r="S76" s="215">
        <f t="shared" si="23"/>
        <v>308.44909999999999</v>
      </c>
      <c r="T76" s="215">
        <f t="shared" si="23"/>
        <v>352.70000000000005</v>
      </c>
      <c r="U76" s="217">
        <f>R76/Q76-1</f>
        <v>0.28093566830604821</v>
      </c>
    </row>
    <row r="77" spans="2:21" x14ac:dyDescent="0.25">
      <c r="B77" s="218" t="s">
        <v>507</v>
      </c>
      <c r="C77" s="219">
        <f t="shared" ref="C77:I77" si="24">C72-C75</f>
        <v>5403.6599999999989</v>
      </c>
      <c r="D77" s="219"/>
      <c r="E77" s="219">
        <f t="shared" si="24"/>
        <v>32461.589999999997</v>
      </c>
      <c r="F77" s="219">
        <f t="shared" si="24"/>
        <v>15782.59</v>
      </c>
      <c r="G77" s="219">
        <f t="shared" si="24"/>
        <v>26126.569999999996</v>
      </c>
      <c r="H77" s="219">
        <f t="shared" si="24"/>
        <v>55275.7</v>
      </c>
      <c r="I77" s="219">
        <f t="shared" si="24"/>
        <v>60240</v>
      </c>
      <c r="J77" s="454"/>
      <c r="K77" s="454"/>
      <c r="M77" s="213" t="s">
        <v>507</v>
      </c>
      <c r="N77" s="214">
        <f t="shared" ref="N77:T77" si="25">N72-N75</f>
        <v>54.036599999999993</v>
      </c>
      <c r="O77" s="214">
        <f t="shared" si="25"/>
        <v>324.61589999999995</v>
      </c>
      <c r="P77" s="214"/>
      <c r="Q77" s="214">
        <f t="shared" si="25"/>
        <v>157.82589999999999</v>
      </c>
      <c r="R77" s="214">
        <f t="shared" si="25"/>
        <v>261.26569999999998</v>
      </c>
      <c r="S77" s="215">
        <f t="shared" si="25"/>
        <v>552.75699999999995</v>
      </c>
      <c r="T77" s="215">
        <f t="shared" si="25"/>
        <v>602.4</v>
      </c>
    </row>
    <row r="78" spans="2:21" x14ac:dyDescent="0.25">
      <c r="B78" s="218" t="s">
        <v>25</v>
      </c>
      <c r="C78" s="219">
        <f t="shared" ref="C78:I78" si="26">C72</f>
        <v>5787.2199999999993</v>
      </c>
      <c r="D78" s="219"/>
      <c r="E78" s="219">
        <f t="shared" si="26"/>
        <v>40177.229999999996</v>
      </c>
      <c r="F78" s="219">
        <f t="shared" si="26"/>
        <v>21886.65</v>
      </c>
      <c r="G78" s="219">
        <f t="shared" si="26"/>
        <v>33659.449999999997</v>
      </c>
      <c r="H78" s="219">
        <f t="shared" si="26"/>
        <v>71700.789999999994</v>
      </c>
      <c r="I78" s="219">
        <f t="shared" si="26"/>
        <v>89240</v>
      </c>
      <c r="J78" s="454"/>
      <c r="K78" s="454"/>
      <c r="M78" s="213" t="s">
        <v>25</v>
      </c>
      <c r="N78" s="214">
        <f t="shared" ref="N78:T78" si="27">N72</f>
        <v>57.872199999999992</v>
      </c>
      <c r="O78" s="214">
        <f t="shared" si="27"/>
        <v>401.77229999999997</v>
      </c>
      <c r="P78" s="214"/>
      <c r="Q78" s="214">
        <f t="shared" si="27"/>
        <v>218.8665</v>
      </c>
      <c r="R78" s="214">
        <f t="shared" si="27"/>
        <v>336.59449999999998</v>
      </c>
      <c r="S78" s="215">
        <f t="shared" si="27"/>
        <v>717.00789999999995</v>
      </c>
      <c r="T78" s="215">
        <f t="shared" si="27"/>
        <v>892.4</v>
      </c>
    </row>
    <row r="79" spans="2:21" x14ac:dyDescent="0.25">
      <c r="B79" s="213" t="s">
        <v>26</v>
      </c>
      <c r="C79" s="216">
        <v>2487.0500000000002</v>
      </c>
      <c r="D79" s="216"/>
      <c r="E79" s="216">
        <v>5855.11</v>
      </c>
      <c r="F79" s="216">
        <v>2977.68</v>
      </c>
      <c r="G79" s="216">
        <v>5832.18</v>
      </c>
      <c r="H79" s="216">
        <f>14373.25+3680.02+165.15+3661.4</f>
        <v>21879.820000000003</v>
      </c>
      <c r="I79" s="216">
        <v>15130</v>
      </c>
      <c r="J79" s="453"/>
      <c r="K79" s="453"/>
      <c r="M79" s="213" t="s">
        <v>26</v>
      </c>
      <c r="N79" s="214">
        <f>C79/100</f>
        <v>24.870500000000003</v>
      </c>
      <c r="O79" s="214">
        <f t="shared" ref="O79" si="28">E79/100</f>
        <v>58.551099999999998</v>
      </c>
      <c r="P79" s="214"/>
      <c r="Q79" s="214">
        <f>F79/100</f>
        <v>29.776799999999998</v>
      </c>
      <c r="R79" s="214">
        <f>G79/100</f>
        <v>58.321800000000003</v>
      </c>
      <c r="S79" s="215">
        <f>H79/100</f>
        <v>218.79820000000004</v>
      </c>
      <c r="T79" s="215">
        <f>I79/100</f>
        <v>151.30000000000001</v>
      </c>
    </row>
    <row r="80" spans="2:21" x14ac:dyDescent="0.25">
      <c r="B80" s="218" t="s">
        <v>508</v>
      </c>
      <c r="C80" s="219">
        <f t="shared" ref="C80:I80" si="29">C77-C79</f>
        <v>2916.6099999999988</v>
      </c>
      <c r="D80" s="219"/>
      <c r="E80" s="219">
        <f t="shared" si="29"/>
        <v>26606.479999999996</v>
      </c>
      <c r="F80" s="219">
        <f t="shared" si="29"/>
        <v>12804.91</v>
      </c>
      <c r="G80" s="219">
        <f t="shared" si="29"/>
        <v>20294.389999999996</v>
      </c>
      <c r="H80" s="219">
        <f t="shared" si="29"/>
        <v>33395.87999999999</v>
      </c>
      <c r="I80" s="219">
        <f t="shared" si="29"/>
        <v>45110</v>
      </c>
      <c r="J80" s="454"/>
      <c r="K80" s="454"/>
      <c r="M80" s="213" t="s">
        <v>508</v>
      </c>
      <c r="N80" s="214">
        <f t="shared" ref="N80:T80" si="30">N77-N79</f>
        <v>29.166099999999989</v>
      </c>
      <c r="O80" s="214">
        <f t="shared" si="30"/>
        <v>266.06479999999993</v>
      </c>
      <c r="P80" s="214"/>
      <c r="Q80" s="214">
        <f t="shared" si="30"/>
        <v>128.04909999999998</v>
      </c>
      <c r="R80" s="214">
        <f t="shared" si="30"/>
        <v>202.94389999999999</v>
      </c>
      <c r="S80" s="215">
        <f t="shared" si="30"/>
        <v>333.95879999999988</v>
      </c>
      <c r="T80" s="215">
        <f t="shared" si="30"/>
        <v>451.09999999999997</v>
      </c>
    </row>
    <row r="81" spans="2:23" x14ac:dyDescent="0.25">
      <c r="B81" s="213" t="s">
        <v>27</v>
      </c>
      <c r="C81" s="216">
        <v>1814.6499999999999</v>
      </c>
      <c r="D81" s="216"/>
      <c r="E81" s="216">
        <v>22257.19</v>
      </c>
      <c r="F81" s="216">
        <v>9666.61</v>
      </c>
      <c r="G81" s="216">
        <v>16183.780000000002</v>
      </c>
      <c r="H81" s="216">
        <v>24853.22</v>
      </c>
      <c r="I81" s="216">
        <v>24050</v>
      </c>
      <c r="J81" s="453"/>
      <c r="K81" s="453"/>
      <c r="M81" s="213" t="s">
        <v>27</v>
      </c>
      <c r="N81" s="214">
        <f t="shared" ref="N81:N94" si="31">C81/100</f>
        <v>18.1465</v>
      </c>
      <c r="O81" s="214">
        <f t="shared" ref="O81:O94" si="32">E81/100</f>
        <v>222.5719</v>
      </c>
      <c r="P81" s="214"/>
      <c r="Q81" s="214">
        <f t="shared" ref="Q81:Q94" si="33">F81/100</f>
        <v>96.6661</v>
      </c>
      <c r="R81" s="214">
        <f t="shared" ref="R81:R94" si="34">G81/100</f>
        <v>161.83780000000002</v>
      </c>
      <c r="S81" s="215">
        <f t="shared" ref="S81:S94" si="35">H81/100</f>
        <v>248.53220000000002</v>
      </c>
      <c r="T81" s="215">
        <f t="shared" ref="T81:T94" si="36">I81/100</f>
        <v>240.5</v>
      </c>
    </row>
    <row r="82" spans="2:23" x14ac:dyDescent="0.25">
      <c r="B82" s="213" t="s">
        <v>2</v>
      </c>
      <c r="C82" s="216">
        <v>829.74000000000024</v>
      </c>
      <c r="D82" s="216"/>
      <c r="E82" s="216">
        <v>3176.9500000000007</v>
      </c>
      <c r="F82" s="216">
        <v>2802.1400000000044</v>
      </c>
      <c r="G82" s="216">
        <v>2878.9399999999955</v>
      </c>
      <c r="H82" s="216">
        <v>6508.85</v>
      </c>
      <c r="I82" s="216">
        <v>15162</v>
      </c>
      <c r="J82" s="453"/>
      <c r="K82" s="453"/>
      <c r="M82" s="213" t="s">
        <v>2</v>
      </c>
      <c r="N82" s="214">
        <f t="shared" si="31"/>
        <v>8.2974000000000032</v>
      </c>
      <c r="O82" s="214">
        <f t="shared" si="32"/>
        <v>31.769500000000008</v>
      </c>
      <c r="P82" s="214"/>
      <c r="Q82" s="214">
        <f t="shared" si="33"/>
        <v>28.021400000000042</v>
      </c>
      <c r="R82" s="214">
        <f t="shared" si="34"/>
        <v>28.789399999999954</v>
      </c>
      <c r="S82" s="215">
        <f t="shared" si="35"/>
        <v>65.08850000000001</v>
      </c>
      <c r="T82" s="215">
        <f t="shared" si="36"/>
        <v>151.62</v>
      </c>
    </row>
    <row r="83" spans="2:23" x14ac:dyDescent="0.25">
      <c r="B83" s="213" t="s">
        <v>28</v>
      </c>
      <c r="C83" s="216">
        <v>22888.639999999999</v>
      </c>
      <c r="D83" s="216"/>
      <c r="E83" s="216">
        <v>29665.08</v>
      </c>
      <c r="F83" s="216">
        <v>53736.44999999999</v>
      </c>
      <c r="G83" s="216">
        <v>60648.2</v>
      </c>
      <c r="H83" s="216">
        <v>159053.97</v>
      </c>
      <c r="I83" s="216">
        <v>136762</v>
      </c>
      <c r="J83" s="453"/>
      <c r="K83" s="453"/>
      <c r="L83" s="220">
        <f>H83-G83</f>
        <v>98405.77</v>
      </c>
      <c r="M83" s="213" t="s">
        <v>28</v>
      </c>
      <c r="N83" s="214">
        <f t="shared" si="31"/>
        <v>228.88639999999998</v>
      </c>
      <c r="O83" s="214">
        <f t="shared" si="32"/>
        <v>296.6508</v>
      </c>
      <c r="P83" s="214"/>
      <c r="Q83" s="214">
        <f t="shared" si="33"/>
        <v>537.36449999999991</v>
      </c>
      <c r="R83" s="214">
        <f t="shared" si="34"/>
        <v>606.48199999999997</v>
      </c>
      <c r="S83" s="215">
        <f t="shared" si="35"/>
        <v>1590.5397</v>
      </c>
      <c r="T83" s="215">
        <f t="shared" si="36"/>
        <v>1367.62</v>
      </c>
      <c r="U83" s="221">
        <f>R83-Q83</f>
        <v>69.117500000000064</v>
      </c>
    </row>
    <row r="84" spans="2:23" x14ac:dyDescent="0.25">
      <c r="B84" s="218" t="s">
        <v>509</v>
      </c>
      <c r="C84" s="219">
        <f t="shared" ref="C84:I84" si="37">C83+MIN(0,10%*C83-(C92))</f>
        <v>22888.639999999999</v>
      </c>
      <c r="D84" s="219"/>
      <c r="E84" s="219">
        <f t="shared" si="37"/>
        <v>29665.08</v>
      </c>
      <c r="F84" s="219">
        <f t="shared" si="37"/>
        <v>53736.44999999999</v>
      </c>
      <c r="G84" s="219">
        <f t="shared" si="37"/>
        <v>60648.2</v>
      </c>
      <c r="H84" s="219">
        <f t="shared" si="37"/>
        <v>159053.97</v>
      </c>
      <c r="I84" s="219">
        <f t="shared" si="37"/>
        <v>136762</v>
      </c>
      <c r="J84" s="454"/>
      <c r="K84" s="454"/>
      <c r="M84" s="213" t="s">
        <v>509</v>
      </c>
      <c r="N84" s="214">
        <f t="shared" si="31"/>
        <v>228.88639999999998</v>
      </c>
      <c r="O84" s="214">
        <f t="shared" si="32"/>
        <v>296.6508</v>
      </c>
      <c r="P84" s="214"/>
      <c r="Q84" s="214">
        <f t="shared" si="33"/>
        <v>537.36449999999991</v>
      </c>
      <c r="R84" s="214">
        <f t="shared" si="34"/>
        <v>606.48199999999997</v>
      </c>
      <c r="S84" s="215">
        <f t="shared" si="35"/>
        <v>1590.5397</v>
      </c>
      <c r="T84" s="215">
        <f t="shared" si="36"/>
        <v>1367.62</v>
      </c>
      <c r="U84" s="221">
        <f>U83-R82</f>
        <v>40.328100000000106</v>
      </c>
    </row>
    <row r="85" spans="2:23" x14ac:dyDescent="0.25">
      <c r="B85" s="213" t="s">
        <v>510</v>
      </c>
      <c r="C85" s="216">
        <v>11564.619999999999</v>
      </c>
      <c r="D85" s="216"/>
      <c r="E85" s="216">
        <v>78333.91</v>
      </c>
      <c r="F85" s="216">
        <v>46834.48</v>
      </c>
      <c r="G85" s="216">
        <v>79448.479999999996</v>
      </c>
      <c r="H85" s="216">
        <f>66114.94+63244.33</f>
        <v>129359.27</v>
      </c>
      <c r="I85" s="216">
        <v>321080</v>
      </c>
      <c r="J85" s="453"/>
      <c r="K85" s="453"/>
      <c r="M85" s="213" t="s">
        <v>510</v>
      </c>
      <c r="N85" s="214">
        <f t="shared" si="31"/>
        <v>115.64619999999999</v>
      </c>
      <c r="O85" s="214">
        <f t="shared" si="32"/>
        <v>783.33910000000003</v>
      </c>
      <c r="P85" s="214"/>
      <c r="Q85" s="214">
        <f t="shared" si="33"/>
        <v>468.34480000000002</v>
      </c>
      <c r="R85" s="214">
        <f t="shared" si="34"/>
        <v>794.48479999999995</v>
      </c>
      <c r="S85" s="215">
        <f t="shared" si="35"/>
        <v>1293.5927000000001</v>
      </c>
      <c r="T85" s="215">
        <f t="shared" si="36"/>
        <v>3210.8</v>
      </c>
    </row>
    <row r="86" spans="2:23" x14ac:dyDescent="0.25">
      <c r="B86" s="213" t="s">
        <v>29</v>
      </c>
      <c r="C86" s="216">
        <v>36201.56</v>
      </c>
      <c r="D86" s="216"/>
      <c r="E86" s="216">
        <v>110752.89</v>
      </c>
      <c r="F86" s="216">
        <v>103598.55</v>
      </c>
      <c r="G86" s="216">
        <v>144107.41</v>
      </c>
      <c r="H86" s="216">
        <v>292717.21000000002</v>
      </c>
      <c r="I86" s="216">
        <v>463342</v>
      </c>
      <c r="J86" s="453"/>
      <c r="K86" s="453"/>
      <c r="M86" s="213" t="s">
        <v>29</v>
      </c>
      <c r="N86" s="214">
        <f t="shared" si="31"/>
        <v>362.01559999999995</v>
      </c>
      <c r="O86" s="214">
        <f t="shared" si="32"/>
        <v>1107.5289</v>
      </c>
      <c r="P86" s="214"/>
      <c r="Q86" s="214">
        <f t="shared" si="33"/>
        <v>1035.9855</v>
      </c>
      <c r="R86" s="214">
        <f t="shared" si="34"/>
        <v>1441.0741</v>
      </c>
      <c r="S86" s="215">
        <f t="shared" si="35"/>
        <v>2927.1721000000002</v>
      </c>
      <c r="T86" s="215">
        <f t="shared" si="36"/>
        <v>4633.42</v>
      </c>
    </row>
    <row r="87" spans="2:23" x14ac:dyDescent="0.25">
      <c r="B87" s="213" t="s">
        <v>511</v>
      </c>
      <c r="C87" s="216">
        <v>24963.39</v>
      </c>
      <c r="D87" s="216"/>
      <c r="E87" s="216">
        <v>97630.76</v>
      </c>
      <c r="F87" s="216">
        <v>69613.59</v>
      </c>
      <c r="G87" s="216">
        <v>121281.96</v>
      </c>
      <c r="H87" s="216">
        <v>241674.31</v>
      </c>
      <c r="I87" s="216">
        <v>462900</v>
      </c>
      <c r="J87" s="453"/>
      <c r="K87" s="453"/>
      <c r="M87" s="213" t="s">
        <v>511</v>
      </c>
      <c r="N87" s="214">
        <f t="shared" si="31"/>
        <v>249.63389999999998</v>
      </c>
      <c r="O87" s="214">
        <f t="shared" si="32"/>
        <v>976.30759999999998</v>
      </c>
      <c r="P87" s="214"/>
      <c r="Q87" s="214">
        <f t="shared" si="33"/>
        <v>696.13589999999999</v>
      </c>
      <c r="R87" s="214">
        <f t="shared" si="34"/>
        <v>1212.8196</v>
      </c>
      <c r="S87" s="215">
        <f t="shared" si="35"/>
        <v>2416.7431000000001</v>
      </c>
      <c r="T87" s="215">
        <f t="shared" si="36"/>
        <v>4629</v>
      </c>
      <c r="U87" s="217">
        <f>R87/Q87-1</f>
        <v>0.74221671371926101</v>
      </c>
      <c r="V87" s="217">
        <f>S87/R87-1</f>
        <v>0.99266494373936576</v>
      </c>
      <c r="W87" s="217">
        <f>T87/S87-1</f>
        <v>0.91538769677256959</v>
      </c>
    </row>
    <row r="88" spans="2:23" x14ac:dyDescent="0.25">
      <c r="B88" s="168" t="s">
        <v>512</v>
      </c>
      <c r="C88" s="216">
        <v>24963.39</v>
      </c>
      <c r="D88" s="216"/>
      <c r="E88" s="216">
        <v>97630.76</v>
      </c>
      <c r="F88" s="216">
        <v>69613.59</v>
      </c>
      <c r="G88" s="216">
        <v>121281.96</v>
      </c>
      <c r="H88" s="216">
        <v>241674.31</v>
      </c>
      <c r="I88" s="216">
        <v>462900</v>
      </c>
      <c r="J88" s="453"/>
      <c r="K88" s="453"/>
      <c r="M88" s="168" t="s">
        <v>512</v>
      </c>
      <c r="N88" s="214">
        <f t="shared" si="31"/>
        <v>249.63389999999998</v>
      </c>
      <c r="O88" s="214">
        <f t="shared" si="32"/>
        <v>976.30759999999998</v>
      </c>
      <c r="P88" s="214"/>
      <c r="Q88" s="214">
        <f t="shared" si="33"/>
        <v>696.13589999999999</v>
      </c>
      <c r="R88" s="214">
        <f t="shared" si="34"/>
        <v>1212.8196</v>
      </c>
      <c r="S88" s="215">
        <f t="shared" si="35"/>
        <v>2416.7431000000001</v>
      </c>
      <c r="T88" s="215">
        <f t="shared" si="36"/>
        <v>4629</v>
      </c>
    </row>
    <row r="89" spans="2:23" x14ac:dyDescent="0.25">
      <c r="B89" s="213" t="s">
        <v>59</v>
      </c>
      <c r="C89" s="216">
        <v>85.970000000000255</v>
      </c>
      <c r="D89" s="216"/>
      <c r="E89" s="216">
        <v>3433.2400000000034</v>
      </c>
      <c r="F89" s="216">
        <v>4710.2800000000043</v>
      </c>
      <c r="G89" s="216">
        <v>3304.850000000004</v>
      </c>
      <c r="H89" s="216">
        <v>5536.62</v>
      </c>
      <c r="I89" s="216">
        <v>9000.0000000000036</v>
      </c>
      <c r="J89" s="453"/>
      <c r="K89" s="453"/>
      <c r="M89" s="213" t="s">
        <v>59</v>
      </c>
      <c r="N89" s="214">
        <f t="shared" si="31"/>
        <v>0.85970000000000257</v>
      </c>
      <c r="O89" s="214">
        <f t="shared" si="32"/>
        <v>34.332400000000035</v>
      </c>
      <c r="P89" s="214"/>
      <c r="Q89" s="214">
        <f t="shared" si="33"/>
        <v>47.102800000000045</v>
      </c>
      <c r="R89" s="214">
        <f t="shared" si="34"/>
        <v>33.04850000000004</v>
      </c>
      <c r="S89" s="215">
        <f t="shared" si="35"/>
        <v>55.366199999999999</v>
      </c>
      <c r="T89" s="215">
        <f t="shared" si="36"/>
        <v>90.000000000000043</v>
      </c>
    </row>
    <row r="90" spans="2:23" x14ac:dyDescent="0.25">
      <c r="B90" s="213" t="s">
        <v>60</v>
      </c>
      <c r="C90" s="216">
        <v>36.320000000000391</v>
      </c>
      <c r="D90" s="216"/>
      <c r="E90" s="216">
        <v>922.3400000000056</v>
      </c>
      <c r="F90" s="216">
        <v>1238.1200000000063</v>
      </c>
      <c r="G90" s="216">
        <v>870.50000000000591</v>
      </c>
      <c r="H90" s="216">
        <v>2029.9</v>
      </c>
      <c r="I90" s="216">
        <v>5000.0000000000055</v>
      </c>
      <c r="J90" s="453"/>
      <c r="K90" s="453"/>
      <c r="M90" s="213" t="s">
        <v>60</v>
      </c>
      <c r="N90" s="214">
        <f t="shared" si="31"/>
        <v>0.36320000000000391</v>
      </c>
      <c r="O90" s="214">
        <f t="shared" si="32"/>
        <v>9.2234000000000567</v>
      </c>
      <c r="P90" s="214"/>
      <c r="Q90" s="214">
        <f t="shared" si="33"/>
        <v>12.381200000000062</v>
      </c>
      <c r="R90" s="214">
        <f t="shared" si="34"/>
        <v>8.7050000000000587</v>
      </c>
      <c r="S90" s="215">
        <f t="shared" si="35"/>
        <v>20.298999999999999</v>
      </c>
      <c r="T90" s="215">
        <f t="shared" si="36"/>
        <v>50.000000000000057</v>
      </c>
    </row>
    <row r="91" spans="2:23" x14ac:dyDescent="0.25">
      <c r="B91" s="244" t="s">
        <v>61</v>
      </c>
      <c r="C91" s="245">
        <v>0</v>
      </c>
      <c r="D91" s="245"/>
      <c r="E91" s="245">
        <v>0</v>
      </c>
      <c r="F91" s="245">
        <v>0</v>
      </c>
      <c r="G91" s="245">
        <v>0</v>
      </c>
      <c r="H91" s="245">
        <v>0</v>
      </c>
      <c r="I91" s="245">
        <v>0</v>
      </c>
      <c r="J91" s="455"/>
      <c r="K91" s="455"/>
      <c r="M91" s="213" t="s">
        <v>61</v>
      </c>
      <c r="N91" s="214">
        <f t="shared" si="31"/>
        <v>0</v>
      </c>
      <c r="O91" s="214">
        <f t="shared" si="32"/>
        <v>0</v>
      </c>
      <c r="P91" s="214"/>
      <c r="Q91" s="214">
        <f t="shared" si="33"/>
        <v>0</v>
      </c>
      <c r="R91" s="214">
        <f t="shared" si="34"/>
        <v>0</v>
      </c>
      <c r="S91" s="215">
        <f t="shared" si="35"/>
        <v>0</v>
      </c>
      <c r="T91" s="215">
        <f t="shared" si="36"/>
        <v>0</v>
      </c>
    </row>
    <row r="92" spans="2:23" x14ac:dyDescent="0.25">
      <c r="B92" s="244" t="s">
        <v>513</v>
      </c>
      <c r="C92" s="245">
        <v>0</v>
      </c>
      <c r="D92" s="245"/>
      <c r="E92" s="245">
        <v>0</v>
      </c>
      <c r="F92" s="245">
        <v>0</v>
      </c>
      <c r="G92" s="245">
        <v>0</v>
      </c>
      <c r="H92" s="245">
        <v>0</v>
      </c>
      <c r="I92" s="245">
        <v>5000</v>
      </c>
      <c r="J92" s="455"/>
      <c r="K92" s="455"/>
      <c r="M92" s="213" t="s">
        <v>513</v>
      </c>
      <c r="N92" s="214">
        <f t="shared" si="31"/>
        <v>0</v>
      </c>
      <c r="O92" s="214">
        <f t="shared" si="32"/>
        <v>0</v>
      </c>
      <c r="P92" s="214"/>
      <c r="Q92" s="214">
        <f t="shared" si="33"/>
        <v>0</v>
      </c>
      <c r="R92" s="214">
        <f t="shared" si="34"/>
        <v>0</v>
      </c>
      <c r="S92" s="215">
        <f t="shared" si="35"/>
        <v>0</v>
      </c>
      <c r="T92" s="215">
        <f t="shared" si="36"/>
        <v>50</v>
      </c>
    </row>
    <row r="93" spans="2:23" x14ac:dyDescent="0.25">
      <c r="B93" s="244" t="s">
        <v>514</v>
      </c>
      <c r="C93" s="245">
        <v>49.649999999999864</v>
      </c>
      <c r="D93" s="245"/>
      <c r="E93" s="245">
        <v>2510.8999999999978</v>
      </c>
      <c r="F93" s="245">
        <v>3472.159999999998</v>
      </c>
      <c r="G93" s="245">
        <v>2434.3499999999981</v>
      </c>
      <c r="H93" s="245">
        <v>2809.9999999999982</v>
      </c>
      <c r="I93" s="245">
        <v>3999.9999999999982</v>
      </c>
      <c r="J93" s="455"/>
      <c r="K93" s="455"/>
      <c r="M93" s="213" t="s">
        <v>514</v>
      </c>
      <c r="N93" s="214">
        <f t="shared" si="31"/>
        <v>0.49649999999999861</v>
      </c>
      <c r="O93" s="214">
        <f t="shared" si="32"/>
        <v>25.108999999999977</v>
      </c>
      <c r="P93" s="214"/>
      <c r="Q93" s="214">
        <f t="shared" si="33"/>
        <v>34.721599999999981</v>
      </c>
      <c r="R93" s="214">
        <f t="shared" si="34"/>
        <v>24.343499999999981</v>
      </c>
      <c r="S93" s="215">
        <f t="shared" si="35"/>
        <v>28.09999999999998</v>
      </c>
      <c r="T93" s="215">
        <f t="shared" si="36"/>
        <v>39.999999999999979</v>
      </c>
    </row>
    <row r="94" spans="2:23" x14ac:dyDescent="0.25">
      <c r="B94" s="244" t="s">
        <v>515</v>
      </c>
      <c r="C94" s="245">
        <v>808.82</v>
      </c>
      <c r="D94" s="245"/>
      <c r="E94" s="245">
        <v>3267.59</v>
      </c>
      <c r="F94" s="245">
        <v>2026.95</v>
      </c>
      <c r="G94" s="245">
        <v>7350.84</v>
      </c>
      <c r="H94" s="245">
        <v>11840</v>
      </c>
      <c r="I94" s="245">
        <v>22700</v>
      </c>
      <c r="J94" s="455"/>
      <c r="K94" s="455"/>
      <c r="M94" s="213" t="s">
        <v>515</v>
      </c>
      <c r="N94" s="214">
        <f t="shared" si="31"/>
        <v>8.0882000000000005</v>
      </c>
      <c r="O94" s="214">
        <f t="shared" si="32"/>
        <v>32.675899999999999</v>
      </c>
      <c r="P94" s="214"/>
      <c r="Q94" s="214">
        <f t="shared" si="33"/>
        <v>20.269500000000001</v>
      </c>
      <c r="R94" s="214">
        <f t="shared" si="34"/>
        <v>73.508399999999995</v>
      </c>
      <c r="S94" s="215">
        <f t="shared" si="35"/>
        <v>118.4</v>
      </c>
      <c r="T94" s="215">
        <f t="shared" si="36"/>
        <v>227</v>
      </c>
    </row>
    <row r="95" spans="2:23" x14ac:dyDescent="0.25">
      <c r="B95" s="246" t="s">
        <v>516</v>
      </c>
      <c r="C95" s="247">
        <f t="shared" ref="C95:I95" si="38">C94/(C87-C89)</f>
        <v>3.2512213887131387E-2</v>
      </c>
      <c r="D95" s="247"/>
      <c r="E95" s="247">
        <f t="shared" si="38"/>
        <v>3.4688705180348701E-2</v>
      </c>
      <c r="F95" s="247">
        <f t="shared" si="38"/>
        <v>3.1230302429876077E-2</v>
      </c>
      <c r="G95" s="247">
        <f t="shared" si="38"/>
        <v>6.230734080534775E-2</v>
      </c>
      <c r="H95" s="247">
        <f t="shared" si="38"/>
        <v>5.0140238095832984E-2</v>
      </c>
      <c r="I95" s="247">
        <f t="shared" si="38"/>
        <v>5.0011015642211942E-2</v>
      </c>
      <c r="J95" s="456"/>
      <c r="K95" s="456"/>
      <c r="M95" s="18" t="s">
        <v>516</v>
      </c>
      <c r="N95" s="48">
        <f t="shared" ref="N95:T95" si="39">N94/(N87-N89)</f>
        <v>3.2512213887131387E-2</v>
      </c>
      <c r="O95" s="48">
        <f t="shared" si="39"/>
        <v>3.4688705180348695E-2</v>
      </c>
      <c r="P95" s="48"/>
      <c r="Q95" s="48">
        <f t="shared" si="39"/>
        <v>3.1230302429876074E-2</v>
      </c>
      <c r="R95" s="48">
        <f t="shared" si="39"/>
        <v>6.230734080534775E-2</v>
      </c>
      <c r="S95" s="222">
        <f t="shared" si="39"/>
        <v>5.0140238095832984E-2</v>
      </c>
      <c r="T95" s="222">
        <f t="shared" si="39"/>
        <v>5.0011015642211942E-2</v>
      </c>
    </row>
    <row r="96" spans="2:23" x14ac:dyDescent="0.25">
      <c r="B96" s="246" t="s">
        <v>517</v>
      </c>
      <c r="C96" s="245">
        <f>28055.65+4405.54</f>
        <v>32461.190000000002</v>
      </c>
      <c r="D96" s="245"/>
      <c r="E96" s="245">
        <f>25389.37+5818.16</f>
        <v>31207.53</v>
      </c>
      <c r="F96" s="245">
        <f>30017.28+984.69</f>
        <v>31001.969999999998</v>
      </c>
      <c r="G96" s="245">
        <v>59338.37</v>
      </c>
      <c r="H96" s="245">
        <v>45520.06</v>
      </c>
      <c r="I96" s="245">
        <v>45520.06</v>
      </c>
      <c r="J96" s="455"/>
      <c r="K96" s="455"/>
      <c r="M96" s="18" t="s">
        <v>517</v>
      </c>
      <c r="N96" s="214">
        <f>C96/100</f>
        <v>324.61190000000005</v>
      </c>
      <c r="O96" s="214">
        <f t="shared" ref="O96" si="40">E96/100</f>
        <v>312.07529999999997</v>
      </c>
      <c r="P96" s="214"/>
      <c r="Q96" s="214">
        <f>F96/100</f>
        <v>310.0197</v>
      </c>
      <c r="R96" s="214">
        <f>G96/100</f>
        <v>593.38369999999998</v>
      </c>
      <c r="S96" s="215">
        <f>H96/100</f>
        <v>455.20059999999995</v>
      </c>
      <c r="T96" s="215">
        <f>I96/100</f>
        <v>455.20059999999995</v>
      </c>
      <c r="V96" s="223">
        <f>302/284</f>
        <v>1.0633802816901408</v>
      </c>
    </row>
    <row r="97" spans="2:20" x14ac:dyDescent="0.25">
      <c r="B97" s="18"/>
      <c r="C97" s="47" t="s">
        <v>5</v>
      </c>
      <c r="D97" s="47"/>
      <c r="E97" s="47" t="s">
        <v>5</v>
      </c>
      <c r="F97" s="18"/>
      <c r="G97" s="18">
        <f>G91/G83</f>
        <v>0</v>
      </c>
      <c r="H97" s="18"/>
      <c r="I97" s="18"/>
      <c r="J97" s="11"/>
      <c r="K97" s="11"/>
      <c r="M97" s="18"/>
      <c r="N97" s="18"/>
      <c r="O97" s="47" t="s">
        <v>5</v>
      </c>
      <c r="P97" s="47"/>
      <c r="Q97" s="18"/>
      <c r="R97" s="18"/>
      <c r="S97" s="206"/>
      <c r="T97" s="206"/>
    </row>
    <row r="98" spans="2:20" x14ac:dyDescent="0.25">
      <c r="B98" s="207" t="s">
        <v>500</v>
      </c>
      <c r="C98" s="208">
        <v>43190</v>
      </c>
      <c r="D98" s="208"/>
      <c r="E98" s="208">
        <v>43555</v>
      </c>
      <c r="F98" s="208">
        <v>43921</v>
      </c>
      <c r="G98" s="208">
        <v>44286</v>
      </c>
      <c r="H98" s="208">
        <v>44651</v>
      </c>
      <c r="I98" s="208">
        <v>44651</v>
      </c>
      <c r="J98" s="449"/>
      <c r="K98" s="449"/>
      <c r="M98" s="207" t="s">
        <v>500</v>
      </c>
      <c r="N98" s="208">
        <v>43555</v>
      </c>
      <c r="O98" s="208">
        <v>43921</v>
      </c>
      <c r="P98" s="208"/>
      <c r="Q98" s="208">
        <v>44286</v>
      </c>
      <c r="R98" s="208">
        <v>44651</v>
      </c>
      <c r="S98" s="208">
        <v>45016</v>
      </c>
      <c r="T98" s="208">
        <v>45382</v>
      </c>
    </row>
    <row r="99" spans="2:20" x14ac:dyDescent="0.25">
      <c r="B99" s="207" t="s">
        <v>501</v>
      </c>
      <c r="C99" s="209" t="s">
        <v>454</v>
      </c>
      <c r="D99" s="209"/>
      <c r="E99" s="209" t="s">
        <v>454</v>
      </c>
      <c r="F99" s="209" t="s">
        <v>454</v>
      </c>
      <c r="G99" s="209" t="s">
        <v>454</v>
      </c>
      <c r="H99" s="209" t="s">
        <v>371</v>
      </c>
      <c r="I99" s="209" t="s">
        <v>371</v>
      </c>
      <c r="J99" s="450"/>
      <c r="K99" s="450"/>
      <c r="M99" s="207" t="s">
        <v>501</v>
      </c>
      <c r="N99" s="209" t="s">
        <v>502</v>
      </c>
      <c r="O99" s="209" t="s">
        <v>502</v>
      </c>
      <c r="P99" s="209"/>
      <c r="Q99" s="209" t="s">
        <v>502</v>
      </c>
      <c r="R99" s="209" t="s">
        <v>502</v>
      </c>
      <c r="S99" s="209" t="s">
        <v>371</v>
      </c>
      <c r="T99" s="209" t="s">
        <v>371</v>
      </c>
    </row>
    <row r="100" spans="2:20" x14ac:dyDescent="0.25">
      <c r="B100" s="210" t="s">
        <v>6</v>
      </c>
      <c r="C100" s="210"/>
      <c r="D100" s="210"/>
      <c r="E100" s="211"/>
      <c r="F100" s="211"/>
      <c r="G100" s="211"/>
      <c r="H100" s="211"/>
      <c r="I100" s="211"/>
      <c r="J100" s="451"/>
      <c r="K100" s="451"/>
      <c r="M100" s="210" t="s">
        <v>6</v>
      </c>
      <c r="N100" s="210"/>
      <c r="O100" s="211"/>
      <c r="P100" s="211"/>
      <c r="Q100" s="211"/>
      <c r="R100" s="211"/>
      <c r="S100" s="212"/>
      <c r="T100" s="212"/>
    </row>
    <row r="101" spans="2:20" x14ac:dyDescent="0.25">
      <c r="B101" s="213" t="s">
        <v>518</v>
      </c>
      <c r="C101" s="91">
        <f t="shared" ref="C101:I101" si="41">C82/C72*100</f>
        <v>14.337453907057279</v>
      </c>
      <c r="D101" s="91"/>
      <c r="E101" s="91">
        <f t="shared" si="41"/>
        <v>7.9073395552655095</v>
      </c>
      <c r="F101" s="91">
        <f t="shared" si="41"/>
        <v>12.802964364121527</v>
      </c>
      <c r="G101" s="91">
        <f t="shared" si="41"/>
        <v>8.5531403513723365</v>
      </c>
      <c r="H101" s="91">
        <f t="shared" si="41"/>
        <v>9.0777939824651881</v>
      </c>
      <c r="I101" s="91">
        <f t="shared" si="41"/>
        <v>16.990138951142985</v>
      </c>
      <c r="J101" s="452"/>
      <c r="K101" s="452"/>
      <c r="M101" s="213" t="s">
        <v>518</v>
      </c>
      <c r="N101" s="91">
        <f t="shared" ref="N101:T101" si="42">N82/N72*100</f>
        <v>14.337453907057283</v>
      </c>
      <c r="O101" s="91">
        <f t="shared" si="42"/>
        <v>7.9073395552655095</v>
      </c>
      <c r="P101" s="91"/>
      <c r="Q101" s="91">
        <f t="shared" si="42"/>
        <v>12.802964364121527</v>
      </c>
      <c r="R101" s="91">
        <f t="shared" si="42"/>
        <v>8.5531403513723365</v>
      </c>
      <c r="S101" s="224">
        <f t="shared" si="42"/>
        <v>9.0777939824651881</v>
      </c>
      <c r="T101" s="224">
        <f t="shared" si="42"/>
        <v>16.990138951142985</v>
      </c>
    </row>
    <row r="102" spans="2:20" x14ac:dyDescent="0.25">
      <c r="B102" s="213" t="s">
        <v>374</v>
      </c>
      <c r="C102" s="225">
        <f>(C76)/(SUM(C87+1091141.91)/2)</f>
        <v>4.0073459018606945E-3</v>
      </c>
      <c r="D102" s="225"/>
      <c r="E102" s="225">
        <f>(E76)/AVERAGE(C87:E87)</f>
        <v>0.22269643372053236</v>
      </c>
      <c r="F102" s="225">
        <f>(F76)/AVERAGE(E87:F87)</f>
        <v>9.3054145027918742E-2</v>
      </c>
      <c r="G102" s="225">
        <f>(G76)/AVERAGE(F87:G87)</f>
        <v>0.10442841648220715</v>
      </c>
      <c r="H102" s="225">
        <f>(H76)/AVERAGE(G87:H87)</f>
        <v>0.16996488309734945</v>
      </c>
      <c r="I102" s="225">
        <f>(I76)/AVERAGE(H87:I87)</f>
        <v>0.10011718991003234</v>
      </c>
      <c r="J102" s="457"/>
      <c r="K102" s="457"/>
      <c r="M102" s="213" t="s">
        <v>374</v>
      </c>
      <c r="N102" s="225">
        <f>C102</f>
        <v>4.0073459018606945E-3</v>
      </c>
      <c r="O102" s="225">
        <f>(O76)/AVERAGE(N87:O87)</f>
        <v>0.22269643372053233</v>
      </c>
      <c r="P102" s="225"/>
      <c r="Q102" s="225">
        <f>(Q76)/AVERAGE(O87:Q87)</f>
        <v>9.3054145027918728E-2</v>
      </c>
      <c r="R102" s="225">
        <f>(R76)/AVERAGE(Q87:R87)</f>
        <v>0.10442841648220715</v>
      </c>
      <c r="S102" s="226">
        <f>(S76)/AVERAGE(R87:S87)</f>
        <v>0.16996488309734942</v>
      </c>
      <c r="T102" s="226">
        <f>(T76)/AVERAGE(S87:T87)</f>
        <v>0.10011718991003236</v>
      </c>
    </row>
    <row r="103" spans="2:20" x14ac:dyDescent="0.25">
      <c r="B103" s="210" t="s">
        <v>12</v>
      </c>
      <c r="C103" s="210"/>
      <c r="D103" s="210"/>
      <c r="E103" s="211"/>
      <c r="F103" s="211"/>
      <c r="G103" s="211"/>
      <c r="H103" s="211"/>
      <c r="I103" s="211"/>
      <c r="J103" s="451"/>
      <c r="K103" s="451"/>
      <c r="M103" s="210" t="s">
        <v>12</v>
      </c>
      <c r="N103" s="210"/>
      <c r="O103" s="211"/>
      <c r="P103" s="211"/>
      <c r="Q103" s="211"/>
      <c r="R103" s="211"/>
      <c r="S103" s="212"/>
      <c r="T103" s="212"/>
    </row>
    <row r="104" spans="2:20" x14ac:dyDescent="0.25">
      <c r="B104" s="213" t="s">
        <v>375</v>
      </c>
      <c r="C104" s="91">
        <f t="shared" ref="C104:I104" si="43">C85/C84</f>
        <v>0.50525588239406094</v>
      </c>
      <c r="D104" s="91"/>
      <c r="E104" s="91">
        <f t="shared" si="43"/>
        <v>2.6406101045404227</v>
      </c>
      <c r="F104" s="91">
        <f t="shared" si="43"/>
        <v>0.87155887670287135</v>
      </c>
      <c r="G104" s="91">
        <f t="shared" si="43"/>
        <v>1.3099890845894848</v>
      </c>
      <c r="H104" s="91">
        <f t="shared" si="43"/>
        <v>0.8133042513808364</v>
      </c>
      <c r="I104" s="91">
        <f t="shared" si="43"/>
        <v>2.3477281701057313</v>
      </c>
      <c r="J104" s="452"/>
      <c r="K104" s="452"/>
      <c r="M104" s="213" t="s">
        <v>375</v>
      </c>
      <c r="N104" s="91">
        <f t="shared" ref="N104:T104" si="44">N85/N84</f>
        <v>0.50525588239406105</v>
      </c>
      <c r="O104" s="91">
        <f t="shared" si="44"/>
        <v>2.6406101045404227</v>
      </c>
      <c r="P104" s="91"/>
      <c r="Q104" s="91">
        <f t="shared" si="44"/>
        <v>0.87155887670287135</v>
      </c>
      <c r="R104" s="91">
        <f t="shared" si="44"/>
        <v>1.3099890845894848</v>
      </c>
      <c r="S104" s="224">
        <f t="shared" si="44"/>
        <v>0.8133042513808364</v>
      </c>
      <c r="T104" s="224">
        <f t="shared" si="44"/>
        <v>2.3477281701057313</v>
      </c>
    </row>
    <row r="105" spans="2:20" x14ac:dyDescent="0.25">
      <c r="B105" s="213" t="s">
        <v>519</v>
      </c>
      <c r="C105" s="216">
        <v>81.09</v>
      </c>
      <c r="D105" s="216"/>
      <c r="E105" s="216">
        <v>27.29</v>
      </c>
      <c r="F105" s="216">
        <v>64.599999999999994</v>
      </c>
      <c r="G105" s="216">
        <v>40.6</v>
      </c>
      <c r="H105" s="216">
        <v>40</v>
      </c>
      <c r="I105" s="216">
        <v>26</v>
      </c>
      <c r="J105" s="453"/>
      <c r="K105" s="453"/>
      <c r="M105" s="213" t="s">
        <v>519</v>
      </c>
      <c r="N105" s="216">
        <f>C105</f>
        <v>81.09</v>
      </c>
      <c r="O105" s="216">
        <f t="shared" ref="O105" si="45">E105</f>
        <v>27.29</v>
      </c>
      <c r="P105" s="216"/>
      <c r="Q105" s="216">
        <f>F105</f>
        <v>64.599999999999994</v>
      </c>
      <c r="R105" s="216">
        <f>G105</f>
        <v>40.6</v>
      </c>
      <c r="S105" s="227">
        <f>H105</f>
        <v>40</v>
      </c>
      <c r="T105" s="227">
        <f>I105</f>
        <v>26</v>
      </c>
    </row>
    <row r="106" spans="2:20" x14ac:dyDescent="0.25">
      <c r="B106" s="213" t="s">
        <v>15</v>
      </c>
      <c r="C106" s="228">
        <f t="shared" ref="C106:I106" si="46">C84/C87*100</f>
        <v>91.688829121365316</v>
      </c>
      <c r="D106" s="228"/>
      <c r="E106" s="228">
        <f t="shared" si="46"/>
        <v>30.384972932710962</v>
      </c>
      <c r="F106" s="228">
        <f t="shared" si="46"/>
        <v>77.192470608109701</v>
      </c>
      <c r="G106" s="228">
        <f t="shared" si="46"/>
        <v>50.005953070019636</v>
      </c>
      <c r="H106" s="228">
        <f t="shared" si="46"/>
        <v>65.813354344530879</v>
      </c>
      <c r="I106" s="228">
        <f t="shared" si="46"/>
        <v>29.544610066969106</v>
      </c>
      <c r="J106" s="458"/>
      <c r="K106" s="458"/>
      <c r="M106" s="213" t="s">
        <v>15</v>
      </c>
      <c r="N106" s="228">
        <f t="shared" ref="N106:T106" si="47">N84/N87*100</f>
        <v>91.688829121365316</v>
      </c>
      <c r="O106" s="228">
        <f t="shared" si="47"/>
        <v>30.384972932710962</v>
      </c>
      <c r="P106" s="228"/>
      <c r="Q106" s="228">
        <f t="shared" si="47"/>
        <v>77.192470608109701</v>
      </c>
      <c r="R106" s="228">
        <f t="shared" si="47"/>
        <v>50.005953070019636</v>
      </c>
      <c r="S106" s="229">
        <f t="shared" si="47"/>
        <v>65.813354344530865</v>
      </c>
      <c r="T106" s="229">
        <f t="shared" si="47"/>
        <v>29.544610066969106</v>
      </c>
    </row>
    <row r="107" spans="2:20" x14ac:dyDescent="0.25">
      <c r="B107" s="210" t="s">
        <v>18</v>
      </c>
      <c r="C107" s="210"/>
      <c r="D107" s="210"/>
      <c r="E107" s="211"/>
      <c r="F107" s="211"/>
      <c r="G107" s="211"/>
      <c r="H107" s="211"/>
      <c r="I107" s="211"/>
      <c r="J107" s="451"/>
      <c r="K107" s="451"/>
      <c r="M107" s="210" t="s">
        <v>18</v>
      </c>
      <c r="N107" s="210"/>
      <c r="O107" s="211"/>
      <c r="P107" s="211"/>
      <c r="Q107" s="211"/>
      <c r="R107" s="211"/>
      <c r="S107" s="212"/>
      <c r="T107" s="212"/>
    </row>
    <row r="108" spans="2:20" x14ac:dyDescent="0.25">
      <c r="B108" s="213" t="s">
        <v>520</v>
      </c>
      <c r="C108" s="225">
        <f>(C72-C75)/((1436818.27+C86)/2)</f>
        <v>7.3368462391982855E-3</v>
      </c>
      <c r="D108" s="225"/>
      <c r="E108" s="225">
        <f>(E72-E75)/AVERAGE(C86:E86)</f>
        <v>0.44179118087271252</v>
      </c>
      <c r="F108" s="225">
        <f>(F72-F75)/AVERAGE(E86:F86)</f>
        <v>0.14725900605099737</v>
      </c>
      <c r="G108" s="225">
        <f>(G72-G75)/AVERAGE(F86:G86)</f>
        <v>0.21094825493904137</v>
      </c>
      <c r="H108" s="225">
        <f>(H72-H75)/AVERAGE(G86:H86)</f>
        <v>0.2530795997716429</v>
      </c>
      <c r="I108" s="225">
        <f>(I72-I75)/AVERAGE(H86:I86)</f>
        <v>0.15935259885267453</v>
      </c>
      <c r="J108" s="457"/>
      <c r="K108" s="457"/>
      <c r="M108" s="213" t="s">
        <v>520</v>
      </c>
      <c r="N108" s="225">
        <f>C108</f>
        <v>7.3368462391982855E-3</v>
      </c>
      <c r="O108" s="225">
        <f>(O72-O75)/AVERAGE(N86:O86)</f>
        <v>0.44179118087271252</v>
      </c>
      <c r="P108" s="225"/>
      <c r="Q108" s="225">
        <f>(Q72-Q75)/AVERAGE(O86:Q86)</f>
        <v>0.14725900605099737</v>
      </c>
      <c r="R108" s="225">
        <f>(R72-R75)/AVERAGE(Q86:R86)</f>
        <v>0.2109482549390414</v>
      </c>
      <c r="S108" s="226">
        <f>(S72-S75)/AVERAGE(R86:S86)</f>
        <v>0.25307959977164285</v>
      </c>
      <c r="T108" s="226">
        <f>(T72-T75)/AVERAGE(S86:T86)</f>
        <v>0.1593525988526745</v>
      </c>
    </row>
    <row r="109" spans="2:20" x14ac:dyDescent="0.25">
      <c r="B109" s="213" t="s">
        <v>521</v>
      </c>
      <c r="C109" s="225">
        <f t="shared" ref="C109:I109" si="48">C79/(C72-C75)</f>
        <v>0.46025286565031859</v>
      </c>
      <c r="D109" s="225"/>
      <c r="E109" s="225">
        <f t="shared" si="48"/>
        <v>0.1803704008337238</v>
      </c>
      <c r="F109" s="225">
        <f t="shared" si="48"/>
        <v>0.1886686532438592</v>
      </c>
      <c r="G109" s="225">
        <f t="shared" si="48"/>
        <v>0.22322792467591426</v>
      </c>
      <c r="H109" s="225">
        <f t="shared" si="48"/>
        <v>0.39583071765712607</v>
      </c>
      <c r="I109" s="225">
        <f t="shared" si="48"/>
        <v>0.25116201859229748</v>
      </c>
      <c r="J109" s="457"/>
      <c r="K109" s="457"/>
      <c r="M109" s="213" t="s">
        <v>521</v>
      </c>
      <c r="N109" s="225">
        <f t="shared" ref="N109:T109" si="49">N79/(N72-N75)</f>
        <v>0.46025286565031859</v>
      </c>
      <c r="O109" s="225">
        <f t="shared" si="49"/>
        <v>0.18037040083372383</v>
      </c>
      <c r="P109" s="225"/>
      <c r="Q109" s="225">
        <f t="shared" si="49"/>
        <v>0.1886686532438592</v>
      </c>
      <c r="R109" s="225">
        <f t="shared" si="49"/>
        <v>0.22322792467591424</v>
      </c>
      <c r="S109" s="226">
        <f t="shared" si="49"/>
        <v>0.39583071765712613</v>
      </c>
      <c r="T109" s="226">
        <f t="shared" si="49"/>
        <v>0.25116201859229753</v>
      </c>
    </row>
    <row r="110" spans="2:20" x14ac:dyDescent="0.25">
      <c r="B110" s="213" t="s">
        <v>522</v>
      </c>
      <c r="C110" s="225">
        <f t="shared" ref="C110:I110" si="50">C81/C87</f>
        <v>7.2692450824988111E-2</v>
      </c>
      <c r="D110" s="225"/>
      <c r="E110" s="225">
        <f t="shared" si="50"/>
        <v>0.22797313059941354</v>
      </c>
      <c r="F110" s="225">
        <f t="shared" si="50"/>
        <v>0.13886096091294819</v>
      </c>
      <c r="G110" s="225">
        <f t="shared" si="50"/>
        <v>0.13343930127778281</v>
      </c>
      <c r="H110" s="225">
        <f t="shared" si="50"/>
        <v>0.10283765783793901</v>
      </c>
      <c r="I110" s="225">
        <f t="shared" si="50"/>
        <v>5.19550658889609E-2</v>
      </c>
      <c r="J110" s="457"/>
      <c r="K110" s="457"/>
      <c r="M110" s="213" t="s">
        <v>522</v>
      </c>
      <c r="N110" s="225">
        <f t="shared" ref="N110:T110" si="51">N81/N87</f>
        <v>7.2692450824988111E-2</v>
      </c>
      <c r="O110" s="225">
        <f t="shared" si="51"/>
        <v>0.22797313059941354</v>
      </c>
      <c r="P110" s="225"/>
      <c r="Q110" s="225">
        <f t="shared" si="51"/>
        <v>0.13886096091294817</v>
      </c>
      <c r="R110" s="225">
        <f t="shared" si="51"/>
        <v>0.13343930127778278</v>
      </c>
      <c r="S110" s="226">
        <f t="shared" si="51"/>
        <v>0.10283765783793901</v>
      </c>
      <c r="T110" s="226">
        <f t="shared" si="51"/>
        <v>5.19550658889609E-2</v>
      </c>
    </row>
    <row r="111" spans="2:20" x14ac:dyDescent="0.25">
      <c r="B111" s="210" t="s">
        <v>378</v>
      </c>
      <c r="C111" s="210"/>
      <c r="D111" s="210"/>
      <c r="E111" s="211"/>
      <c r="F111" s="211"/>
      <c r="G111" s="211"/>
      <c r="H111" s="211"/>
      <c r="I111" s="211"/>
      <c r="J111" s="451"/>
      <c r="K111" s="451"/>
      <c r="M111" s="210" t="s">
        <v>378</v>
      </c>
      <c r="N111" s="210"/>
      <c r="O111" s="211"/>
      <c r="P111" s="211"/>
      <c r="Q111" s="211"/>
      <c r="R111" s="211"/>
      <c r="S111" s="212"/>
      <c r="T111" s="212"/>
    </row>
    <row r="112" spans="2:20" x14ac:dyDescent="0.25">
      <c r="B112" s="213" t="s">
        <v>379</v>
      </c>
      <c r="C112" s="230">
        <f t="shared" ref="C112:I112" si="52">C89/C87</f>
        <v>3.4438431639292684E-3</v>
      </c>
      <c r="D112" s="230"/>
      <c r="E112" s="230">
        <f t="shared" si="52"/>
        <v>3.5165556429141834E-2</v>
      </c>
      <c r="F112" s="230">
        <f t="shared" si="52"/>
        <v>6.7663224953633402E-2</v>
      </c>
      <c r="G112" s="230">
        <f t="shared" si="52"/>
        <v>2.7249312263753024E-2</v>
      </c>
      <c r="H112" s="230">
        <f t="shared" si="52"/>
        <v>2.290942715425566E-2</v>
      </c>
      <c r="I112" s="230">
        <f t="shared" si="52"/>
        <v>1.9442644199611156E-2</v>
      </c>
      <c r="J112" s="459"/>
      <c r="K112" s="459"/>
      <c r="M112" s="213" t="s">
        <v>379</v>
      </c>
      <c r="N112" s="230">
        <f t="shared" ref="N112:T112" si="53">N89/N87</f>
        <v>3.4438431639292684E-3</v>
      </c>
      <c r="O112" s="230">
        <f t="shared" si="53"/>
        <v>3.5165556429141834E-2</v>
      </c>
      <c r="P112" s="230"/>
      <c r="Q112" s="230">
        <f t="shared" si="53"/>
        <v>6.7663224953633402E-2</v>
      </c>
      <c r="R112" s="230">
        <f t="shared" si="53"/>
        <v>2.7249312263753024E-2</v>
      </c>
      <c r="S112" s="231">
        <f t="shared" si="53"/>
        <v>2.2909427154255656E-2</v>
      </c>
      <c r="T112" s="231">
        <f t="shared" si="53"/>
        <v>1.9442644199611156E-2</v>
      </c>
    </row>
    <row r="113" spans="2:20" x14ac:dyDescent="0.25">
      <c r="B113" s="213" t="s">
        <v>380</v>
      </c>
      <c r="C113" s="230">
        <f t="shared" ref="C113:I113" si="54">C90/C87</f>
        <v>1.4549306003711993E-3</v>
      </c>
      <c r="D113" s="230"/>
      <c r="E113" s="230">
        <f t="shared" si="54"/>
        <v>9.4472274926468425E-3</v>
      </c>
      <c r="F113" s="230">
        <f t="shared" si="54"/>
        <v>1.7785607666549109E-2</v>
      </c>
      <c r="G113" s="230">
        <f t="shared" si="54"/>
        <v>7.1774895458484173E-3</v>
      </c>
      <c r="H113" s="230">
        <f t="shared" si="54"/>
        <v>8.3993205566615676E-3</v>
      </c>
      <c r="I113" s="230">
        <f t="shared" si="54"/>
        <v>1.0801468999783983E-2</v>
      </c>
      <c r="J113" s="459"/>
      <c r="K113" s="459"/>
      <c r="M113" s="213" t="s">
        <v>380</v>
      </c>
      <c r="N113" s="230">
        <f t="shared" ref="N113:T113" si="55">N90/N87</f>
        <v>1.4549306003711993E-3</v>
      </c>
      <c r="O113" s="230">
        <f t="shared" si="55"/>
        <v>9.4472274926468425E-3</v>
      </c>
      <c r="P113" s="230"/>
      <c r="Q113" s="230">
        <f t="shared" si="55"/>
        <v>1.7785607666549106E-2</v>
      </c>
      <c r="R113" s="230">
        <f t="shared" si="55"/>
        <v>7.1774895458484164E-3</v>
      </c>
      <c r="S113" s="231">
        <f t="shared" si="55"/>
        <v>8.3993205566615659E-3</v>
      </c>
      <c r="T113" s="231">
        <f t="shared" si="55"/>
        <v>1.0801468999783983E-2</v>
      </c>
    </row>
    <row r="114" spans="2:20" x14ac:dyDescent="0.25">
      <c r="B114" s="213" t="s">
        <v>381</v>
      </c>
      <c r="C114" s="230">
        <f t="shared" ref="C114:I114" si="56">C93/C89</f>
        <v>0.57752704431778201</v>
      </c>
      <c r="D114" s="230"/>
      <c r="E114" s="230">
        <f t="shared" si="56"/>
        <v>0.73134997844601468</v>
      </c>
      <c r="F114" s="230">
        <f t="shared" si="56"/>
        <v>0.73714513786866065</v>
      </c>
      <c r="G114" s="230">
        <f t="shared" si="56"/>
        <v>0.73659924051015779</v>
      </c>
      <c r="H114" s="230">
        <f t="shared" si="56"/>
        <v>0.50752986479115381</v>
      </c>
      <c r="I114" s="230">
        <f t="shared" si="56"/>
        <v>0.44444444444444409</v>
      </c>
      <c r="J114" s="459"/>
      <c r="K114" s="459"/>
      <c r="M114" s="213" t="s">
        <v>381</v>
      </c>
      <c r="N114" s="230">
        <f t="shared" ref="N114:T114" si="57">N93/N89</f>
        <v>0.5775270443177819</v>
      </c>
      <c r="O114" s="230">
        <f t="shared" si="57"/>
        <v>0.73134997844601457</v>
      </c>
      <c r="P114" s="230"/>
      <c r="Q114" s="230">
        <f t="shared" si="57"/>
        <v>0.73714513786866065</v>
      </c>
      <c r="R114" s="230">
        <f t="shared" si="57"/>
        <v>0.7365992405101579</v>
      </c>
      <c r="S114" s="231">
        <f t="shared" si="57"/>
        <v>0.50752986479115381</v>
      </c>
      <c r="T114" s="231">
        <f t="shared" si="57"/>
        <v>0.44444444444444398</v>
      </c>
    </row>
    <row r="115" spans="2:20" x14ac:dyDescent="0.25">
      <c r="B115" s="213" t="s">
        <v>523</v>
      </c>
      <c r="C115" s="230">
        <f t="shared" ref="C115:I115" si="58">C90/C83</f>
        <v>1.5868133711745387E-3</v>
      </c>
      <c r="D115" s="230"/>
      <c r="E115" s="230">
        <f t="shared" si="58"/>
        <v>3.10917752455077E-2</v>
      </c>
      <c r="F115" s="230">
        <f t="shared" si="58"/>
        <v>2.3040599071952213E-2</v>
      </c>
      <c r="G115" s="230">
        <f t="shared" si="58"/>
        <v>1.4353270171250028E-2</v>
      </c>
      <c r="H115" s="230">
        <f t="shared" si="58"/>
        <v>1.2762334696832779E-2</v>
      </c>
      <c r="I115" s="230">
        <f t="shared" si="58"/>
        <v>3.655986311987252E-2</v>
      </c>
      <c r="J115" s="459"/>
      <c r="K115" s="459"/>
      <c r="M115" s="213" t="s">
        <v>523</v>
      </c>
      <c r="N115" s="230">
        <f t="shared" ref="N115:T115" si="59">N90/N83</f>
        <v>1.5868133711745387E-3</v>
      </c>
      <c r="O115" s="230">
        <f t="shared" si="59"/>
        <v>3.1091775245507703E-2</v>
      </c>
      <c r="P115" s="230"/>
      <c r="Q115" s="230">
        <f t="shared" si="59"/>
        <v>2.304059907195221E-2</v>
      </c>
      <c r="R115" s="230">
        <f t="shared" si="59"/>
        <v>1.4353270171250028E-2</v>
      </c>
      <c r="S115" s="231">
        <f t="shared" si="59"/>
        <v>1.2762334696832779E-2</v>
      </c>
      <c r="T115" s="231">
        <f t="shared" si="59"/>
        <v>3.6559863119872527E-2</v>
      </c>
    </row>
    <row r="116" spans="2:20" x14ac:dyDescent="0.25">
      <c r="B116" s="213" t="s">
        <v>524</v>
      </c>
      <c r="C116" s="230">
        <f>C89/1091141.91</f>
        <v>7.8789018378003879E-5</v>
      </c>
      <c r="D116" s="230"/>
      <c r="E116" s="230">
        <f>E89/C87</f>
        <v>0.13753100039698149</v>
      </c>
      <c r="F116" s="230">
        <f>F89/E87</f>
        <v>4.824586021864425E-2</v>
      </c>
      <c r="G116" s="230">
        <f>G89/F87</f>
        <v>4.7474207263265754E-2</v>
      </c>
      <c r="H116" s="230">
        <f>H89/G87</f>
        <v>4.5650812371435943E-2</v>
      </c>
      <c r="I116" s="230">
        <f>I89/H87</f>
        <v>3.7240201492661773E-2</v>
      </c>
      <c r="J116" s="459"/>
      <c r="K116" s="459"/>
      <c r="M116" s="213" t="s">
        <v>524</v>
      </c>
      <c r="N116" s="230">
        <f>C116</f>
        <v>7.8789018378003879E-5</v>
      </c>
      <c r="O116" s="230">
        <f>O89/N87</f>
        <v>0.13753100039698149</v>
      </c>
      <c r="P116" s="230"/>
      <c r="Q116" s="230">
        <f>Q89/O87</f>
        <v>4.824586021864425E-2</v>
      </c>
      <c r="R116" s="230">
        <f>R89/Q87</f>
        <v>4.7474207263265754E-2</v>
      </c>
      <c r="S116" s="231">
        <f>S89/R87</f>
        <v>4.565081237143595E-2</v>
      </c>
      <c r="T116" s="231">
        <f>T89/S87</f>
        <v>3.7240201492661773E-2</v>
      </c>
    </row>
    <row r="117" spans="2:20" x14ac:dyDescent="0.25">
      <c r="B117" s="210" t="s">
        <v>30</v>
      </c>
      <c r="C117" s="210"/>
      <c r="D117" s="210"/>
      <c r="E117" s="211"/>
      <c r="F117" s="211"/>
      <c r="G117" s="211"/>
      <c r="H117" s="211"/>
      <c r="I117" s="211"/>
      <c r="J117" s="451"/>
      <c r="K117" s="451"/>
      <c r="M117" s="210" t="s">
        <v>30</v>
      </c>
      <c r="N117" s="210"/>
      <c r="O117" s="211"/>
      <c r="P117" s="211"/>
      <c r="Q117" s="211"/>
      <c r="R117" s="211"/>
      <c r="S117" s="212"/>
      <c r="T117" s="212"/>
    </row>
    <row r="118" spans="2:20" x14ac:dyDescent="0.25">
      <c r="B118" s="213" t="s">
        <v>384</v>
      </c>
      <c r="C118" s="225">
        <f>C82/((1436818.27+C86)/2)</f>
        <v>1.1265836115729687E-3</v>
      </c>
      <c r="D118" s="225"/>
      <c r="E118" s="225">
        <f>E82/AVERAGE(C86:E86)</f>
        <v>4.3237207175420692E-2</v>
      </c>
      <c r="F118" s="225">
        <f>F82/AVERAGE(E86:F86)</f>
        <v>2.6145287384120249E-2</v>
      </c>
      <c r="G118" s="225">
        <f>G82/AVERAGE(F86:G86)</f>
        <v>2.3244818170705259E-2</v>
      </c>
      <c r="H118" s="225">
        <f>H82/AVERAGE(G86:H86)</f>
        <v>2.9800747036648256E-2</v>
      </c>
      <c r="I118" s="225">
        <f>I82/AVERAGE(H86:I86)</f>
        <v>4.0107969850668182E-2</v>
      </c>
      <c r="J118" s="457"/>
      <c r="K118" s="457"/>
      <c r="M118" s="213" t="s">
        <v>384</v>
      </c>
      <c r="N118" s="225">
        <f>C118</f>
        <v>1.1265836115729687E-3</v>
      </c>
      <c r="O118" s="225">
        <f>O82/AVERAGE(N86:O86)</f>
        <v>4.3237207175420692E-2</v>
      </c>
      <c r="P118" s="225"/>
      <c r="Q118" s="225">
        <f>Q82/AVERAGE(O86:Q86)</f>
        <v>2.6145287384120249E-2</v>
      </c>
      <c r="R118" s="225">
        <f>R82/AVERAGE(Q86:R86)</f>
        <v>2.3244818170705263E-2</v>
      </c>
      <c r="S118" s="226">
        <f>S82/AVERAGE(R86:S86)</f>
        <v>2.9800747036648256E-2</v>
      </c>
      <c r="T118" s="226">
        <f>T82/AVERAGE(S86:T86)</f>
        <v>4.0107969850668182E-2</v>
      </c>
    </row>
    <row r="119" spans="2:20" x14ac:dyDescent="0.25">
      <c r="B119" s="213" t="s">
        <v>525</v>
      </c>
      <c r="C119" s="225">
        <f>C82/((135704.5+C84)/2)</f>
        <v>1.0463756502960974E-2</v>
      </c>
      <c r="D119" s="225"/>
      <c r="E119" s="225">
        <f>E82/AVERAGE(C84:E84)</f>
        <v>0.12090295415814525</v>
      </c>
      <c r="F119" s="225">
        <f>F82/AVERAGE(E84:F84)</f>
        <v>6.7196369179318524E-2</v>
      </c>
      <c r="G119" s="225">
        <f>G82/AVERAGE(F84:G84)</f>
        <v>5.0337873132452575E-2</v>
      </c>
      <c r="H119" s="225">
        <f>H82/AVERAGE(G84:H84)</f>
        <v>5.9251576805090279E-2</v>
      </c>
      <c r="I119" s="225">
        <f>I82/AVERAGE(H84:I84)</f>
        <v>0.1025096785680638</v>
      </c>
      <c r="J119" s="457"/>
      <c r="K119" s="457"/>
      <c r="M119" s="213" t="s">
        <v>525</v>
      </c>
      <c r="N119" s="225">
        <f>C119</f>
        <v>1.0463756502960974E-2</v>
      </c>
      <c r="O119" s="225">
        <f>O82/AVERAGE(N84:O84)</f>
        <v>0.12090295415814527</v>
      </c>
      <c r="P119" s="225"/>
      <c r="Q119" s="225">
        <f>Q82/AVERAGE(O84:Q84)</f>
        <v>6.7196369179318524E-2</v>
      </c>
      <c r="R119" s="225">
        <f>R82/AVERAGE(Q84:R84)</f>
        <v>5.0337873132452575E-2</v>
      </c>
      <c r="S119" s="226">
        <f>S82/AVERAGE(R84:S84)</f>
        <v>5.9251576805090279E-2</v>
      </c>
      <c r="T119" s="226">
        <f>T82/AVERAGE(S84:T84)</f>
        <v>0.10250967856806378</v>
      </c>
    </row>
    <row r="120" spans="2:20" x14ac:dyDescent="0.25">
      <c r="B120" s="210" t="s">
        <v>33</v>
      </c>
      <c r="C120" s="210"/>
      <c r="D120" s="210"/>
      <c r="E120" s="211"/>
      <c r="F120" s="232"/>
      <c r="G120" s="232"/>
      <c r="H120" s="232"/>
      <c r="I120" s="232"/>
      <c r="J120" s="460"/>
      <c r="K120" s="460"/>
      <c r="M120" s="210" t="s">
        <v>33</v>
      </c>
      <c r="N120" s="210"/>
      <c r="O120" s="211"/>
      <c r="P120" s="211"/>
      <c r="Q120" s="232"/>
      <c r="R120" s="232"/>
      <c r="S120" s="233"/>
      <c r="T120" s="233"/>
    </row>
    <row r="121" spans="2:20" x14ac:dyDescent="0.25">
      <c r="B121" s="213" t="s">
        <v>386</v>
      </c>
      <c r="C121" s="225">
        <f>C73/((1091141.91+C87)/2)</f>
        <v>4.6946645625641241E-3</v>
      </c>
      <c r="D121" s="225"/>
      <c r="E121" s="225">
        <f>E73/AVERAGE(C87:E87)</f>
        <v>0.34856932406644198</v>
      </c>
      <c r="F121" s="225">
        <f>F73/AVERAGE(E87:F87)</f>
        <v>0.16604985459897453</v>
      </c>
      <c r="G121" s="225">
        <f>G73/AVERAGE(F87:G87)</f>
        <v>0.18334989998457274</v>
      </c>
      <c r="H121" s="225">
        <f>H73/AVERAGE(G87:H87)</f>
        <v>0.26047214999206375</v>
      </c>
      <c r="I121" s="225">
        <f>I73/AVERAGE(H87:I87)</f>
        <v>0.18243639907904105</v>
      </c>
      <c r="J121" s="457"/>
      <c r="K121" s="457"/>
      <c r="M121" s="213" t="s">
        <v>386</v>
      </c>
      <c r="N121" s="225">
        <f>C121</f>
        <v>4.6946645625641241E-3</v>
      </c>
      <c r="O121" s="225">
        <f>O73/AVERAGE(N87:O87)</f>
        <v>0.34856932406644198</v>
      </c>
      <c r="P121" s="225"/>
      <c r="Q121" s="225">
        <f>Q73/AVERAGE(O87:Q87)</f>
        <v>0.16604985459897451</v>
      </c>
      <c r="R121" s="225">
        <f>R73/AVERAGE(Q87:R87)</f>
        <v>0.18334989998457271</v>
      </c>
      <c r="S121" s="226">
        <f>S73/AVERAGE(R87:S87)</f>
        <v>0.26047214999206375</v>
      </c>
      <c r="T121" s="226">
        <f>T73/AVERAGE(S87:T87)</f>
        <v>0.18243639907904111</v>
      </c>
    </row>
    <row r="122" spans="2:20" x14ac:dyDescent="0.25">
      <c r="B122" s="213" t="s">
        <v>387</v>
      </c>
      <c r="C122" s="225">
        <f>C75/((1094831.39+C85)/2)</f>
        <v>6.9335029507201491E-4</v>
      </c>
      <c r="D122" s="225"/>
      <c r="E122" s="225">
        <f>E75/AVERAGE(C85:E85)</f>
        <v>0.17165219498027387</v>
      </c>
      <c r="F122" s="225">
        <f>F75/AVERAGE(E85:F85)</f>
        <v>9.7533570576405104E-2</v>
      </c>
      <c r="G122" s="225">
        <f>G75/AVERAGE(F85:G85)</f>
        <v>0.11930160648752612</v>
      </c>
      <c r="H122" s="225">
        <f>H75/AVERAGE(G85:H85)</f>
        <v>0.15732260895488792</v>
      </c>
      <c r="I122" s="225">
        <f>I75/AVERAGE(H85:I85)</f>
        <v>0.12876319597978214</v>
      </c>
      <c r="J122" s="457"/>
      <c r="K122" s="457"/>
      <c r="M122" s="213" t="s">
        <v>387</v>
      </c>
      <c r="N122" s="225">
        <f>C122</f>
        <v>6.9335029507201491E-4</v>
      </c>
      <c r="O122" s="225">
        <f>O75/AVERAGE(N85:O85)</f>
        <v>0.17165219498027387</v>
      </c>
      <c r="P122" s="225"/>
      <c r="Q122" s="225">
        <f>Q75/AVERAGE(O85:Q85)</f>
        <v>9.7533570576405118E-2</v>
      </c>
      <c r="R122" s="225">
        <f>R75/AVERAGE(Q85:R85)</f>
        <v>0.11930160648752611</v>
      </c>
      <c r="S122" s="226">
        <f>S75/AVERAGE(R85:S85)</f>
        <v>0.15732260895488789</v>
      </c>
      <c r="T122" s="226">
        <f>T75/AVERAGE(S85:T85)</f>
        <v>0.12876319597978211</v>
      </c>
    </row>
    <row r="123" spans="2:20" x14ac:dyDescent="0.25">
      <c r="B123" s="213" t="s">
        <v>36</v>
      </c>
      <c r="C123" s="225">
        <f t="shared" ref="C123:I123" si="60">C121-C122</f>
        <v>4.0013142674921089E-3</v>
      </c>
      <c r="D123" s="225"/>
      <c r="E123" s="225">
        <f t="shared" si="60"/>
        <v>0.17691712908616811</v>
      </c>
      <c r="F123" s="225">
        <f t="shared" si="60"/>
        <v>6.8516284022569429E-2</v>
      </c>
      <c r="G123" s="225">
        <f t="shared" si="60"/>
        <v>6.4048293497046618E-2</v>
      </c>
      <c r="H123" s="225">
        <f t="shared" si="60"/>
        <v>0.10314954103717583</v>
      </c>
      <c r="I123" s="225">
        <f t="shared" si="60"/>
        <v>5.3673203099258909E-2</v>
      </c>
      <c r="J123" s="457"/>
      <c r="K123" s="457"/>
      <c r="M123" s="213" t="s">
        <v>36</v>
      </c>
      <c r="N123" s="225">
        <f t="shared" ref="N123:T123" si="61">N121-N122</f>
        <v>4.0013142674921089E-3</v>
      </c>
      <c r="O123" s="225">
        <f t="shared" si="61"/>
        <v>0.17691712908616811</v>
      </c>
      <c r="P123" s="225"/>
      <c r="Q123" s="225">
        <f t="shared" si="61"/>
        <v>6.8516284022569388E-2</v>
      </c>
      <c r="R123" s="225">
        <f t="shared" si="61"/>
        <v>6.4048293497046604E-2</v>
      </c>
      <c r="S123" s="226">
        <f t="shared" si="61"/>
        <v>0.10314954103717586</v>
      </c>
      <c r="T123" s="226">
        <f t="shared" si="61"/>
        <v>5.3673203099258993E-2</v>
      </c>
    </row>
    <row r="124" spans="2:20" x14ac:dyDescent="0.25">
      <c r="B124" s="213" t="s">
        <v>526</v>
      </c>
      <c r="C124" s="47">
        <f t="shared" ref="C124:I124" si="62">C80/C81</f>
        <v>1.607257597883889</v>
      </c>
      <c r="D124" s="47"/>
      <c r="E124" s="47">
        <f t="shared" si="62"/>
        <v>1.1954105617106201</v>
      </c>
      <c r="F124" s="47">
        <f t="shared" si="62"/>
        <v>1.3246536272798839</v>
      </c>
      <c r="G124" s="47">
        <f t="shared" si="62"/>
        <v>1.2539956672668555</v>
      </c>
      <c r="H124" s="47">
        <f t="shared" si="62"/>
        <v>1.3437244751384323</v>
      </c>
      <c r="I124" s="47">
        <f t="shared" si="62"/>
        <v>1.8756756756756756</v>
      </c>
      <c r="J124" s="461"/>
      <c r="K124" s="461"/>
      <c r="M124" s="213" t="s">
        <v>526</v>
      </c>
      <c r="N124" s="47">
        <f t="shared" ref="N124:T124" si="63">N80/N81</f>
        <v>1.607257597883889</v>
      </c>
      <c r="O124" s="47">
        <f t="shared" si="63"/>
        <v>1.1954105617106199</v>
      </c>
      <c r="P124" s="47"/>
      <c r="Q124" s="47">
        <f t="shared" si="63"/>
        <v>1.3246536272798839</v>
      </c>
      <c r="R124" s="47">
        <f t="shared" si="63"/>
        <v>1.253995667266856</v>
      </c>
      <c r="S124" s="234">
        <f t="shared" si="63"/>
        <v>1.3437244751384323</v>
      </c>
      <c r="T124" s="234">
        <f t="shared" si="63"/>
        <v>1.8756756756756756</v>
      </c>
    </row>
    <row r="125" spans="2:20" x14ac:dyDescent="0.25">
      <c r="B125" s="235" t="s">
        <v>527</v>
      </c>
      <c r="C125" s="235"/>
      <c r="D125" s="235"/>
      <c r="E125" s="18"/>
      <c r="F125" s="18"/>
      <c r="G125" s="18"/>
      <c r="H125" s="18"/>
      <c r="I125" s="18"/>
      <c r="J125" s="11"/>
      <c r="K125" s="11"/>
      <c r="M125" s="235" t="s">
        <v>527</v>
      </c>
      <c r="N125" s="235"/>
      <c r="O125" s="18"/>
      <c r="P125" s="18"/>
      <c r="Q125" s="18"/>
      <c r="R125" s="18"/>
      <c r="S125" s="206"/>
      <c r="T125" s="206"/>
    </row>
    <row r="126" spans="2:20" x14ac:dyDescent="0.25">
      <c r="B126" s="213" t="s">
        <v>528</v>
      </c>
      <c r="C126" s="48">
        <f>(C76-85670.77)/85670.77</f>
        <v>-0.97389646433666932</v>
      </c>
      <c r="D126" s="48"/>
      <c r="E126" s="48">
        <f>(E76-C76)/C76</f>
        <v>5.1040911143803855</v>
      </c>
      <c r="F126" s="48">
        <f>(F76-E76)/E76</f>
        <v>-0.42996152561345102</v>
      </c>
      <c r="G126" s="48">
        <f>(G76-F76)/F76</f>
        <v>0.28093566830604799</v>
      </c>
      <c r="H126" s="48">
        <f>(H76-G76)/G76</f>
        <v>2.0945607005194908</v>
      </c>
      <c r="I126" s="48">
        <f>(I76-H76)/H76</f>
        <v>0.14346256805417815</v>
      </c>
      <c r="J126" s="437"/>
      <c r="K126" s="437"/>
      <c r="M126" s="213" t="s">
        <v>528</v>
      </c>
      <c r="N126" s="230">
        <f>C126</f>
        <v>-0.97389646433666932</v>
      </c>
      <c r="O126" s="48">
        <f>(O76-N76)/N76</f>
        <v>5.1040911143803847</v>
      </c>
      <c r="P126" s="48"/>
      <c r="Q126" s="48">
        <f>(Q76-O76)/O76</f>
        <v>-0.42996152561345108</v>
      </c>
      <c r="R126" s="48">
        <f>(R76-Q76)/Q76</f>
        <v>0.28093566830604827</v>
      </c>
      <c r="S126" s="222">
        <f>(S76-R76)/R76</f>
        <v>2.0945607005194904</v>
      </c>
      <c r="T126" s="222">
        <f>(T76-S76)/S76</f>
        <v>0.14346256805417834</v>
      </c>
    </row>
    <row r="127" spans="2:20" x14ac:dyDescent="0.25">
      <c r="B127" s="18" t="s">
        <v>529</v>
      </c>
      <c r="C127" s="48">
        <f>(C82-11607.06)/11607.06</f>
        <v>-0.92851419739365526</v>
      </c>
      <c r="D127" s="48"/>
      <c r="E127" s="48">
        <f>(E82-C82)/C82</f>
        <v>2.8288500012051965</v>
      </c>
      <c r="F127" s="48">
        <f>(F82-E82)/E82</f>
        <v>-0.11797793481168926</v>
      </c>
      <c r="G127" s="48">
        <f>(G82-F82)/F82</f>
        <v>2.7407624172950305E-2</v>
      </c>
      <c r="H127" s="48">
        <f>(H82-G82)/G82</f>
        <v>1.2608494793222542</v>
      </c>
      <c r="I127" s="48">
        <f>(I82-H82)/H82</f>
        <v>1.3294437573457676</v>
      </c>
      <c r="J127" s="437"/>
      <c r="K127" s="437"/>
      <c r="M127" s="18" t="s">
        <v>529</v>
      </c>
      <c r="N127" s="230">
        <f>C127</f>
        <v>-0.92851419739365526</v>
      </c>
      <c r="O127" s="48">
        <f>(O82-N82)/N82</f>
        <v>2.8288500012051965</v>
      </c>
      <c r="P127" s="48"/>
      <c r="Q127" s="48">
        <f>(Q82-O82)/O82</f>
        <v>-0.11797793481168933</v>
      </c>
      <c r="R127" s="48">
        <f>(R82-Q82)/Q82</f>
        <v>2.740762417295034E-2</v>
      </c>
      <c r="S127" s="222">
        <f>(S82-R82)/R82</f>
        <v>1.2608494793222544</v>
      </c>
      <c r="T127" s="222">
        <f>(T82-S82)/S82</f>
        <v>1.3294437573457674</v>
      </c>
    </row>
    <row r="128" spans="2:20" x14ac:dyDescent="0.25">
      <c r="B128" s="18" t="s">
        <v>530</v>
      </c>
      <c r="C128" s="48">
        <f>(C88-1091141.91)/1091141.91</f>
        <v>-0.9771217751135598</v>
      </c>
      <c r="D128" s="48"/>
      <c r="E128" s="48">
        <f>(E88-C88)/C88</f>
        <v>2.9109576063186928</v>
      </c>
      <c r="F128" s="48">
        <f>(F88-E88)/E88</f>
        <v>-0.28697072520996458</v>
      </c>
      <c r="G128" s="48">
        <f>(G88-F88)/F88</f>
        <v>0.74221671371926101</v>
      </c>
      <c r="H128" s="48">
        <f>(H88-G88)/G88</f>
        <v>0.99266494373936554</v>
      </c>
      <c r="I128" s="48">
        <f>(I88-H88)/H88</f>
        <v>0.9153876967725697</v>
      </c>
      <c r="J128" s="437"/>
      <c r="K128" s="437"/>
      <c r="M128" s="18" t="s">
        <v>530</v>
      </c>
      <c r="N128" s="48">
        <f>C128</f>
        <v>-0.9771217751135598</v>
      </c>
      <c r="O128" s="48">
        <f>(O88-N88)/N88</f>
        <v>2.9109576063186937</v>
      </c>
      <c r="P128" s="48"/>
      <c r="Q128" s="48">
        <f>(Q88-O88)/O88</f>
        <v>-0.28697072520996458</v>
      </c>
      <c r="R128" s="48">
        <f>(R88-Q88)/Q88</f>
        <v>0.7422167137192609</v>
      </c>
      <c r="S128" s="222">
        <f>(S88-R88)/R88</f>
        <v>0.99266494373936576</v>
      </c>
      <c r="T128" s="222">
        <f>(T88-S88)/S88</f>
        <v>0.91538769677256959</v>
      </c>
    </row>
    <row r="129" spans="2:20" x14ac:dyDescent="0.25">
      <c r="B129" s="18"/>
      <c r="C129" s="18"/>
      <c r="D129" s="18"/>
      <c r="E129" s="18"/>
      <c r="F129" s="18"/>
      <c r="G129" s="18"/>
      <c r="H129" s="18"/>
      <c r="I129" s="18"/>
      <c r="J129" s="11"/>
      <c r="K129" s="11"/>
      <c r="M129" s="18"/>
      <c r="N129" s="18"/>
      <c r="O129" s="18"/>
      <c r="P129" s="18"/>
      <c r="Q129" s="18"/>
      <c r="R129" s="18"/>
      <c r="S129" s="206"/>
      <c r="T129" s="206"/>
    </row>
    <row r="130" spans="2:20" x14ac:dyDescent="0.25">
      <c r="B130" s="18" t="s">
        <v>531</v>
      </c>
      <c r="C130" s="18"/>
      <c r="D130" s="18"/>
      <c r="E130" s="18"/>
      <c r="F130" s="18"/>
      <c r="G130" s="18"/>
      <c r="H130" s="18"/>
      <c r="I130" s="18"/>
      <c r="J130" s="11"/>
      <c r="K130" s="11"/>
      <c r="M130" s="18" t="s">
        <v>531</v>
      </c>
      <c r="N130" s="18"/>
      <c r="O130" s="18"/>
      <c r="P130" s="18"/>
      <c r="Q130" s="18"/>
      <c r="R130" s="18"/>
      <c r="S130" s="206"/>
      <c r="T130" s="206"/>
    </row>
    <row r="132" spans="2:20" x14ac:dyDescent="0.25">
      <c r="O132" s="236">
        <f>O79/AVERAGE(N86,O86)</f>
        <v>7.9686052378815334E-2</v>
      </c>
      <c r="P132" s="236"/>
      <c r="Q132" s="236">
        <f>Q79/AVERAGE(O86,Q86)</f>
        <v>2.7783158349670985E-2</v>
      </c>
      <c r="R132" s="236">
        <f>R79/AVERAGE(Q86,R86)</f>
        <v>4.7089541164047892E-2</v>
      </c>
      <c r="S132" s="236">
        <f>S79/AVERAGE(R86,S86)</f>
        <v>0.10017667960198764</v>
      </c>
      <c r="T132" s="236">
        <f>T79/AVERAGE(S86,T86)</f>
        <v>4.0023320395766365E-2</v>
      </c>
    </row>
    <row r="148" spans="13:14" ht="15.75" thickBot="1" x14ac:dyDescent="0.3"/>
    <row r="149" spans="13:14" ht="30.75" thickBot="1" x14ac:dyDescent="0.3">
      <c r="M149" s="237" t="s">
        <v>532</v>
      </c>
      <c r="N149" s="238" t="s">
        <v>533</v>
      </c>
    </row>
    <row r="150" spans="13:14" ht="30.75" thickBot="1" x14ac:dyDescent="0.3">
      <c r="M150" s="239" t="s">
        <v>534</v>
      </c>
      <c r="N150" s="240">
        <v>3000</v>
      </c>
    </row>
    <row r="151" spans="13:14" ht="30.75" thickBot="1" x14ac:dyDescent="0.3">
      <c r="M151" s="239" t="s">
        <v>535</v>
      </c>
      <c r="N151" s="241">
        <v>723</v>
      </c>
    </row>
    <row r="152" spans="13:14" ht="15.75" thickBot="1" x14ac:dyDescent="0.3">
      <c r="M152" s="242" t="s">
        <v>536</v>
      </c>
      <c r="N152" s="243">
        <f>N150+N151</f>
        <v>3723</v>
      </c>
    </row>
    <row r="153" spans="13:14" ht="30.75" thickBot="1" x14ac:dyDescent="0.3">
      <c r="M153" s="239" t="s">
        <v>537</v>
      </c>
      <c r="N153" s="241">
        <v>150</v>
      </c>
    </row>
    <row r="154" spans="13:14" ht="30.75" hidden="1" thickBot="1" x14ac:dyDescent="0.3">
      <c r="M154" s="239" t="s">
        <v>538</v>
      </c>
      <c r="N154" s="240">
        <v>0</v>
      </c>
    </row>
    <row r="155" spans="13:14" ht="30.75" thickBot="1" x14ac:dyDescent="0.3">
      <c r="M155" s="239" t="s">
        <v>539</v>
      </c>
      <c r="N155" s="241">
        <v>1121</v>
      </c>
    </row>
    <row r="156" spans="13:14" ht="15.75" thickBot="1" x14ac:dyDescent="0.3">
      <c r="M156" s="239" t="s">
        <v>540</v>
      </c>
      <c r="N156" s="241">
        <v>29</v>
      </c>
    </row>
    <row r="157" spans="13:14" ht="30.75" thickBot="1" x14ac:dyDescent="0.3">
      <c r="M157" s="239" t="s">
        <v>541</v>
      </c>
      <c r="N157" s="240">
        <v>560</v>
      </c>
    </row>
    <row r="158" spans="13:14" ht="15.75" thickBot="1" x14ac:dyDescent="0.3">
      <c r="M158" s="242" t="s">
        <v>542</v>
      </c>
      <c r="N158" s="243">
        <f>N153+N154+N155+N156+N157</f>
        <v>1860</v>
      </c>
    </row>
    <row r="159" spans="13:14" ht="30.75" thickBot="1" x14ac:dyDescent="0.3">
      <c r="M159" s="242" t="s">
        <v>543</v>
      </c>
      <c r="N159" s="243">
        <f>N152-N158</f>
        <v>1863</v>
      </c>
    </row>
  </sheetData>
  <mergeCells count="1">
    <mergeCell ref="L1:N1"/>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W37"/>
  <sheetViews>
    <sheetView zoomScale="108" workbookViewId="0">
      <selection activeCell="AG6" sqref="AG6"/>
    </sheetView>
  </sheetViews>
  <sheetFormatPr defaultRowHeight="15" x14ac:dyDescent="0.25"/>
  <cols>
    <col min="1" max="1" width="33" customWidth="1"/>
    <col min="4" max="4" width="12.85546875" customWidth="1"/>
    <col min="5" max="5" width="11.85546875" customWidth="1"/>
    <col min="6" max="6" width="15.5703125" customWidth="1"/>
    <col min="7" max="7" width="12.28515625" customWidth="1"/>
    <col min="8" max="8" width="12.5703125" customWidth="1"/>
    <col min="9" max="9" width="10.140625" bestFit="1" customWidth="1"/>
    <col min="14" max="14" width="33.85546875" customWidth="1"/>
    <col min="15" max="15" width="14.42578125" customWidth="1"/>
    <col min="16" max="16" width="14.5703125" customWidth="1"/>
    <col min="17" max="17" width="14.140625" customWidth="1"/>
    <col min="18" max="18" width="13.7109375" customWidth="1"/>
    <col min="19" max="19" width="12.5703125" customWidth="1"/>
  </cols>
  <sheetData>
    <row r="1" spans="1:23" x14ac:dyDescent="0.25">
      <c r="I1" s="772" t="s">
        <v>111</v>
      </c>
      <c r="J1" s="772"/>
      <c r="K1" s="772"/>
    </row>
    <row r="2" spans="1:23" ht="22.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v>0.1046</v>
      </c>
      <c r="P3" s="44">
        <f>D10/AVERAGE(C23:D23)</f>
        <v>7.2661737669451179E-2</v>
      </c>
      <c r="Q3" s="44">
        <f>E10/AVERAGE(D23:E23)</f>
        <v>7.0399773823912798E-2</v>
      </c>
      <c r="R3" s="44">
        <f>F10/AVERAGE(E23:F23)</f>
        <v>6.7265468084718158E-2</v>
      </c>
      <c r="S3" s="44">
        <f>G10/AVERAGE(F23:G23)</f>
        <v>6.8574961691362832E-2</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s="85">
        <v>15529.15</v>
      </c>
      <c r="E5" s="90">
        <v>16562.36</v>
      </c>
      <c r="F5">
        <v>17420.45</v>
      </c>
      <c r="G5">
        <v>19255.169999999998</v>
      </c>
      <c r="H5" s="85">
        <v>5144.8100000000004</v>
      </c>
      <c r="I5" s="85">
        <v>5347.57</v>
      </c>
      <c r="J5" s="85"/>
      <c r="K5" s="85"/>
      <c r="L5" s="11"/>
      <c r="M5" s="11"/>
      <c r="N5" s="42" t="s">
        <v>13</v>
      </c>
      <c r="O5" s="46">
        <v>4.2699999999999996</v>
      </c>
      <c r="P5" s="47">
        <f>D21/D20</f>
        <v>5.5514552660094409</v>
      </c>
      <c r="Q5" s="47">
        <f>E21/E20</f>
        <v>5.2413724732243425</v>
      </c>
      <c r="R5" s="47">
        <f>F21/F20</f>
        <v>4.9237105075626948</v>
      </c>
      <c r="S5" s="47">
        <f>G21/G20</f>
        <v>4.4152348876049423</v>
      </c>
      <c r="T5" s="18"/>
      <c r="U5" s="18"/>
      <c r="V5" s="18"/>
      <c r="W5" s="18"/>
    </row>
    <row r="6" spans="1:23" x14ac:dyDescent="0.25">
      <c r="A6" s="6" t="s">
        <v>50</v>
      </c>
      <c r="B6" s="7"/>
      <c r="C6" s="8"/>
      <c r="D6" s="87">
        <v>14945.1</v>
      </c>
      <c r="E6" s="85">
        <v>15690.72</v>
      </c>
      <c r="F6" s="85">
        <v>16611.310000000001</v>
      </c>
      <c r="G6" s="85">
        <v>18028.13</v>
      </c>
      <c r="H6" s="85">
        <v>5019.6899999999996</v>
      </c>
      <c r="I6" s="85">
        <v>5112.03</v>
      </c>
      <c r="J6" s="85"/>
      <c r="K6" s="85"/>
      <c r="L6" s="11"/>
      <c r="M6" s="11"/>
      <c r="N6" s="42" t="s">
        <v>14</v>
      </c>
      <c r="O6" s="43"/>
      <c r="P6" s="43">
        <v>0.20269999999999999</v>
      </c>
      <c r="Q6" s="43">
        <v>0.21990000000000001</v>
      </c>
      <c r="R6" s="43">
        <v>0.22500000000000001</v>
      </c>
      <c r="S6" s="48">
        <v>0.22969999999999999</v>
      </c>
      <c r="T6" s="48">
        <v>0.22539999999999999</v>
      </c>
      <c r="U6" s="18">
        <v>22.48</v>
      </c>
      <c r="V6" s="18"/>
      <c r="W6" s="18"/>
    </row>
    <row r="7" spans="1:23" x14ac:dyDescent="0.25">
      <c r="A7" s="6" t="s">
        <v>51</v>
      </c>
      <c r="B7" s="7"/>
      <c r="C7" s="8"/>
      <c r="D7" s="87"/>
      <c r="E7" s="85"/>
      <c r="F7" s="85">
        <v>0</v>
      </c>
      <c r="G7" s="85">
        <v>0</v>
      </c>
      <c r="H7" s="85"/>
      <c r="I7" s="85"/>
      <c r="J7" s="85"/>
      <c r="K7" s="85"/>
      <c r="L7" s="11"/>
      <c r="M7" s="11"/>
      <c r="N7" s="42" t="s">
        <v>15</v>
      </c>
      <c r="O7" s="43">
        <v>0.19719999999999999</v>
      </c>
      <c r="P7" s="44">
        <f>D20/D23</f>
        <v>0.15479101285741639</v>
      </c>
      <c r="Q7" s="44">
        <f>E20/E23</f>
        <v>0.16594355978352782</v>
      </c>
      <c r="R7" s="44">
        <f>F20/F23</f>
        <v>0.18562763449574965</v>
      </c>
      <c r="S7" s="44">
        <f>G20/G23</f>
        <v>0.20630381952828117</v>
      </c>
      <c r="T7" s="18"/>
      <c r="U7" s="18"/>
      <c r="V7" s="18"/>
      <c r="W7" s="18"/>
    </row>
    <row r="8" spans="1:23" x14ac:dyDescent="0.25">
      <c r="A8" s="6" t="s">
        <v>52</v>
      </c>
      <c r="B8" s="7"/>
      <c r="C8" s="8"/>
      <c r="D8" s="85">
        <f t="shared" ref="D8:I8" si="0">D5-D6-D7</f>
        <v>584.04999999999927</v>
      </c>
      <c r="E8" s="85">
        <f t="shared" si="0"/>
        <v>871.64000000000124</v>
      </c>
      <c r="F8" s="85">
        <f t="shared" si="0"/>
        <v>809.13999999999942</v>
      </c>
      <c r="G8" s="85">
        <f t="shared" si="0"/>
        <v>1227.0399999999972</v>
      </c>
      <c r="H8" s="85">
        <f t="shared" si="0"/>
        <v>125.1200000000008</v>
      </c>
      <c r="I8" s="85">
        <f t="shared" si="0"/>
        <v>235.53999999999996</v>
      </c>
      <c r="J8" s="85"/>
      <c r="K8" s="85"/>
      <c r="L8" s="11"/>
      <c r="M8" s="11"/>
      <c r="N8" s="40" t="s">
        <v>16</v>
      </c>
      <c r="O8" s="45"/>
      <c r="P8" s="45"/>
      <c r="Q8" s="45"/>
      <c r="R8" s="46" t="s">
        <v>5</v>
      </c>
      <c r="S8" s="18"/>
      <c r="T8" s="18"/>
      <c r="U8" s="18"/>
      <c r="V8" s="18"/>
      <c r="W8" s="18"/>
    </row>
    <row r="9" spans="1:23" ht="22.5" x14ac:dyDescent="0.25">
      <c r="A9" s="6" t="s">
        <v>24</v>
      </c>
      <c r="B9" s="7"/>
      <c r="C9" s="7"/>
      <c r="D9" s="88">
        <v>7511.26</v>
      </c>
      <c r="E9" s="85">
        <v>8270.26</v>
      </c>
      <c r="F9" s="85">
        <v>9054.26</v>
      </c>
      <c r="G9" s="85">
        <v>9734.31</v>
      </c>
      <c r="H9" s="85">
        <v>2457.9299999999998</v>
      </c>
      <c r="I9" s="85">
        <v>2590.5700000000002</v>
      </c>
      <c r="J9" s="85"/>
      <c r="K9" s="85"/>
      <c r="L9" s="11"/>
      <c r="M9" s="11"/>
      <c r="N9" s="49" t="s">
        <v>93</v>
      </c>
      <c r="O9" s="45"/>
      <c r="P9" s="50">
        <f>D14/(D11-D9)</f>
        <v>0.23508304553941253</v>
      </c>
      <c r="Q9" s="50">
        <f>E14/(E11-E9)</f>
        <v>0.25069885794913233</v>
      </c>
      <c r="R9" s="50">
        <f>F14/(F11-F9)</f>
        <v>0.23735176944343842</v>
      </c>
      <c r="S9" s="50">
        <f>G14/(G11-G9)</f>
        <v>0.22369932968240266</v>
      </c>
      <c r="T9" s="18"/>
      <c r="U9" s="18"/>
      <c r="V9" s="18"/>
      <c r="W9" s="18"/>
    </row>
    <row r="10" spans="1:23" ht="22.5" x14ac:dyDescent="0.25">
      <c r="A10" s="6" t="s">
        <v>53</v>
      </c>
      <c r="B10" s="10">
        <f t="shared" ref="B10:I10" si="1">B6-B9</f>
        <v>0</v>
      </c>
      <c r="C10" s="10">
        <f t="shared" si="1"/>
        <v>0</v>
      </c>
      <c r="D10" s="89">
        <f t="shared" si="1"/>
        <v>7433.84</v>
      </c>
      <c r="E10" s="89">
        <f t="shared" si="1"/>
        <v>7420.4599999999991</v>
      </c>
      <c r="F10" s="89">
        <f t="shared" si="1"/>
        <v>7557.0500000000011</v>
      </c>
      <c r="G10" s="89">
        <f t="shared" si="1"/>
        <v>8293.8200000000015</v>
      </c>
      <c r="H10" s="89">
        <f t="shared" si="1"/>
        <v>2561.7599999999998</v>
      </c>
      <c r="I10" s="89">
        <f t="shared" si="1"/>
        <v>2521.4599999999996</v>
      </c>
      <c r="J10" s="89"/>
      <c r="K10" s="89"/>
      <c r="L10" s="11"/>
      <c r="M10" s="11"/>
      <c r="N10" s="42" t="s">
        <v>92</v>
      </c>
      <c r="O10" s="43">
        <v>0.39960000000000001</v>
      </c>
      <c r="P10" s="44">
        <f>D14/D11</f>
        <v>0.12137625047088862</v>
      </c>
      <c r="Q10" s="44">
        <f>E14/E11</f>
        <v>0.1255147213319841</v>
      </c>
      <c r="R10" s="44">
        <f>F14/F11</f>
        <v>0.11398844461538021</v>
      </c>
      <c r="S10" s="44">
        <f>G14/G11</f>
        <v>0.11060977389449173</v>
      </c>
      <c r="T10" s="18"/>
      <c r="U10" s="18"/>
      <c r="V10" s="18"/>
      <c r="W10" s="18"/>
    </row>
    <row r="11" spans="1:23" x14ac:dyDescent="0.25">
      <c r="A11" s="6" t="s">
        <v>1</v>
      </c>
      <c r="B11" s="10">
        <f>B5-B9</f>
        <v>0</v>
      </c>
      <c r="C11" s="10">
        <f t="shared" ref="C11:I11" si="2">SUM(C6:C8)</f>
        <v>0</v>
      </c>
      <c r="D11" s="89">
        <f t="shared" si="2"/>
        <v>15529.15</v>
      </c>
      <c r="E11" s="89">
        <f t="shared" si="2"/>
        <v>16562.36</v>
      </c>
      <c r="F11" s="89">
        <f>SUM(F6:F8)</f>
        <v>17420.45</v>
      </c>
      <c r="G11" s="89">
        <f>SUM(G6:G8)</f>
        <v>19255.169999999998</v>
      </c>
      <c r="H11" s="89">
        <f t="shared" si="2"/>
        <v>5144.8100000000004</v>
      </c>
      <c r="I11" s="89">
        <f t="shared" si="2"/>
        <v>5347.57</v>
      </c>
      <c r="J11" s="89"/>
      <c r="K11" s="89"/>
      <c r="L11" s="11"/>
      <c r="M11" s="11"/>
      <c r="N11" s="42" t="s">
        <v>17</v>
      </c>
      <c r="O11" s="43">
        <v>5.4600000000000003E-2</v>
      </c>
      <c r="P11" s="44">
        <f>D14/AVERAGE(C22:D22)</f>
        <v>1.790127841988336E-2</v>
      </c>
      <c r="Q11" s="44">
        <f>E14/AVERAGE(D22:E22)</f>
        <v>1.8948221575024321E-2</v>
      </c>
      <c r="R11" s="44">
        <f>F14/AVERAGE(E22:F22)</f>
        <v>1.6283817809981373E-2</v>
      </c>
      <c r="S11" s="44">
        <f>G14/AVERAGE(F22:G22)</f>
        <v>1.5668004070954731E-2</v>
      </c>
      <c r="T11" s="18"/>
      <c r="U11" s="18"/>
      <c r="V11" s="18"/>
      <c r="W11" s="18"/>
    </row>
    <row r="12" spans="1:23" x14ac:dyDescent="0.25">
      <c r="A12" s="6" t="s">
        <v>91</v>
      </c>
      <c r="B12" s="10"/>
      <c r="C12" s="10"/>
      <c r="D12" s="89">
        <v>27.51</v>
      </c>
      <c r="E12" s="89">
        <v>20.27</v>
      </c>
      <c r="F12" s="89">
        <v>15.95</v>
      </c>
      <c r="G12" s="89">
        <v>19.059999999999999</v>
      </c>
      <c r="H12" s="89">
        <v>4.45</v>
      </c>
      <c r="I12" s="89">
        <v>3.71</v>
      </c>
      <c r="J12" s="89"/>
      <c r="K12" s="89"/>
      <c r="L12" s="11"/>
      <c r="M12" s="11"/>
      <c r="N12" s="40" t="s">
        <v>18</v>
      </c>
      <c r="O12" s="45"/>
      <c r="P12" s="45"/>
      <c r="Q12" s="45"/>
      <c r="R12" s="46" t="s">
        <v>5</v>
      </c>
      <c r="S12" s="18"/>
      <c r="T12" s="18"/>
      <c r="U12" s="18"/>
      <c r="V12" s="53"/>
      <c r="W12" s="54"/>
    </row>
    <row r="13" spans="1:23" x14ac:dyDescent="0.25">
      <c r="A13" s="6" t="s">
        <v>25</v>
      </c>
      <c r="B13" s="7"/>
      <c r="C13" s="7"/>
      <c r="D13" s="88">
        <f t="shared" ref="D13:I13" si="3">D11+D12</f>
        <v>15556.66</v>
      </c>
      <c r="E13" s="88">
        <f t="shared" si="3"/>
        <v>16582.63</v>
      </c>
      <c r="F13" s="88">
        <f t="shared" si="3"/>
        <v>17436.400000000001</v>
      </c>
      <c r="G13" s="88">
        <f t="shared" si="3"/>
        <v>19274.23</v>
      </c>
      <c r="H13" s="88">
        <f t="shared" si="3"/>
        <v>5149.26</v>
      </c>
      <c r="I13" s="88">
        <f t="shared" si="3"/>
        <v>5351.28</v>
      </c>
      <c r="J13" s="88"/>
      <c r="K13" s="88"/>
      <c r="L13" s="11"/>
      <c r="M13" s="11"/>
      <c r="N13" s="42" t="s">
        <v>19</v>
      </c>
      <c r="O13" s="43">
        <v>1.52E-2</v>
      </c>
      <c r="P13" s="44">
        <f>D24/D23</f>
        <v>8.4219346990137278E-2</v>
      </c>
      <c r="Q13" s="44">
        <f>E24/E23</f>
        <v>8.4580049475717928E-2</v>
      </c>
      <c r="R13" s="44">
        <f>F24/F23</f>
        <v>7.1371860906628434E-2</v>
      </c>
      <c r="S13" s="44">
        <f>G24/G23</f>
        <v>7.0705000667069584E-2</v>
      </c>
      <c r="T13" s="48"/>
      <c r="U13" s="18">
        <v>6.93</v>
      </c>
      <c r="V13" s="18"/>
      <c r="W13" s="18"/>
    </row>
    <row r="14" spans="1:23" x14ac:dyDescent="0.25">
      <c r="A14" s="6" t="s">
        <v>26</v>
      </c>
      <c r="B14" s="7"/>
      <c r="C14" s="7"/>
      <c r="D14" s="85">
        <f>62.19+883.06+2.58+42.97+894.07</f>
        <v>1884.8700000000001</v>
      </c>
      <c r="E14" s="85">
        <f>56.88+6.75+1010.82+141.05+863.32</f>
        <v>2078.8200000000002</v>
      </c>
      <c r="F14" s="85">
        <f>906.25+137.36+863.23+78.89</f>
        <v>1985.7300000000002</v>
      </c>
      <c r="G14" s="85">
        <f>997.09+135.37+905.61+91.74</f>
        <v>2129.81</v>
      </c>
      <c r="H14" s="85">
        <f>18.39+278.31+34.94+247.65</f>
        <v>579.29</v>
      </c>
      <c r="I14" s="85">
        <f>30.25+267.32+34.89+315.2</f>
        <v>647.66</v>
      </c>
      <c r="J14" s="85"/>
      <c r="K14" s="85"/>
      <c r="L14" s="11"/>
      <c r="M14" s="11"/>
      <c r="N14" s="42" t="s">
        <v>20</v>
      </c>
      <c r="O14" s="43">
        <v>4.7000000000000002E-3</v>
      </c>
      <c r="P14" s="44">
        <f>D25/D23</f>
        <v>5.519175575512604E-2</v>
      </c>
      <c r="Q14" s="44">
        <f>E25/E23</f>
        <v>5.5216917779452507E-2</v>
      </c>
      <c r="R14" s="44">
        <f>F25/F23</f>
        <v>4.1368570651283798E-2</v>
      </c>
      <c r="S14" s="44">
        <f>G25/G23</f>
        <v>3.5370599120772853E-2</v>
      </c>
      <c r="T14" s="48"/>
      <c r="U14" s="18">
        <v>3.48</v>
      </c>
      <c r="V14" s="18"/>
      <c r="W14" s="18"/>
    </row>
    <row r="15" spans="1:23" x14ac:dyDescent="0.25">
      <c r="A15" s="6" t="s">
        <v>54</v>
      </c>
      <c r="B15" s="10"/>
      <c r="C15" s="10"/>
      <c r="D15" s="89">
        <f t="shared" ref="D15:I15" si="4">D11-D14</f>
        <v>13644.279999999999</v>
      </c>
      <c r="E15" s="89">
        <f t="shared" si="4"/>
        <v>14483.54</v>
      </c>
      <c r="F15" s="89">
        <f t="shared" si="4"/>
        <v>15434.720000000001</v>
      </c>
      <c r="G15" s="89">
        <f t="shared" si="4"/>
        <v>17125.359999999997</v>
      </c>
      <c r="H15" s="89">
        <f t="shared" si="4"/>
        <v>4565.5200000000004</v>
      </c>
      <c r="I15" s="89">
        <f t="shared" si="4"/>
        <v>4699.91</v>
      </c>
      <c r="J15" s="89"/>
      <c r="K15" s="89"/>
      <c r="L15" s="11"/>
      <c r="M15" s="11"/>
      <c r="N15" s="42" t="s">
        <v>21</v>
      </c>
      <c r="O15" s="43">
        <v>0.69650000000000001</v>
      </c>
      <c r="P15" s="44">
        <f>(P13-P14)/P13</f>
        <v>0.34466654364359522</v>
      </c>
      <c r="Q15" s="44">
        <f>(Q13-Q14)/Q13</f>
        <v>0.34716380373713634</v>
      </c>
      <c r="R15" s="44">
        <f>(R13-R14)/R13</f>
        <v>0.4203798230033004</v>
      </c>
      <c r="S15" s="44">
        <f>(S13-S14)/S13</f>
        <v>0.49974402394360645</v>
      </c>
      <c r="T15" s="44" t="e">
        <f>(T13-T14)/T13</f>
        <v>#DIV/0!</v>
      </c>
      <c r="U15" s="18"/>
      <c r="V15" s="18"/>
      <c r="W15" s="18"/>
    </row>
    <row r="16" spans="1:23" x14ac:dyDescent="0.25">
      <c r="A16" s="6" t="s">
        <v>94</v>
      </c>
      <c r="B16" s="10"/>
      <c r="C16" s="10"/>
      <c r="D16" s="89">
        <f t="shared" ref="D16:I16" si="5">D13-D14-D9</f>
        <v>6160.5299999999988</v>
      </c>
      <c r="E16" s="89">
        <f t="shared" si="5"/>
        <v>6233.5500000000011</v>
      </c>
      <c r="F16" s="89">
        <f t="shared" si="5"/>
        <v>6396.4100000000017</v>
      </c>
      <c r="G16" s="89">
        <f t="shared" si="5"/>
        <v>7410.1099999999988</v>
      </c>
      <c r="H16" s="89">
        <f t="shared" si="5"/>
        <v>2112.0400000000004</v>
      </c>
      <c r="I16" s="89">
        <f t="shared" si="5"/>
        <v>2113.0499999999997</v>
      </c>
      <c r="J16" s="89"/>
      <c r="K16" s="89"/>
      <c r="L16" s="11"/>
      <c r="M16" s="11"/>
      <c r="N16" s="42" t="s">
        <v>22</v>
      </c>
      <c r="O16" s="43">
        <v>1.5699999999999999E-2</v>
      </c>
      <c r="P16" s="44">
        <f>D17/AVERAGE(C23:D23)</f>
        <v>2.3285294165656886E-2</v>
      </c>
      <c r="Q16" s="44">
        <f>E17/AVERAGE(D23:E23)</f>
        <v>2.6515730812507233E-2</v>
      </c>
      <c r="R16" s="44">
        <f>F17/AVERAGE(E23:F23)</f>
        <v>2.7756946913859916E-2</v>
      </c>
      <c r="S16" s="44">
        <f>G17/AVERAGE(F23:G23)</f>
        <v>3.1922362264398679E-2</v>
      </c>
      <c r="T16" s="18"/>
      <c r="U16" s="18"/>
      <c r="V16" s="18"/>
      <c r="W16" s="18"/>
    </row>
    <row r="17" spans="1:23" x14ac:dyDescent="0.25">
      <c r="A17" s="6" t="s">
        <v>27</v>
      </c>
      <c r="B17" s="7"/>
      <c r="C17" s="7"/>
      <c r="D17" s="88">
        <v>2382.2600000000002</v>
      </c>
      <c r="E17" s="85">
        <v>2794.88</v>
      </c>
      <c r="F17" s="85">
        <v>3118.4</v>
      </c>
      <c r="G17" s="85">
        <v>3860.86</v>
      </c>
      <c r="H17" s="85">
        <v>805.16</v>
      </c>
      <c r="I17" s="85">
        <v>672.35</v>
      </c>
      <c r="J17" s="85"/>
      <c r="K17" s="85"/>
      <c r="L17" s="11"/>
      <c r="M17" s="11"/>
      <c r="N17" s="18"/>
      <c r="O17" s="18"/>
      <c r="P17" s="18"/>
      <c r="Q17" s="18"/>
      <c r="R17" s="18"/>
      <c r="S17" s="18"/>
      <c r="T17" s="18"/>
      <c r="U17" s="18"/>
      <c r="V17" s="18"/>
      <c r="W17" s="18"/>
    </row>
    <row r="18" spans="1:23" x14ac:dyDescent="0.25">
      <c r="A18" s="6" t="s">
        <v>55</v>
      </c>
      <c r="B18" s="7"/>
      <c r="C18" s="7"/>
      <c r="D18" s="88">
        <v>2563.9899999999998</v>
      </c>
      <c r="E18" s="85">
        <v>2501.84</v>
      </c>
      <c r="F18" s="89">
        <v>2487.2600000000002</v>
      </c>
      <c r="G18" s="89">
        <v>2707.93</v>
      </c>
      <c r="H18" s="89">
        <v>965.27</v>
      </c>
      <c r="I18" s="89">
        <v>1066.8699999999999</v>
      </c>
      <c r="J18" s="89"/>
      <c r="K18" s="89"/>
      <c r="L18" s="11"/>
      <c r="M18" s="11"/>
      <c r="N18" s="40" t="s">
        <v>30</v>
      </c>
      <c r="O18" s="45"/>
      <c r="P18" s="45"/>
      <c r="Q18" s="45"/>
      <c r="R18" s="46" t="s">
        <v>5</v>
      </c>
      <c r="S18" s="18"/>
      <c r="T18" s="18"/>
      <c r="U18" s="18"/>
      <c r="V18" s="18"/>
      <c r="W18" s="18"/>
    </row>
    <row r="19" spans="1:23" ht="22.5" x14ac:dyDescent="0.25">
      <c r="A19" s="6" t="s">
        <v>28</v>
      </c>
      <c r="B19" s="7"/>
      <c r="C19" s="7"/>
      <c r="D19" s="88">
        <v>15836.28</v>
      </c>
      <c r="E19" s="85">
        <v>18005.16</v>
      </c>
      <c r="F19" s="85">
        <v>21568.37</v>
      </c>
      <c r="G19" s="85">
        <v>25932.19</v>
      </c>
      <c r="H19" s="85"/>
      <c r="I19" s="85">
        <v>27856.44</v>
      </c>
      <c r="J19" s="85"/>
      <c r="K19" s="85"/>
      <c r="L19" s="11"/>
      <c r="M19" s="11"/>
      <c r="N19" s="46" t="s">
        <v>95</v>
      </c>
      <c r="O19" s="51"/>
      <c r="P19" s="51"/>
      <c r="Q19" s="52">
        <f>E16/AVERAGE(D22:E22)</f>
        <v>5.6818140386850645E-2</v>
      </c>
      <c r="R19" s="52">
        <f>F16/AVERAGE(E22:F22)</f>
        <v>5.2453241416478051E-2</v>
      </c>
      <c r="S19" s="52">
        <f>G16/AVERAGE(F22:G22)</f>
        <v>5.4512671856279359E-2</v>
      </c>
      <c r="T19" s="18"/>
      <c r="U19" s="18"/>
      <c r="V19" s="18"/>
      <c r="W19" s="18"/>
    </row>
    <row r="20" spans="1:23" x14ac:dyDescent="0.25">
      <c r="A20" s="6" t="s">
        <v>56</v>
      </c>
      <c r="B20" s="7"/>
      <c r="C20" s="7"/>
      <c r="D20" s="88">
        <f>D19-D71</f>
        <v>15836.28</v>
      </c>
      <c r="E20" s="89">
        <f>E19-E71</f>
        <v>18005.16</v>
      </c>
      <c r="F20" s="89">
        <f>F19-F71</f>
        <v>21568.37</v>
      </c>
      <c r="G20" s="89">
        <f>G19-G71</f>
        <v>25932.19</v>
      </c>
      <c r="H20" s="89">
        <f>H19-H71</f>
        <v>0</v>
      </c>
      <c r="I20" s="89"/>
      <c r="J20" s="89"/>
      <c r="K20" s="89"/>
      <c r="L20" s="11"/>
      <c r="M20" s="11"/>
      <c r="N20" s="42" t="s">
        <v>31</v>
      </c>
      <c r="O20" s="43">
        <v>4.1799999999999997E-2</v>
      </c>
      <c r="P20" s="43">
        <v>4.4699999999999997E-2</v>
      </c>
      <c r="Q20" s="44">
        <f>E18/AVERAGE(D22:E22)</f>
        <v>2.2804003552620643E-2</v>
      </c>
      <c r="R20" s="44">
        <f>F18/AVERAGE(E22:F22)</f>
        <v>2.0396573897787849E-2</v>
      </c>
      <c r="S20" s="44">
        <f>G18/AVERAGE(F22:G22)</f>
        <v>1.9920959270479734E-2</v>
      </c>
      <c r="T20" s="48"/>
      <c r="U20" s="18"/>
      <c r="V20" s="18"/>
      <c r="W20" s="18"/>
    </row>
    <row r="21" spans="1:23" x14ac:dyDescent="0.25">
      <c r="A21" s="6" t="s">
        <v>57</v>
      </c>
      <c r="B21" s="9"/>
      <c r="C21" s="9"/>
      <c r="D21" s="85">
        <f>34181.76+37189.3+10341.46+6201.88</f>
        <v>87914.4</v>
      </c>
      <c r="E21" s="85">
        <f>34266.96+42474.6+11960.12+5670.07</f>
        <v>94371.75</v>
      </c>
      <c r="F21" s="85">
        <f>40061.87+45281.37+16232.41+4620.76</f>
        <v>106196.41</v>
      </c>
      <c r="G21" s="85">
        <f>41256.55+46676.93+21948.98+4614.25</f>
        <v>114496.71</v>
      </c>
      <c r="H21" s="85"/>
      <c r="I21" s="85">
        <f>45767.25+50422.26+24818.78+4577.73</f>
        <v>125586.02</v>
      </c>
      <c r="J21" s="85"/>
      <c r="K21" s="85"/>
      <c r="L21" s="11"/>
      <c r="M21" s="11"/>
      <c r="N21" s="42" t="s">
        <v>32</v>
      </c>
      <c r="O21" s="43">
        <v>0.21279999999999999</v>
      </c>
      <c r="P21" s="44">
        <f>D18/AVERAGE(C19:D19)</f>
        <v>0.16190607895288539</v>
      </c>
      <c r="Q21" s="44">
        <f>E18/AVERAGE(D19:E19)</f>
        <v>0.14785659239086751</v>
      </c>
      <c r="R21" s="44">
        <f>F18/AVERAGE(E19:F19)</f>
        <v>0.12570321626602429</v>
      </c>
      <c r="S21" s="44">
        <f>G18/AVERAGE(F19:G19)</f>
        <v>0.11401676106555375</v>
      </c>
      <c r="T21" s="18"/>
      <c r="U21" s="18"/>
      <c r="V21" s="18"/>
      <c r="W21" s="18"/>
    </row>
    <row r="22" spans="1:23" x14ac:dyDescent="0.25">
      <c r="A22" s="6" t="s">
        <v>29</v>
      </c>
      <c r="B22" s="7"/>
      <c r="C22" s="7"/>
      <c r="D22" s="88">
        <v>105292.48</v>
      </c>
      <c r="E22" s="85">
        <v>114128.64</v>
      </c>
      <c r="F22" s="85">
        <v>129761.34</v>
      </c>
      <c r="G22" s="85">
        <v>142106.09</v>
      </c>
      <c r="H22" s="85"/>
      <c r="I22" s="85">
        <v>155209.06</v>
      </c>
      <c r="J22" s="85"/>
      <c r="K22" s="85"/>
      <c r="L22" s="11"/>
      <c r="M22" s="11"/>
      <c r="N22" s="40" t="s">
        <v>33</v>
      </c>
      <c r="O22" s="45"/>
      <c r="P22" s="45"/>
      <c r="Q22" s="45"/>
      <c r="R22" s="46" t="s">
        <v>5</v>
      </c>
      <c r="S22" s="18"/>
      <c r="T22" s="18"/>
      <c r="U22" s="18"/>
      <c r="V22" s="18"/>
      <c r="W22" s="18"/>
    </row>
    <row r="23" spans="1:23" x14ac:dyDescent="0.25">
      <c r="A23" s="6" t="s">
        <v>58</v>
      </c>
      <c r="B23" s="7"/>
      <c r="C23" s="7"/>
      <c r="D23" s="88">
        <v>102307.49</v>
      </c>
      <c r="E23" s="85">
        <v>108501.71</v>
      </c>
      <c r="F23" s="85">
        <v>116191.59</v>
      </c>
      <c r="G23" s="85">
        <v>125699.03</v>
      </c>
      <c r="H23" s="85"/>
      <c r="I23" s="85">
        <v>124128.6</v>
      </c>
      <c r="J23" s="85"/>
      <c r="K23" s="85"/>
      <c r="L23" s="11"/>
      <c r="M23" s="11"/>
      <c r="N23" s="42" t="s">
        <v>34</v>
      </c>
      <c r="O23" s="43">
        <v>0.17430000000000001</v>
      </c>
      <c r="P23" s="44">
        <f>D6/AVERAGE(C23:D23)</f>
        <v>0.146080213677415</v>
      </c>
      <c r="Q23" s="44">
        <f>E6/AVERAGE(D23:E23)</f>
        <v>0.14886181438001755</v>
      </c>
      <c r="R23" s="44">
        <f>F6/AVERAGE(E23:F23)</f>
        <v>0.14785763527439405</v>
      </c>
      <c r="S23" s="44">
        <f>G6/AVERAGE(F23:G23)</f>
        <v>0.14906018265611126</v>
      </c>
      <c r="T23" s="18"/>
      <c r="U23" s="18"/>
      <c r="V23" s="18"/>
      <c r="W23" s="18"/>
    </row>
    <row r="24" spans="1:23" x14ac:dyDescent="0.25">
      <c r="A24" s="6" t="s">
        <v>59</v>
      </c>
      <c r="B24" s="10"/>
      <c r="C24" s="10"/>
      <c r="D24" s="89">
        <v>8616.27</v>
      </c>
      <c r="E24" s="89">
        <v>9177.08</v>
      </c>
      <c r="F24" s="89">
        <v>8292.81</v>
      </c>
      <c r="G24" s="89">
        <v>8887.5499999999993</v>
      </c>
      <c r="H24" s="89"/>
      <c r="I24" s="89"/>
      <c r="J24" s="89"/>
      <c r="K24" s="89"/>
      <c r="L24" s="11"/>
      <c r="M24" s="11"/>
      <c r="N24" s="42" t="s">
        <v>35</v>
      </c>
      <c r="O24" s="43">
        <v>7.9799999999999996E-2</v>
      </c>
      <c r="P24" s="44">
        <f>D9/AVERAGE(C21:D21)</f>
        <v>8.5438335471777094E-2</v>
      </c>
      <c r="Q24" s="44">
        <f>E9/AVERAGE(D21:E21)</f>
        <v>9.0739312888006032E-2</v>
      </c>
      <c r="R24" s="44">
        <f>F9/AVERAGE(E21:F21)</f>
        <v>9.028611520392868E-2</v>
      </c>
      <c r="S24" s="44">
        <f>G9/AVERAGE(F21:G21)</f>
        <v>8.8215799386949623E-2</v>
      </c>
      <c r="T24" s="18"/>
      <c r="U24" s="18"/>
      <c r="V24" s="18"/>
      <c r="W24" s="18"/>
    </row>
    <row r="25" spans="1:23" x14ac:dyDescent="0.25">
      <c r="A25" s="6" t="s">
        <v>60</v>
      </c>
      <c r="B25" s="10"/>
      <c r="C25" s="10"/>
      <c r="D25" s="89">
        <v>5646.53</v>
      </c>
      <c r="E25" s="89">
        <v>5991.13</v>
      </c>
      <c r="F25" s="89">
        <v>4806.68</v>
      </c>
      <c r="G25" s="89">
        <v>4446.05</v>
      </c>
      <c r="H25" s="89"/>
      <c r="I25" s="89"/>
      <c r="J25" s="89"/>
      <c r="K25" s="89"/>
      <c r="L25" s="11"/>
      <c r="M25" s="11"/>
      <c r="N25" s="42" t="s">
        <v>36</v>
      </c>
      <c r="O25" s="43">
        <v>9.4600000000000004E-2</v>
      </c>
      <c r="P25" s="48">
        <f>P23-P24</f>
        <v>6.0641878205637906E-2</v>
      </c>
      <c r="Q25" s="48">
        <f>Q23-Q24</f>
        <v>5.8122501492011522E-2</v>
      </c>
      <c r="R25" s="48">
        <f>R23-R24</f>
        <v>5.7571520070465371E-2</v>
      </c>
      <c r="S25" s="48">
        <f>S23-S24</f>
        <v>6.0844383269161639E-2</v>
      </c>
      <c r="T25" s="18"/>
      <c r="U25" s="18"/>
      <c r="V25" s="18"/>
      <c r="W25" s="18"/>
    </row>
    <row r="28" spans="1:23" ht="15" customHeight="1" x14ac:dyDescent="0.25">
      <c r="C28" s="739" t="s">
        <v>207</v>
      </c>
      <c r="D28" s="739"/>
      <c r="E28" s="739"/>
      <c r="F28" s="739"/>
      <c r="G28" s="739"/>
      <c r="H28" s="739"/>
      <c r="I28" s="739"/>
      <c r="J28" s="739"/>
      <c r="K28" s="739"/>
      <c r="L28" s="739"/>
      <c r="M28" s="739"/>
      <c r="N28" s="126"/>
    </row>
    <row r="29" spans="1:23" x14ac:dyDescent="0.25">
      <c r="C29" s="739"/>
      <c r="D29" s="739"/>
      <c r="E29" s="739"/>
      <c r="F29" s="739"/>
      <c r="G29" s="739"/>
      <c r="H29" s="739"/>
      <c r="I29" s="739"/>
      <c r="J29" s="739"/>
      <c r="K29" s="739"/>
      <c r="L29" s="739"/>
      <c r="M29" s="739"/>
      <c r="N29" s="126"/>
    </row>
    <row r="30" spans="1:23" x14ac:dyDescent="0.25">
      <c r="C30" s="739"/>
      <c r="D30" s="739"/>
      <c r="E30" s="739"/>
      <c r="F30" s="739"/>
      <c r="G30" s="739"/>
      <c r="H30" s="739"/>
      <c r="I30" s="739"/>
      <c r="J30" s="739"/>
      <c r="K30" s="739"/>
      <c r="L30" s="739"/>
      <c r="M30" s="739"/>
      <c r="N30" s="126"/>
    </row>
    <row r="31" spans="1:23" x14ac:dyDescent="0.25">
      <c r="C31" s="739"/>
      <c r="D31" s="739"/>
      <c r="E31" s="739"/>
      <c r="F31" s="739"/>
      <c r="G31" s="739"/>
      <c r="H31" s="739"/>
      <c r="I31" s="739"/>
      <c r="J31" s="739"/>
      <c r="K31" s="739"/>
      <c r="L31" s="739"/>
      <c r="M31" s="739"/>
      <c r="N31" s="126"/>
    </row>
    <row r="32" spans="1:23" x14ac:dyDescent="0.25">
      <c r="C32" s="739"/>
      <c r="D32" s="739"/>
      <c r="E32" s="739"/>
      <c r="F32" s="739"/>
      <c r="G32" s="739"/>
      <c r="H32" s="739"/>
      <c r="I32" s="739"/>
      <c r="J32" s="739"/>
      <c r="K32" s="739"/>
      <c r="L32" s="739"/>
      <c r="M32" s="739"/>
      <c r="N32" s="126"/>
    </row>
    <row r="33" spans="3:14" x14ac:dyDescent="0.25">
      <c r="C33" s="739"/>
      <c r="D33" s="739"/>
      <c r="E33" s="739"/>
      <c r="F33" s="739"/>
      <c r="G33" s="739"/>
      <c r="H33" s="739"/>
      <c r="I33" s="739"/>
      <c r="J33" s="739"/>
      <c r="K33" s="739"/>
      <c r="L33" s="739"/>
      <c r="M33" s="739"/>
      <c r="N33" s="126"/>
    </row>
    <row r="34" spans="3:14" x14ac:dyDescent="0.25">
      <c r="C34" s="126"/>
      <c r="D34" s="126"/>
      <c r="E34" s="126"/>
      <c r="F34" s="126"/>
      <c r="G34" s="126"/>
      <c r="H34" s="126"/>
      <c r="I34" s="126"/>
      <c r="J34" s="126"/>
      <c r="K34" s="126"/>
      <c r="L34" s="126"/>
      <c r="M34" s="126"/>
      <c r="N34" s="126"/>
    </row>
    <row r="35" spans="3:14" x14ac:dyDescent="0.25">
      <c r="C35" s="126"/>
      <c r="D35" s="126"/>
      <c r="E35" s="126"/>
      <c r="F35" s="126"/>
      <c r="G35" s="126"/>
      <c r="H35" s="126"/>
      <c r="I35" s="126"/>
      <c r="J35" s="126"/>
      <c r="K35" s="126"/>
      <c r="L35" s="126"/>
      <c r="M35" s="126"/>
      <c r="N35" s="126"/>
    </row>
    <row r="36" spans="3:14" x14ac:dyDescent="0.25">
      <c r="C36" s="126"/>
      <c r="D36" s="126"/>
      <c r="E36" s="126"/>
      <c r="F36" s="126"/>
      <c r="G36" s="126"/>
      <c r="H36" s="126"/>
      <c r="I36" s="126"/>
      <c r="J36" s="126"/>
      <c r="K36" s="126"/>
      <c r="L36" s="126"/>
      <c r="M36" s="126"/>
      <c r="N36" s="126"/>
    </row>
    <row r="37" spans="3:14" x14ac:dyDescent="0.25">
      <c r="C37" s="126"/>
      <c r="D37" s="126"/>
      <c r="E37" s="126"/>
      <c r="F37" s="126"/>
      <c r="G37" s="126"/>
      <c r="H37" s="126"/>
      <c r="I37" s="126"/>
      <c r="J37" s="126"/>
      <c r="K37" s="126"/>
      <c r="L37" s="126"/>
      <c r="M37" s="126"/>
      <c r="N37" s="126"/>
    </row>
  </sheetData>
  <mergeCells count="3">
    <mergeCell ref="A2:A4"/>
    <mergeCell ref="I1:K1"/>
    <mergeCell ref="C28:M33"/>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W31"/>
  <sheetViews>
    <sheetView zoomScale="78" workbookViewId="0">
      <selection activeCell="L10" sqref="L10"/>
    </sheetView>
  </sheetViews>
  <sheetFormatPr defaultRowHeight="15" x14ac:dyDescent="0.25"/>
  <cols>
    <col min="1" max="1" width="31.85546875" customWidth="1"/>
    <col min="4" max="4" width="13.5703125" customWidth="1"/>
    <col min="5" max="5" width="13.140625" customWidth="1"/>
    <col min="6" max="6" width="12.5703125" customWidth="1"/>
    <col min="7" max="7" width="12.28515625" customWidth="1"/>
    <col min="8" max="8" width="10.140625" bestFit="1" customWidth="1"/>
    <col min="9" max="9" width="11.28515625" bestFit="1" customWidth="1"/>
    <col min="14" max="14" width="29.42578125" customWidth="1"/>
    <col min="16" max="16" width="13.5703125" customWidth="1"/>
    <col min="17" max="17" width="11.5703125" customWidth="1"/>
    <col min="18" max="18" width="12.28515625" customWidth="1"/>
    <col min="19" max="19" width="13" customWidth="1"/>
  </cols>
  <sheetData>
    <row r="1" spans="1:23" x14ac:dyDescent="0.25">
      <c r="I1" s="772" t="s">
        <v>113</v>
      </c>
      <c r="J1" s="772"/>
      <c r="K1" s="772"/>
    </row>
    <row r="2" spans="1:23" ht="45" x14ac:dyDescent="0.25">
      <c r="A2" s="771"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771"/>
      <c r="B3" s="1" t="s">
        <v>46</v>
      </c>
      <c r="C3" s="4" t="s">
        <v>47</v>
      </c>
      <c r="D3" s="5" t="s">
        <v>47</v>
      </c>
      <c r="E3" s="5" t="s">
        <v>47</v>
      </c>
      <c r="F3" s="1" t="s">
        <v>46</v>
      </c>
      <c r="G3" s="1" t="s">
        <v>46</v>
      </c>
      <c r="H3" s="1" t="s">
        <v>96</v>
      </c>
      <c r="I3" s="1"/>
      <c r="J3" s="1"/>
      <c r="K3" s="1"/>
      <c r="L3" s="11"/>
      <c r="M3" s="11"/>
      <c r="N3" s="42" t="s">
        <v>11</v>
      </c>
      <c r="O3" s="43"/>
      <c r="P3" s="44">
        <f>D10/AVERAGE(C23:D23)</f>
        <v>0.12401553706590593</v>
      </c>
      <c r="Q3" s="44">
        <f>E10/AVERAGE(D23:E23)</f>
        <v>0.11994073187492783</v>
      </c>
      <c r="R3" s="44">
        <f>F10/AVERAGE(E23:F23)</f>
        <v>0.11309225898163713</v>
      </c>
      <c r="S3" s="44">
        <f>G10/AVERAGE(F23:G23)</f>
        <v>0.11053190830308418</v>
      </c>
      <c r="T3" s="18"/>
      <c r="U3" s="18"/>
      <c r="V3" s="18"/>
      <c r="W3" s="18"/>
    </row>
    <row r="4" spans="1:23" x14ac:dyDescent="0.25">
      <c r="A4" s="771"/>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D5">
        <v>577877.53</v>
      </c>
      <c r="E5">
        <v>588393.59</v>
      </c>
      <c r="F5" s="85">
        <v>573069.65</v>
      </c>
      <c r="G5" s="90">
        <v>652675.6</v>
      </c>
      <c r="H5" s="85">
        <v>184179</v>
      </c>
      <c r="I5" s="85">
        <v>196336</v>
      </c>
      <c r="J5" s="85"/>
      <c r="K5" s="85"/>
      <c r="L5" s="11"/>
      <c r="M5" s="11"/>
      <c r="N5" s="42" t="s">
        <v>13</v>
      </c>
      <c r="O5" s="46"/>
      <c r="P5" s="47">
        <f>D21/D20</f>
        <v>3.5362761818774819</v>
      </c>
      <c r="Q5" s="47">
        <f>E21/E20</f>
        <v>3.2139264118951232</v>
      </c>
      <c r="R5" s="47">
        <f>F21/F20</f>
        <v>3.149008762785372</v>
      </c>
      <c r="S5" s="47">
        <f>G21/G20</f>
        <v>3.4139756110141453</v>
      </c>
      <c r="T5" s="18"/>
      <c r="U5" s="18"/>
      <c r="V5" s="18"/>
      <c r="W5" s="18"/>
    </row>
    <row r="6" spans="1:23" x14ac:dyDescent="0.25">
      <c r="A6" s="6" t="s">
        <v>50</v>
      </c>
      <c r="B6" s="7"/>
      <c r="C6" s="8"/>
      <c r="D6">
        <v>557217.47</v>
      </c>
      <c r="E6">
        <v>559283.18000000005</v>
      </c>
      <c r="F6" s="85">
        <v>542044.23</v>
      </c>
      <c r="G6" s="85">
        <v>599044.93999999994</v>
      </c>
      <c r="H6" s="85">
        <v>175039</v>
      </c>
      <c r="I6" s="85">
        <v>188713</v>
      </c>
      <c r="J6" s="85"/>
      <c r="K6" s="85"/>
      <c r="L6" s="11"/>
      <c r="M6" s="11"/>
      <c r="N6" s="42" t="s">
        <v>14</v>
      </c>
      <c r="O6" s="43"/>
      <c r="P6" s="43">
        <v>0.22839999999999999</v>
      </c>
      <c r="Q6" s="43">
        <v>0.27689999999999998</v>
      </c>
      <c r="R6" s="43">
        <v>0.28639999999999999</v>
      </c>
      <c r="S6" s="48">
        <v>0.26779999999999998</v>
      </c>
      <c r="T6" s="48">
        <v>0.26590000000000003</v>
      </c>
      <c r="U6" s="18"/>
      <c r="V6" s="18"/>
      <c r="W6" s="18"/>
    </row>
    <row r="7" spans="1:23" x14ac:dyDescent="0.25">
      <c r="A7" s="6" t="s">
        <v>51</v>
      </c>
      <c r="B7" s="7"/>
      <c r="C7" s="8"/>
      <c r="D7" s="87"/>
      <c r="E7" s="85"/>
      <c r="F7" s="85">
        <v>0</v>
      </c>
      <c r="G7" s="85">
        <v>0</v>
      </c>
      <c r="H7" s="85"/>
      <c r="I7" s="85"/>
      <c r="J7" s="85"/>
      <c r="K7" s="85"/>
      <c r="L7" s="11"/>
      <c r="M7" s="11"/>
      <c r="N7" s="42" t="s">
        <v>15</v>
      </c>
      <c r="O7" s="43"/>
      <c r="P7" s="44">
        <f>D20/D23</f>
        <v>0.22103377612302169</v>
      </c>
      <c r="Q7" s="44">
        <f>E20/E23</f>
        <v>0.2515292965296857</v>
      </c>
      <c r="R7" s="44">
        <f>F20/F23</f>
        <v>0.27552940089564876</v>
      </c>
      <c r="S7" s="44">
        <f>G20/G23</f>
        <v>0.27104226078181387</v>
      </c>
      <c r="T7" s="18"/>
      <c r="U7" s="18"/>
      <c r="V7" s="18"/>
      <c r="W7" s="18"/>
    </row>
    <row r="8" spans="1:23" x14ac:dyDescent="0.25">
      <c r="A8" s="6" t="s">
        <v>52</v>
      </c>
      <c r="B8" s="7"/>
      <c r="C8" s="8"/>
      <c r="D8" s="85">
        <f t="shared" ref="D8:I8" si="0">D5-D6-D7</f>
        <v>20660.060000000056</v>
      </c>
      <c r="E8" s="85">
        <f t="shared" si="0"/>
        <v>29110.409999999916</v>
      </c>
      <c r="F8" s="85">
        <f t="shared" si="0"/>
        <v>31025.420000000042</v>
      </c>
      <c r="G8" s="85">
        <f t="shared" si="0"/>
        <v>53630.660000000033</v>
      </c>
      <c r="H8" s="85">
        <f t="shared" si="0"/>
        <v>9140</v>
      </c>
      <c r="I8" s="85">
        <f t="shared" si="0"/>
        <v>7623</v>
      </c>
      <c r="J8" s="85"/>
      <c r="K8" s="85"/>
      <c r="L8" s="11"/>
      <c r="M8" s="11"/>
      <c r="N8" s="40" t="s">
        <v>16</v>
      </c>
      <c r="O8" s="45"/>
      <c r="P8" s="45"/>
      <c r="Q8" s="45"/>
      <c r="R8" s="46" t="s">
        <v>5</v>
      </c>
      <c r="S8" s="18"/>
      <c r="T8" s="18"/>
      <c r="U8" s="18"/>
      <c r="V8" s="18"/>
      <c r="W8" s="18"/>
    </row>
    <row r="9" spans="1:23" ht="33.75" x14ac:dyDescent="0.25">
      <c r="A9" s="6" t="s">
        <v>24</v>
      </c>
      <c r="B9" s="7"/>
      <c r="C9" s="7"/>
      <c r="D9" s="88">
        <v>198619.09</v>
      </c>
      <c r="E9" s="85">
        <v>214021.03</v>
      </c>
      <c r="F9" s="85">
        <v>213388.43</v>
      </c>
      <c r="G9" s="85">
        <v>253252.52</v>
      </c>
      <c r="H9" s="85">
        <v>68095</v>
      </c>
      <c r="I9" s="85">
        <v>73316</v>
      </c>
      <c r="J9" s="85"/>
      <c r="K9" s="85"/>
      <c r="L9" s="11"/>
      <c r="M9" s="11"/>
      <c r="N9" s="49" t="s">
        <v>93</v>
      </c>
      <c r="O9" s="45"/>
      <c r="P9" s="50">
        <f>D14/(D11-D9)</f>
        <v>0.56428690156506467</v>
      </c>
      <c r="Q9" s="50">
        <f>E14/(E11-E9)</f>
        <v>0.6046376369037304</v>
      </c>
      <c r="R9" s="50">
        <f>F14/(F11-F9)</f>
        <v>0.61460959791006053</v>
      </c>
      <c r="S9" s="50">
        <f>G14/(G11-G9)</f>
        <v>0.62627880692322546</v>
      </c>
      <c r="T9" s="18"/>
      <c r="U9" s="18"/>
      <c r="V9" s="18"/>
      <c r="W9" s="18"/>
    </row>
    <row r="10" spans="1:23" ht="22.5" x14ac:dyDescent="0.25">
      <c r="A10" s="6" t="s">
        <v>53</v>
      </c>
      <c r="B10" s="10">
        <f t="shared" ref="B10:I10" si="1">B6-B9</f>
        <v>0</v>
      </c>
      <c r="C10" s="10">
        <f t="shared" si="1"/>
        <v>0</v>
      </c>
      <c r="D10" s="89">
        <f t="shared" si="1"/>
        <v>358598.38</v>
      </c>
      <c r="E10" s="89">
        <f t="shared" si="1"/>
        <v>345262.15</v>
      </c>
      <c r="F10" s="89">
        <f t="shared" si="1"/>
        <v>328655.8</v>
      </c>
      <c r="G10" s="89">
        <f t="shared" si="1"/>
        <v>345792.41999999993</v>
      </c>
      <c r="H10" s="89">
        <f t="shared" si="1"/>
        <v>106944</v>
      </c>
      <c r="I10" s="89">
        <f t="shared" si="1"/>
        <v>115397</v>
      </c>
      <c r="J10" s="89"/>
      <c r="K10" s="89"/>
      <c r="L10" s="11"/>
      <c r="M10" s="11"/>
      <c r="N10" s="42" t="s">
        <v>92</v>
      </c>
      <c r="O10" s="43"/>
      <c r="P10" s="44">
        <f>D14/D11</f>
        <v>0.37033897130417925</v>
      </c>
      <c r="Q10" s="44">
        <f>E14/E11</f>
        <v>0.38470803191448771</v>
      </c>
      <c r="R10" s="44">
        <f>F14/F11</f>
        <v>0.38575333731248901</v>
      </c>
      <c r="S10" s="44">
        <f>G14/G11</f>
        <v>0.38326882451251432</v>
      </c>
      <c r="T10" s="18"/>
      <c r="U10" s="18"/>
      <c r="V10" s="18"/>
      <c r="W10" s="18"/>
    </row>
    <row r="11" spans="1:23" ht="22.5" x14ac:dyDescent="0.25">
      <c r="A11" s="6" t="s">
        <v>1</v>
      </c>
      <c r="B11" s="10">
        <f>B5-B9</f>
        <v>0</v>
      </c>
      <c r="C11" s="10">
        <f t="shared" ref="C11:I11" si="2">SUM(C6:C8)</f>
        <v>0</v>
      </c>
      <c r="D11" s="89">
        <f t="shared" si="2"/>
        <v>577877.53</v>
      </c>
      <c r="E11" s="89">
        <f t="shared" si="2"/>
        <v>588393.59</v>
      </c>
      <c r="F11" s="89">
        <f>SUM(F6:F8)</f>
        <v>573069.65</v>
      </c>
      <c r="G11" s="89">
        <f>SUM(G6:G8)</f>
        <v>652675.6</v>
      </c>
      <c r="H11" s="89">
        <f t="shared" si="2"/>
        <v>184179</v>
      </c>
      <c r="I11" s="89">
        <f t="shared" si="2"/>
        <v>196336</v>
      </c>
      <c r="J11" s="89"/>
      <c r="K11" s="89"/>
      <c r="L11" s="11"/>
      <c r="M11" s="11"/>
      <c r="N11" s="42" t="s">
        <v>17</v>
      </c>
      <c r="O11" s="43"/>
      <c r="P11" s="44">
        <f>D14/AVERAGE(C22:D22)</f>
        <v>7.2754970109739914E-2</v>
      </c>
      <c r="Q11" s="44">
        <f>E14/AVERAGE(D22:E22)</f>
        <v>7.4966587445335214E-2</v>
      </c>
      <c r="R11" s="44">
        <f>F14/AVERAGE(E22:F22)</f>
        <v>6.7827246908012812E-2</v>
      </c>
      <c r="S11" s="44">
        <f>G14/AVERAGE(F22:G22)</f>
        <v>6.7355418753160451E-2</v>
      </c>
      <c r="T11" s="18"/>
      <c r="U11" s="18"/>
      <c r="V11" s="18"/>
      <c r="W11" s="18"/>
    </row>
    <row r="12" spans="1:23" x14ac:dyDescent="0.25">
      <c r="A12" s="6" t="s">
        <v>91</v>
      </c>
      <c r="B12" s="10"/>
      <c r="C12" s="10"/>
      <c r="D12" s="89">
        <v>252.25</v>
      </c>
      <c r="E12" s="89">
        <v>335.14</v>
      </c>
      <c r="F12" s="89">
        <v>773.82</v>
      </c>
      <c r="G12" s="89">
        <v>363.63</v>
      </c>
      <c r="H12" s="89">
        <v>87</v>
      </c>
      <c r="I12" s="89">
        <v>99</v>
      </c>
      <c r="J12" s="89"/>
      <c r="K12" s="89"/>
      <c r="L12" s="11"/>
      <c r="M12" s="11">
        <f>19274+6530</f>
        <v>25804</v>
      </c>
      <c r="N12" s="40" t="s">
        <v>18</v>
      </c>
      <c r="O12" s="45"/>
      <c r="P12" s="45"/>
      <c r="Q12" s="45"/>
      <c r="R12" s="46" t="s">
        <v>5</v>
      </c>
      <c r="S12" s="18"/>
      <c r="T12" s="18"/>
      <c r="U12" s="18"/>
      <c r="V12" s="53"/>
      <c r="W12" s="54"/>
    </row>
    <row r="13" spans="1:23" x14ac:dyDescent="0.25">
      <c r="A13" s="6" t="s">
        <v>25</v>
      </c>
      <c r="B13" s="7"/>
      <c r="C13" s="7"/>
      <c r="D13" s="88">
        <f t="shared" ref="D13:I13" si="3">D11+D12</f>
        <v>578129.78</v>
      </c>
      <c r="E13" s="88">
        <f t="shared" si="3"/>
        <v>588728.73</v>
      </c>
      <c r="F13" s="88">
        <f t="shared" si="3"/>
        <v>573843.47</v>
      </c>
      <c r="G13" s="88">
        <f t="shared" si="3"/>
        <v>653039.23</v>
      </c>
      <c r="H13" s="88">
        <f t="shared" si="3"/>
        <v>184266</v>
      </c>
      <c r="I13" s="88">
        <f t="shared" si="3"/>
        <v>196435</v>
      </c>
      <c r="J13" s="88"/>
      <c r="K13" s="88"/>
      <c r="L13" s="11"/>
      <c r="M13" s="11"/>
      <c r="N13" s="42" t="s">
        <v>19</v>
      </c>
      <c r="O13" s="43"/>
      <c r="P13" s="44">
        <f>D24/D23</f>
        <v>8.9110687724904325E-2</v>
      </c>
      <c r="Q13" s="44">
        <f>E24/E23</f>
        <v>7.8967608965713601E-2</v>
      </c>
      <c r="R13" s="44">
        <f>F24/F23</f>
        <v>6.3667923312258665E-2</v>
      </c>
      <c r="S13" s="44">
        <f>G24/G23</f>
        <v>6.30956022082029E-2</v>
      </c>
      <c r="T13" s="48"/>
      <c r="U13" s="18"/>
      <c r="V13" s="18"/>
      <c r="W13" s="18"/>
    </row>
    <row r="14" spans="1:23" x14ac:dyDescent="0.25">
      <c r="A14" s="6" t="s">
        <v>26</v>
      </c>
      <c r="B14" s="7"/>
      <c r="C14" s="7"/>
      <c r="D14" s="85">
        <f>15481.11+64737.84+83791.07+3119.55+6301.61+10477+30102.39</f>
        <v>214010.57</v>
      </c>
      <c r="E14" s="85">
        <f>452228.63-214021.03-11847.86</f>
        <v>226359.74</v>
      </c>
      <c r="F14" s="85">
        <f>10384.64+84799.87+76366.07+7984.14+6254.89+13010.25+22263.67</f>
        <v>221063.53000000003</v>
      </c>
      <c r="G14" s="85">
        <f>10373.41+85253.45+97236.64+7835.49+7076.06+12664.85+29710.31</f>
        <v>250150.21</v>
      </c>
      <c r="H14" s="85">
        <f>141135-68095-95-1048</f>
        <v>71897</v>
      </c>
      <c r="I14" s="85">
        <f>5302+31577+1928+35000</f>
        <v>73807</v>
      </c>
      <c r="J14" s="85"/>
      <c r="K14" s="85"/>
      <c r="L14" s="11"/>
      <c r="M14" s="11"/>
      <c r="N14" s="42" t="s">
        <v>20</v>
      </c>
      <c r="O14" s="43"/>
      <c r="P14" s="44">
        <f>D25/D23</f>
        <v>5.0247808958742347E-2</v>
      </c>
      <c r="Q14" s="44">
        <f>E25/E23</f>
        <v>4.0695296434314764E-2</v>
      </c>
      <c r="R14" s="44">
        <f>F25/F23</f>
        <v>2.9773492952061182E-2</v>
      </c>
      <c r="S14" s="44">
        <f>G25/G23</f>
        <v>3.2000745707264577E-2</v>
      </c>
      <c r="T14" s="48"/>
      <c r="U14" s="18"/>
      <c r="V14" s="18"/>
      <c r="W14" s="18"/>
    </row>
    <row r="15" spans="1:23" x14ac:dyDescent="0.25">
      <c r="A15" s="6" t="s">
        <v>54</v>
      </c>
      <c r="B15" s="10"/>
      <c r="C15" s="10"/>
      <c r="D15" s="89">
        <f t="shared" ref="D15:I15" si="4">D11-D14</f>
        <v>363866.96</v>
      </c>
      <c r="E15" s="89">
        <f t="shared" si="4"/>
        <v>362033.85</v>
      </c>
      <c r="F15" s="89">
        <f t="shared" si="4"/>
        <v>352006.12</v>
      </c>
      <c r="G15" s="89">
        <f t="shared" si="4"/>
        <v>402525.39</v>
      </c>
      <c r="H15" s="89">
        <f t="shared" si="4"/>
        <v>112282</v>
      </c>
      <c r="I15" s="89">
        <f t="shared" si="4"/>
        <v>122529</v>
      </c>
      <c r="J15" s="89"/>
      <c r="K15" s="89"/>
      <c r="L15" s="11"/>
      <c r="M15" s="11"/>
      <c r="N15" s="42" t="s">
        <v>21</v>
      </c>
      <c r="O15" s="43"/>
      <c r="P15" s="44">
        <f>(P13-P14)/P13</f>
        <v>0.43611916548255664</v>
      </c>
      <c r="Q15" s="44">
        <f>(Q13-Q14)/Q13</f>
        <v>0.48465836857256278</v>
      </c>
      <c r="R15" s="44">
        <f>(R13-R14)/R13</f>
        <v>0.53236274401416561</v>
      </c>
      <c r="S15" s="44">
        <f>(S13-S14)/S13</f>
        <v>0.49282129677329173</v>
      </c>
      <c r="T15" s="44" t="e">
        <f>(T13-T14)/T13</f>
        <v>#DIV/0!</v>
      </c>
      <c r="U15" s="18"/>
      <c r="V15" s="18"/>
      <c r="W15" s="18"/>
    </row>
    <row r="16" spans="1:23" x14ac:dyDescent="0.25">
      <c r="A16" s="6" t="s">
        <v>94</v>
      </c>
      <c r="B16" s="10"/>
      <c r="C16" s="10"/>
      <c r="D16" s="89">
        <f t="shared" ref="D16:I16" si="5">D13-D14-D9</f>
        <v>165500.12000000002</v>
      </c>
      <c r="E16" s="89">
        <f t="shared" si="5"/>
        <v>148347.96</v>
      </c>
      <c r="F16" s="89">
        <f t="shared" si="5"/>
        <v>139391.50999999995</v>
      </c>
      <c r="G16" s="89">
        <f t="shared" si="5"/>
        <v>149636.50000000003</v>
      </c>
      <c r="H16" s="89">
        <f t="shared" si="5"/>
        <v>44274</v>
      </c>
      <c r="I16" s="89">
        <f t="shared" si="5"/>
        <v>49312</v>
      </c>
      <c r="J16" s="89"/>
      <c r="K16" s="89"/>
      <c r="L16" s="11"/>
      <c r="M16" s="11"/>
      <c r="N16" s="42" t="s">
        <v>22</v>
      </c>
      <c r="O16" s="43"/>
      <c r="P16" s="44">
        <f>D17/AVERAGE(C23:D23)</f>
        <v>4.6576448310458951E-3</v>
      </c>
      <c r="Q16" s="44">
        <f>E17/AVERAGE(D23:E23)</f>
        <v>4.1158319831805555E-3</v>
      </c>
      <c r="R16" s="44">
        <f>F17/AVERAGE(E23:F23)</f>
        <v>9.8321256338160411E-5</v>
      </c>
      <c r="S16" s="44">
        <f>G17/AVERAGE(F23:G23)</f>
        <v>1.12264586687155E-3</v>
      </c>
      <c r="T16" s="18"/>
      <c r="U16" s="18"/>
      <c r="V16" s="18"/>
      <c r="W16" s="18"/>
    </row>
    <row r="17" spans="1:23" x14ac:dyDescent="0.25">
      <c r="A17" s="6" t="s">
        <v>27</v>
      </c>
      <c r="B17" s="7"/>
      <c r="C17" s="7"/>
      <c r="D17" s="88">
        <v>13467.86</v>
      </c>
      <c r="E17" s="85">
        <v>11847.86</v>
      </c>
      <c r="F17" s="85">
        <v>285.73</v>
      </c>
      <c r="G17" s="85">
        <v>3512.13</v>
      </c>
      <c r="H17" s="85">
        <v>1048</v>
      </c>
      <c r="I17" s="85">
        <v>1119</v>
      </c>
      <c r="J17" s="85"/>
      <c r="K17" s="85"/>
      <c r="L17" s="11"/>
      <c r="M17" s="11"/>
      <c r="N17" s="18"/>
      <c r="O17" s="18"/>
      <c r="P17" s="18"/>
      <c r="Q17" s="18"/>
      <c r="R17" s="18"/>
      <c r="S17" s="18"/>
      <c r="T17" s="18"/>
      <c r="U17" s="18"/>
      <c r="V17" s="18"/>
      <c r="W17" s="18"/>
    </row>
    <row r="18" spans="1:23" x14ac:dyDescent="0.25">
      <c r="A18" s="6" t="s">
        <v>55</v>
      </c>
      <c r="B18" s="7"/>
      <c r="C18" s="7"/>
      <c r="D18" s="88">
        <v>98887.8</v>
      </c>
      <c r="E18" s="85">
        <v>100052</v>
      </c>
      <c r="F18" s="89">
        <v>101094.42</v>
      </c>
      <c r="G18" s="89">
        <v>108619.5</v>
      </c>
      <c r="H18" s="89">
        <v>32279</v>
      </c>
      <c r="I18" s="89">
        <v>34928</v>
      </c>
      <c r="J18" s="89"/>
      <c r="K18" s="89"/>
      <c r="L18" s="11"/>
      <c r="M18" s="11"/>
      <c r="N18" s="40" t="s">
        <v>30</v>
      </c>
      <c r="O18" s="45"/>
      <c r="P18" s="45"/>
      <c r="Q18" s="45"/>
      <c r="R18" s="46" t="s">
        <v>5</v>
      </c>
      <c r="S18" s="18"/>
      <c r="T18" s="18"/>
      <c r="U18" s="18"/>
      <c r="V18" s="18"/>
      <c r="W18" s="18"/>
    </row>
    <row r="19" spans="1:23" ht="22.5" x14ac:dyDescent="0.25">
      <c r="A19" s="6" t="s">
        <v>28</v>
      </c>
      <c r="B19" s="7"/>
      <c r="C19" s="7"/>
      <c r="D19" s="88">
        <v>639132.44999999995</v>
      </c>
      <c r="E19" s="85">
        <v>720795.57</v>
      </c>
      <c r="F19" s="85">
        <v>811852.59</v>
      </c>
      <c r="G19" s="85">
        <v>897247.64</v>
      </c>
      <c r="H19" s="85">
        <v>907423</v>
      </c>
      <c r="I19" s="85">
        <f>968167+6687</f>
        <v>974854</v>
      </c>
      <c r="J19" s="85"/>
      <c r="K19" s="85"/>
      <c r="L19" s="11"/>
      <c r="M19" s="11"/>
      <c r="N19" s="46" t="s">
        <v>95</v>
      </c>
      <c r="O19" s="51"/>
      <c r="P19" s="51"/>
      <c r="Q19" s="52">
        <f>E16/AVERAGE(D22:E22)</f>
        <v>4.91303812050548E-2</v>
      </c>
      <c r="R19" s="52">
        <f>F16/AVERAGE(E22:F22)</f>
        <v>4.2768440211059383E-2</v>
      </c>
      <c r="S19" s="52">
        <f>G16/AVERAGE(F22:G22)</f>
        <v>4.029110796372027E-2</v>
      </c>
      <c r="T19" s="18"/>
      <c r="U19" s="18"/>
      <c r="V19" s="18"/>
      <c r="W19" s="18"/>
    </row>
    <row r="20" spans="1:23" x14ac:dyDescent="0.25">
      <c r="A20" s="6" t="s">
        <v>56</v>
      </c>
      <c r="B20" s="7"/>
      <c r="C20" s="7"/>
      <c r="D20" s="88">
        <f t="shared" ref="D20:I20" si="6">D19-D71</f>
        <v>639132.44999999995</v>
      </c>
      <c r="E20" s="89">
        <f t="shared" si="6"/>
        <v>720795.57</v>
      </c>
      <c r="F20" s="89">
        <f t="shared" si="6"/>
        <v>811852.59</v>
      </c>
      <c r="G20" s="89">
        <f t="shared" si="6"/>
        <v>897247.64</v>
      </c>
      <c r="H20" s="89">
        <f t="shared" si="6"/>
        <v>907423</v>
      </c>
      <c r="I20" s="89">
        <f t="shared" si="6"/>
        <v>974854</v>
      </c>
      <c r="J20" s="89"/>
      <c r="K20" s="89"/>
      <c r="L20" s="11"/>
      <c r="M20" s="11"/>
      <c r="N20" s="42" t="s">
        <v>31</v>
      </c>
      <c r="O20" s="43"/>
      <c r="P20" s="43">
        <v>4.4699999999999997E-2</v>
      </c>
      <c r="Q20" s="44">
        <f>E18/AVERAGE(D22:E22)</f>
        <v>3.3135561151822666E-2</v>
      </c>
      <c r="R20" s="44">
        <f>F18/AVERAGE(E22:F22)</f>
        <v>3.1018034437260401E-2</v>
      </c>
      <c r="S20" s="44">
        <f>G18/AVERAGE(F22:G22)</f>
        <v>2.9246874936698683E-2</v>
      </c>
      <c r="T20" s="48"/>
      <c r="U20" s="18"/>
      <c r="V20" s="18"/>
      <c r="W20" s="18"/>
    </row>
    <row r="21" spans="1:23" x14ac:dyDescent="0.25">
      <c r="A21" s="6" t="s">
        <v>57</v>
      </c>
      <c r="B21" s="9"/>
      <c r="C21" s="9"/>
      <c r="D21" s="85">
        <f>368689.96+1514147.34+311940.61+65370.95</f>
        <v>2260148.8600000003</v>
      </c>
      <c r="E21" s="85">
        <f>446827.65+1444625.56+401206.8+23923.91</f>
        <v>2316583.92</v>
      </c>
      <c r="F21" s="85">
        <f>426363+1577279.14+552888.78</f>
        <v>2556530.92</v>
      </c>
      <c r="G21" s="85">
        <f>651514.1+1728828.82+682838.64</f>
        <v>3063181.56</v>
      </c>
      <c r="H21" s="85"/>
      <c r="I21" s="85">
        <f>696674+1783965+750563</f>
        <v>3231202</v>
      </c>
      <c r="J21" s="85"/>
      <c r="K21" s="85"/>
      <c r="L21" s="11"/>
      <c r="M21" s="11"/>
      <c r="N21" s="42" t="s">
        <v>32</v>
      </c>
      <c r="O21" s="43"/>
      <c r="P21" s="44">
        <f>D18/AVERAGE(C19:D19)</f>
        <v>0.1547219203155778</v>
      </c>
      <c r="Q21" s="44">
        <f>E18/AVERAGE(D19:E19)</f>
        <v>0.14714308188164252</v>
      </c>
      <c r="R21" s="44">
        <f>F18/AVERAGE(E19:F19)</f>
        <v>0.13192123624772434</v>
      </c>
      <c r="S21" s="44">
        <f>G18/AVERAGE(F19:G19)</f>
        <v>0.12710723232422713</v>
      </c>
      <c r="T21" s="18"/>
      <c r="U21" s="18"/>
      <c r="V21" s="18"/>
      <c r="W21" s="18"/>
    </row>
    <row r="22" spans="1:23" x14ac:dyDescent="0.25">
      <c r="A22" s="6" t="s">
        <v>29</v>
      </c>
      <c r="B22" s="7"/>
      <c r="C22" s="7"/>
      <c r="D22" s="88">
        <v>2941525.09</v>
      </c>
      <c r="E22" s="85">
        <v>3097425</v>
      </c>
      <c r="F22" s="85">
        <v>3421003.51</v>
      </c>
      <c r="G22" s="85">
        <v>4006764.43</v>
      </c>
      <c r="H22" s="85"/>
      <c r="I22" s="85">
        <v>4250289</v>
      </c>
      <c r="J22" s="85"/>
      <c r="K22" s="85"/>
      <c r="L22" s="11"/>
      <c r="M22" s="11"/>
      <c r="N22" s="40" t="s">
        <v>33</v>
      </c>
      <c r="O22" s="45"/>
      <c r="P22" s="45"/>
      <c r="Q22" s="45"/>
      <c r="R22" s="46" t="s">
        <v>5</v>
      </c>
      <c r="S22" s="18"/>
      <c r="T22" s="18"/>
      <c r="U22" s="18"/>
      <c r="V22" s="18"/>
      <c r="W22" s="18"/>
    </row>
    <row r="23" spans="1:23" x14ac:dyDescent="0.25">
      <c r="A23" s="6" t="s">
        <v>58</v>
      </c>
      <c r="B23" s="7"/>
      <c r="C23" s="7"/>
      <c r="D23" s="88">
        <v>2891560.11</v>
      </c>
      <c r="E23" s="85">
        <v>2865652.55</v>
      </c>
      <c r="F23" s="85">
        <v>2946518.91</v>
      </c>
      <c r="G23" s="85">
        <v>3310360.67</v>
      </c>
      <c r="H23" s="85"/>
      <c r="I23" s="85">
        <v>3394588</v>
      </c>
      <c r="J23" s="85"/>
      <c r="K23" s="85"/>
      <c r="L23" s="11"/>
      <c r="M23" s="11"/>
      <c r="N23" s="42" t="s">
        <v>34</v>
      </c>
      <c r="O23" s="43"/>
      <c r="P23" s="44">
        <f>D6/AVERAGE(C23:D23)</f>
        <v>0.19270478523789014</v>
      </c>
      <c r="Q23" s="44">
        <f>E6/AVERAGE(D23:E23)</f>
        <v>0.19428956789655918</v>
      </c>
      <c r="R23" s="44">
        <f>F6/AVERAGE(E23:F23)</f>
        <v>0.18652038527438761</v>
      </c>
      <c r="S23" s="44">
        <f>G6/AVERAGE(F23:G23)</f>
        <v>0.19148360851144908</v>
      </c>
      <c r="T23" s="18"/>
      <c r="U23" s="18"/>
      <c r="V23" s="18"/>
      <c r="W23" s="18"/>
    </row>
    <row r="24" spans="1:23" x14ac:dyDescent="0.25">
      <c r="A24" s="6" t="s">
        <v>59</v>
      </c>
      <c r="B24" s="10"/>
      <c r="C24" s="10"/>
      <c r="D24" s="89">
        <v>257668.91</v>
      </c>
      <c r="E24" s="89">
        <v>226293.73</v>
      </c>
      <c r="F24" s="89">
        <v>187598.74</v>
      </c>
      <c r="G24" s="89">
        <v>208869.2</v>
      </c>
      <c r="H24" s="89"/>
      <c r="I24" s="89"/>
      <c r="J24" s="89"/>
      <c r="K24" s="89"/>
      <c r="L24" s="11"/>
      <c r="M24" s="11"/>
      <c r="N24" s="42" t="s">
        <v>35</v>
      </c>
      <c r="O24" s="43"/>
      <c r="P24" s="44">
        <f>D9/AVERAGE(C21:D21)</f>
        <v>8.7878764764193443E-2</v>
      </c>
      <c r="Q24" s="44">
        <f>E9/AVERAGE(D21:E21)</f>
        <v>9.3525683183976485E-2</v>
      </c>
      <c r="R24" s="44">
        <f>F9/AVERAGE(E21:F21)</f>
        <v>8.7577837586934437E-2</v>
      </c>
      <c r="S24" s="44">
        <f>G9/AVERAGE(F21:G21)</f>
        <v>9.0130063024149581E-2</v>
      </c>
      <c r="T24" s="18"/>
      <c r="U24" s="18"/>
      <c r="V24" s="18"/>
      <c r="W24" s="18"/>
    </row>
    <row r="25" spans="1:23" x14ac:dyDescent="0.25">
      <c r="A25" s="6" t="s">
        <v>60</v>
      </c>
      <c r="B25" s="10"/>
      <c r="C25" s="10"/>
      <c r="D25" s="89">
        <v>145294.56</v>
      </c>
      <c r="E25" s="89">
        <v>116618.58</v>
      </c>
      <c r="F25" s="89">
        <v>87728.16</v>
      </c>
      <c r="G25" s="89">
        <v>105934.01</v>
      </c>
      <c r="H25" s="89"/>
      <c r="I25" s="89"/>
      <c r="J25" s="89"/>
      <c r="K25" s="89"/>
      <c r="L25" s="11"/>
      <c r="M25" s="11"/>
      <c r="N25" s="42" t="s">
        <v>36</v>
      </c>
      <c r="O25" s="43"/>
      <c r="P25" s="48">
        <f>P23-P24</f>
        <v>0.1048260204736967</v>
      </c>
      <c r="Q25" s="48">
        <f>Q23-Q24</f>
        <v>0.1007638847125827</v>
      </c>
      <c r="R25" s="48">
        <f>R23-R24</f>
        <v>9.894254768745317E-2</v>
      </c>
      <c r="S25" s="48">
        <f>S23-S24</f>
        <v>0.1013535454872995</v>
      </c>
      <c r="T25" s="18"/>
      <c r="U25" s="18"/>
      <c r="V25" s="18"/>
      <c r="W25" s="18"/>
    </row>
    <row r="27" spans="1:23" ht="15" customHeight="1" x14ac:dyDescent="0.25">
      <c r="A27" s="732" t="s">
        <v>267</v>
      </c>
      <c r="B27" s="732"/>
      <c r="C27" s="732"/>
      <c r="D27" s="732"/>
      <c r="E27" s="732"/>
      <c r="F27" s="732"/>
      <c r="G27" s="732"/>
      <c r="H27" s="732"/>
      <c r="I27" s="732"/>
      <c r="J27" s="732"/>
      <c r="K27" s="732"/>
      <c r="L27" s="732"/>
      <c r="M27" s="732"/>
    </row>
    <row r="28" spans="1:23" x14ac:dyDescent="0.25">
      <c r="A28" s="732"/>
      <c r="B28" s="732"/>
      <c r="C28" s="732"/>
      <c r="D28" s="732"/>
      <c r="E28" s="732"/>
      <c r="F28" s="732"/>
      <c r="G28" s="732"/>
      <c r="H28" s="732"/>
      <c r="I28" s="732"/>
      <c r="J28" s="732"/>
      <c r="K28" s="732"/>
      <c r="L28" s="732"/>
      <c r="M28" s="732"/>
    </row>
    <row r="29" spans="1:23" x14ac:dyDescent="0.25">
      <c r="A29" s="732"/>
      <c r="B29" s="732"/>
      <c r="C29" s="732"/>
      <c r="D29" s="732"/>
      <c r="E29" s="732"/>
      <c r="F29" s="732"/>
      <c r="G29" s="732"/>
      <c r="H29" s="732"/>
      <c r="I29" s="732"/>
      <c r="J29" s="732"/>
      <c r="K29" s="732"/>
      <c r="L29" s="732"/>
      <c r="M29" s="732"/>
    </row>
    <row r="30" spans="1:23" x14ac:dyDescent="0.25">
      <c r="A30" s="732"/>
      <c r="B30" s="732"/>
      <c r="C30" s="732"/>
      <c r="D30" s="732"/>
      <c r="E30" s="732"/>
      <c r="F30" s="732"/>
      <c r="G30" s="732"/>
      <c r="H30" s="732"/>
      <c r="I30" s="732"/>
      <c r="J30" s="732"/>
      <c r="K30" s="732"/>
      <c r="L30" s="732"/>
      <c r="M30" s="732"/>
    </row>
    <row r="31" spans="1:23" x14ac:dyDescent="0.25">
      <c r="A31" s="732"/>
      <c r="B31" s="732"/>
      <c r="C31" s="732"/>
      <c r="D31" s="732"/>
      <c r="E31" s="732"/>
      <c r="F31" s="732"/>
      <c r="G31" s="732"/>
      <c r="H31" s="732"/>
      <c r="I31" s="732"/>
      <c r="J31" s="732"/>
      <c r="K31" s="732"/>
      <c r="L31" s="732"/>
      <c r="M31" s="732"/>
    </row>
  </sheetData>
  <mergeCells count="3">
    <mergeCell ref="A2:A4"/>
    <mergeCell ref="I1:K1"/>
    <mergeCell ref="A27:M31"/>
  </mergeCell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R25"/>
  <sheetViews>
    <sheetView topLeftCell="T1" zoomScale="108" workbookViewId="0">
      <selection activeCell="AC18" sqref="AC18"/>
    </sheetView>
  </sheetViews>
  <sheetFormatPr defaultRowHeight="15" x14ac:dyDescent="0.25"/>
  <cols>
    <col min="1" max="1" width="28.140625" customWidth="1"/>
    <col min="4" max="4" width="11.28515625" customWidth="1"/>
    <col min="5" max="5" width="11.42578125" customWidth="1"/>
    <col min="6" max="6" width="11.7109375" customWidth="1"/>
    <col min="7" max="9" width="10.42578125" customWidth="1"/>
    <col min="19" max="19" width="28.7109375" customWidth="1"/>
    <col min="22" max="22" width="12.7109375" customWidth="1"/>
    <col min="24" max="24" width="12.140625" customWidth="1"/>
    <col min="25" max="26" width="11.7109375" customWidth="1"/>
    <col min="36" max="36" width="5.7109375" bestFit="1" customWidth="1"/>
    <col min="37" max="37" width="37.7109375" bestFit="1" customWidth="1"/>
    <col min="38" max="38" width="28" bestFit="1" customWidth="1"/>
    <col min="39" max="39" width="34.5703125" bestFit="1" customWidth="1"/>
    <col min="40" max="41" width="12.42578125" bestFit="1" customWidth="1"/>
    <col min="42" max="42" width="23.85546875" bestFit="1" customWidth="1"/>
    <col min="43" max="43" width="22.85546875" bestFit="1" customWidth="1"/>
    <col min="44" max="44" width="25.140625" bestFit="1" customWidth="1"/>
  </cols>
  <sheetData>
    <row r="1" spans="1:44" x14ac:dyDescent="0.25">
      <c r="K1" s="772" t="s">
        <v>111</v>
      </c>
      <c r="L1" s="772"/>
      <c r="M1" s="772"/>
    </row>
    <row r="2" spans="1:44" ht="45" x14ac:dyDescent="0.25">
      <c r="A2" s="3" t="s">
        <v>4</v>
      </c>
      <c r="B2" s="1" t="s">
        <v>43</v>
      </c>
      <c r="C2" s="1" t="s">
        <v>41</v>
      </c>
      <c r="D2" s="2" t="s">
        <v>44</v>
      </c>
      <c r="E2" s="2" t="s">
        <v>0</v>
      </c>
      <c r="F2" s="3" t="s">
        <v>45</v>
      </c>
      <c r="G2" s="3" t="s">
        <v>42</v>
      </c>
      <c r="H2" s="3" t="s">
        <v>495</v>
      </c>
      <c r="I2" s="3" t="s">
        <v>556</v>
      </c>
      <c r="J2" s="3" t="s">
        <v>37</v>
      </c>
      <c r="K2" s="3" t="s">
        <v>38</v>
      </c>
      <c r="L2" s="3" t="s">
        <v>39</v>
      </c>
      <c r="M2" s="3" t="s">
        <v>40</v>
      </c>
      <c r="N2" s="11"/>
      <c r="O2" s="11"/>
      <c r="P2" s="11"/>
      <c r="Q2" s="11"/>
      <c r="R2" s="11"/>
      <c r="S2" s="40" t="s">
        <v>6</v>
      </c>
      <c r="T2" s="41" t="s">
        <v>7</v>
      </c>
      <c r="U2" s="41" t="s">
        <v>8</v>
      </c>
      <c r="V2" s="41" t="s">
        <v>9</v>
      </c>
      <c r="W2" s="40" t="s">
        <v>10</v>
      </c>
      <c r="X2" s="41" t="s">
        <v>90</v>
      </c>
      <c r="Y2" s="41" t="s">
        <v>492</v>
      </c>
      <c r="Z2" s="41" t="s">
        <v>623</v>
      </c>
      <c r="AA2" s="40" t="s">
        <v>37</v>
      </c>
      <c r="AB2" s="41" t="s">
        <v>38</v>
      </c>
      <c r="AC2" s="41" t="s">
        <v>39</v>
      </c>
      <c r="AD2" s="41" t="s">
        <v>40</v>
      </c>
      <c r="AL2" s="403"/>
      <c r="AM2" s="403"/>
      <c r="AN2" s="403"/>
      <c r="AO2" s="403"/>
      <c r="AP2" s="403"/>
    </row>
    <row r="3" spans="1:44" x14ac:dyDescent="0.25">
      <c r="A3" s="3"/>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t="e">
        <f t="shared" ref="U3:Z3" si="0">D10/AVERAGE(C23:D23)</f>
        <v>#DIV/0!</v>
      </c>
      <c r="V3" s="44" t="e">
        <f t="shared" si="0"/>
        <v>#DIV/0!</v>
      </c>
      <c r="W3" s="44">
        <f t="shared" si="0"/>
        <v>4.5197289489735039E-2</v>
      </c>
      <c r="X3" s="44">
        <f t="shared" si="0"/>
        <v>5.4637017364963542E-2</v>
      </c>
      <c r="Y3" s="44">
        <f t="shared" si="0"/>
        <v>5.0049923294772848E-2</v>
      </c>
      <c r="Z3" s="44">
        <f t="shared" si="0"/>
        <v>5.107955660340139E-2</v>
      </c>
      <c r="AA3" s="44">
        <f t="shared" ref="AA3:AH3" si="1">(J10*4)/J23</f>
        <v>4.7983894779224275E-2</v>
      </c>
      <c r="AB3" s="44">
        <f t="shared" si="1"/>
        <v>5.0248609221697112E-2</v>
      </c>
      <c r="AC3" s="44">
        <f t="shared" si="1"/>
        <v>4.7520629801764205E-2</v>
      </c>
      <c r="AD3" s="44">
        <f t="shared" si="1"/>
        <v>5.1054652320235108E-2</v>
      </c>
      <c r="AE3" s="44">
        <f t="shared" si="1"/>
        <v>4.9146311234145361E-2</v>
      </c>
      <c r="AF3" s="44">
        <f t="shared" si="1"/>
        <v>4.6401436360053422E-2</v>
      </c>
      <c r="AG3" s="44">
        <f t="shared" si="1"/>
        <v>4.9053125114467473E-2</v>
      </c>
      <c r="AH3" s="44">
        <f t="shared" si="1"/>
        <v>5.3729625092718898E-2</v>
      </c>
      <c r="AI3" s="421"/>
      <c r="AJ3" s="741" t="s">
        <v>624</v>
      </c>
      <c r="AK3" s="742"/>
      <c r="AL3" s="404" t="s">
        <v>625</v>
      </c>
      <c r="AM3" s="404" t="s">
        <v>626</v>
      </c>
      <c r="AN3" s="404" t="s">
        <v>627</v>
      </c>
      <c r="AO3" s="404" t="s">
        <v>628</v>
      </c>
      <c r="AP3" s="404" t="s">
        <v>629</v>
      </c>
      <c r="AQ3" s="404" t="s">
        <v>630</v>
      </c>
      <c r="AR3" s="404" t="s">
        <v>631</v>
      </c>
    </row>
    <row r="4" spans="1:44" x14ac:dyDescent="0.25">
      <c r="A4" s="3"/>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F5" s="85">
        <v>3953.74</v>
      </c>
      <c r="G5" s="90">
        <v>3870.03</v>
      </c>
      <c r="H5" s="90">
        <v>4046.46</v>
      </c>
      <c r="I5" s="90">
        <v>5479.94</v>
      </c>
      <c r="J5" s="85">
        <v>1187.3599999999999</v>
      </c>
      <c r="K5" s="85">
        <v>1375.13</v>
      </c>
      <c r="L5" s="85">
        <v>1345.76</v>
      </c>
      <c r="M5" s="85">
        <v>1054.31</v>
      </c>
      <c r="N5" s="11">
        <v>1571.69</v>
      </c>
      <c r="O5" s="11">
        <v>1467.82</v>
      </c>
      <c r="P5" s="11">
        <v>1601.17</v>
      </c>
      <c r="Q5" s="11">
        <v>1648.06</v>
      </c>
      <c r="R5" s="11"/>
      <c r="S5" s="42" t="s">
        <v>13</v>
      </c>
      <c r="T5" s="46"/>
      <c r="U5" s="47" t="e">
        <f t="shared" ref="U5:Z5" si="2">D21/D20</f>
        <v>#DIV/0!</v>
      </c>
      <c r="V5" s="47" t="e">
        <f t="shared" si="2"/>
        <v>#DIV/0!</v>
      </c>
      <c r="W5" s="47">
        <f t="shared" si="2"/>
        <v>4.5656756415609134</v>
      </c>
      <c r="X5" s="47">
        <f t="shared" si="2"/>
        <v>4.0381425456507891</v>
      </c>
      <c r="Y5" s="47">
        <f t="shared" si="2"/>
        <v>4.233326440406338</v>
      </c>
      <c r="Z5" s="47">
        <f t="shared" si="2"/>
        <v>4.3156912863491099</v>
      </c>
      <c r="AA5" s="47"/>
      <c r="AB5" s="47">
        <f>K21/K20</f>
        <v>4.4357938583262086</v>
      </c>
      <c r="AC5" s="47" t="e">
        <f>L21/L20</f>
        <v>#DIV/0!</v>
      </c>
      <c r="AD5" s="47">
        <f>M21/M20</f>
        <v>3.9437123581564872</v>
      </c>
      <c r="AE5" s="47">
        <f>N21/N20</f>
        <v>4.3156912863491099</v>
      </c>
      <c r="AF5" s="47"/>
      <c r="AG5" s="47">
        <f>P21/P20</f>
        <v>3.8711131331972521</v>
      </c>
      <c r="AH5" s="461"/>
      <c r="AJ5" s="406" t="s">
        <v>632</v>
      </c>
      <c r="AK5" s="406" t="s">
        <v>557</v>
      </c>
      <c r="AL5" s="745" t="s">
        <v>633</v>
      </c>
      <c r="AM5" s="745"/>
      <c r="AN5" s="745"/>
      <c r="AO5" s="745"/>
      <c r="AP5" s="745"/>
      <c r="AQ5" s="745"/>
      <c r="AR5" s="745"/>
    </row>
    <row r="6" spans="1:44" x14ac:dyDescent="0.25">
      <c r="A6" s="6" t="s">
        <v>50</v>
      </c>
      <c r="B6" s="7"/>
      <c r="C6" s="8"/>
      <c r="F6" s="85">
        <v>3379.39</v>
      </c>
      <c r="G6" s="85">
        <v>3306.47</v>
      </c>
      <c r="H6" s="85">
        <v>3358.09</v>
      </c>
      <c r="I6" s="85">
        <v>4524.2700000000004</v>
      </c>
      <c r="J6" s="85">
        <v>990.58</v>
      </c>
      <c r="K6" s="85">
        <v>1097.8699999999999</v>
      </c>
      <c r="L6" s="85">
        <v>1194.82</v>
      </c>
      <c r="M6" s="85">
        <v>921.05</v>
      </c>
      <c r="N6" s="11">
        <v>1241.3</v>
      </c>
      <c r="O6" s="11">
        <v>1286.75</v>
      </c>
      <c r="P6" s="11">
        <v>1373.24</v>
      </c>
      <c r="Q6" s="11">
        <v>1477.85</v>
      </c>
      <c r="R6" s="11"/>
      <c r="S6" s="42" t="s">
        <v>14</v>
      </c>
      <c r="T6" s="43"/>
      <c r="U6" s="43"/>
      <c r="V6" s="43"/>
      <c r="W6" s="43">
        <v>0.22059999999999999</v>
      </c>
      <c r="X6" s="48">
        <v>0.2437</v>
      </c>
      <c r="Y6" s="48">
        <v>0.22770000000000001</v>
      </c>
      <c r="Z6" s="48">
        <v>1.2277</v>
      </c>
      <c r="AA6" s="48">
        <v>0.2142</v>
      </c>
      <c r="AB6" s="48">
        <v>0.1986</v>
      </c>
      <c r="AC6" s="48">
        <v>0.19989999999999999</v>
      </c>
      <c r="AD6" s="48">
        <v>0.22770000000000001</v>
      </c>
      <c r="AF6" s="80">
        <v>0.19270000000000001</v>
      </c>
      <c r="AG6" s="80">
        <v>0.20019999999999999</v>
      </c>
      <c r="AH6" s="80">
        <v>0.19989999999999999</v>
      </c>
      <c r="AJ6" s="392">
        <v>1</v>
      </c>
      <c r="AK6" s="108" t="s">
        <v>646</v>
      </c>
      <c r="AL6" s="418">
        <v>4.9099999999999998E-2</v>
      </c>
      <c r="AM6" s="418">
        <v>4.7500000000000001E-2</v>
      </c>
      <c r="AN6" s="81"/>
      <c r="AO6" s="81"/>
      <c r="AP6" s="417">
        <v>5.11E-2</v>
      </c>
      <c r="AQ6" s="417">
        <v>5.11E-2</v>
      </c>
      <c r="AR6" s="417">
        <v>0.05</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3">D20/D23</f>
        <v>#DIV/0!</v>
      </c>
      <c r="V7" s="44" t="e">
        <f t="shared" si="3"/>
        <v>#DIV/0!</v>
      </c>
      <c r="W7" s="44">
        <f t="shared" si="3"/>
        <v>0.20709062514661822</v>
      </c>
      <c r="X7" s="44">
        <f t="shared" si="3"/>
        <v>0.23800659904646682</v>
      </c>
      <c r="Y7" s="44">
        <f t="shared" si="3"/>
        <v>0.22613952411737953</v>
      </c>
      <c r="Z7" s="44">
        <f t="shared" si="3"/>
        <v>0.22510475485190062</v>
      </c>
      <c r="AA7" s="18"/>
      <c r="AB7" s="18"/>
      <c r="AC7" s="18"/>
      <c r="AD7" s="18"/>
      <c r="AJ7" s="392">
        <v>2</v>
      </c>
      <c r="AK7" s="108" t="s">
        <v>634</v>
      </c>
      <c r="AL7" s="410">
        <v>506.28</v>
      </c>
      <c r="AM7" s="410">
        <v>300</v>
      </c>
      <c r="AN7" s="410">
        <v>366</v>
      </c>
      <c r="AO7" s="410">
        <v>281</v>
      </c>
      <c r="AP7" s="81"/>
      <c r="AQ7" s="411">
        <v>1454</v>
      </c>
      <c r="AR7" s="412">
        <v>1088</v>
      </c>
    </row>
    <row r="8" spans="1:44" x14ac:dyDescent="0.25">
      <c r="A8" s="6" t="s">
        <v>52</v>
      </c>
      <c r="B8" s="7"/>
      <c r="C8" s="8"/>
      <c r="D8" s="85">
        <f t="shared" ref="D8:Q8" si="4">D5-D6-D7</f>
        <v>0</v>
      </c>
      <c r="E8" s="85">
        <f t="shared" si="4"/>
        <v>0</v>
      </c>
      <c r="F8" s="85">
        <f t="shared" si="4"/>
        <v>574.34999999999991</v>
      </c>
      <c r="G8" s="85">
        <f t="shared" si="4"/>
        <v>563.5600000000004</v>
      </c>
      <c r="H8" s="85">
        <f t="shared" si="4"/>
        <v>688.36999999999989</v>
      </c>
      <c r="I8" s="85">
        <f t="shared" si="4"/>
        <v>955.66999999999916</v>
      </c>
      <c r="J8" s="85">
        <f t="shared" si="4"/>
        <v>196.77999999999986</v>
      </c>
      <c r="K8" s="85">
        <f t="shared" si="4"/>
        <v>277.26000000000022</v>
      </c>
      <c r="L8" s="85">
        <f t="shared" si="4"/>
        <v>150.94000000000005</v>
      </c>
      <c r="M8" s="85">
        <f t="shared" si="4"/>
        <v>133.26</v>
      </c>
      <c r="N8" s="85">
        <f t="shared" si="4"/>
        <v>330.3900000000001</v>
      </c>
      <c r="O8" s="85">
        <f t="shared" si="4"/>
        <v>181.06999999999994</v>
      </c>
      <c r="P8" s="85">
        <f t="shared" si="4"/>
        <v>227.93000000000006</v>
      </c>
      <c r="Q8" s="85">
        <f t="shared" si="4"/>
        <v>170.21000000000004</v>
      </c>
      <c r="R8" s="11"/>
      <c r="S8" s="40" t="s">
        <v>16</v>
      </c>
      <c r="T8" s="45"/>
      <c r="U8" s="45"/>
      <c r="V8" s="45"/>
      <c r="W8" s="46" t="s">
        <v>5</v>
      </c>
      <c r="X8" s="18"/>
      <c r="Y8" s="18"/>
      <c r="Z8" s="18"/>
      <c r="AA8" s="18"/>
      <c r="AB8" s="18"/>
      <c r="AC8" s="18"/>
      <c r="AD8" s="18"/>
      <c r="AJ8" s="392">
        <v>3</v>
      </c>
      <c r="AK8" s="108" t="s">
        <v>635</v>
      </c>
      <c r="AL8" s="417">
        <v>1.26E-2</v>
      </c>
      <c r="AM8" s="417">
        <v>1.77E-2</v>
      </c>
      <c r="AN8" s="81"/>
      <c r="AO8" s="81"/>
      <c r="AP8" s="417">
        <v>3.04E-2</v>
      </c>
      <c r="AQ8" s="417">
        <v>1.26E-2</v>
      </c>
      <c r="AR8" s="417">
        <v>3.04E-2</v>
      </c>
    </row>
    <row r="9" spans="1:44" ht="33.75" x14ac:dyDescent="0.25">
      <c r="A9" s="6" t="s">
        <v>24</v>
      </c>
      <c r="B9" s="7"/>
      <c r="C9" s="7"/>
      <c r="D9" s="88"/>
      <c r="E9" s="85"/>
      <c r="F9" s="85">
        <v>2030.73</v>
      </c>
      <c r="G9" s="85">
        <v>1700.11</v>
      </c>
      <c r="H9" s="85">
        <v>1777.09</v>
      </c>
      <c r="I9" s="85">
        <v>2575.79</v>
      </c>
      <c r="J9" s="85">
        <v>543.66999999999996</v>
      </c>
      <c r="K9" s="85">
        <v>612.33000000000004</v>
      </c>
      <c r="L9" s="85">
        <v>693.81</v>
      </c>
      <c r="M9" s="85">
        <v>490.21</v>
      </c>
      <c r="N9" s="11">
        <v>724.32</v>
      </c>
      <c r="O9" s="11">
        <v>756.95</v>
      </c>
      <c r="P9" s="11">
        <v>810.79</v>
      </c>
      <c r="Q9" s="11">
        <v>835.16</v>
      </c>
      <c r="R9" s="11"/>
      <c r="S9" s="49" t="s">
        <v>93</v>
      </c>
      <c r="T9" s="45"/>
      <c r="U9" s="93" t="e">
        <f t="shared" ref="U9:Z9" si="5">D14/(D11-D9)</f>
        <v>#DIV/0!</v>
      </c>
      <c r="V9" s="93" t="e">
        <f t="shared" si="5"/>
        <v>#DIV/0!</v>
      </c>
      <c r="W9" s="93">
        <f t="shared" si="5"/>
        <v>0.31778305885044805</v>
      </c>
      <c r="X9" s="93">
        <f t="shared" si="5"/>
        <v>0.32025604630585458</v>
      </c>
      <c r="Y9" s="93">
        <f t="shared" si="5"/>
        <v>0.34322300902893754</v>
      </c>
      <c r="Z9" s="93">
        <f t="shared" si="5"/>
        <v>0.32646729679940772</v>
      </c>
      <c r="AA9" s="18"/>
      <c r="AB9" s="18"/>
      <c r="AC9" s="18"/>
      <c r="AD9" s="18"/>
      <c r="AJ9" s="392">
        <v>4</v>
      </c>
      <c r="AK9" s="108" t="s">
        <v>636</v>
      </c>
      <c r="AL9" s="417">
        <v>6.3E-3</v>
      </c>
      <c r="AM9" s="417">
        <v>1.0200000000000001E-2</v>
      </c>
      <c r="AN9" s="81"/>
      <c r="AO9" s="81"/>
      <c r="AP9" s="417">
        <v>2.1100000000000001E-2</v>
      </c>
      <c r="AQ9" s="417">
        <v>6.3E-3</v>
      </c>
      <c r="AR9" s="417">
        <v>2.1100000000000001E-2</v>
      </c>
    </row>
    <row r="10" spans="1:44" ht="22.5" x14ac:dyDescent="0.25">
      <c r="A10" s="6" t="s">
        <v>53</v>
      </c>
      <c r="B10" s="10">
        <f t="shared" ref="B10:J10" si="6">B6-B9</f>
        <v>0</v>
      </c>
      <c r="C10" s="10">
        <f t="shared" si="6"/>
        <v>0</v>
      </c>
      <c r="D10" s="89">
        <f t="shared" si="6"/>
        <v>0</v>
      </c>
      <c r="E10" s="89">
        <f t="shared" si="6"/>
        <v>0</v>
      </c>
      <c r="F10" s="89">
        <f t="shared" si="6"/>
        <v>1348.6599999999999</v>
      </c>
      <c r="G10" s="89">
        <f t="shared" si="6"/>
        <v>1606.36</v>
      </c>
      <c r="H10" s="89">
        <f>H6-H9</f>
        <v>1581.0000000000002</v>
      </c>
      <c r="I10" s="89">
        <f>I6-I9</f>
        <v>1948.4800000000005</v>
      </c>
      <c r="J10" s="89">
        <f t="shared" si="6"/>
        <v>446.91000000000008</v>
      </c>
      <c r="K10" s="89">
        <f t="shared" ref="K10:P10" si="7">K6-K9</f>
        <v>485.53999999999985</v>
      </c>
      <c r="L10" s="89">
        <f t="shared" si="7"/>
        <v>501.01</v>
      </c>
      <c r="M10" s="89">
        <f t="shared" si="7"/>
        <v>430.84</v>
      </c>
      <c r="N10" s="89">
        <f t="shared" si="7"/>
        <v>516.9799999999999</v>
      </c>
      <c r="O10" s="89">
        <f t="shared" si="7"/>
        <v>529.79999999999995</v>
      </c>
      <c r="P10" s="89">
        <f t="shared" si="7"/>
        <v>562.45000000000005</v>
      </c>
      <c r="Q10" s="89">
        <f t="shared" ref="Q10" si="8">Q6-Q9</f>
        <v>642.68999999999994</v>
      </c>
      <c r="R10" s="11"/>
      <c r="S10" s="42" t="s">
        <v>92</v>
      </c>
      <c r="T10" s="43"/>
      <c r="U10" s="44" t="e">
        <f t="shared" ref="U10:Z10" si="9">D14/D11</f>
        <v>#DIV/0!</v>
      </c>
      <c r="V10" s="44" t="e">
        <f t="shared" si="9"/>
        <v>#DIV/0!</v>
      </c>
      <c r="W10" s="44">
        <f t="shared" si="9"/>
        <v>0.15456251549166108</v>
      </c>
      <c r="X10" s="44">
        <f t="shared" si="9"/>
        <v>0.17956708345930134</v>
      </c>
      <c r="Y10" s="44">
        <f t="shared" si="9"/>
        <v>0.19248923750636357</v>
      </c>
      <c r="Z10" s="44">
        <f t="shared" si="9"/>
        <v>0.17301466804381069</v>
      </c>
      <c r="AA10" s="18"/>
      <c r="AB10" s="18"/>
      <c r="AC10" s="18"/>
      <c r="AD10" s="18"/>
      <c r="AJ10" s="392">
        <v>5</v>
      </c>
      <c r="AK10" s="108" t="s">
        <v>637</v>
      </c>
      <c r="AL10" s="417">
        <v>1.3100000000000001E-2</v>
      </c>
      <c r="AM10" s="417">
        <v>2E-3</v>
      </c>
      <c r="AN10" s="81"/>
      <c r="AO10" s="81"/>
      <c r="AP10" s="417">
        <v>2E-3</v>
      </c>
      <c r="AQ10" s="417">
        <v>7.1999999999999998E-3</v>
      </c>
      <c r="AR10" s="417">
        <v>4.3E-3</v>
      </c>
    </row>
    <row r="11" spans="1:44" ht="30" x14ac:dyDescent="0.25">
      <c r="A11" s="6" t="s">
        <v>1</v>
      </c>
      <c r="B11" s="10">
        <f>B5-B9</f>
        <v>0</v>
      </c>
      <c r="C11" s="10">
        <f t="shared" ref="C11:J11" si="10">SUM(C6:C8)</f>
        <v>0</v>
      </c>
      <c r="D11" s="89">
        <f t="shared" si="10"/>
        <v>0</v>
      </c>
      <c r="E11" s="89">
        <f t="shared" si="10"/>
        <v>0</v>
      </c>
      <c r="F11" s="89">
        <f>SUM(F6:F8)</f>
        <v>3953.74</v>
      </c>
      <c r="G11" s="89">
        <f>SUM(G6:G8)</f>
        <v>3870.03</v>
      </c>
      <c r="H11" s="89">
        <f>SUM(H6:H8)</f>
        <v>4046.46</v>
      </c>
      <c r="I11" s="89">
        <f>SUM(I6:I8)</f>
        <v>5479.94</v>
      </c>
      <c r="J11" s="89">
        <f t="shared" si="10"/>
        <v>1187.3599999999999</v>
      </c>
      <c r="K11" s="89">
        <f t="shared" ref="K11:P11" si="11">SUM(K6:K8)</f>
        <v>1375.13</v>
      </c>
      <c r="L11" s="89">
        <f t="shared" si="11"/>
        <v>1345.76</v>
      </c>
      <c r="M11" s="89">
        <f t="shared" si="11"/>
        <v>1054.31</v>
      </c>
      <c r="N11" s="89">
        <f t="shared" si="11"/>
        <v>1571.69</v>
      </c>
      <c r="O11" s="89">
        <f t="shared" si="11"/>
        <v>1467.82</v>
      </c>
      <c r="P11" s="89">
        <f t="shared" si="11"/>
        <v>1601.17</v>
      </c>
      <c r="Q11" s="89">
        <f t="shared" ref="Q11" si="12">SUM(Q6:Q8)</f>
        <v>1648.06</v>
      </c>
      <c r="R11" s="11"/>
      <c r="S11" s="42" t="s">
        <v>17</v>
      </c>
      <c r="T11" s="43"/>
      <c r="U11" s="44" t="e">
        <f t="shared" ref="U11:Z11" si="13">D14/AVERAGE(C22:D22)</f>
        <v>#DIV/0!</v>
      </c>
      <c r="V11" s="44" t="e">
        <f t="shared" si="13"/>
        <v>#DIV/0!</v>
      </c>
      <c r="W11" s="44">
        <f t="shared" si="13"/>
        <v>1.7500120275740726E-2</v>
      </c>
      <c r="X11" s="44">
        <f t="shared" si="13"/>
        <v>1.9796522525869113E-2</v>
      </c>
      <c r="Y11" s="44">
        <f t="shared" si="13"/>
        <v>2.0404415568969884E-2</v>
      </c>
      <c r="Z11" s="44">
        <f t="shared" si="13"/>
        <v>2.0600672420931547E-2</v>
      </c>
      <c r="AA11" s="18"/>
      <c r="AB11" s="18"/>
      <c r="AC11" s="18"/>
      <c r="AD11" s="18"/>
      <c r="AJ11" s="392">
        <v>6</v>
      </c>
      <c r="AK11" s="413" t="s">
        <v>638</v>
      </c>
      <c r="AL11" s="410"/>
      <c r="AM11" s="81"/>
      <c r="AN11" s="81"/>
      <c r="AO11" s="81"/>
      <c r="AP11" s="81"/>
      <c r="AQ11" s="408"/>
      <c r="AR11" s="408"/>
    </row>
    <row r="12" spans="1:44" ht="30" x14ac:dyDescent="0.25">
      <c r="A12" s="6" t="s">
        <v>91</v>
      </c>
      <c r="B12" s="10"/>
      <c r="C12" s="10"/>
      <c r="D12" s="89"/>
      <c r="E12" s="89"/>
      <c r="F12" s="89">
        <v>60.46</v>
      </c>
      <c r="G12" s="89">
        <v>20.43</v>
      </c>
      <c r="H12" s="89">
        <v>63.74</v>
      </c>
      <c r="I12" s="89">
        <v>14.44</v>
      </c>
      <c r="J12" s="89">
        <v>6.75</v>
      </c>
      <c r="K12" s="89">
        <v>2.98</v>
      </c>
      <c r="L12" s="89">
        <v>5.94</v>
      </c>
      <c r="M12" s="89">
        <v>50.96</v>
      </c>
      <c r="N12" s="11">
        <v>-1.23</v>
      </c>
      <c r="O12" s="11">
        <v>8.4600000000000009</v>
      </c>
      <c r="P12" s="11">
        <v>10.93</v>
      </c>
      <c r="Q12" s="11">
        <v>15.7</v>
      </c>
      <c r="R12" s="11"/>
      <c r="S12" s="40" t="s">
        <v>18</v>
      </c>
      <c r="T12" s="45"/>
      <c r="U12" s="45"/>
      <c r="V12" s="45"/>
      <c r="W12" s="46" t="s">
        <v>5</v>
      </c>
      <c r="X12" s="18"/>
      <c r="Y12" s="18"/>
      <c r="Z12" s="18"/>
      <c r="AA12" s="18"/>
      <c r="AB12" s="18"/>
      <c r="AC12" s="53"/>
      <c r="AD12" s="54"/>
      <c r="AJ12" s="392">
        <v>7</v>
      </c>
      <c r="AK12" s="413" t="s">
        <v>639</v>
      </c>
      <c r="AL12" s="410"/>
      <c r="AM12" s="81"/>
      <c r="AN12" s="81"/>
      <c r="AO12" s="81"/>
      <c r="AP12" s="81"/>
      <c r="AQ12" s="408"/>
      <c r="AR12" s="408"/>
    </row>
    <row r="13" spans="1:44" x14ac:dyDescent="0.25">
      <c r="A13" s="6" t="s">
        <v>25</v>
      </c>
      <c r="B13" s="7"/>
      <c r="C13" s="7"/>
      <c r="D13" s="88">
        <f t="shared" ref="D13:Q13" si="14">D11+D12</f>
        <v>0</v>
      </c>
      <c r="E13" s="88">
        <f t="shared" si="14"/>
        <v>0</v>
      </c>
      <c r="F13" s="88">
        <f t="shared" si="14"/>
        <v>4014.2</v>
      </c>
      <c r="G13" s="88">
        <f t="shared" si="14"/>
        <v>3890.46</v>
      </c>
      <c r="H13" s="88">
        <f t="shared" si="14"/>
        <v>4110.2</v>
      </c>
      <c r="I13" s="88">
        <f t="shared" si="14"/>
        <v>5494.3799999999992</v>
      </c>
      <c r="J13" s="88">
        <f t="shared" si="14"/>
        <v>1194.1099999999999</v>
      </c>
      <c r="K13" s="88">
        <f t="shared" si="14"/>
        <v>1378.1100000000001</v>
      </c>
      <c r="L13" s="88">
        <f t="shared" si="14"/>
        <v>1351.7</v>
      </c>
      <c r="M13" s="88">
        <f t="shared" si="14"/>
        <v>1105.27</v>
      </c>
      <c r="N13" s="88">
        <f t="shared" si="14"/>
        <v>1570.46</v>
      </c>
      <c r="O13" s="88">
        <f t="shared" si="14"/>
        <v>1476.28</v>
      </c>
      <c r="P13" s="88">
        <f t="shared" si="14"/>
        <v>1612.1000000000001</v>
      </c>
      <c r="Q13" s="88">
        <f t="shared" si="14"/>
        <v>1663.76</v>
      </c>
      <c r="R13" s="11"/>
      <c r="S13" s="42" t="s">
        <v>19</v>
      </c>
      <c r="T13" s="43"/>
      <c r="U13" s="44" t="e">
        <f>D24/D23</f>
        <v>#DIV/0!</v>
      </c>
      <c r="V13" s="44" t="e">
        <f>E24/E23</f>
        <v>#DIV/0!</v>
      </c>
      <c r="W13" s="44">
        <f>F24/F23</f>
        <v>2.289154607666374E-2</v>
      </c>
      <c r="X13" s="44">
        <f>G24/G23</f>
        <v>2.4292031975957262E-2</v>
      </c>
      <c r="Y13" s="44">
        <f>H24/H23</f>
        <v>3.0385653610855538E-2</v>
      </c>
      <c r="Z13" s="44">
        <v>1.26E-2</v>
      </c>
      <c r="AA13" s="48">
        <v>1.9E-2</v>
      </c>
      <c r="AB13" s="48">
        <v>1.8599999999999998E-2</v>
      </c>
      <c r="AC13" s="48">
        <v>1.77E-2</v>
      </c>
      <c r="AD13" s="48">
        <v>1.66E-2</v>
      </c>
      <c r="AF13" s="80">
        <v>1.5599999999999999E-2</v>
      </c>
      <c r="AG13" s="80">
        <v>1.6199999999999999E-2</v>
      </c>
      <c r="AH13" s="80">
        <v>1.7000000000000001E-2</v>
      </c>
      <c r="AJ13" s="392">
        <v>8</v>
      </c>
      <c r="AK13" s="108" t="s">
        <v>640</v>
      </c>
      <c r="AL13" s="95" t="e">
        <f>AL11/AL12</f>
        <v>#DIV/0!</v>
      </c>
      <c r="AM13" s="81"/>
      <c r="AN13" s="81"/>
      <c r="AO13" s="81"/>
      <c r="AP13" s="81"/>
      <c r="AQ13" s="81"/>
      <c r="AR13" s="81"/>
    </row>
    <row r="14" spans="1:44" x14ac:dyDescent="0.25">
      <c r="A14" s="6" t="s">
        <v>26</v>
      </c>
      <c r="B14" s="7"/>
      <c r="C14" s="7"/>
      <c r="D14" s="85"/>
      <c r="E14" s="85"/>
      <c r="F14" s="85">
        <f>382.23+158.62+70.25</f>
        <v>611.1</v>
      </c>
      <c r="G14" s="85">
        <f>414.46+207.83+72.64</f>
        <v>694.93</v>
      </c>
      <c r="H14" s="85">
        <f>445.06+240.3+93.54</f>
        <v>778.9</v>
      </c>
      <c r="I14" s="85">
        <f>548.53+267.83+131.75</f>
        <v>948.1099999999999</v>
      </c>
      <c r="J14" s="85">
        <f>130.83+64.36+26.57</f>
        <v>221.76</v>
      </c>
      <c r="K14" s="85">
        <f>132.41+75.4+30.97</f>
        <v>238.78</v>
      </c>
      <c r="L14" s="85">
        <f>142.64+69.22+34.87</f>
        <v>246.73</v>
      </c>
      <c r="M14" s="85">
        <f>103.69+61.8+27.83</f>
        <v>193.32</v>
      </c>
      <c r="N14" s="11">
        <f>141.51+61.65+39.34</f>
        <v>242.5</v>
      </c>
      <c r="O14" s="11">
        <f>157.15+50.9+35.76</f>
        <v>243.81</v>
      </c>
      <c r="P14" s="11">
        <f>157.4+60.59+40.02</f>
        <v>258.01</v>
      </c>
      <c r="Q14" s="11">
        <f>170.18+55.86+43.98</f>
        <v>270.02000000000004</v>
      </c>
      <c r="R14" s="11"/>
      <c r="S14" s="42" t="s">
        <v>20</v>
      </c>
      <c r="T14" s="43"/>
      <c r="U14" s="44" t="e">
        <f>D25/D23</f>
        <v>#DIV/0!</v>
      </c>
      <c r="V14" s="44" t="e">
        <f>E25/E23</f>
        <v>#DIV/0!</v>
      </c>
      <c r="W14" s="44">
        <f>F25/F23</f>
        <v>1.3434921613705368E-2</v>
      </c>
      <c r="X14" s="44">
        <f>G25/G23</f>
        <v>1.2555521487644397E-2</v>
      </c>
      <c r="Y14" s="44">
        <f>H25/H23</f>
        <v>2.1111986616458901E-2</v>
      </c>
      <c r="Z14" s="44">
        <v>6.3E-3</v>
      </c>
      <c r="AA14" s="48">
        <v>0.01</v>
      </c>
      <c r="AB14" s="48">
        <v>1.0800000000000001E-2</v>
      </c>
      <c r="AC14" s="48">
        <v>1.0200000000000001E-2</v>
      </c>
      <c r="AD14" s="48">
        <v>8.6E-3</v>
      </c>
      <c r="AF14" s="80">
        <v>8.3999999999999995E-3</v>
      </c>
      <c r="AG14" s="80">
        <v>8.8999999999999999E-3</v>
      </c>
      <c r="AH14" s="80">
        <v>9.7000000000000003E-3</v>
      </c>
      <c r="AJ14" s="392">
        <v>9</v>
      </c>
      <c r="AK14" s="108" t="s">
        <v>641</v>
      </c>
      <c r="AL14" s="417"/>
      <c r="AM14" s="81"/>
      <c r="AN14" s="81"/>
      <c r="AO14" s="81"/>
      <c r="AP14" s="81"/>
      <c r="AQ14" s="408"/>
      <c r="AR14" s="408"/>
    </row>
    <row r="15" spans="1:44" x14ac:dyDescent="0.25">
      <c r="A15" s="6" t="s">
        <v>54</v>
      </c>
      <c r="B15" s="10"/>
      <c r="C15" s="10"/>
      <c r="D15" s="89">
        <f t="shared" ref="D15:L15" si="15">D11-D14</f>
        <v>0</v>
      </c>
      <c r="E15" s="89">
        <f t="shared" si="15"/>
        <v>0</v>
      </c>
      <c r="F15" s="89">
        <f t="shared" si="15"/>
        <v>3342.64</v>
      </c>
      <c r="G15" s="89">
        <f t="shared" si="15"/>
        <v>3175.1000000000004</v>
      </c>
      <c r="H15" s="89">
        <f>H11-H14</f>
        <v>3267.56</v>
      </c>
      <c r="I15" s="89">
        <f>I11-I14</f>
        <v>4531.83</v>
      </c>
      <c r="J15" s="89">
        <f t="shared" si="15"/>
        <v>965.59999999999991</v>
      </c>
      <c r="K15" s="89">
        <f t="shared" si="15"/>
        <v>1136.3500000000001</v>
      </c>
      <c r="L15" s="89">
        <f t="shared" si="15"/>
        <v>1099.03</v>
      </c>
      <c r="M15" s="89">
        <f>M11-M14</f>
        <v>860.99</v>
      </c>
      <c r="N15" s="89">
        <f>N11-N14</f>
        <v>1329.19</v>
      </c>
      <c r="O15" s="89">
        <f>O11-O14</f>
        <v>1224.01</v>
      </c>
      <c r="P15" s="89">
        <f>P11-P14</f>
        <v>1343.16</v>
      </c>
      <c r="Q15" s="89">
        <f>Q11-Q14</f>
        <v>1378.04</v>
      </c>
      <c r="R15" s="11"/>
      <c r="S15" s="42" t="s">
        <v>21</v>
      </c>
      <c r="T15" s="43"/>
      <c r="U15" s="44" t="e">
        <f t="shared" ref="U15:AC15" si="16">(U13-U14)/U13</f>
        <v>#DIV/0!</v>
      </c>
      <c r="V15" s="44" t="e">
        <f t="shared" si="16"/>
        <v>#DIV/0!</v>
      </c>
      <c r="W15" s="44">
        <f t="shared" si="16"/>
        <v>0.41310553823180646</v>
      </c>
      <c r="X15" s="44">
        <f t="shared" si="16"/>
        <v>0.48314239417801402</v>
      </c>
      <c r="Y15" s="44">
        <f>H26/H25</f>
        <v>0</v>
      </c>
      <c r="Z15" s="44"/>
      <c r="AA15" s="44">
        <f t="shared" si="16"/>
        <v>0.47368421052631576</v>
      </c>
      <c r="AB15" s="44">
        <f t="shared" si="16"/>
        <v>0.41935483870967732</v>
      </c>
      <c r="AC15" s="44">
        <f t="shared" si="16"/>
        <v>0.42372881355932202</v>
      </c>
      <c r="AD15" s="18"/>
      <c r="AJ15" s="392">
        <v>10</v>
      </c>
      <c r="AK15" s="108" t="s">
        <v>642</v>
      </c>
      <c r="AL15" s="417">
        <v>0.20499999999999999</v>
      </c>
      <c r="AM15" s="81"/>
      <c r="AN15" s="81"/>
      <c r="AO15" s="81"/>
      <c r="AP15" s="81"/>
      <c r="AQ15" s="408"/>
      <c r="AR15" s="408"/>
    </row>
    <row r="16" spans="1:44" x14ac:dyDescent="0.25">
      <c r="A16" s="6" t="s">
        <v>94</v>
      </c>
      <c r="B16" s="10"/>
      <c r="C16" s="10"/>
      <c r="D16" s="89">
        <f t="shared" ref="D16:L16" si="17">D13-D14-D9</f>
        <v>0</v>
      </c>
      <c r="E16" s="89">
        <f t="shared" si="17"/>
        <v>0</v>
      </c>
      <c r="F16" s="89">
        <f t="shared" si="17"/>
        <v>1372.37</v>
      </c>
      <c r="G16" s="89">
        <f t="shared" si="17"/>
        <v>1495.4200000000003</v>
      </c>
      <c r="H16" s="89">
        <f>H13-H14-H9</f>
        <v>1554.2099999999998</v>
      </c>
      <c r="I16" s="89">
        <f>I13-I14-I9</f>
        <v>1970.4799999999996</v>
      </c>
      <c r="J16" s="89">
        <f t="shared" si="17"/>
        <v>428.67999999999995</v>
      </c>
      <c r="K16" s="89">
        <f t="shared" si="17"/>
        <v>527.00000000000011</v>
      </c>
      <c r="L16" s="89">
        <f t="shared" si="17"/>
        <v>411.16000000000008</v>
      </c>
      <c r="M16" s="89">
        <f>M13-M14-M9</f>
        <v>421.74000000000007</v>
      </c>
      <c r="N16" s="89">
        <f>N13-N14-N9</f>
        <v>603.64</v>
      </c>
      <c r="O16" s="89">
        <f>O13-O14-O9</f>
        <v>475.52</v>
      </c>
      <c r="P16" s="89">
        <f>P13-P14-P9</f>
        <v>543.30000000000018</v>
      </c>
      <c r="Q16" s="89">
        <f>Q13-Q14-Q9</f>
        <v>558.58000000000004</v>
      </c>
      <c r="R16" s="11"/>
      <c r="S16" s="42" t="s">
        <v>22</v>
      </c>
      <c r="T16" s="43"/>
      <c r="U16" s="44" t="e">
        <f t="shared" ref="U16:Z16" si="18">D17/AVERAGE(C23:D23)</f>
        <v>#DIV/0!</v>
      </c>
      <c r="V16" s="44" t="e">
        <f t="shared" si="18"/>
        <v>#DIV/0!</v>
      </c>
      <c r="W16" s="44">
        <f t="shared" si="18"/>
        <v>1.0592036032896103E-2</v>
      </c>
      <c r="X16" s="44">
        <f t="shared" si="18"/>
        <v>1.0833799877417383E-2</v>
      </c>
      <c r="Y16" s="44">
        <f t="shared" si="18"/>
        <v>4.2531354804887607E-3</v>
      </c>
      <c r="Z16" s="44">
        <f t="shared" si="18"/>
        <v>7.1779507070010122E-3</v>
      </c>
      <c r="AA16" s="44">
        <f t="shared" ref="AA16:AH16" si="19">(J17*4)/J23</f>
        <v>6.801771574285331E-3</v>
      </c>
      <c r="AB16" s="44">
        <f t="shared" si="19"/>
        <v>5.2935213611438976E-3</v>
      </c>
      <c r="AC16" s="44">
        <f t="shared" si="19"/>
        <v>2.0364222707009391E-3</v>
      </c>
      <c r="AD16" s="44">
        <f t="shared" si="19"/>
        <v>1.9896193771626299E-3</v>
      </c>
      <c r="AE16" s="44">
        <f t="shared" si="19"/>
        <v>1.3103654958633986E-2</v>
      </c>
      <c r="AF16" s="44">
        <f t="shared" si="19"/>
        <v>6.4250837511768957E-3</v>
      </c>
      <c r="AG16" s="44">
        <f t="shared" si="19"/>
        <v>6.8113593589473002E-3</v>
      </c>
      <c r="AH16" s="44">
        <f t="shared" si="19"/>
        <v>7.622753140634069E-3</v>
      </c>
      <c r="AK16" s="414"/>
    </row>
    <row r="17" spans="1:37" x14ac:dyDescent="0.25">
      <c r="A17" s="6" t="s">
        <v>27</v>
      </c>
      <c r="B17" s="7"/>
      <c r="C17" s="7"/>
      <c r="D17" s="88"/>
      <c r="E17" s="85"/>
      <c r="F17" s="85">
        <v>316.06</v>
      </c>
      <c r="G17" s="85">
        <v>318.52</v>
      </c>
      <c r="H17" s="85">
        <v>134.35</v>
      </c>
      <c r="I17" s="85">
        <v>273.81</v>
      </c>
      <c r="J17" s="85">
        <v>63.35</v>
      </c>
      <c r="K17" s="85">
        <v>51.15</v>
      </c>
      <c r="L17" s="85">
        <v>21.47</v>
      </c>
      <c r="M17" s="85">
        <v>16.79</v>
      </c>
      <c r="N17" s="11">
        <v>137.84</v>
      </c>
      <c r="O17" s="11">
        <v>73.36</v>
      </c>
      <c r="P17" s="11">
        <v>78.099999999999994</v>
      </c>
      <c r="Q17" s="11">
        <v>91.18</v>
      </c>
      <c r="R17" s="11"/>
      <c r="S17" s="18"/>
      <c r="T17" s="18"/>
      <c r="U17" s="18"/>
      <c r="V17" s="18"/>
      <c r="W17" s="18"/>
      <c r="X17" s="18"/>
      <c r="Y17" s="18"/>
      <c r="Z17" s="18"/>
      <c r="AA17" s="18"/>
      <c r="AB17" s="18"/>
      <c r="AC17" s="18"/>
      <c r="AD17" s="18"/>
      <c r="AK17" s="415" t="s">
        <v>643</v>
      </c>
    </row>
    <row r="18" spans="1:37" x14ac:dyDescent="0.25">
      <c r="A18" s="6" t="s">
        <v>55</v>
      </c>
      <c r="B18" s="7"/>
      <c r="C18" s="7"/>
      <c r="D18" s="88"/>
      <c r="E18" s="85"/>
      <c r="F18" s="89">
        <v>809.05</v>
      </c>
      <c r="G18" s="89">
        <v>903.41</v>
      </c>
      <c r="H18" s="89">
        <v>1088.31</v>
      </c>
      <c r="I18" s="89">
        <v>1454.01</v>
      </c>
      <c r="J18" s="89">
        <v>281.27999999999997</v>
      </c>
      <c r="K18" s="89">
        <v>366.38</v>
      </c>
      <c r="L18" s="89">
        <v>300.07</v>
      </c>
      <c r="M18" s="89">
        <v>316.36</v>
      </c>
      <c r="N18" s="11">
        <v>506.28</v>
      </c>
      <c r="O18" s="11">
        <v>307.64999999999998</v>
      </c>
      <c r="P18" s="11">
        <v>340.09</v>
      </c>
      <c r="Q18" s="11">
        <v>349.06</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c r="E19" s="85"/>
      <c r="F19" s="85">
        <f>6068.36+111.1</f>
        <v>6179.46</v>
      </c>
      <c r="G19" s="85">
        <f>111.1+6781.99</f>
        <v>6893.09</v>
      </c>
      <c r="H19" s="85">
        <f>111.1+7626.3</f>
        <v>7737.4000000000005</v>
      </c>
      <c r="I19" s="85">
        <v>9471.69</v>
      </c>
      <c r="J19" s="85"/>
      <c r="K19" s="85">
        <f>8219.22-196</f>
        <v>8023.2199999999993</v>
      </c>
      <c r="L19" s="85"/>
      <c r="M19" s="85">
        <v>7737.4</v>
      </c>
      <c r="N19" s="11">
        <v>9471.69</v>
      </c>
      <c r="O19" s="11"/>
      <c r="P19" s="11">
        <f>10586.9-14.76</f>
        <v>10572.14</v>
      </c>
      <c r="Q19" s="11"/>
      <c r="R19" s="11"/>
      <c r="S19" s="46" t="s">
        <v>95</v>
      </c>
      <c r="T19" s="51"/>
      <c r="U19" s="51"/>
      <c r="V19" s="52" t="e">
        <f>E16/AVERAGE(D22:E22)</f>
        <v>#DIV/0!</v>
      </c>
      <c r="W19" s="52">
        <f>F16/AVERAGE(E22:F22)</f>
        <v>3.9300671024084924E-2</v>
      </c>
      <c r="X19" s="52">
        <f>G16/AVERAGE(F22:G22)</f>
        <v>4.2600140612198634E-2</v>
      </c>
      <c r="Y19" s="52">
        <f>H16/AVERAGE(G22:H22)</f>
        <v>4.0714785879379482E-2</v>
      </c>
      <c r="Z19" s="52">
        <f>I16/AVERAGE(H22:I22)</f>
        <v>4.281487695731212E-2</v>
      </c>
      <c r="AA19" s="18"/>
      <c r="AB19" s="18"/>
      <c r="AC19" s="18"/>
      <c r="AD19" s="18"/>
    </row>
    <row r="20" spans="1:37" x14ac:dyDescent="0.25">
      <c r="A20" s="6" t="s">
        <v>56</v>
      </c>
      <c r="B20" s="7"/>
      <c r="C20" s="7"/>
      <c r="D20" s="88">
        <f t="shared" ref="D20:P20" si="20">D19-D71</f>
        <v>0</v>
      </c>
      <c r="E20" s="89">
        <f t="shared" si="20"/>
        <v>0</v>
      </c>
      <c r="F20" s="89">
        <f t="shared" si="20"/>
        <v>6179.46</v>
      </c>
      <c r="G20" s="89">
        <f t="shared" si="20"/>
        <v>6893.09</v>
      </c>
      <c r="H20" s="89">
        <f t="shared" si="20"/>
        <v>7737.4000000000005</v>
      </c>
      <c r="I20" s="89">
        <f t="shared" si="20"/>
        <v>9471.69</v>
      </c>
      <c r="J20" s="89">
        <f t="shared" si="20"/>
        <v>0</v>
      </c>
      <c r="K20" s="89">
        <f t="shared" si="20"/>
        <v>8023.2199999999993</v>
      </c>
      <c r="L20" s="89">
        <f t="shared" si="20"/>
        <v>0</v>
      </c>
      <c r="M20" s="89">
        <f t="shared" si="20"/>
        <v>7737.4</v>
      </c>
      <c r="N20" s="89">
        <f t="shared" si="20"/>
        <v>9471.69</v>
      </c>
      <c r="O20" s="89">
        <f t="shared" si="20"/>
        <v>0</v>
      </c>
      <c r="P20" s="89">
        <f t="shared" si="20"/>
        <v>10572.14</v>
      </c>
      <c r="Q20" s="440"/>
      <c r="R20" s="11"/>
      <c r="S20" s="42" t="s">
        <v>31</v>
      </c>
      <c r="T20" s="43"/>
      <c r="U20" s="43">
        <v>4.4699999999999997E-2</v>
      </c>
      <c r="V20" s="44" t="e">
        <f>E18/AVERAGE(D22:E22)</f>
        <v>#DIV/0!</v>
      </c>
      <c r="W20" s="44">
        <f>F18/AVERAGE(E22:F22)</f>
        <v>2.3168830484516501E-2</v>
      </c>
      <c r="X20" s="44">
        <f>G18/AVERAGE(F22:G22)</f>
        <v>2.573550777070412E-2</v>
      </c>
      <c r="Y20" s="44">
        <f>H18/AVERAGE(G22:H22)</f>
        <v>2.850985942722508E-2</v>
      </c>
      <c r="Z20" s="44">
        <f>I18/AVERAGE(H22:I22)</f>
        <v>3.1592941437975218E-2</v>
      </c>
      <c r="AA20" s="48"/>
      <c r="AB20" s="18"/>
      <c r="AC20" s="18"/>
      <c r="AD20" s="18"/>
    </row>
    <row r="21" spans="1:37" x14ac:dyDescent="0.25">
      <c r="A21" s="6" t="s">
        <v>57</v>
      </c>
      <c r="B21" s="9"/>
      <c r="C21" s="9"/>
      <c r="D21" s="85"/>
      <c r="E21" s="85"/>
      <c r="F21" s="85">
        <f>14692.94+6860.05+4154.55+2505.87</f>
        <v>28213.41</v>
      </c>
      <c r="G21" s="85">
        <f>13751.2+7363.11+4219.73+2501.24</f>
        <v>27835.279999999999</v>
      </c>
      <c r="H21" s="85">
        <f>13721.13+11986.91+4806.04+2240.86</f>
        <v>32754.940000000002</v>
      </c>
      <c r="I21" s="85">
        <f>13334.13+19349.98+5745.23+2447.55</f>
        <v>40876.89</v>
      </c>
      <c r="J21" s="85"/>
      <c r="K21" s="85">
        <f>14348.81+15947.61+5292.93</f>
        <v>35589.35</v>
      </c>
      <c r="L21" s="85"/>
      <c r="M21" s="85">
        <f>13721.13+11986.91+4806.04</f>
        <v>30514.080000000002</v>
      </c>
      <c r="N21" s="11">
        <v>40876.89</v>
      </c>
      <c r="O21" s="11"/>
      <c r="P21" s="11">
        <f>13131.73+21636.09+6158.13</f>
        <v>40925.949999999997</v>
      </c>
      <c r="Q21" s="11"/>
      <c r="R21" s="11"/>
      <c r="S21" s="42" t="s">
        <v>32</v>
      </c>
      <c r="T21" s="43"/>
      <c r="U21" s="44" t="e">
        <f t="shared" ref="U21:Z21" si="21">D18/AVERAGE(C19:D19)</f>
        <v>#DIV/0!</v>
      </c>
      <c r="V21" s="44" t="e">
        <f t="shared" si="21"/>
        <v>#DIV/0!</v>
      </c>
      <c r="W21" s="44">
        <f t="shared" si="21"/>
        <v>0.13092567959012599</v>
      </c>
      <c r="X21" s="44">
        <f t="shared" si="21"/>
        <v>0.13821480889344467</v>
      </c>
      <c r="Y21" s="44">
        <f t="shared" si="21"/>
        <v>0.14877287090179478</v>
      </c>
      <c r="Z21" s="44">
        <f t="shared" si="21"/>
        <v>0.1689816254084324</v>
      </c>
      <c r="AA21" s="18"/>
      <c r="AB21" s="18"/>
      <c r="AC21" s="18"/>
      <c r="AD21" s="18"/>
    </row>
    <row r="22" spans="1:37" x14ac:dyDescent="0.25">
      <c r="A22" s="6" t="s">
        <v>29</v>
      </c>
      <c r="B22" s="7"/>
      <c r="C22" s="7"/>
      <c r="D22" s="88"/>
      <c r="E22" s="85"/>
      <c r="F22" s="85">
        <v>34919.760000000002</v>
      </c>
      <c r="G22" s="85">
        <v>35287.519999999997</v>
      </c>
      <c r="H22" s="85">
        <v>41058.699999999997</v>
      </c>
      <c r="I22" s="85">
        <v>50987.81</v>
      </c>
      <c r="J22" s="85"/>
      <c r="K22" s="85">
        <v>46683.81</v>
      </c>
      <c r="L22" s="85"/>
      <c r="M22" s="85">
        <v>41058.699999999997</v>
      </c>
      <c r="N22" s="11">
        <v>50987.81</v>
      </c>
      <c r="O22" s="11"/>
      <c r="P22" s="11">
        <v>54970.22</v>
      </c>
      <c r="Q22" s="11"/>
      <c r="R22" s="11"/>
      <c r="S22" s="40" t="s">
        <v>33</v>
      </c>
      <c r="T22" s="45"/>
      <c r="U22" s="45"/>
      <c r="V22" s="45"/>
      <c r="W22" s="46" t="s">
        <v>5</v>
      </c>
      <c r="X22" s="18"/>
      <c r="Y22" s="18"/>
      <c r="Z22" s="18"/>
      <c r="AA22" s="18"/>
      <c r="AB22" s="18"/>
      <c r="AC22" s="18"/>
      <c r="AD22" s="18"/>
    </row>
    <row r="23" spans="1:37" x14ac:dyDescent="0.25">
      <c r="A23" s="6" t="s">
        <v>58</v>
      </c>
      <c r="B23" s="7"/>
      <c r="C23" s="7"/>
      <c r="D23" s="88"/>
      <c r="E23" s="85"/>
      <c r="F23" s="85">
        <v>29839.4</v>
      </c>
      <c r="G23" s="85">
        <v>28961.759999999998</v>
      </c>
      <c r="H23" s="85">
        <v>34215.160000000003</v>
      </c>
      <c r="I23" s="85">
        <v>42076.81</v>
      </c>
      <c r="J23" s="85">
        <v>37255</v>
      </c>
      <c r="K23" s="85">
        <v>38651.019999999997</v>
      </c>
      <c r="L23" s="85">
        <v>42172</v>
      </c>
      <c r="M23" s="85">
        <v>33755.199999999997</v>
      </c>
      <c r="N23" s="11">
        <v>42076.81</v>
      </c>
      <c r="O23" s="11">
        <v>45671</v>
      </c>
      <c r="P23" s="11">
        <v>45864.56</v>
      </c>
      <c r="Q23" s="11">
        <v>47846.23</v>
      </c>
      <c r="R23" s="11"/>
      <c r="S23" s="42" t="s">
        <v>34</v>
      </c>
      <c r="T23" s="43"/>
      <c r="U23" s="44" t="e">
        <f t="shared" ref="U23:Z23" si="22">D6/AVERAGE(C23:D23)</f>
        <v>#DIV/0!</v>
      </c>
      <c r="V23" s="44" t="e">
        <f t="shared" si="22"/>
        <v>#DIV/0!</v>
      </c>
      <c r="W23" s="44">
        <f t="shared" si="22"/>
        <v>0.11325261231794204</v>
      </c>
      <c r="X23" s="44">
        <f t="shared" si="22"/>
        <v>0.11246274733355599</v>
      </c>
      <c r="Y23" s="44">
        <f t="shared" si="22"/>
        <v>0.10630749330609977</v>
      </c>
      <c r="Z23" s="44">
        <f t="shared" si="22"/>
        <v>0.11860409424478095</v>
      </c>
      <c r="AA23" s="18"/>
      <c r="AB23" s="18"/>
      <c r="AC23" s="18"/>
      <c r="AD23" s="18"/>
    </row>
    <row r="24" spans="1:37" x14ac:dyDescent="0.25">
      <c r="A24" s="6" t="s">
        <v>59</v>
      </c>
      <c r="B24" s="10"/>
      <c r="C24" s="10"/>
      <c r="D24" s="89"/>
      <c r="E24" s="89"/>
      <c r="F24" s="89">
        <v>683.07</v>
      </c>
      <c r="G24" s="89">
        <v>703.54</v>
      </c>
      <c r="H24" s="89">
        <v>1039.6500000000001</v>
      </c>
      <c r="I24" s="89"/>
      <c r="J24" s="89"/>
      <c r="K24" s="89"/>
      <c r="L24" s="89"/>
      <c r="M24" s="89"/>
      <c r="N24" s="11"/>
      <c r="O24" s="11"/>
      <c r="P24" s="11"/>
      <c r="Q24" s="11"/>
      <c r="R24" s="11"/>
      <c r="S24" s="42" t="s">
        <v>35</v>
      </c>
      <c r="T24" s="43"/>
      <c r="U24" s="44" t="e">
        <f t="shared" ref="U24:Z24" si="23">D9/AVERAGE(C21:D21)</f>
        <v>#DIV/0!</v>
      </c>
      <c r="V24" s="44" t="e">
        <f t="shared" si="23"/>
        <v>#DIV/0!</v>
      </c>
      <c r="W24" s="44">
        <f t="shared" si="23"/>
        <v>7.1977474541361719E-2</v>
      </c>
      <c r="X24" s="44">
        <f t="shared" si="23"/>
        <v>6.0665467828061634E-2</v>
      </c>
      <c r="Y24" s="44">
        <f t="shared" si="23"/>
        <v>5.8659301781706683E-2</v>
      </c>
      <c r="Z24" s="44">
        <f t="shared" si="23"/>
        <v>6.9964035933916077E-2</v>
      </c>
      <c r="AA24" s="18"/>
      <c r="AB24" s="18"/>
      <c r="AC24" s="18"/>
      <c r="AD24" s="18"/>
    </row>
    <row r="25" spans="1:37" x14ac:dyDescent="0.25">
      <c r="A25" s="6" t="s">
        <v>60</v>
      </c>
      <c r="B25" s="10"/>
      <c r="C25" s="10"/>
      <c r="D25" s="89"/>
      <c r="E25" s="89"/>
      <c r="F25" s="89">
        <v>400.89</v>
      </c>
      <c r="G25" s="89">
        <v>363.63</v>
      </c>
      <c r="H25" s="89">
        <v>722.35</v>
      </c>
      <c r="I25" s="89"/>
      <c r="J25" s="89"/>
      <c r="K25" s="89"/>
      <c r="L25" s="89"/>
      <c r="M25" s="89"/>
      <c r="N25" s="11"/>
      <c r="O25" s="11"/>
      <c r="P25" s="11"/>
      <c r="Q25" s="11"/>
      <c r="R25" s="11"/>
      <c r="S25" s="42" t="s">
        <v>36</v>
      </c>
      <c r="T25" s="43"/>
      <c r="U25" s="48" t="e">
        <f t="shared" ref="U25:Z25" si="24">U23-U24</f>
        <v>#DIV/0!</v>
      </c>
      <c r="V25" s="48" t="e">
        <f t="shared" si="24"/>
        <v>#DIV/0!</v>
      </c>
      <c r="W25" s="48">
        <f t="shared" si="24"/>
        <v>4.1275137776580317E-2</v>
      </c>
      <c r="X25" s="48">
        <f t="shared" si="24"/>
        <v>5.1797279505494356E-2</v>
      </c>
      <c r="Y25" s="48">
        <f t="shared" si="24"/>
        <v>4.7648191524393091E-2</v>
      </c>
      <c r="Z25" s="48">
        <f t="shared" si="24"/>
        <v>4.8640058310864875E-2</v>
      </c>
      <c r="AA25" s="18"/>
      <c r="AB25" s="18"/>
      <c r="AC25" s="18"/>
      <c r="AD25" s="18"/>
    </row>
  </sheetData>
  <mergeCells count="3">
    <mergeCell ref="K1:M1"/>
    <mergeCell ref="AJ3:AK4"/>
    <mergeCell ref="AL5:AR5"/>
  </mergeCells>
  <pageMargins left="0.7" right="0.7" top="0.75" bottom="0.75" header="0.3" footer="0.3"/>
  <pageSetup paperSize="9" orientation="portrait"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P29"/>
  <sheetViews>
    <sheetView topLeftCell="R4" workbookViewId="0">
      <selection activeCell="AE16" sqref="AE16:AF16"/>
    </sheetView>
  </sheetViews>
  <sheetFormatPr defaultRowHeight="15" x14ac:dyDescent="0.25"/>
  <cols>
    <col min="1" max="1" width="28.140625" customWidth="1"/>
    <col min="4" max="4" width="11.28515625" customWidth="1"/>
    <col min="5" max="5" width="11.42578125" customWidth="1"/>
    <col min="6" max="6" width="11.7109375" customWidth="1"/>
    <col min="7" max="8" width="10.42578125" customWidth="1"/>
    <col min="18" max="18" width="28.7109375" customWidth="1"/>
    <col min="21" max="21" width="12.7109375" customWidth="1"/>
    <col min="23" max="23" width="13.28515625" bestFit="1" customWidth="1"/>
    <col min="24" max="24" width="12" bestFit="1" customWidth="1"/>
    <col min="34" max="34" width="5.7109375" bestFit="1" customWidth="1"/>
    <col min="35" max="35" width="36.7109375" bestFit="1" customWidth="1"/>
    <col min="36" max="36" width="27.5703125" bestFit="1" customWidth="1"/>
    <col min="37" max="37" width="34.140625" bestFit="1" customWidth="1"/>
    <col min="38" max="39" width="12.140625" bestFit="1" customWidth="1"/>
    <col min="40" max="40" width="23.140625" bestFit="1" customWidth="1"/>
    <col min="41" max="41" width="22.85546875" bestFit="1" customWidth="1"/>
    <col min="42" max="42" width="25.140625" bestFit="1" customWidth="1"/>
  </cols>
  <sheetData>
    <row r="1" spans="1:42" x14ac:dyDescent="0.25">
      <c r="J1" s="772" t="s">
        <v>111</v>
      </c>
      <c r="K1" s="772"/>
      <c r="L1" s="772"/>
    </row>
    <row r="2" spans="1:42" ht="45" x14ac:dyDescent="0.25">
      <c r="A2" s="3" t="s">
        <v>4</v>
      </c>
      <c r="B2" s="1" t="s">
        <v>43</v>
      </c>
      <c r="C2" s="1" t="s">
        <v>41</v>
      </c>
      <c r="D2" s="2" t="s">
        <v>44</v>
      </c>
      <c r="E2" s="2" t="s">
        <v>0</v>
      </c>
      <c r="F2" s="3" t="s">
        <v>42</v>
      </c>
      <c r="G2" s="3" t="s">
        <v>366</v>
      </c>
      <c r="H2" s="3" t="s">
        <v>367</v>
      </c>
      <c r="I2" s="3" t="s">
        <v>37</v>
      </c>
      <c r="J2" s="3" t="s">
        <v>38</v>
      </c>
      <c r="K2" s="3" t="s">
        <v>39</v>
      </c>
      <c r="L2" s="3" t="s">
        <v>40</v>
      </c>
      <c r="M2" s="3" t="s">
        <v>682</v>
      </c>
      <c r="N2" s="3" t="s">
        <v>683</v>
      </c>
      <c r="O2" s="446" t="s">
        <v>686</v>
      </c>
      <c r="P2" s="446" t="s">
        <v>692</v>
      </c>
      <c r="Q2" s="11"/>
      <c r="R2" s="40" t="s">
        <v>6</v>
      </c>
      <c r="S2" s="41" t="s">
        <v>7</v>
      </c>
      <c r="T2" s="41" t="s">
        <v>8</v>
      </c>
      <c r="U2" s="41" t="s">
        <v>9</v>
      </c>
      <c r="V2" s="40" t="s">
        <v>90</v>
      </c>
      <c r="W2" s="41" t="s">
        <v>492</v>
      </c>
      <c r="X2" s="41"/>
      <c r="Y2" s="40" t="s">
        <v>37</v>
      </c>
      <c r="Z2" s="41" t="s">
        <v>38</v>
      </c>
      <c r="AA2" s="41" t="s">
        <v>39</v>
      </c>
      <c r="AB2" s="41" t="s">
        <v>40</v>
      </c>
      <c r="AD2" s="441" t="s">
        <v>683</v>
      </c>
      <c r="AE2" s="443"/>
      <c r="AF2" s="443"/>
      <c r="AJ2" s="403"/>
      <c r="AK2" s="403"/>
      <c r="AL2" s="403"/>
      <c r="AM2" s="403"/>
      <c r="AN2" s="403"/>
    </row>
    <row r="3" spans="1:42" x14ac:dyDescent="0.25">
      <c r="A3" s="3"/>
      <c r="B3" s="1" t="s">
        <v>46</v>
      </c>
      <c r="C3" s="4" t="s">
        <v>47</v>
      </c>
      <c r="D3" s="5" t="s">
        <v>47</v>
      </c>
      <c r="E3" s="5" t="s">
        <v>47</v>
      </c>
      <c r="F3" s="1" t="s">
        <v>46</v>
      </c>
      <c r="G3" s="1" t="s">
        <v>46</v>
      </c>
      <c r="H3" s="1" t="s">
        <v>46</v>
      </c>
      <c r="I3" s="1" t="s">
        <v>96</v>
      </c>
      <c r="J3" s="1"/>
      <c r="K3" s="1"/>
      <c r="L3" s="1"/>
      <c r="M3" s="1"/>
      <c r="N3" s="1"/>
      <c r="O3" s="447"/>
      <c r="P3" s="447"/>
      <c r="Q3" s="11"/>
      <c r="R3" s="42" t="s">
        <v>11</v>
      </c>
      <c r="S3" s="43"/>
      <c r="T3" s="44" t="e">
        <f>D10/AVERAGE(C23:D23)</f>
        <v>#DIV/0!</v>
      </c>
      <c r="U3" s="44" t="e">
        <f>E10/AVERAGE(D23:E23)</f>
        <v>#DIV/0!</v>
      </c>
      <c r="V3" s="44">
        <f>F10/AVERAGE(E23:F23)</f>
        <v>-4.9038099188694291E-2</v>
      </c>
      <c r="W3" s="44">
        <f>G10/AVERAGE(F23:G23)</f>
        <v>-5.0133699887162375E-2</v>
      </c>
      <c r="X3" s="44">
        <f>H10/AVERAGE(G23:H23)</f>
        <v>0.10309261180198416</v>
      </c>
      <c r="Y3" s="44">
        <f t="shared" ref="Y3:AF3" si="0">(I10*4)/I23</f>
        <v>6.9842467073035749E-2</v>
      </c>
      <c r="Z3" s="44">
        <f t="shared" si="0"/>
        <v>8.025121524328159E-2</v>
      </c>
      <c r="AA3" s="44">
        <f t="shared" si="0"/>
        <v>0.13186733821153662</v>
      </c>
      <c r="AB3" s="44">
        <f t="shared" si="0"/>
        <v>0.11486651580093946</v>
      </c>
      <c r="AC3" s="44">
        <f t="shared" si="0"/>
        <v>0.10025949629215858</v>
      </c>
      <c r="AD3" s="44">
        <f t="shared" si="0"/>
        <v>0.10542409508373854</v>
      </c>
      <c r="AE3" s="44">
        <f t="shared" si="0"/>
        <v>8.435490433216862E-2</v>
      </c>
      <c r="AF3" s="44">
        <f t="shared" si="0"/>
        <v>8.0916925325042244E-2</v>
      </c>
      <c r="AH3" s="741" t="s">
        <v>624</v>
      </c>
      <c r="AI3" s="742"/>
      <c r="AJ3" s="404" t="s">
        <v>625</v>
      </c>
      <c r="AK3" s="404" t="s">
        <v>626</v>
      </c>
      <c r="AL3" s="404" t="s">
        <v>627</v>
      </c>
      <c r="AM3" s="404" t="s">
        <v>628</v>
      </c>
      <c r="AN3" s="404" t="s">
        <v>629</v>
      </c>
      <c r="AO3" s="404" t="s">
        <v>630</v>
      </c>
      <c r="AP3" s="404" t="s">
        <v>631</v>
      </c>
    </row>
    <row r="4" spans="1:42" x14ac:dyDescent="0.25">
      <c r="A4" s="3"/>
      <c r="B4" s="1" t="s">
        <v>48</v>
      </c>
      <c r="C4" s="1" t="s">
        <v>48</v>
      </c>
      <c r="D4" s="5" t="s">
        <v>49</v>
      </c>
      <c r="E4" s="5" t="s">
        <v>49</v>
      </c>
      <c r="F4" s="5" t="s">
        <v>49</v>
      </c>
      <c r="G4" s="5" t="s">
        <v>49</v>
      </c>
      <c r="H4" s="5" t="s">
        <v>49</v>
      </c>
      <c r="I4" s="5"/>
      <c r="J4" s="5"/>
      <c r="K4" s="5"/>
      <c r="L4" s="5"/>
      <c r="M4" s="1"/>
      <c r="N4" s="1"/>
      <c r="O4" s="447"/>
      <c r="P4" s="447"/>
      <c r="Q4" s="11"/>
      <c r="R4" s="40" t="s">
        <v>12</v>
      </c>
      <c r="S4" s="45"/>
      <c r="T4" s="45"/>
      <c r="U4" s="45"/>
      <c r="V4" s="46" t="s">
        <v>5</v>
      </c>
      <c r="W4" s="18"/>
      <c r="X4" s="18"/>
      <c r="Y4" s="18"/>
      <c r="Z4" s="18"/>
      <c r="AA4" s="18"/>
      <c r="AB4" s="18"/>
      <c r="AH4" s="743"/>
      <c r="AI4" s="744"/>
      <c r="AJ4" s="405"/>
      <c r="AK4" s="405"/>
      <c r="AL4" s="405"/>
      <c r="AM4" s="405"/>
      <c r="AN4" s="405"/>
      <c r="AO4" s="405"/>
      <c r="AP4" s="405"/>
    </row>
    <row r="5" spans="1:42" x14ac:dyDescent="0.25">
      <c r="A5" s="6" t="s">
        <v>23</v>
      </c>
      <c r="B5" s="7"/>
      <c r="C5" s="8"/>
      <c r="F5" s="85">
        <v>2718.54</v>
      </c>
      <c r="G5" s="90">
        <v>4785.22</v>
      </c>
      <c r="H5" s="90">
        <v>3734.3</v>
      </c>
      <c r="I5" s="85">
        <v>1150.3900000000001</v>
      </c>
      <c r="J5" s="85">
        <v>527.23</v>
      </c>
      <c r="K5" s="85">
        <v>635.95000000000005</v>
      </c>
      <c r="L5" s="85">
        <v>180.53</v>
      </c>
      <c r="M5" s="11">
        <v>1420.73</v>
      </c>
      <c r="N5" s="11">
        <v>545.20000000000005</v>
      </c>
      <c r="O5" s="11">
        <v>491.61</v>
      </c>
      <c r="P5" s="11">
        <v>449.13</v>
      </c>
      <c r="Q5" s="11"/>
      <c r="R5" s="42" t="s">
        <v>13</v>
      </c>
      <c r="S5" s="46"/>
      <c r="T5" s="47" t="e">
        <f t="shared" ref="T5:AC5" si="1">D21/D20</f>
        <v>#DIV/0!</v>
      </c>
      <c r="U5" s="47" t="e">
        <f t="shared" si="1"/>
        <v>#DIV/0!</v>
      </c>
      <c r="V5" s="47">
        <f t="shared" si="1"/>
        <v>0.34757065656045621</v>
      </c>
      <c r="W5" s="47">
        <f t="shared" si="1"/>
        <v>0.36261517837305274</v>
      </c>
      <c r="X5" s="47">
        <f t="shared" si="1"/>
        <v>0.37031074234435479</v>
      </c>
      <c r="Y5" s="47" t="e">
        <f t="shared" si="1"/>
        <v>#DIV/0!</v>
      </c>
      <c r="Z5" s="47">
        <f t="shared" si="1"/>
        <v>0.36462875661577882</v>
      </c>
      <c r="AA5" s="47" t="e">
        <f t="shared" si="1"/>
        <v>#DIV/0!</v>
      </c>
      <c r="AB5" s="47">
        <f t="shared" si="1"/>
        <v>0.36261517837305274</v>
      </c>
      <c r="AC5" s="47">
        <f t="shared" si="1"/>
        <v>0.37031074234435479</v>
      </c>
      <c r="AD5" s="47" t="e">
        <f t="shared" ref="AD5" si="2">N21/N20</f>
        <v>#DIV/0!</v>
      </c>
      <c r="AE5" s="47">
        <f t="shared" ref="AE5" si="3">O21/O20</f>
        <v>0.35368568588145177</v>
      </c>
      <c r="AF5" s="461"/>
      <c r="AH5" s="406" t="s">
        <v>632</v>
      </c>
      <c r="AI5" s="406" t="s">
        <v>557</v>
      </c>
      <c r="AJ5" s="745" t="s">
        <v>633</v>
      </c>
      <c r="AK5" s="745"/>
      <c r="AL5" s="745"/>
      <c r="AM5" s="745"/>
      <c r="AN5" s="745"/>
      <c r="AO5" s="745"/>
      <c r="AP5" s="745"/>
    </row>
    <row r="6" spans="1:42" x14ac:dyDescent="0.25">
      <c r="A6" s="6" t="s">
        <v>50</v>
      </c>
      <c r="B6" s="7"/>
      <c r="C6" s="8"/>
      <c r="F6" s="85">
        <v>726.76</v>
      </c>
      <c r="G6" s="85">
        <v>228.15</v>
      </c>
      <c r="H6" s="85">
        <v>1735.53</v>
      </c>
      <c r="I6" s="85">
        <v>371.78</v>
      </c>
      <c r="J6" s="85">
        <v>362.05</v>
      </c>
      <c r="K6" s="85">
        <v>534.66</v>
      </c>
      <c r="L6" s="85">
        <v>418.29</v>
      </c>
      <c r="M6" s="11">
        <v>467.04</v>
      </c>
      <c r="N6" s="11">
        <v>489.72</v>
      </c>
      <c r="O6" s="11">
        <v>428.88</v>
      </c>
      <c r="P6" s="11">
        <v>425.08</v>
      </c>
      <c r="Q6" s="11"/>
      <c r="R6" s="42" t="s">
        <v>14</v>
      </c>
      <c r="S6" s="43"/>
      <c r="T6" s="43"/>
      <c r="U6" s="43"/>
      <c r="V6" s="43"/>
      <c r="W6" s="48"/>
      <c r="X6" s="48"/>
      <c r="Y6" s="48"/>
      <c r="Z6" s="18"/>
      <c r="AA6" s="48">
        <v>0.24299999999999999</v>
      </c>
      <c r="AB6" s="18"/>
      <c r="AC6" s="80">
        <v>0.25600000000000001</v>
      </c>
      <c r="AD6" s="80"/>
      <c r="AE6" s="80">
        <v>0.23300000000000001</v>
      </c>
      <c r="AF6" s="80">
        <v>0.23699999999999999</v>
      </c>
      <c r="AH6" s="392">
        <v>1</v>
      </c>
      <c r="AI6" s="108" t="s">
        <v>646</v>
      </c>
      <c r="AJ6" s="418">
        <v>0.1003</v>
      </c>
      <c r="AK6" s="418">
        <v>0.13189999999999999</v>
      </c>
      <c r="AL6" s="81"/>
      <c r="AM6" s="81"/>
      <c r="AN6" s="417">
        <v>0.1149</v>
      </c>
      <c r="AO6" s="417">
        <v>0.1031</v>
      </c>
      <c r="AP6" s="417">
        <v>-5.0099999999999999E-2</v>
      </c>
    </row>
    <row r="7" spans="1:42" x14ac:dyDescent="0.25">
      <c r="A7" s="6" t="s">
        <v>51</v>
      </c>
      <c r="B7" s="7"/>
      <c r="C7" s="8"/>
      <c r="D7" s="87"/>
      <c r="E7" s="85"/>
      <c r="F7" s="85">
        <v>0</v>
      </c>
      <c r="G7" s="85">
        <v>0</v>
      </c>
      <c r="H7" s="85"/>
      <c r="I7" s="85"/>
      <c r="J7" s="85"/>
      <c r="K7" s="85"/>
      <c r="L7" s="85"/>
      <c r="M7" s="11"/>
      <c r="N7" s="11"/>
      <c r="O7" s="11"/>
      <c r="P7" s="11"/>
      <c r="Q7" s="11"/>
      <c r="R7" s="42" t="s">
        <v>15</v>
      </c>
      <c r="S7" s="43"/>
      <c r="T7" s="44" t="e">
        <f>D20/D23</f>
        <v>#DIV/0!</v>
      </c>
      <c r="U7" s="44" t="e">
        <f>E20/E23</f>
        <v>#DIV/0!</v>
      </c>
      <c r="V7" s="44">
        <f>F20/F23</f>
        <v>2.286266465556765</v>
      </c>
      <c r="W7" s="44">
        <f>G20/G23</f>
        <v>2.7441798331647318</v>
      </c>
      <c r="X7" s="44">
        <f>H20/H23</f>
        <v>2.0330458437072862</v>
      </c>
      <c r="Y7" s="18"/>
      <c r="Z7" s="18"/>
      <c r="AA7" s="18"/>
      <c r="AB7" s="18"/>
      <c r="AH7" s="392">
        <v>2</v>
      </c>
      <c r="AI7" s="108" t="s">
        <v>634</v>
      </c>
      <c r="AJ7" s="410">
        <v>953.54</v>
      </c>
      <c r="AK7" s="410">
        <v>-1059.6300000000001</v>
      </c>
      <c r="AL7" s="410">
        <v>3</v>
      </c>
      <c r="AM7" s="410">
        <v>577</v>
      </c>
      <c r="AN7" s="81"/>
      <c r="AO7" s="411">
        <v>474</v>
      </c>
      <c r="AP7" s="412">
        <v>14311</v>
      </c>
    </row>
    <row r="8" spans="1:42" x14ac:dyDescent="0.25">
      <c r="A8" s="6" t="s">
        <v>52</v>
      </c>
      <c r="B8" s="7"/>
      <c r="C8" s="8"/>
      <c r="D8" s="85">
        <f t="shared" ref="D8:P8" si="4">D5-D6-D7</f>
        <v>0</v>
      </c>
      <c r="E8" s="85">
        <f t="shared" si="4"/>
        <v>0</v>
      </c>
      <c r="F8" s="85">
        <f t="shared" si="4"/>
        <v>1991.78</v>
      </c>
      <c r="G8" s="85">
        <f t="shared" si="4"/>
        <v>4557.0700000000006</v>
      </c>
      <c r="H8" s="85">
        <f t="shared" si="4"/>
        <v>1998.7700000000002</v>
      </c>
      <c r="I8" s="85">
        <f t="shared" si="4"/>
        <v>778.61000000000013</v>
      </c>
      <c r="J8" s="85">
        <f t="shared" si="4"/>
        <v>165.18</v>
      </c>
      <c r="K8" s="85">
        <f t="shared" si="4"/>
        <v>101.29000000000008</v>
      </c>
      <c r="L8" s="85">
        <f t="shared" si="4"/>
        <v>-237.76000000000002</v>
      </c>
      <c r="M8" s="85">
        <f t="shared" si="4"/>
        <v>953.69</v>
      </c>
      <c r="N8" s="85">
        <f t="shared" si="4"/>
        <v>55.480000000000018</v>
      </c>
      <c r="O8" s="85">
        <f t="shared" si="4"/>
        <v>62.730000000000018</v>
      </c>
      <c r="P8" s="85">
        <f t="shared" si="4"/>
        <v>24.050000000000011</v>
      </c>
      <c r="Q8" s="11"/>
      <c r="R8" s="40" t="s">
        <v>16</v>
      </c>
      <c r="S8" s="45"/>
      <c r="T8" s="45"/>
      <c r="U8" s="45"/>
      <c r="V8" s="46" t="s">
        <v>5</v>
      </c>
      <c r="W8" s="18"/>
      <c r="X8" s="18"/>
      <c r="Y8" s="18"/>
      <c r="Z8" s="18"/>
      <c r="AA8" s="18"/>
      <c r="AB8" s="18"/>
      <c r="AH8" s="392">
        <v>3</v>
      </c>
      <c r="AI8" s="108" t="s">
        <v>635</v>
      </c>
      <c r="AJ8" s="417">
        <v>2.4E-2</v>
      </c>
      <c r="AK8" s="417">
        <v>8.3000000000000001E-3</v>
      </c>
      <c r="AL8" s="81"/>
      <c r="AM8" s="81"/>
      <c r="AN8" s="417">
        <v>5.0500000000000003E-2</v>
      </c>
      <c r="AO8" s="417">
        <v>2.4E-2</v>
      </c>
      <c r="AP8" s="417">
        <v>5.0500000000000003E-2</v>
      </c>
    </row>
    <row r="9" spans="1:42" ht="33.75" x14ac:dyDescent="0.25">
      <c r="A9" s="6" t="s">
        <v>24</v>
      </c>
      <c r="B9" s="7"/>
      <c r="C9" s="7"/>
      <c r="D9" s="88"/>
      <c r="E9" s="85"/>
      <c r="F9" s="85">
        <v>1243.3699999999999</v>
      </c>
      <c r="G9" s="85">
        <v>711.77</v>
      </c>
      <c r="H9" s="85">
        <v>745.16</v>
      </c>
      <c r="I9" s="85">
        <v>201.4</v>
      </c>
      <c r="J9" s="85">
        <v>151.02000000000001</v>
      </c>
      <c r="K9" s="85">
        <v>187.75</v>
      </c>
      <c r="L9" s="85">
        <v>166.78</v>
      </c>
      <c r="M9" s="11">
        <v>204.99</v>
      </c>
      <c r="N9" s="11">
        <v>197.01</v>
      </c>
      <c r="O9" s="11">
        <v>202.37</v>
      </c>
      <c r="P9" s="11">
        <v>194.17</v>
      </c>
      <c r="Q9" s="11"/>
      <c r="R9" s="49" t="s">
        <v>93</v>
      </c>
      <c r="S9" s="45"/>
      <c r="T9" s="93" t="e">
        <f>D14/(D11-D9)</f>
        <v>#DIV/0!</v>
      </c>
      <c r="U9" s="93" t="e">
        <f>E14/(E11-E9)</f>
        <v>#DIV/0!</v>
      </c>
      <c r="V9" s="93">
        <f>F14/(F11-F9)</f>
        <v>0.24267033630022303</v>
      </c>
      <c r="W9" s="93">
        <f>G14/(G11-G9)</f>
        <v>8.6400962329229516E-2</v>
      </c>
      <c r="X9" s="93">
        <f>H14/(H11-H9)</f>
        <v>0.36364974541172373</v>
      </c>
      <c r="Y9" s="18"/>
      <c r="Z9" s="18"/>
      <c r="AA9" s="18"/>
      <c r="AB9" s="18"/>
      <c r="AH9" s="392">
        <v>4</v>
      </c>
      <c r="AI9" s="108" t="s">
        <v>636</v>
      </c>
      <c r="AJ9" s="417">
        <v>1.4E-3</v>
      </c>
      <c r="AK9" s="417">
        <v>3.5000000000000001E-3</v>
      </c>
      <c r="AL9" s="81"/>
      <c r="AM9" s="81"/>
      <c r="AN9" s="417">
        <v>2.2700000000000001E-2</v>
      </c>
      <c r="AO9" s="417">
        <v>1.4E-3</v>
      </c>
      <c r="AP9" s="417">
        <v>2.2700000000000001E-2</v>
      </c>
    </row>
    <row r="10" spans="1:42" ht="22.5" x14ac:dyDescent="0.25">
      <c r="A10" s="6" t="s">
        <v>53</v>
      </c>
      <c r="B10" s="10">
        <f t="shared" ref="B10:I10" si="5">B6-B9</f>
        <v>0</v>
      </c>
      <c r="C10" s="10">
        <f t="shared" si="5"/>
        <v>0</v>
      </c>
      <c r="D10" s="89">
        <f t="shared" si="5"/>
        <v>0</v>
      </c>
      <c r="E10" s="89">
        <f t="shared" si="5"/>
        <v>0</v>
      </c>
      <c r="F10" s="89">
        <f t="shared" si="5"/>
        <v>-516.6099999999999</v>
      </c>
      <c r="G10" s="89">
        <f t="shared" si="5"/>
        <v>-483.62</v>
      </c>
      <c r="H10" s="89">
        <f>H6-H9</f>
        <v>990.37</v>
      </c>
      <c r="I10" s="89">
        <f t="shared" si="5"/>
        <v>170.37999999999997</v>
      </c>
      <c r="J10" s="89">
        <f t="shared" ref="J10:O10" si="6">J6-J9</f>
        <v>211.03</v>
      </c>
      <c r="K10" s="89">
        <f t="shared" si="6"/>
        <v>346.90999999999997</v>
      </c>
      <c r="L10" s="89">
        <f t="shared" si="6"/>
        <v>251.51000000000002</v>
      </c>
      <c r="M10" s="89">
        <f t="shared" si="6"/>
        <v>262.05</v>
      </c>
      <c r="N10" s="89">
        <f t="shared" si="6"/>
        <v>292.71000000000004</v>
      </c>
      <c r="O10" s="89">
        <f t="shared" si="6"/>
        <v>226.51</v>
      </c>
      <c r="P10" s="89">
        <f t="shared" ref="P10" si="7">P6-P9</f>
        <v>230.91</v>
      </c>
      <c r="Q10" s="11"/>
      <c r="R10" s="42" t="s">
        <v>92</v>
      </c>
      <c r="S10" s="43"/>
      <c r="T10" s="44" t="e">
        <f>D14/D11</f>
        <v>#DIV/0!</v>
      </c>
      <c r="U10" s="44" t="e">
        <f>E14/E11</f>
        <v>#DIV/0!</v>
      </c>
      <c r="V10" s="44">
        <f>F14/F11</f>
        <v>0.13168097581790225</v>
      </c>
      <c r="W10" s="44">
        <f>G14/G11</f>
        <v>7.3549387488976464E-2</v>
      </c>
      <c r="X10" s="44">
        <f>H14/H11</f>
        <v>0.29108534397343544</v>
      </c>
      <c r="Y10" s="18"/>
      <c r="Z10" s="18"/>
      <c r="AA10" s="18"/>
      <c r="AB10" s="18"/>
      <c r="AH10" s="392">
        <v>5</v>
      </c>
      <c r="AI10" s="108" t="s">
        <v>637</v>
      </c>
      <c r="AJ10" s="417">
        <v>0.16039999999999999</v>
      </c>
      <c r="AK10" s="417">
        <v>-4.8099999999999997E-2</v>
      </c>
      <c r="AL10" s="81"/>
      <c r="AM10" s="81"/>
      <c r="AN10" s="417">
        <v>-0.12659999999999999</v>
      </c>
      <c r="AO10" s="417">
        <v>4.4999999999999997E-3</v>
      </c>
      <c r="AP10" s="417">
        <v>4.0000000000000002E-4</v>
      </c>
    </row>
    <row r="11" spans="1:42" ht="30" x14ac:dyDescent="0.25">
      <c r="A11" s="6" t="s">
        <v>1</v>
      </c>
      <c r="B11" s="10">
        <f>B5-B9</f>
        <v>0</v>
      </c>
      <c r="C11" s="10">
        <f t="shared" ref="C11:I11" si="8">SUM(C6:C8)</f>
        <v>0</v>
      </c>
      <c r="D11" s="89">
        <f t="shared" si="8"/>
        <v>0</v>
      </c>
      <c r="E11" s="89">
        <f t="shared" si="8"/>
        <v>0</v>
      </c>
      <c r="F11" s="89">
        <f>SUM(F6:F8)</f>
        <v>2718.54</v>
      </c>
      <c r="G11" s="89">
        <f>SUM(G6:G8)</f>
        <v>4785.22</v>
      </c>
      <c r="H11" s="89">
        <f>SUM(H6:H8)</f>
        <v>3734.3</v>
      </c>
      <c r="I11" s="89">
        <f t="shared" si="8"/>
        <v>1150.3900000000001</v>
      </c>
      <c r="J11" s="89">
        <f t="shared" ref="J11:O11" si="9">SUM(J6:J8)</f>
        <v>527.23</v>
      </c>
      <c r="K11" s="89">
        <f t="shared" si="9"/>
        <v>635.95000000000005</v>
      </c>
      <c r="L11" s="89">
        <f t="shared" si="9"/>
        <v>180.53</v>
      </c>
      <c r="M11" s="89">
        <f t="shared" si="9"/>
        <v>1420.73</v>
      </c>
      <c r="N11" s="89">
        <f t="shared" si="9"/>
        <v>545.20000000000005</v>
      </c>
      <c r="O11" s="89">
        <f t="shared" si="9"/>
        <v>491.61</v>
      </c>
      <c r="P11" s="89">
        <f t="shared" ref="P11" si="10">SUM(P6:P8)</f>
        <v>449.13</v>
      </c>
      <c r="Q11" s="11"/>
      <c r="R11" s="42" t="s">
        <v>17</v>
      </c>
      <c r="S11" s="43"/>
      <c r="T11" s="44" t="e">
        <f>D14/AVERAGE(C22:D22)</f>
        <v>#DIV/0!</v>
      </c>
      <c r="U11" s="44" t="e">
        <f>E14/AVERAGE(D22:E22)</f>
        <v>#DIV/0!</v>
      </c>
      <c r="V11" s="44">
        <f>F14/AVERAGE(E22:F22)</f>
        <v>1.0740225923373509E-2</v>
      </c>
      <c r="W11" s="44">
        <f>G14/AVERAGE(F22:G22)</f>
        <v>1.0595350629489365E-2</v>
      </c>
      <c r="X11" s="44">
        <f>H14/AVERAGE(G22:H22)</f>
        <v>3.4557441414089229E-2</v>
      </c>
      <c r="Y11" s="18"/>
      <c r="Z11" s="18"/>
      <c r="AA11" s="18"/>
      <c r="AB11" s="18"/>
      <c r="AH11" s="392">
        <v>6</v>
      </c>
      <c r="AI11" s="413" t="s">
        <v>638</v>
      </c>
      <c r="AJ11" s="410"/>
      <c r="AK11" s="81"/>
      <c r="AL11" s="81"/>
      <c r="AM11" s="81"/>
      <c r="AN11" s="81"/>
      <c r="AO11" s="408"/>
      <c r="AP11" s="408"/>
    </row>
    <row r="12" spans="1:42" ht="30" x14ac:dyDescent="0.25">
      <c r="A12" s="6" t="s">
        <v>91</v>
      </c>
      <c r="B12" s="10"/>
      <c r="C12" s="10"/>
      <c r="D12" s="89"/>
      <c r="E12" s="89"/>
      <c r="F12" s="89">
        <v>101.68</v>
      </c>
      <c r="G12" s="89">
        <v>51.91</v>
      </c>
      <c r="H12" s="89">
        <v>90.91</v>
      </c>
      <c r="I12" s="89">
        <v>7.96</v>
      </c>
      <c r="J12" s="89">
        <v>7.1</v>
      </c>
      <c r="K12" s="89">
        <v>62.89</v>
      </c>
      <c r="L12" s="89">
        <v>8.52</v>
      </c>
      <c r="M12" s="11">
        <v>12.96</v>
      </c>
      <c r="N12" s="11">
        <v>11.43</v>
      </c>
      <c r="O12" s="11">
        <v>30.73</v>
      </c>
      <c r="P12" s="11">
        <v>7.71</v>
      </c>
      <c r="Q12" s="11"/>
      <c r="R12" s="40" t="s">
        <v>18</v>
      </c>
      <c r="S12" s="45"/>
      <c r="T12" s="45"/>
      <c r="U12" s="45"/>
      <c r="V12" s="46" t="s">
        <v>5</v>
      </c>
      <c r="W12" s="18"/>
      <c r="X12" s="18"/>
      <c r="Y12" s="18"/>
      <c r="Z12" s="18"/>
      <c r="AA12" s="53"/>
      <c r="AB12" s="54"/>
      <c r="AH12" s="392">
        <v>7</v>
      </c>
      <c r="AI12" s="413" t="s">
        <v>639</v>
      </c>
      <c r="AJ12" s="410"/>
      <c r="AK12" s="81"/>
      <c r="AL12" s="81"/>
      <c r="AM12" s="81"/>
      <c r="AN12" s="81"/>
      <c r="AO12" s="408"/>
      <c r="AP12" s="408"/>
    </row>
    <row r="13" spans="1:42" x14ac:dyDescent="0.25">
      <c r="A13" s="6" t="s">
        <v>25</v>
      </c>
      <c r="B13" s="7"/>
      <c r="C13" s="7"/>
      <c r="D13" s="88">
        <f t="shared" ref="D13:P13" si="11">D11+D12</f>
        <v>0</v>
      </c>
      <c r="E13" s="88">
        <f t="shared" si="11"/>
        <v>0</v>
      </c>
      <c r="F13" s="88">
        <f t="shared" si="11"/>
        <v>2820.22</v>
      </c>
      <c r="G13" s="88">
        <f t="shared" si="11"/>
        <v>4837.13</v>
      </c>
      <c r="H13" s="88">
        <f t="shared" si="11"/>
        <v>3825.21</v>
      </c>
      <c r="I13" s="88">
        <f>I11+I12</f>
        <v>1158.3500000000001</v>
      </c>
      <c r="J13" s="88">
        <f t="shared" si="11"/>
        <v>534.33000000000004</v>
      </c>
      <c r="K13" s="88">
        <f t="shared" si="11"/>
        <v>698.84</v>
      </c>
      <c r="L13" s="88">
        <f t="shared" si="11"/>
        <v>189.05</v>
      </c>
      <c r="M13" s="88">
        <f t="shared" si="11"/>
        <v>1433.69</v>
      </c>
      <c r="N13" s="88">
        <f t="shared" si="11"/>
        <v>556.63</v>
      </c>
      <c r="O13" s="88">
        <f t="shared" si="11"/>
        <v>522.34</v>
      </c>
      <c r="P13" s="88">
        <f t="shared" si="11"/>
        <v>456.84</v>
      </c>
      <c r="Q13" s="11"/>
      <c r="R13" s="42" t="s">
        <v>19</v>
      </c>
      <c r="S13" s="43"/>
      <c r="T13" s="44" t="e">
        <f>D24/D23</f>
        <v>#DIV/0!</v>
      </c>
      <c r="U13" s="44" t="e">
        <f>E24/E23</f>
        <v>#DIV/0!</v>
      </c>
      <c r="V13" s="44">
        <f>F24/F23</f>
        <v>0</v>
      </c>
      <c r="W13" s="44">
        <f>G24/G23</f>
        <v>5.8404903212252543E-2</v>
      </c>
      <c r="X13" s="44">
        <f>H24/H23</f>
        <v>0</v>
      </c>
      <c r="Y13" s="48">
        <v>2.8000000000000001E-2</v>
      </c>
      <c r="Z13" s="48">
        <v>1.54E-2</v>
      </c>
      <c r="AA13" s="48">
        <v>8.3000000000000001E-3</v>
      </c>
      <c r="AB13" s="48">
        <v>5.0500000000000003E-2</v>
      </c>
      <c r="AC13" s="80">
        <v>2.4E-2</v>
      </c>
      <c r="AD13" s="80">
        <v>5.1000000000000004E-3</v>
      </c>
      <c r="AE13" s="80">
        <v>1.4999999999999999E-2</v>
      </c>
      <c r="AF13" s="80">
        <v>0.02</v>
      </c>
      <c r="AH13" s="392">
        <v>8</v>
      </c>
      <c r="AI13" s="108" t="s">
        <v>640</v>
      </c>
      <c r="AJ13" s="95" t="e">
        <f>AJ11/AJ12</f>
        <v>#DIV/0!</v>
      </c>
      <c r="AK13" s="81"/>
      <c r="AL13" s="81"/>
      <c r="AM13" s="81"/>
      <c r="AN13" s="81"/>
      <c r="AO13" s="81"/>
      <c r="AP13" s="81"/>
    </row>
    <row r="14" spans="1:42" x14ac:dyDescent="0.25">
      <c r="A14" s="6" t="s">
        <v>26</v>
      </c>
      <c r="B14" s="7"/>
      <c r="C14" s="7"/>
      <c r="D14" s="85"/>
      <c r="E14" s="85"/>
      <c r="F14" s="85">
        <f>40.09+135.86+22.12+159.91</f>
        <v>357.98</v>
      </c>
      <c r="G14" s="85">
        <f>227+23+83.86+18.09</f>
        <v>351.95</v>
      </c>
      <c r="H14" s="85">
        <f>10.55+153.91+672.63+249.91</f>
        <v>1087</v>
      </c>
      <c r="I14" s="85">
        <f>1.15+33.22+2.41+72.14</f>
        <v>108.92</v>
      </c>
      <c r="J14" s="85">
        <f>4.19+42.66+2.52+48.68</f>
        <v>98.05</v>
      </c>
      <c r="K14" s="85">
        <f>6.17+42.17+2.31+51.37</f>
        <v>102.02000000000001</v>
      </c>
      <c r="L14" s="85">
        <f>2.04+9.82+2.13+60.38</f>
        <v>74.37</v>
      </c>
      <c r="M14" s="11">
        <f>79.11+34.47+664.3</f>
        <v>777.88</v>
      </c>
      <c r="N14" s="11">
        <f>1.88+46.09+4.39+44.27</f>
        <v>96.63000000000001</v>
      </c>
      <c r="O14" s="11">
        <f>2.95+57.28+4.32+45.75</f>
        <v>110.30000000000001</v>
      </c>
      <c r="P14" s="11">
        <f>8.85+57.3+4.63+55.75</f>
        <v>126.52999999999999</v>
      </c>
      <c r="Q14" s="11"/>
      <c r="R14" s="42" t="s">
        <v>20</v>
      </c>
      <c r="S14" s="43"/>
      <c r="T14" s="44" t="e">
        <f>D25/D23</f>
        <v>#DIV/0!</v>
      </c>
      <c r="U14" s="44" t="e">
        <f>E25/E23</f>
        <v>#DIV/0!</v>
      </c>
      <c r="V14" s="44">
        <f>F25/F23</f>
        <v>0</v>
      </c>
      <c r="W14" s="44">
        <f>G25/G23</f>
        <v>2.5400932140108742E-2</v>
      </c>
      <c r="X14" s="44">
        <f>H25/H23</f>
        <v>0</v>
      </c>
      <c r="Y14" s="48">
        <v>1.4999999999999999E-2</v>
      </c>
      <c r="Z14" s="48">
        <v>6.8999999999999999E-3</v>
      </c>
      <c r="AA14" s="48">
        <v>3.5000000000000001E-3</v>
      </c>
      <c r="AB14" s="48">
        <v>2.2700000000000001E-2</v>
      </c>
      <c r="AC14" s="80">
        <v>1.4E-3</v>
      </c>
      <c r="AD14" s="80">
        <v>2.3E-3</v>
      </c>
      <c r="AE14" s="80">
        <v>5.1000000000000004E-3</v>
      </c>
      <c r="AF14" s="80">
        <v>7.7999999999999996E-3</v>
      </c>
      <c r="AH14" s="392">
        <v>9</v>
      </c>
      <c r="AI14" s="108" t="s">
        <v>641</v>
      </c>
      <c r="AJ14" s="417"/>
      <c r="AK14" s="81"/>
      <c r="AL14" s="81"/>
      <c r="AM14" s="81"/>
      <c r="AN14" s="81"/>
      <c r="AO14" s="408"/>
      <c r="AP14" s="408"/>
    </row>
    <row r="15" spans="1:42" x14ac:dyDescent="0.25">
      <c r="A15" s="6" t="s">
        <v>54</v>
      </c>
      <c r="B15" s="10"/>
      <c r="C15" s="10"/>
      <c r="D15" s="89">
        <f t="shared" ref="D15:K15" si="12">D11-D14</f>
        <v>0</v>
      </c>
      <c r="E15" s="89">
        <f t="shared" si="12"/>
        <v>0</v>
      </c>
      <c r="F15" s="89">
        <f t="shared" si="12"/>
        <v>2360.56</v>
      </c>
      <c r="G15" s="89">
        <f t="shared" si="12"/>
        <v>4433.2700000000004</v>
      </c>
      <c r="H15" s="89">
        <f>H11-H14</f>
        <v>2647.3</v>
      </c>
      <c r="I15" s="89">
        <f t="shared" si="12"/>
        <v>1041.47</v>
      </c>
      <c r="J15" s="89">
        <f t="shared" si="12"/>
        <v>429.18</v>
      </c>
      <c r="K15" s="89">
        <f t="shared" si="12"/>
        <v>533.93000000000006</v>
      </c>
      <c r="L15" s="89">
        <f>L11-L14</f>
        <v>106.16</v>
      </c>
      <c r="M15" s="89">
        <f>M11-M14</f>
        <v>642.85</v>
      </c>
      <c r="N15" s="89">
        <f>N11-N14</f>
        <v>448.57000000000005</v>
      </c>
      <c r="O15" s="89">
        <f>O11-O14</f>
        <v>381.31</v>
      </c>
      <c r="P15" s="89">
        <f>P11-P14</f>
        <v>322.60000000000002</v>
      </c>
      <c r="Q15" s="11"/>
      <c r="R15" s="42" t="s">
        <v>21</v>
      </c>
      <c r="S15" s="43"/>
      <c r="T15" s="44" t="e">
        <f t="shared" ref="T15:Y15" si="13">(T13-T14)/T13</f>
        <v>#DIV/0!</v>
      </c>
      <c r="U15" s="44" t="e">
        <f t="shared" si="13"/>
        <v>#DIV/0!</v>
      </c>
      <c r="V15" s="44" t="e">
        <f t="shared" si="13"/>
        <v>#DIV/0!</v>
      </c>
      <c r="W15" s="44">
        <f t="shared" si="13"/>
        <v>0.56508904658573289</v>
      </c>
      <c r="X15" s="44" t="e">
        <f t="shared" si="13"/>
        <v>#DIV/0!</v>
      </c>
      <c r="Y15" s="44">
        <f t="shared" si="13"/>
        <v>0.4642857142857143</v>
      </c>
      <c r="Z15" s="18"/>
      <c r="AA15" s="18"/>
      <c r="AB15" s="18"/>
      <c r="AH15" s="392">
        <v>10</v>
      </c>
      <c r="AI15" s="108" t="s">
        <v>642</v>
      </c>
      <c r="AJ15" s="417">
        <v>0.25600000000000001</v>
      </c>
      <c r="AK15" s="81"/>
      <c r="AL15" s="81"/>
      <c r="AM15" s="81"/>
      <c r="AN15" s="81"/>
      <c r="AO15" s="408"/>
      <c r="AP15" s="408"/>
    </row>
    <row r="16" spans="1:42" x14ac:dyDescent="0.25">
      <c r="A16" s="6" t="s">
        <v>94</v>
      </c>
      <c r="B16" s="10"/>
      <c r="C16" s="10"/>
      <c r="D16" s="89">
        <f t="shared" ref="D16:J16" si="14">D13-D14-D9</f>
        <v>0</v>
      </c>
      <c r="E16" s="89">
        <f t="shared" si="14"/>
        <v>0</v>
      </c>
      <c r="F16" s="89">
        <f t="shared" si="14"/>
        <v>1218.8699999999999</v>
      </c>
      <c r="G16" s="89">
        <f t="shared" si="14"/>
        <v>3773.4100000000003</v>
      </c>
      <c r="H16" s="89">
        <f>H13-H14-H9</f>
        <v>1993.0500000000002</v>
      </c>
      <c r="I16" s="89">
        <f t="shared" si="14"/>
        <v>848.03000000000009</v>
      </c>
      <c r="J16" s="89">
        <f t="shared" si="14"/>
        <v>285.26</v>
      </c>
      <c r="K16" s="89">
        <f t="shared" ref="K16:P16" si="15">K13-K14-K9</f>
        <v>409.07000000000005</v>
      </c>
      <c r="L16" s="89">
        <f t="shared" si="15"/>
        <v>-52.099999999999994</v>
      </c>
      <c r="M16" s="89">
        <f t="shared" si="15"/>
        <v>450.82000000000005</v>
      </c>
      <c r="N16" s="89">
        <f t="shared" si="15"/>
        <v>262.99</v>
      </c>
      <c r="O16" s="89">
        <f t="shared" si="15"/>
        <v>209.67000000000002</v>
      </c>
      <c r="P16" s="89">
        <f t="shared" si="15"/>
        <v>136.14000000000001</v>
      </c>
      <c r="Q16" s="11"/>
      <c r="R16" s="42" t="s">
        <v>22</v>
      </c>
      <c r="S16" s="43"/>
      <c r="T16" s="44" t="e">
        <f>D17/AVERAGE(C23:D23)</f>
        <v>#DIV/0!</v>
      </c>
      <c r="U16" s="44" t="e">
        <f>E17/AVERAGE(D23:E23)</f>
        <v>#DIV/0!</v>
      </c>
      <c r="V16" s="44">
        <f>F17/AVERAGE(E23:F23)</f>
        <v>2.9834255192517796E-3</v>
      </c>
      <c r="W16" s="44">
        <f>G17/AVERAGE(F23:G23)</f>
        <v>3.5452887311131741E-4</v>
      </c>
      <c r="X16" s="44">
        <f>H17/AVERAGE(G23:H23)</f>
        <v>4.4812917778965615E-3</v>
      </c>
      <c r="Y16" s="44">
        <f t="shared" ref="Y16:AF16" si="16">(I17*4)/I23</f>
        <v>-3.3080684897253119E-3</v>
      </c>
      <c r="Z16" s="44">
        <f t="shared" si="16"/>
        <v>-9.1853663127812318E-2</v>
      </c>
      <c r="AA16" s="44">
        <f t="shared" si="16"/>
        <v>-4.8145965979283473E-2</v>
      </c>
      <c r="AB16" s="44">
        <f t="shared" si="16"/>
        <v>-0.12664957058072648</v>
      </c>
      <c r="AC16" s="44">
        <f t="shared" si="16"/>
        <v>0.16043049794019437</v>
      </c>
      <c r="AD16" s="44">
        <f t="shared" si="16"/>
        <v>-0.14372771474878443</v>
      </c>
      <c r="AE16" s="44">
        <f t="shared" si="16"/>
        <v>3.288020177249202E-2</v>
      </c>
      <c r="AF16" s="44">
        <f t="shared" si="16"/>
        <v>-4.734258633845744E-3</v>
      </c>
      <c r="AI16" s="414"/>
    </row>
    <row r="17" spans="1:35" x14ac:dyDescent="0.25">
      <c r="A17" s="6" t="s">
        <v>27</v>
      </c>
      <c r="B17" s="7"/>
      <c r="C17" s="7"/>
      <c r="D17" s="88"/>
      <c r="E17" s="85"/>
      <c r="F17" s="85">
        <v>31.43</v>
      </c>
      <c r="G17" s="85">
        <v>3.42</v>
      </c>
      <c r="H17" s="85">
        <v>43.05</v>
      </c>
      <c r="I17" s="85">
        <v>-8.07</v>
      </c>
      <c r="J17" s="85">
        <v>-241.54</v>
      </c>
      <c r="K17" s="85">
        <v>-126.66</v>
      </c>
      <c r="L17" s="85">
        <v>-277.31</v>
      </c>
      <c r="M17" s="11">
        <v>419.32</v>
      </c>
      <c r="N17" s="11">
        <v>-399.06</v>
      </c>
      <c r="O17" s="11">
        <v>88.29</v>
      </c>
      <c r="P17" s="11">
        <v>-13.51</v>
      </c>
      <c r="Q17" s="11"/>
      <c r="R17" s="18"/>
      <c r="S17" s="18"/>
      <c r="T17" s="18"/>
      <c r="U17" s="18"/>
      <c r="V17" s="18"/>
      <c r="W17" s="18"/>
      <c r="X17" s="18"/>
      <c r="Y17" s="18"/>
      <c r="Z17" s="18"/>
      <c r="AA17" s="18"/>
      <c r="AB17" s="18"/>
      <c r="AI17" s="415" t="s">
        <v>643</v>
      </c>
    </row>
    <row r="18" spans="1:35" x14ac:dyDescent="0.25">
      <c r="A18" s="6" t="s">
        <v>55</v>
      </c>
      <c r="B18" s="7"/>
      <c r="C18" s="7"/>
      <c r="D18" s="88"/>
      <c r="E18" s="85"/>
      <c r="F18" s="89">
        <v>964.2</v>
      </c>
      <c r="G18" s="89">
        <v>14310.9</v>
      </c>
      <c r="H18" s="89">
        <v>474.05</v>
      </c>
      <c r="I18" s="89">
        <v>577.04</v>
      </c>
      <c r="J18" s="89">
        <v>3</v>
      </c>
      <c r="K18" s="89">
        <v>-1059.53</v>
      </c>
      <c r="L18" s="89">
        <v>-56.88</v>
      </c>
      <c r="M18" s="11">
        <v>953.54</v>
      </c>
      <c r="N18" s="11">
        <v>228.07</v>
      </c>
      <c r="O18" s="11">
        <v>115.69</v>
      </c>
      <c r="P18" s="11">
        <v>183.3</v>
      </c>
      <c r="Q18" s="11"/>
      <c r="R18" s="40" t="s">
        <v>30</v>
      </c>
      <c r="S18" s="45"/>
      <c r="T18" s="45"/>
      <c r="U18" s="45"/>
      <c r="V18" s="46" t="s">
        <v>5</v>
      </c>
      <c r="W18" s="18"/>
      <c r="X18" s="18"/>
      <c r="Y18" s="18"/>
      <c r="Z18" s="18"/>
      <c r="AA18" s="18"/>
      <c r="AB18" s="18"/>
      <c r="AI18" s="416" t="s">
        <v>644</v>
      </c>
    </row>
    <row r="19" spans="1:35" ht="22.5" x14ac:dyDescent="0.25">
      <c r="A19" s="6" t="s">
        <v>28</v>
      </c>
      <c r="B19" s="7"/>
      <c r="C19" s="7"/>
      <c r="D19" s="88"/>
      <c r="E19" s="85"/>
      <c r="F19" s="85">
        <v>24085.52</v>
      </c>
      <c r="G19" s="85">
        <v>24034.46</v>
      </c>
      <c r="H19" s="85">
        <f>21591.56-336.33</f>
        <v>21255.23</v>
      </c>
      <c r="I19" s="85"/>
      <c r="J19" s="85">
        <v>21717.02</v>
      </c>
      <c r="K19" s="85"/>
      <c r="L19" s="85">
        <v>24034.46</v>
      </c>
      <c r="M19" s="11">
        <v>21255.23</v>
      </c>
      <c r="N19" s="11"/>
      <c r="O19" s="11">
        <f>21765.64-280.15-9.84</f>
        <v>21475.649999999998</v>
      </c>
      <c r="P19" s="11"/>
      <c r="Q19" s="11"/>
      <c r="R19" s="46" t="s">
        <v>95</v>
      </c>
      <c r="S19" s="51"/>
      <c r="T19" s="51"/>
      <c r="U19" s="52" t="e">
        <f>E16/AVERAGE(D22:E22)</f>
        <v>#DIV/0!</v>
      </c>
      <c r="V19" s="52">
        <f>F16/AVERAGE(E22:F22)</f>
        <v>3.6568912149344282E-2</v>
      </c>
      <c r="W19" s="52">
        <f>G16/AVERAGE(F22:G22)</f>
        <v>0.11359739172843152</v>
      </c>
      <c r="X19" s="52">
        <f>H16/AVERAGE(G22:H22)</f>
        <v>6.3362197433625159E-2</v>
      </c>
      <c r="Y19" s="18"/>
      <c r="Z19" s="18"/>
      <c r="AA19" s="18"/>
      <c r="AB19" s="18"/>
    </row>
    <row r="20" spans="1:35" x14ac:dyDescent="0.25">
      <c r="A20" s="6" t="s">
        <v>56</v>
      </c>
      <c r="B20" s="7"/>
      <c r="C20" s="7"/>
      <c r="D20" s="88">
        <f t="shared" ref="D20:O20" si="17">D19-D71</f>
        <v>0</v>
      </c>
      <c r="E20" s="89">
        <f t="shared" si="17"/>
        <v>0</v>
      </c>
      <c r="F20" s="89">
        <f t="shared" si="17"/>
        <v>24085.52</v>
      </c>
      <c r="G20" s="89">
        <f t="shared" si="17"/>
        <v>24034.46</v>
      </c>
      <c r="H20" s="89">
        <f t="shared" si="17"/>
        <v>21255.23</v>
      </c>
      <c r="I20" s="89"/>
      <c r="J20" s="89">
        <f t="shared" si="17"/>
        <v>21717.02</v>
      </c>
      <c r="K20" s="89">
        <f t="shared" si="17"/>
        <v>0</v>
      </c>
      <c r="L20" s="89">
        <f t="shared" si="17"/>
        <v>24034.46</v>
      </c>
      <c r="M20" s="89">
        <f t="shared" si="17"/>
        <v>21255.23</v>
      </c>
      <c r="N20" s="89">
        <f t="shared" si="17"/>
        <v>0</v>
      </c>
      <c r="O20" s="89">
        <f t="shared" si="17"/>
        <v>21475.649999999998</v>
      </c>
      <c r="P20" s="440"/>
      <c r="Q20" s="11"/>
      <c r="R20" s="42" t="s">
        <v>31</v>
      </c>
      <c r="S20" s="43"/>
      <c r="T20" s="43">
        <v>4.4699999999999997E-2</v>
      </c>
      <c r="U20" s="44" t="e">
        <f>E18/AVERAGE(D22:E22)</f>
        <v>#DIV/0!</v>
      </c>
      <c r="V20" s="44">
        <f>F18/AVERAGE(E22:F22)</f>
        <v>2.8928224580470244E-2</v>
      </c>
      <c r="W20" s="44">
        <f>G18/AVERAGE(F22:G22)</f>
        <v>0.43082541077868836</v>
      </c>
      <c r="X20" s="44">
        <f>H18/AVERAGE(G22:H22)</f>
        <v>1.5070795862326587E-2</v>
      </c>
      <c r="Y20" s="48"/>
      <c r="Z20" s="18"/>
      <c r="AA20" s="18"/>
      <c r="AB20" s="18"/>
    </row>
    <row r="21" spans="1:35" x14ac:dyDescent="0.25">
      <c r="A21" s="6" t="s">
        <v>57</v>
      </c>
      <c r="B21" s="9"/>
      <c r="C21" s="9"/>
      <c r="D21" s="85"/>
      <c r="E21" s="85"/>
      <c r="F21" s="85">
        <f>5318.73+2351.94+700.75</f>
        <v>8371.42</v>
      </c>
      <c r="G21" s="85">
        <f>4322.18+4322.67+70.41</f>
        <v>8715.26</v>
      </c>
      <c r="H21" s="85">
        <f>3704.54+4141.35+25.15</f>
        <v>7871.04</v>
      </c>
      <c r="I21" s="85"/>
      <c r="J21" s="85">
        <f>2587.21+5321.13+10.31</f>
        <v>7918.6500000000005</v>
      </c>
      <c r="K21" s="85"/>
      <c r="L21" s="85">
        <f>4322.18+4322.67+70.41</f>
        <v>8715.26</v>
      </c>
      <c r="M21" s="11">
        <v>7871.04</v>
      </c>
      <c r="N21" s="11"/>
      <c r="O21" s="11">
        <f>3261.48+4238.08+96.07</f>
        <v>7595.6299999999992</v>
      </c>
      <c r="P21" s="11"/>
      <c r="Q21" s="11"/>
      <c r="R21" s="42" t="s">
        <v>32</v>
      </c>
      <c r="S21" s="43"/>
      <c r="T21" s="44" t="e">
        <f>D18/AVERAGE(C19:D19)</f>
        <v>#DIV/0!</v>
      </c>
      <c r="U21" s="44" t="e">
        <f>E18/AVERAGE(D19:E19)</f>
        <v>#DIV/0!</v>
      </c>
      <c r="V21" s="44">
        <f>F18/AVERAGE(E19:F19)</f>
        <v>4.0032351387887827E-2</v>
      </c>
      <c r="W21" s="44">
        <f>G18/AVERAGE(F19:G19)</f>
        <v>0.59480074596872234</v>
      </c>
      <c r="X21" s="44">
        <f>H18/AVERAGE(G19:H19)</f>
        <v>2.0934124300696251E-2</v>
      </c>
      <c r="Y21" s="18"/>
      <c r="Z21" s="18"/>
      <c r="AA21" s="18"/>
      <c r="AB21" s="18"/>
    </row>
    <row r="22" spans="1:35" x14ac:dyDescent="0.25">
      <c r="A22" s="6" t="s">
        <v>29</v>
      </c>
      <c r="B22" s="7"/>
      <c r="C22" s="7"/>
      <c r="D22" s="88"/>
      <c r="E22" s="85"/>
      <c r="F22" s="85">
        <v>33330.769999999997</v>
      </c>
      <c r="G22" s="85">
        <v>33104.03</v>
      </c>
      <c r="H22" s="85">
        <v>29805.72</v>
      </c>
      <c r="I22" s="85"/>
      <c r="J22" s="85">
        <v>30138.97</v>
      </c>
      <c r="K22" s="85"/>
      <c r="L22" s="85">
        <v>33104.03</v>
      </c>
      <c r="M22" s="11">
        <v>29805.72</v>
      </c>
      <c r="N22" s="11"/>
      <c r="O22" s="11">
        <v>29739.68</v>
      </c>
      <c r="P22" s="11"/>
      <c r="Q22" s="11"/>
      <c r="R22" s="40" t="s">
        <v>33</v>
      </c>
      <c r="S22" s="45"/>
      <c r="T22" s="45"/>
      <c r="U22" s="45"/>
      <c r="V22" s="46" t="s">
        <v>5</v>
      </c>
      <c r="W22" s="18"/>
      <c r="X22" s="18"/>
      <c r="Y22" s="18"/>
      <c r="Z22" s="18"/>
      <c r="AA22" s="18"/>
      <c r="AB22" s="18"/>
    </row>
    <row r="23" spans="1:35" x14ac:dyDescent="0.25">
      <c r="A23" s="6" t="s">
        <v>58</v>
      </c>
      <c r="B23" s="7"/>
      <c r="C23" s="7"/>
      <c r="D23" s="88"/>
      <c r="E23" s="85"/>
      <c r="F23" s="85">
        <v>10534.87</v>
      </c>
      <c r="G23" s="85">
        <v>8758.34</v>
      </c>
      <c r="H23" s="85">
        <v>10454.870000000001</v>
      </c>
      <c r="I23" s="85">
        <v>9757.9599999999991</v>
      </c>
      <c r="J23" s="85">
        <v>10518.47</v>
      </c>
      <c r="K23" s="85">
        <v>10523</v>
      </c>
      <c r="L23" s="85">
        <v>8758.34</v>
      </c>
      <c r="M23" s="11">
        <v>10454.870000000001</v>
      </c>
      <c r="N23" s="11">
        <v>11106</v>
      </c>
      <c r="O23" s="11">
        <v>10740.81</v>
      </c>
      <c r="P23" s="11">
        <v>11414.67</v>
      </c>
      <c r="Q23" s="11"/>
      <c r="R23" s="42" t="s">
        <v>34</v>
      </c>
      <c r="S23" s="43"/>
      <c r="T23" s="44" t="e">
        <f>D6/AVERAGE(C23:D23)</f>
        <v>#DIV/0!</v>
      </c>
      <c r="U23" s="44" t="e">
        <f>E6/AVERAGE(D23:E23)</f>
        <v>#DIV/0!</v>
      </c>
      <c r="V23" s="44">
        <f>F6/AVERAGE(E23:F23)</f>
        <v>6.8986138414617357E-2</v>
      </c>
      <c r="W23" s="44">
        <f>G6/AVERAGE(F23:G23)</f>
        <v>2.3650807719399727E-2</v>
      </c>
      <c r="X23" s="44">
        <f>H6/AVERAGE(G23:H23)</f>
        <v>0.18066007710320139</v>
      </c>
      <c r="Y23" s="18"/>
      <c r="Z23" s="18"/>
      <c r="AA23" s="18"/>
      <c r="AB23" s="18"/>
    </row>
    <row r="24" spans="1:35" x14ac:dyDescent="0.25">
      <c r="A24" s="6" t="s">
        <v>59</v>
      </c>
      <c r="B24" s="10"/>
      <c r="C24" s="10"/>
      <c r="D24" s="89"/>
      <c r="E24" s="89"/>
      <c r="F24" s="89"/>
      <c r="G24" s="89">
        <v>511.53</v>
      </c>
      <c r="H24" s="89"/>
      <c r="I24" s="89"/>
      <c r="J24" s="89"/>
      <c r="K24" s="89"/>
      <c r="L24" s="89"/>
      <c r="M24" s="11"/>
      <c r="N24" s="11"/>
      <c r="O24" s="11"/>
      <c r="P24" s="11"/>
      <c r="Q24" s="11"/>
      <c r="R24" s="42" t="s">
        <v>35</v>
      </c>
      <c r="S24" s="43"/>
      <c r="T24" s="44" t="e">
        <f>D9/AVERAGE(C21:D21)</f>
        <v>#DIV/0!</v>
      </c>
      <c r="U24" s="44" t="e">
        <f>E9/AVERAGE(D21:E21)</f>
        <v>#DIV/0!</v>
      </c>
      <c r="V24" s="44">
        <f>F9/AVERAGE(E21:F21)</f>
        <v>0.14852557869513175</v>
      </c>
      <c r="W24" s="44">
        <f>G9/AVERAGE(F21:G21)</f>
        <v>8.3312849541280098E-2</v>
      </c>
      <c r="X24" s="44">
        <f>H9/AVERAGE(G21:H21)</f>
        <v>8.9852468603606586E-2</v>
      </c>
      <c r="Y24" s="18"/>
      <c r="Z24" s="18"/>
      <c r="AA24" s="18"/>
      <c r="AB24" s="18"/>
    </row>
    <row r="25" spans="1:35" x14ac:dyDescent="0.25">
      <c r="A25" s="6" t="s">
        <v>60</v>
      </c>
      <c r="B25" s="10"/>
      <c r="C25" s="10"/>
      <c r="D25" s="89"/>
      <c r="E25" s="89"/>
      <c r="F25" s="89"/>
      <c r="G25" s="89">
        <v>222.47</v>
      </c>
      <c r="H25" s="89"/>
      <c r="I25" s="89"/>
      <c r="J25" s="89"/>
      <c r="K25" s="89"/>
      <c r="L25" s="89"/>
      <c r="M25" s="11"/>
      <c r="N25" s="11"/>
      <c r="O25" s="11"/>
      <c r="P25" s="11"/>
      <c r="Q25" s="11"/>
      <c r="R25" s="42" t="s">
        <v>36</v>
      </c>
      <c r="S25" s="43"/>
      <c r="T25" s="48" t="e">
        <f>T23-T24</f>
        <v>#DIV/0!</v>
      </c>
      <c r="U25" s="48" t="e">
        <f>U23-U24</f>
        <v>#DIV/0!</v>
      </c>
      <c r="V25" s="48">
        <f>V23-V24</f>
        <v>-7.9539440280514392E-2</v>
      </c>
      <c r="W25" s="48">
        <f>W23-W24</f>
        <v>-5.9662041821880368E-2</v>
      </c>
      <c r="X25" s="48">
        <f>X23-X24</f>
        <v>9.0807608499594808E-2</v>
      </c>
      <c r="Y25" s="18"/>
      <c r="Z25" s="18"/>
      <c r="AA25" s="18"/>
      <c r="AB25" s="18"/>
    </row>
    <row r="26" spans="1:35" x14ac:dyDescent="0.25">
      <c r="R26" s="407" t="s">
        <v>645</v>
      </c>
      <c r="AF26" s="436">
        <v>4.4800000000000004</v>
      </c>
    </row>
    <row r="28" spans="1:35" x14ac:dyDescent="0.25">
      <c r="AC28">
        <v>1833.1</v>
      </c>
    </row>
    <row r="29" spans="1:35" x14ac:dyDescent="0.25">
      <c r="A29" s="129"/>
      <c r="AC29">
        <v>1766.54</v>
      </c>
      <c r="AD29" t="s">
        <v>419</v>
      </c>
    </row>
  </sheetData>
  <mergeCells count="3">
    <mergeCell ref="J1:L1"/>
    <mergeCell ref="AH3:AI4"/>
    <mergeCell ref="AJ5:AP5"/>
  </mergeCells>
  <pageMargins left="0.7" right="0.7" top="0.75" bottom="0.75" header="0.3" footer="0.3"/>
  <pageSetup paperSize="9" orientation="portrait" r:id="rId1"/>
  <legacy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5"/>
  <sheetViews>
    <sheetView topLeftCell="S12" workbookViewId="0">
      <selection activeCell="AF15" sqref="AF15"/>
    </sheetView>
  </sheetViews>
  <sheetFormatPr defaultRowHeight="15" x14ac:dyDescent="0.25"/>
  <cols>
    <col min="1" max="1" width="28.140625" customWidth="1"/>
    <col min="4" max="4" width="11.28515625" customWidth="1"/>
    <col min="5" max="5" width="11.42578125" customWidth="1"/>
    <col min="6" max="6" width="11.7109375" customWidth="1"/>
    <col min="7" max="9" width="11.5703125" customWidth="1"/>
    <col min="11" max="11" width="11.28515625" bestFit="1" customWidth="1"/>
    <col min="12" max="12" width="10.140625" bestFit="1" customWidth="1"/>
    <col min="13" max="13" width="11.28515625" bestFit="1" customWidth="1"/>
    <col min="15" max="15" width="12.42578125" bestFit="1" customWidth="1"/>
    <col min="16" max="16" width="12.42578125" customWidth="1"/>
    <col min="18" max="18" width="28.7109375" customWidth="1"/>
    <col min="21" max="21" width="12.7109375" customWidth="1"/>
    <col min="22" max="22" width="13.140625" customWidth="1"/>
    <col min="23" max="25" width="15" customWidth="1"/>
  </cols>
  <sheetData>
    <row r="1" spans="1:32" x14ac:dyDescent="0.25">
      <c r="K1" s="772" t="s">
        <v>119</v>
      </c>
      <c r="L1" s="772"/>
      <c r="M1" s="772"/>
    </row>
    <row r="2" spans="1:32" ht="45" x14ac:dyDescent="0.25">
      <c r="A2" s="3" t="s">
        <v>4</v>
      </c>
      <c r="B2" s="1" t="s">
        <v>43</v>
      </c>
      <c r="C2" s="1" t="s">
        <v>41</v>
      </c>
      <c r="D2" s="2" t="s">
        <v>44</v>
      </c>
      <c r="E2" s="2" t="s">
        <v>0</v>
      </c>
      <c r="F2" s="3" t="s">
        <v>45</v>
      </c>
      <c r="G2" s="3" t="s">
        <v>42</v>
      </c>
      <c r="H2" s="3" t="s">
        <v>495</v>
      </c>
      <c r="I2" s="3" t="s">
        <v>556</v>
      </c>
      <c r="J2" s="3" t="s">
        <v>37</v>
      </c>
      <c r="K2" s="3" t="s">
        <v>38</v>
      </c>
      <c r="L2" s="3" t="s">
        <v>39</v>
      </c>
      <c r="M2" s="3" t="s">
        <v>40</v>
      </c>
      <c r="N2" s="11"/>
      <c r="O2" s="11"/>
      <c r="P2" s="11"/>
      <c r="Q2" s="11"/>
      <c r="R2" s="40" t="s">
        <v>6</v>
      </c>
      <c r="S2" s="41" t="s">
        <v>7</v>
      </c>
      <c r="T2" s="41" t="s">
        <v>8</v>
      </c>
      <c r="U2" s="41" t="s">
        <v>9</v>
      </c>
      <c r="V2" s="40" t="s">
        <v>10</v>
      </c>
      <c r="W2" s="41" t="s">
        <v>90</v>
      </c>
      <c r="X2" s="41" t="s">
        <v>492</v>
      </c>
      <c r="Y2" s="41" t="s">
        <v>556</v>
      </c>
      <c r="Z2" s="40" t="s">
        <v>37</v>
      </c>
      <c r="AA2" s="41" t="s">
        <v>38</v>
      </c>
      <c r="AB2" s="41" t="s">
        <v>39</v>
      </c>
      <c r="AC2" s="41" t="s">
        <v>40</v>
      </c>
    </row>
    <row r="3" spans="1:32" x14ac:dyDescent="0.25">
      <c r="A3" s="3"/>
      <c r="B3" s="1" t="s">
        <v>46</v>
      </c>
      <c r="C3" s="4" t="s">
        <v>47</v>
      </c>
      <c r="D3" s="5" t="s">
        <v>47</v>
      </c>
      <c r="E3" s="5" t="s">
        <v>47</v>
      </c>
      <c r="F3" s="1" t="s">
        <v>46</v>
      </c>
      <c r="G3" s="1" t="s">
        <v>46</v>
      </c>
      <c r="H3" s="1" t="s">
        <v>46</v>
      </c>
      <c r="I3" s="1" t="s">
        <v>46</v>
      </c>
      <c r="J3" s="1" t="s">
        <v>96</v>
      </c>
      <c r="K3" s="1"/>
      <c r="L3" s="1"/>
      <c r="M3" s="1"/>
      <c r="N3" s="11"/>
      <c r="O3" s="11"/>
      <c r="P3" s="11"/>
      <c r="Q3" s="11"/>
      <c r="R3" s="42" t="s">
        <v>11</v>
      </c>
      <c r="S3" s="43"/>
      <c r="T3" s="44" t="e">
        <f t="shared" ref="T3:Y3" si="0">D10/AVERAGE(C23:D23)</f>
        <v>#DIV/0!</v>
      </c>
      <c r="U3" s="44" t="e">
        <f t="shared" si="0"/>
        <v>#DIV/0!</v>
      </c>
      <c r="V3" s="44">
        <f t="shared" si="0"/>
        <v>3.1845841764688243E-2</v>
      </c>
      <c r="W3" s="44">
        <f t="shared" si="0"/>
        <v>3.9597030522694275E-2</v>
      </c>
      <c r="X3" s="44">
        <f t="shared" si="0"/>
        <v>4.6851767009141225E-2</v>
      </c>
      <c r="Y3" s="44">
        <f t="shared" si="0"/>
        <v>4.3365027229660846E-2</v>
      </c>
      <c r="Z3" s="18"/>
      <c r="AA3" s="18"/>
      <c r="AB3" s="18"/>
      <c r="AC3" s="18"/>
    </row>
    <row r="4" spans="1:32" x14ac:dyDescent="0.25">
      <c r="A4" s="3"/>
      <c r="B4" s="1" t="s">
        <v>48</v>
      </c>
      <c r="C4" s="1" t="s">
        <v>48</v>
      </c>
      <c r="D4" s="5" t="s">
        <v>49</v>
      </c>
      <c r="E4" s="5" t="s">
        <v>49</v>
      </c>
      <c r="F4" s="5" t="s">
        <v>49</v>
      </c>
      <c r="G4" s="5" t="s">
        <v>49</v>
      </c>
      <c r="H4" s="5" t="s">
        <v>49</v>
      </c>
      <c r="I4" s="5" t="s">
        <v>49</v>
      </c>
      <c r="J4" s="5"/>
      <c r="K4" s="5"/>
      <c r="L4" s="5"/>
      <c r="M4" s="5"/>
      <c r="N4" s="11"/>
      <c r="O4" s="11"/>
      <c r="P4" s="11"/>
      <c r="Q4" s="11"/>
      <c r="R4" s="40" t="s">
        <v>12</v>
      </c>
      <c r="S4" s="45"/>
      <c r="T4" s="45"/>
      <c r="U4" s="45"/>
      <c r="V4" s="46" t="s">
        <v>5</v>
      </c>
      <c r="W4" s="18"/>
      <c r="X4" s="18"/>
      <c r="Y4" s="18"/>
      <c r="Z4" s="18"/>
      <c r="AA4" s="18"/>
      <c r="AB4" s="18"/>
      <c r="AC4" s="18"/>
    </row>
    <row r="5" spans="1:32" x14ac:dyDescent="0.25">
      <c r="A5" s="6" t="s">
        <v>23</v>
      </c>
      <c r="B5" s="7"/>
      <c r="C5" s="8"/>
      <c r="F5" s="85">
        <v>128055.74</v>
      </c>
      <c r="G5" s="90">
        <v>121515.72</v>
      </c>
      <c r="H5" s="90">
        <v>140524.82</v>
      </c>
      <c r="I5" s="90">
        <v>183507.19</v>
      </c>
      <c r="J5" s="85">
        <v>41773.089999999997</v>
      </c>
      <c r="K5" s="85">
        <v>45395.02</v>
      </c>
      <c r="L5" s="85">
        <v>47103.519999999997</v>
      </c>
      <c r="M5" s="85">
        <v>49613.07</v>
      </c>
      <c r="N5" s="11">
        <v>54049.27</v>
      </c>
      <c r="O5" s="11">
        <v>63795.29</v>
      </c>
      <c r="P5" s="11">
        <v>69675.64</v>
      </c>
      <c r="Q5" s="11"/>
      <c r="R5" s="42" t="s">
        <v>13</v>
      </c>
      <c r="S5" s="46"/>
      <c r="T5" s="47" t="e">
        <f t="shared" ref="T5:Y5" si="1">D21/D20</f>
        <v>#DIV/0!</v>
      </c>
      <c r="U5" s="47" t="e">
        <f t="shared" si="1"/>
        <v>#DIV/0!</v>
      </c>
      <c r="V5" s="47">
        <f t="shared" si="1"/>
        <v>7.0352495788936054</v>
      </c>
      <c r="W5" s="47">
        <f t="shared" si="1"/>
        <v>6.226209634589563</v>
      </c>
      <c r="X5" s="47">
        <f t="shared" si="1"/>
        <v>6.0656728584221113</v>
      </c>
      <c r="Y5" s="47">
        <f t="shared" si="1"/>
        <v>7.2273916631621233</v>
      </c>
      <c r="Z5" s="18"/>
      <c r="AA5" s="18"/>
      <c r="AB5" s="18"/>
      <c r="AC5" s="18"/>
    </row>
    <row r="6" spans="1:32" x14ac:dyDescent="0.25">
      <c r="A6" s="6" t="s">
        <v>50</v>
      </c>
      <c r="B6" s="7"/>
      <c r="C6" s="8"/>
      <c r="F6" s="85">
        <v>123104.59</v>
      </c>
      <c r="G6" s="85">
        <v>117243.57</v>
      </c>
      <c r="H6" s="85">
        <v>135595.41</v>
      </c>
      <c r="I6" s="85">
        <v>170124.56</v>
      </c>
      <c r="J6" s="85">
        <v>40175.360000000001</v>
      </c>
      <c r="K6" s="85">
        <v>42224.67</v>
      </c>
      <c r="L6" s="85">
        <v>43760.73</v>
      </c>
      <c r="M6" s="85">
        <v>45685.58</v>
      </c>
      <c r="N6" s="11">
        <v>50175.28</v>
      </c>
      <c r="O6" s="11">
        <v>57372.12</v>
      </c>
      <c r="P6" s="11">
        <v>64386.31</v>
      </c>
      <c r="Q6" s="11"/>
      <c r="R6" s="42" t="s">
        <v>14</v>
      </c>
      <c r="S6" s="43"/>
      <c r="T6" s="43"/>
      <c r="U6" s="43"/>
      <c r="V6" s="43">
        <v>0.21729999999999999</v>
      </c>
      <c r="W6" s="48">
        <v>0.2394</v>
      </c>
      <c r="X6" s="48">
        <v>0.21579999999999999</v>
      </c>
      <c r="Y6" s="48">
        <v>0.16789999999999999</v>
      </c>
      <c r="Z6" s="48"/>
      <c r="AA6" s="18"/>
      <c r="AB6" s="18"/>
      <c r="AC6" s="48"/>
    </row>
    <row r="7" spans="1:32" x14ac:dyDescent="0.25">
      <c r="A7" s="6" t="s">
        <v>51</v>
      </c>
      <c r="B7" s="7"/>
      <c r="C7" s="8"/>
      <c r="D7" s="87"/>
      <c r="E7" s="85"/>
      <c r="F7" s="85">
        <v>0</v>
      </c>
      <c r="G7" s="85">
        <v>0</v>
      </c>
      <c r="H7" s="85"/>
      <c r="I7" s="85"/>
      <c r="J7" s="85"/>
      <c r="K7" s="85"/>
      <c r="L7" s="85"/>
      <c r="M7" s="85"/>
      <c r="N7" s="11"/>
      <c r="O7" s="11"/>
      <c r="P7" s="11"/>
      <c r="Q7" s="11"/>
      <c r="R7" s="42" t="s">
        <v>15</v>
      </c>
      <c r="S7" s="43"/>
      <c r="T7" s="44" t="e">
        <f t="shared" ref="T7:Y7" si="2">D20/D23</f>
        <v>#DIV/0!</v>
      </c>
      <c r="U7" s="44" t="e">
        <f t="shared" si="2"/>
        <v>#DIV/0!</v>
      </c>
      <c r="V7" s="44">
        <f t="shared" si="2"/>
        <v>0.12670618689995564</v>
      </c>
      <c r="W7" s="44">
        <f t="shared" si="2"/>
        <v>0.14189731727547317</v>
      </c>
      <c r="X7" s="44">
        <f t="shared" si="2"/>
        <v>0.14252573203125563</v>
      </c>
      <c r="Y7" s="44">
        <f t="shared" si="2"/>
        <v>0.12342248413118737</v>
      </c>
      <c r="Z7" s="18"/>
      <c r="AA7" s="18"/>
      <c r="AB7" s="18"/>
      <c r="AC7" s="18"/>
    </row>
    <row r="8" spans="1:32" x14ac:dyDescent="0.25">
      <c r="A8" s="6" t="s">
        <v>52</v>
      </c>
      <c r="B8" s="7"/>
      <c r="C8" s="8"/>
      <c r="D8" s="85">
        <f t="shared" ref="D8:J8" si="3">D5-D6-D7</f>
        <v>0</v>
      </c>
      <c r="E8" s="85">
        <f t="shared" si="3"/>
        <v>0</v>
      </c>
      <c r="F8" s="85">
        <f t="shared" si="3"/>
        <v>4951.1500000000087</v>
      </c>
      <c r="G8" s="85">
        <f t="shared" si="3"/>
        <v>4272.1499999999942</v>
      </c>
      <c r="H8" s="85">
        <f t="shared" si="3"/>
        <v>4929.4100000000035</v>
      </c>
      <c r="I8" s="85">
        <f t="shared" si="3"/>
        <v>13382.630000000005</v>
      </c>
      <c r="J8" s="85">
        <f t="shared" si="3"/>
        <v>1597.7299999999959</v>
      </c>
      <c r="K8" s="85">
        <f t="shared" ref="K8:P8" si="4">K5-K6-K7</f>
        <v>3170.3499999999985</v>
      </c>
      <c r="L8" s="85">
        <f t="shared" si="4"/>
        <v>3342.7899999999936</v>
      </c>
      <c r="M8" s="85">
        <f t="shared" si="4"/>
        <v>3927.489999999998</v>
      </c>
      <c r="N8" s="85">
        <f t="shared" si="4"/>
        <v>3873.989999999998</v>
      </c>
      <c r="O8" s="85">
        <f t="shared" si="4"/>
        <v>6423.1699999999983</v>
      </c>
      <c r="P8" s="85">
        <f t="shared" si="4"/>
        <v>5289.3300000000017</v>
      </c>
      <c r="Q8" s="11"/>
      <c r="R8" s="40" t="s">
        <v>16</v>
      </c>
      <c r="S8" s="45"/>
      <c r="T8" s="45"/>
      <c r="U8" s="45"/>
      <c r="V8" s="46" t="s">
        <v>5</v>
      </c>
      <c r="W8" s="18"/>
      <c r="X8" s="18"/>
      <c r="Y8" s="18"/>
      <c r="Z8" s="18"/>
      <c r="AA8" s="18"/>
      <c r="AB8" s="18"/>
      <c r="AC8" s="18"/>
    </row>
    <row r="9" spans="1:32" ht="33.75" x14ac:dyDescent="0.25">
      <c r="A9" s="6" t="s">
        <v>24</v>
      </c>
      <c r="B9" s="7"/>
      <c r="C9" s="7"/>
      <c r="D9" s="88"/>
      <c r="E9" s="85"/>
      <c r="F9" s="85">
        <v>84922.79</v>
      </c>
      <c r="G9" s="85">
        <v>69493.52</v>
      </c>
      <c r="H9" s="85">
        <v>74836.990000000005</v>
      </c>
      <c r="I9" s="85">
        <v>101423.5</v>
      </c>
      <c r="J9" s="85">
        <v>22820.25</v>
      </c>
      <c r="K9" s="85">
        <v>24544.1</v>
      </c>
      <c r="L9" s="85">
        <v>26064.13</v>
      </c>
      <c r="M9" s="85">
        <v>27995.01</v>
      </c>
      <c r="N9" s="11">
        <v>31102.25</v>
      </c>
      <c r="O9" s="11">
        <v>35679.69</v>
      </c>
      <c r="P9" s="11">
        <v>40642.25</v>
      </c>
      <c r="Q9" s="11"/>
      <c r="R9" s="49" t="s">
        <v>93</v>
      </c>
      <c r="S9" s="45"/>
      <c r="T9" s="93" t="e">
        <f t="shared" ref="T9:Y9" si="5">D14/(D11-D9)</f>
        <v>#DIV/0!</v>
      </c>
      <c r="U9" s="93" t="e">
        <f t="shared" si="5"/>
        <v>#DIV/0!</v>
      </c>
      <c r="V9" s="93">
        <f t="shared" si="5"/>
        <v>0.39828715633871542</v>
      </c>
      <c r="W9" s="93">
        <f t="shared" si="5"/>
        <v>0.3716724782881155</v>
      </c>
      <c r="X9" s="93">
        <f t="shared" si="5"/>
        <v>0.42350203987557511</v>
      </c>
      <c r="Y9" s="93">
        <f t="shared" si="5"/>
        <v>0.5393645193094998</v>
      </c>
      <c r="Z9" s="18"/>
      <c r="AA9" s="18"/>
      <c r="AB9" s="18"/>
      <c r="AC9" s="18"/>
    </row>
    <row r="10" spans="1:32" ht="22.5" x14ac:dyDescent="0.25">
      <c r="A10" s="6" t="s">
        <v>53</v>
      </c>
      <c r="B10" s="10">
        <f t="shared" ref="B10:J10" si="6">B6-B9</f>
        <v>0</v>
      </c>
      <c r="C10" s="10">
        <f t="shared" si="6"/>
        <v>0</v>
      </c>
      <c r="D10" s="89">
        <f t="shared" si="6"/>
        <v>0</v>
      </c>
      <c r="E10" s="89">
        <f t="shared" si="6"/>
        <v>0</v>
      </c>
      <c r="F10" s="89">
        <f t="shared" si="6"/>
        <v>38181.800000000003</v>
      </c>
      <c r="G10" s="89">
        <f t="shared" si="6"/>
        <v>47750.05</v>
      </c>
      <c r="H10" s="89">
        <f>H6-H9</f>
        <v>60758.42</v>
      </c>
      <c r="I10" s="89">
        <f>I6-I9</f>
        <v>68701.06</v>
      </c>
      <c r="J10" s="89">
        <f t="shared" si="6"/>
        <v>17355.11</v>
      </c>
      <c r="K10" s="89">
        <f t="shared" ref="K10:P10" si="7">K6-K9</f>
        <v>17680.57</v>
      </c>
      <c r="L10" s="89">
        <f t="shared" si="7"/>
        <v>17696.600000000002</v>
      </c>
      <c r="M10" s="89">
        <f t="shared" si="7"/>
        <v>17690.570000000003</v>
      </c>
      <c r="N10" s="89">
        <f t="shared" si="7"/>
        <v>19073.03</v>
      </c>
      <c r="O10" s="89">
        <f t="shared" si="7"/>
        <v>21692.43</v>
      </c>
      <c r="P10" s="89">
        <f t="shared" si="7"/>
        <v>23744.059999999998</v>
      </c>
      <c r="Q10" s="11"/>
      <c r="R10" s="42" t="s">
        <v>92</v>
      </c>
      <c r="S10" s="43"/>
      <c r="T10" s="44" t="e">
        <f t="shared" ref="T10:Y10" si="8">D14/D11</f>
        <v>#DIV/0!</v>
      </c>
      <c r="U10" s="44" t="e">
        <f t="shared" si="8"/>
        <v>#DIV/0!</v>
      </c>
      <c r="V10" s="44">
        <f t="shared" si="8"/>
        <v>0.13415486100037374</v>
      </c>
      <c r="W10" s="44">
        <f t="shared" si="8"/>
        <v>0.15911702617570797</v>
      </c>
      <c r="X10" s="44">
        <f t="shared" si="8"/>
        <v>0.19796453039399017</v>
      </c>
      <c r="Y10" s="44">
        <f t="shared" si="8"/>
        <v>0.24126046505316767</v>
      </c>
      <c r="Z10" s="18"/>
      <c r="AA10" s="18"/>
      <c r="AB10" s="18"/>
      <c r="AC10" s="18"/>
    </row>
    <row r="11" spans="1:32" ht="22.5" x14ac:dyDescent="0.25">
      <c r="A11" s="6" t="s">
        <v>1</v>
      </c>
      <c r="B11" s="10">
        <f>B5-B9</f>
        <v>0</v>
      </c>
      <c r="C11" s="10">
        <f t="shared" ref="C11:J11" si="9">SUM(C6:C8)</f>
        <v>0</v>
      </c>
      <c r="D11" s="89">
        <f t="shared" si="9"/>
        <v>0</v>
      </c>
      <c r="E11" s="89">
        <f t="shared" si="9"/>
        <v>0</v>
      </c>
      <c r="F11" s="89">
        <f>SUM(F6:F8)</f>
        <v>128055.74</v>
      </c>
      <c r="G11" s="89">
        <f>SUM(G6:G8)</f>
        <v>121515.72</v>
      </c>
      <c r="H11" s="89">
        <f>SUM(H6:H8)</f>
        <v>140524.82</v>
      </c>
      <c r="I11" s="89">
        <f>SUM(I6:I8)</f>
        <v>183507.19</v>
      </c>
      <c r="J11" s="89">
        <f t="shared" si="9"/>
        <v>41773.089999999997</v>
      </c>
      <c r="K11" s="89">
        <f t="shared" ref="K11:P11" si="10">SUM(K6:K8)</f>
        <v>45395.02</v>
      </c>
      <c r="L11" s="89">
        <f t="shared" si="10"/>
        <v>47103.519999999997</v>
      </c>
      <c r="M11" s="89">
        <f t="shared" si="10"/>
        <v>49613.07</v>
      </c>
      <c r="N11" s="89">
        <f t="shared" si="10"/>
        <v>54049.27</v>
      </c>
      <c r="O11" s="89">
        <f t="shared" si="10"/>
        <v>63795.29</v>
      </c>
      <c r="P11" s="89">
        <f t="shared" si="10"/>
        <v>69675.64</v>
      </c>
      <c r="Q11" s="11"/>
      <c r="R11" s="42" t="s">
        <v>17</v>
      </c>
      <c r="S11" s="43"/>
      <c r="T11" s="44" t="e">
        <f t="shared" ref="T11:Y11" si="11">D14/AVERAGE(C22:D22)</f>
        <v>#DIV/0!</v>
      </c>
      <c r="U11" s="44" t="e">
        <f t="shared" si="11"/>
        <v>#DIV/0!</v>
      </c>
      <c r="V11" s="44">
        <f t="shared" si="11"/>
        <v>1.3881385771373133E-2</v>
      </c>
      <c r="W11" s="44">
        <f t="shared" si="11"/>
        <v>1.5488941900494459E-2</v>
      </c>
      <c r="X11" s="44">
        <f t="shared" si="11"/>
        <v>2.0867185446200059E-2</v>
      </c>
      <c r="Y11" s="44">
        <f t="shared" si="11"/>
        <v>2.7216941753718547E-2</v>
      </c>
      <c r="Z11" s="18"/>
      <c r="AA11" s="18"/>
      <c r="AB11" s="18"/>
      <c r="AC11" s="18"/>
    </row>
    <row r="12" spans="1:32" x14ac:dyDescent="0.25">
      <c r="A12" s="6" t="s">
        <v>91</v>
      </c>
      <c r="B12" s="10"/>
      <c r="C12" s="10"/>
      <c r="D12" s="89"/>
      <c r="E12" s="89"/>
      <c r="F12" s="89">
        <v>435.28</v>
      </c>
      <c r="G12" s="89">
        <v>108.6</v>
      </c>
      <c r="H12" s="89">
        <v>219.95</v>
      </c>
      <c r="I12" s="89">
        <v>115.87</v>
      </c>
      <c r="J12" s="89">
        <v>20.57</v>
      </c>
      <c r="K12" s="89">
        <v>21.58</v>
      </c>
      <c r="L12" s="89">
        <v>18.100000000000001</v>
      </c>
      <c r="M12" s="89">
        <v>55.61</v>
      </c>
      <c r="N12" s="11">
        <v>95.24</v>
      </c>
      <c r="O12" s="11">
        <v>0</v>
      </c>
      <c r="P12" s="11">
        <v>0</v>
      </c>
      <c r="Q12" s="11"/>
      <c r="R12" s="40" t="s">
        <v>18</v>
      </c>
      <c r="S12" s="45"/>
      <c r="T12" s="45"/>
      <c r="U12" s="45"/>
      <c r="V12" s="46" t="s">
        <v>5</v>
      </c>
      <c r="W12" s="18"/>
      <c r="X12" s="18"/>
      <c r="Y12" s="18"/>
      <c r="Z12" s="18"/>
      <c r="AA12" s="18"/>
      <c r="AB12" s="53"/>
      <c r="AC12" s="54"/>
    </row>
    <row r="13" spans="1:32" x14ac:dyDescent="0.25">
      <c r="A13" s="6" t="s">
        <v>25</v>
      </c>
      <c r="B13" s="7"/>
      <c r="C13" s="7"/>
      <c r="D13" s="88">
        <f t="shared" ref="D13:J13" si="12">D11+D12</f>
        <v>0</v>
      </c>
      <c r="E13" s="88">
        <f t="shared" si="12"/>
        <v>0</v>
      </c>
      <c r="F13" s="88">
        <f t="shared" si="12"/>
        <v>128491.02</v>
      </c>
      <c r="G13" s="88">
        <f t="shared" si="12"/>
        <v>121624.32000000001</v>
      </c>
      <c r="H13" s="88">
        <f t="shared" si="12"/>
        <v>140744.77000000002</v>
      </c>
      <c r="I13" s="88">
        <f t="shared" si="12"/>
        <v>183623.06</v>
      </c>
      <c r="J13" s="88">
        <f t="shared" si="12"/>
        <v>41793.659999999996</v>
      </c>
      <c r="K13" s="88">
        <f t="shared" ref="K13:P13" si="13">K11+K12</f>
        <v>45416.6</v>
      </c>
      <c r="L13" s="88">
        <f t="shared" si="13"/>
        <v>47121.619999999995</v>
      </c>
      <c r="M13" s="88">
        <f t="shared" si="13"/>
        <v>49668.68</v>
      </c>
      <c r="N13" s="88">
        <f t="shared" si="13"/>
        <v>54144.509999999995</v>
      </c>
      <c r="O13" s="88">
        <f t="shared" si="13"/>
        <v>63795.29</v>
      </c>
      <c r="P13" s="88">
        <f t="shared" si="13"/>
        <v>69675.64</v>
      </c>
      <c r="Q13" s="11"/>
      <c r="R13" s="42" t="s">
        <v>19</v>
      </c>
      <c r="S13" s="43"/>
      <c r="T13" s="44" t="e">
        <f t="shared" ref="T13:Y13" si="14">D24/D23</f>
        <v>#DIV/0!</v>
      </c>
      <c r="U13" s="44" t="e">
        <f t="shared" si="14"/>
        <v>#DIV/0!</v>
      </c>
      <c r="V13" s="44">
        <f t="shared" si="14"/>
        <v>2.9357020562769731E-2</v>
      </c>
      <c r="W13" s="44">
        <f t="shared" si="14"/>
        <v>3.4873212461457692E-2</v>
      </c>
      <c r="X13" s="44">
        <f t="shared" si="14"/>
        <v>3.2294165078133777E-2</v>
      </c>
      <c r="Y13" s="44">
        <f t="shared" si="14"/>
        <v>1.8207462227659729E-2</v>
      </c>
      <c r="Z13" s="48"/>
      <c r="AA13" s="48">
        <v>2.63E-2</v>
      </c>
      <c r="AB13" s="48">
        <v>2.8799999999999999E-2</v>
      </c>
      <c r="AC13" s="48">
        <v>1.8200000000000001E-2</v>
      </c>
      <c r="AD13" s="80">
        <v>1.6E-2</v>
      </c>
      <c r="AE13" s="80">
        <v>1.2999999999999999E-2</v>
      </c>
      <c r="AF13" s="80">
        <v>9.9000000000000008E-3</v>
      </c>
    </row>
    <row r="14" spans="1:32" x14ac:dyDescent="0.25">
      <c r="A14" s="6" t="s">
        <v>26</v>
      </c>
      <c r="B14" s="7"/>
      <c r="C14" s="7"/>
      <c r="D14" s="85"/>
      <c r="E14" s="85"/>
      <c r="F14" s="85">
        <f>11239.33+1117.79+4822.18</f>
        <v>17179.3</v>
      </c>
      <c r="G14" s="85">
        <f>13173.98+1003.1+5158.14</f>
        <v>19335.22</v>
      </c>
      <c r="H14" s="85">
        <f>17900.77+1588.49+8329.67</f>
        <v>27818.93</v>
      </c>
      <c r="I14" s="85">
        <f>28340.95+2569.98+13362.1</f>
        <v>44273.03</v>
      </c>
      <c r="J14" s="85">
        <f>6343.53+519.38+3138.87</f>
        <v>10001.779999999999</v>
      </c>
      <c r="K14" s="85">
        <f>7061.98+617.3+2992.71</f>
        <v>10671.99</v>
      </c>
      <c r="L14" s="85">
        <f>7091.44+647.81+3553.82</f>
        <v>11293.07</v>
      </c>
      <c r="M14" s="85">
        <f>7884.01+785.49+3676.72</f>
        <v>12346.22</v>
      </c>
      <c r="N14" s="11">
        <f>8309.2+810.81+4518.25</f>
        <v>13638.26</v>
      </c>
      <c r="O14" s="11">
        <f>10371.34+1029.46+4269.54</f>
        <v>15670.34</v>
      </c>
      <c r="P14" s="11">
        <f>10814.65+1102.26+5016.31</f>
        <v>16933.22</v>
      </c>
      <c r="Q14" s="11"/>
      <c r="R14" s="42" t="s">
        <v>20</v>
      </c>
      <c r="S14" s="43"/>
      <c r="T14" s="44" t="e">
        <f t="shared" ref="T14:Y14" si="15">D25/D23</f>
        <v>#DIV/0!</v>
      </c>
      <c r="U14" s="44" t="e">
        <f t="shared" si="15"/>
        <v>#DIV/0!</v>
      </c>
      <c r="V14" s="44">
        <f t="shared" si="15"/>
        <v>2.1724929688063249E-2</v>
      </c>
      <c r="W14" s="44">
        <f t="shared" si="15"/>
        <v>2.6284610865923076E-2</v>
      </c>
      <c r="X14" s="44">
        <f t="shared" si="15"/>
        <v>2.1603214501991229E-2</v>
      </c>
      <c r="Y14" s="44">
        <f t="shared" si="15"/>
        <v>1.205765509632906E-2</v>
      </c>
      <c r="Z14" s="48"/>
      <c r="AA14" s="48">
        <v>1.7399999999999999E-2</v>
      </c>
      <c r="AB14" s="48">
        <v>1.44E-2</v>
      </c>
      <c r="AC14" s="48">
        <v>1.21E-2</v>
      </c>
      <c r="AD14" s="80">
        <v>1.06E-2</v>
      </c>
      <c r="AE14" s="80">
        <v>7.7000000000000002E-3</v>
      </c>
      <c r="AF14" s="80">
        <v>6.0000000000000001E-3</v>
      </c>
    </row>
    <row r="15" spans="1:32" x14ac:dyDescent="0.25">
      <c r="A15" s="6" t="s">
        <v>54</v>
      </c>
      <c r="B15" s="10"/>
      <c r="C15" s="10"/>
      <c r="D15" s="89">
        <f t="shared" ref="D15:J15" si="16">D11-D14</f>
        <v>0</v>
      </c>
      <c r="E15" s="89">
        <f t="shared" si="16"/>
        <v>0</v>
      </c>
      <c r="F15" s="89">
        <f t="shared" si="16"/>
        <v>110876.44</v>
      </c>
      <c r="G15" s="89">
        <f t="shared" si="16"/>
        <v>102180.5</v>
      </c>
      <c r="H15" s="89">
        <f t="shared" si="16"/>
        <v>112705.89000000001</v>
      </c>
      <c r="I15" s="89">
        <f t="shared" ref="I15" si="17">I11-I14</f>
        <v>139234.16</v>
      </c>
      <c r="J15" s="89">
        <f t="shared" si="16"/>
        <v>31771.309999999998</v>
      </c>
      <c r="K15" s="89">
        <f t="shared" ref="K15:P15" si="18">K11-K14</f>
        <v>34723.03</v>
      </c>
      <c r="L15" s="89">
        <f t="shared" si="18"/>
        <v>35810.449999999997</v>
      </c>
      <c r="M15" s="89">
        <f t="shared" si="18"/>
        <v>37266.85</v>
      </c>
      <c r="N15" s="89">
        <f t="shared" si="18"/>
        <v>40411.009999999995</v>
      </c>
      <c r="O15" s="89">
        <f t="shared" si="18"/>
        <v>48124.95</v>
      </c>
      <c r="P15" s="89">
        <f t="shared" si="18"/>
        <v>52742.42</v>
      </c>
      <c r="Q15" s="11"/>
      <c r="R15" s="42" t="s">
        <v>21</v>
      </c>
      <c r="S15" s="43"/>
      <c r="T15" s="44" t="e">
        <f t="shared" ref="T15:Z15" si="19">(T13-T14)/T13</f>
        <v>#DIV/0!</v>
      </c>
      <c r="U15" s="44" t="e">
        <f t="shared" si="19"/>
        <v>#DIV/0!</v>
      </c>
      <c r="V15" s="44">
        <f t="shared" si="19"/>
        <v>0.25997498139799036</v>
      </c>
      <c r="W15" s="44">
        <f t="shared" si="19"/>
        <v>0.24628076937353693</v>
      </c>
      <c r="X15" s="44">
        <f t="shared" si="19"/>
        <v>0.33104898517352715</v>
      </c>
      <c r="Y15" s="44">
        <f t="shared" ref="Y15" si="20">(Y13-Y14)/Y13</f>
        <v>0.33776300367594536</v>
      </c>
      <c r="Z15" s="44" t="e">
        <f t="shared" si="19"/>
        <v>#DIV/0!</v>
      </c>
      <c r="AA15" s="18"/>
      <c r="AB15" s="18"/>
      <c r="AC15" s="18"/>
    </row>
    <row r="16" spans="1:32" x14ac:dyDescent="0.25">
      <c r="A16" s="6" t="s">
        <v>94</v>
      </c>
      <c r="B16" s="10"/>
      <c r="C16" s="10"/>
      <c r="D16" s="89">
        <f t="shared" ref="D16:J16" si="21">D13-D14-D9</f>
        <v>0</v>
      </c>
      <c r="E16" s="89">
        <f t="shared" si="21"/>
        <v>0</v>
      </c>
      <c r="F16" s="89">
        <f t="shared" si="21"/>
        <v>26388.930000000008</v>
      </c>
      <c r="G16" s="89">
        <f t="shared" si="21"/>
        <v>32795.58</v>
      </c>
      <c r="H16" s="89">
        <f t="shared" si="21"/>
        <v>38088.85000000002</v>
      </c>
      <c r="I16" s="89">
        <f t="shared" ref="I16" si="22">I13-I14-I9</f>
        <v>37926.53</v>
      </c>
      <c r="J16" s="89">
        <f t="shared" si="21"/>
        <v>8971.6299999999974</v>
      </c>
      <c r="K16" s="89">
        <f t="shared" ref="K16:P16" si="23">K13-K14-K9</f>
        <v>10200.510000000002</v>
      </c>
      <c r="L16" s="89">
        <f t="shared" si="23"/>
        <v>9764.4199999999946</v>
      </c>
      <c r="M16" s="89">
        <f t="shared" si="23"/>
        <v>9327.4500000000007</v>
      </c>
      <c r="N16" s="89">
        <f t="shared" si="23"/>
        <v>9403.9999999999927</v>
      </c>
      <c r="O16" s="89">
        <f t="shared" si="23"/>
        <v>12445.259999999995</v>
      </c>
      <c r="P16" s="89">
        <f t="shared" si="23"/>
        <v>12100.169999999998</v>
      </c>
      <c r="Q16" s="11"/>
      <c r="R16" s="42" t="s">
        <v>22</v>
      </c>
      <c r="S16" s="43"/>
      <c r="T16" s="44" t="e">
        <f t="shared" ref="T16:Y16" si="24">D17/AVERAGE(C23:D23)</f>
        <v>#DIV/0!</v>
      </c>
      <c r="U16" s="44" t="e">
        <f t="shared" si="24"/>
        <v>#DIV/0!</v>
      </c>
      <c r="V16" s="44">
        <f t="shared" si="24"/>
        <v>7.2898768126127217E-3</v>
      </c>
      <c r="W16" s="44">
        <f t="shared" si="24"/>
        <v>5.346024736367601E-3</v>
      </c>
      <c r="X16" s="44">
        <f t="shared" si="24"/>
        <v>4.1582487186872892E-3</v>
      </c>
      <c r="Y16" s="44">
        <f t="shared" si="24"/>
        <v>1.7732677049857198E-4</v>
      </c>
      <c r="Z16" s="18"/>
      <c r="AA16" s="18"/>
      <c r="AB16" s="18"/>
      <c r="AC16" s="18"/>
    </row>
    <row r="17" spans="1:29" x14ac:dyDescent="0.25">
      <c r="A17" s="6" t="s">
        <v>27</v>
      </c>
      <c r="B17" s="7"/>
      <c r="C17" s="7"/>
      <c r="D17" s="88"/>
      <c r="E17" s="85"/>
      <c r="F17" s="85">
        <v>8740.25</v>
      </c>
      <c r="G17" s="85">
        <v>6446.77</v>
      </c>
      <c r="H17" s="85">
        <v>5392.51</v>
      </c>
      <c r="I17" s="85">
        <v>280.93</v>
      </c>
      <c r="J17" s="85">
        <v>145.09</v>
      </c>
      <c r="K17" s="85">
        <v>506.91</v>
      </c>
      <c r="L17" s="85">
        <v>-251.8</v>
      </c>
      <c r="M17" s="85">
        <v>-119.27</v>
      </c>
      <c r="N17" s="11">
        <v>926.97</v>
      </c>
      <c r="O17" s="11">
        <v>1248.1400000000001</v>
      </c>
      <c r="P17" s="11">
        <v>1118.4000000000001</v>
      </c>
      <c r="Q17" s="11"/>
      <c r="R17" s="18"/>
      <c r="S17" s="18"/>
      <c r="T17" s="18"/>
      <c r="U17" s="18"/>
      <c r="V17" s="18"/>
      <c r="W17" s="18"/>
      <c r="X17" s="18"/>
      <c r="Y17" s="18"/>
      <c r="Z17" s="18"/>
      <c r="AA17" s="18"/>
      <c r="AB17" s="18"/>
      <c r="AC17" s="18"/>
    </row>
    <row r="18" spans="1:29" x14ac:dyDescent="0.25">
      <c r="A18" s="6" t="s">
        <v>55</v>
      </c>
      <c r="B18" s="7"/>
      <c r="C18" s="7"/>
      <c r="D18" s="88"/>
      <c r="E18" s="85"/>
      <c r="F18" s="89">
        <v>13723.32</v>
      </c>
      <c r="G18" s="89">
        <v>19729.29</v>
      </c>
      <c r="H18" s="89">
        <v>24093.07</v>
      </c>
      <c r="I18" s="89">
        <v>29069.02</v>
      </c>
      <c r="J18" s="89">
        <v>6542.34</v>
      </c>
      <c r="K18" s="89">
        <v>7482.47</v>
      </c>
      <c r="L18" s="89">
        <v>7818.32</v>
      </c>
      <c r="M18" s="89">
        <v>7225.88</v>
      </c>
      <c r="N18" s="11">
        <v>6569.34</v>
      </c>
      <c r="O18" s="11">
        <v>7995.95</v>
      </c>
      <c r="P18" s="11">
        <v>8379.1299999999992</v>
      </c>
      <c r="Q18" s="11"/>
      <c r="R18" s="40" t="s">
        <v>30</v>
      </c>
      <c r="S18" s="45"/>
      <c r="T18" s="45"/>
      <c r="U18" s="45"/>
      <c r="V18" s="46" t="s">
        <v>5</v>
      </c>
      <c r="W18" s="18"/>
      <c r="X18" s="18"/>
      <c r="Y18" s="18"/>
      <c r="Z18" s="18"/>
      <c r="AA18" s="18"/>
      <c r="AB18" s="18"/>
      <c r="AC18" s="18"/>
    </row>
    <row r="19" spans="1:29" ht="22.5" x14ac:dyDescent="0.25">
      <c r="A19" s="6" t="s">
        <v>28</v>
      </c>
      <c r="B19" s="7"/>
      <c r="C19" s="7"/>
      <c r="D19" s="88"/>
      <c r="E19" s="85"/>
      <c r="F19" s="85">
        <v>151915.29</v>
      </c>
      <c r="G19" s="85">
        <v>172099.08</v>
      </c>
      <c r="H19" s="85">
        <v>196799.87</v>
      </c>
      <c r="I19" s="85">
        <f>225979.68-3344.21-1993.3</f>
        <v>220642.17</v>
      </c>
      <c r="J19" s="85"/>
      <c r="K19" s="85">
        <f>210880.72-204.99</f>
        <v>210675.73</v>
      </c>
      <c r="L19" s="85"/>
      <c r="M19" s="85">
        <v>220642.17</v>
      </c>
      <c r="N19" s="11"/>
      <c r="O19" s="11">
        <f>300547.26-2609.86-2166.91</f>
        <v>295770.49000000005</v>
      </c>
      <c r="P19" s="11"/>
      <c r="Q19" s="11"/>
      <c r="R19" s="46" t="s">
        <v>95</v>
      </c>
      <c r="S19" s="51"/>
      <c r="T19" s="51"/>
      <c r="U19" s="52" t="e">
        <f>E16/AVERAGE(D22:E22)</f>
        <v>#DIV/0!</v>
      </c>
      <c r="V19" s="52">
        <f>F16/AVERAGE(E22:F22)</f>
        <v>2.1323040951829336E-2</v>
      </c>
      <c r="W19" s="52">
        <f>G16/AVERAGE(F22:G22)</f>
        <v>2.6271686239567899E-2</v>
      </c>
      <c r="X19" s="52">
        <f>H16/AVERAGE(G22:H22)</f>
        <v>2.8570728506901507E-2</v>
      </c>
      <c r="Y19" s="52">
        <f>I16/AVERAGE(H22:I22)</f>
        <v>2.3315417036752602E-2</v>
      </c>
      <c r="Z19" s="18"/>
      <c r="AA19" s="18"/>
      <c r="AB19" s="18"/>
      <c r="AC19" s="18"/>
    </row>
    <row r="20" spans="1:29" x14ac:dyDescent="0.25">
      <c r="A20" s="6" t="s">
        <v>56</v>
      </c>
      <c r="B20" s="7"/>
      <c r="C20" s="7"/>
      <c r="D20" s="88">
        <f t="shared" ref="D20:J20" si="25">D19-D71</f>
        <v>0</v>
      </c>
      <c r="E20" s="89">
        <f t="shared" si="25"/>
        <v>0</v>
      </c>
      <c r="F20" s="89">
        <f t="shared" si="25"/>
        <v>151915.29</v>
      </c>
      <c r="G20" s="89">
        <f t="shared" si="25"/>
        <v>172099.08</v>
      </c>
      <c r="H20" s="89">
        <f t="shared" si="25"/>
        <v>196799.87</v>
      </c>
      <c r="I20" s="89">
        <f t="shared" si="25"/>
        <v>220642.17</v>
      </c>
      <c r="J20" s="89">
        <f t="shared" si="25"/>
        <v>0</v>
      </c>
      <c r="K20" s="89">
        <f>K19-K71</f>
        <v>210675.73</v>
      </c>
      <c r="L20" s="89">
        <f>L19-L71</f>
        <v>0</v>
      </c>
      <c r="M20" s="89">
        <f t="shared" ref="M20:O20" si="26">M19-M71</f>
        <v>220642.17</v>
      </c>
      <c r="N20" s="89">
        <f t="shared" si="26"/>
        <v>0</v>
      </c>
      <c r="O20" s="89">
        <f t="shared" si="26"/>
        <v>295770.49000000005</v>
      </c>
      <c r="P20" s="440"/>
      <c r="Q20" s="11"/>
      <c r="R20" s="42" t="s">
        <v>31</v>
      </c>
      <c r="S20" s="43"/>
      <c r="T20" s="43">
        <v>4.4699999999999997E-2</v>
      </c>
      <c r="U20" s="44" t="e">
        <f>E18/AVERAGE(D22:E22)</f>
        <v>#DIV/0!</v>
      </c>
      <c r="V20" s="44">
        <f>F18/AVERAGE(E22:F22)</f>
        <v>1.1088851058192148E-2</v>
      </c>
      <c r="W20" s="44">
        <f>G18/AVERAGE(F22:G22)</f>
        <v>1.5804621129110831E-2</v>
      </c>
      <c r="X20" s="44">
        <f>H18/AVERAGE(G22:H22)</f>
        <v>1.8072390262971267E-2</v>
      </c>
      <c r="Y20" s="44">
        <f>I18/AVERAGE(H22:I22)</f>
        <v>1.7870243445675154E-2</v>
      </c>
      <c r="Z20" s="48"/>
      <c r="AA20" s="18"/>
      <c r="AB20" s="18"/>
      <c r="AC20" s="18"/>
    </row>
    <row r="21" spans="1:29" x14ac:dyDescent="0.25">
      <c r="A21" s="6" t="s">
        <v>57</v>
      </c>
      <c r="B21" s="9"/>
      <c r="C21" s="9"/>
      <c r="D21" s="85"/>
      <c r="E21" s="85"/>
      <c r="F21" s="85">
        <f>173428.5+861134.24+34199.24</f>
        <v>1068761.98</v>
      </c>
      <c r="G21" s="85">
        <f>219114.54+818218.6+34191.81</f>
        <v>1071524.95</v>
      </c>
      <c r="H21" s="85">
        <f>269356.34+890155.86+34211.43</f>
        <v>1193723.6299999999</v>
      </c>
      <c r="I21" s="85">
        <f>537197.83+1023229+34240.55</f>
        <v>1594667.3800000001</v>
      </c>
      <c r="J21" s="85"/>
      <c r="K21" s="85">
        <f>388808.93+928488.75</f>
        <v>1317297.68</v>
      </c>
      <c r="L21" s="85"/>
      <c r="M21" s="85">
        <v>1594667.3800000001</v>
      </c>
      <c r="N21" s="11"/>
      <c r="O21" s="11">
        <f>777503.22+1134078.8</f>
        <v>1911582.02</v>
      </c>
      <c r="P21" s="11"/>
      <c r="Q21" s="11"/>
      <c r="R21" s="42" t="s">
        <v>32</v>
      </c>
      <c r="S21" s="43"/>
      <c r="T21" s="44" t="e">
        <f t="shared" ref="T21:Y21" si="27">D18/AVERAGE(C19:D19)</f>
        <v>#DIV/0!</v>
      </c>
      <c r="U21" s="44" t="e">
        <f t="shared" si="27"/>
        <v>#DIV/0!</v>
      </c>
      <c r="V21" s="44">
        <f t="shared" si="27"/>
        <v>9.0335344125005448E-2</v>
      </c>
      <c r="W21" s="44">
        <f t="shared" si="27"/>
        <v>0.12178033955716223</v>
      </c>
      <c r="X21" s="44">
        <f t="shared" si="27"/>
        <v>0.130621515729443</v>
      </c>
      <c r="Y21" s="44">
        <f t="shared" si="27"/>
        <v>0.13927212505956515</v>
      </c>
      <c r="Z21" s="18"/>
      <c r="AA21" s="18"/>
      <c r="AB21" s="18"/>
      <c r="AC21" s="18"/>
    </row>
    <row r="22" spans="1:29" x14ac:dyDescent="0.25">
      <c r="A22" s="6" t="s">
        <v>29</v>
      </c>
      <c r="B22" s="7"/>
      <c r="C22" s="7"/>
      <c r="D22" s="88"/>
      <c r="E22" s="85"/>
      <c r="F22" s="85">
        <v>1237578.17</v>
      </c>
      <c r="G22" s="85">
        <v>1259070.1000000001</v>
      </c>
      <c r="H22" s="85">
        <v>1407214.73</v>
      </c>
      <c r="I22" s="85">
        <v>1846128.75</v>
      </c>
      <c r="J22" s="85"/>
      <c r="K22" s="85">
        <v>1582023.23</v>
      </c>
      <c r="L22" s="85"/>
      <c r="M22" s="85">
        <v>1846128.75</v>
      </c>
      <c r="N22" s="11"/>
      <c r="O22" s="11">
        <v>2289831.7400000002</v>
      </c>
      <c r="P22" s="11"/>
      <c r="Q22" s="11"/>
      <c r="R22" s="40" t="s">
        <v>33</v>
      </c>
      <c r="S22" s="45"/>
      <c r="T22" s="45"/>
      <c r="U22" s="45"/>
      <c r="V22" s="46" t="s">
        <v>5</v>
      </c>
      <c r="W22" s="18"/>
      <c r="X22" s="18"/>
      <c r="Y22" s="18"/>
      <c r="Z22" s="18"/>
      <c r="AA22" s="18"/>
      <c r="AB22" s="18"/>
      <c r="AC22" s="18"/>
    </row>
    <row r="23" spans="1:29" x14ac:dyDescent="0.25">
      <c r="A23" s="6" t="s">
        <v>58</v>
      </c>
      <c r="B23" s="7"/>
      <c r="C23" s="7"/>
      <c r="D23" s="88"/>
      <c r="E23" s="85"/>
      <c r="F23" s="85">
        <v>1198957.1599999999</v>
      </c>
      <c r="G23" s="85">
        <v>1212842.3799999999</v>
      </c>
      <c r="H23" s="85">
        <v>1380802.38</v>
      </c>
      <c r="I23" s="85">
        <v>1787698.34</v>
      </c>
      <c r="J23" s="85"/>
      <c r="K23" s="85">
        <v>1503471.33</v>
      </c>
      <c r="L23" s="85"/>
      <c r="M23" s="85">
        <v>1787698.34</v>
      </c>
      <c r="N23" s="11"/>
      <c r="O23" s="11">
        <v>2199926.13</v>
      </c>
      <c r="P23" s="11"/>
      <c r="Q23" s="11"/>
      <c r="R23" s="42" t="s">
        <v>34</v>
      </c>
      <c r="S23" s="43"/>
      <c r="T23" s="44" t="e">
        <f t="shared" ref="T23:Y23" si="28">D6/AVERAGE(C23:D23)</f>
        <v>#DIV/0!</v>
      </c>
      <c r="U23" s="44" t="e">
        <f t="shared" si="28"/>
        <v>#DIV/0!</v>
      </c>
      <c r="V23" s="44">
        <f t="shared" si="28"/>
        <v>0.10267638753664894</v>
      </c>
      <c r="W23" s="44">
        <f t="shared" si="28"/>
        <v>9.7224970861384277E-2</v>
      </c>
      <c r="X23" s="44">
        <f t="shared" si="28"/>
        <v>0.10455973932220387</v>
      </c>
      <c r="Y23" s="44">
        <f t="shared" si="28"/>
        <v>0.10738489590748776</v>
      </c>
      <c r="Z23" s="18"/>
      <c r="AA23" s="18"/>
      <c r="AB23" s="18"/>
      <c r="AC23" s="18"/>
    </row>
    <row r="24" spans="1:29" x14ac:dyDescent="0.25">
      <c r="A24" s="6" t="s">
        <v>59</v>
      </c>
      <c r="B24" s="10"/>
      <c r="C24" s="10"/>
      <c r="D24" s="89"/>
      <c r="E24" s="89"/>
      <c r="F24" s="89">
        <v>35197.81</v>
      </c>
      <c r="G24" s="89">
        <v>42295.71</v>
      </c>
      <c r="H24" s="89">
        <v>44591.86</v>
      </c>
      <c r="I24" s="89">
        <v>32549.45</v>
      </c>
      <c r="J24" s="89"/>
      <c r="K24" s="89"/>
      <c r="L24" s="89"/>
      <c r="M24" s="89">
        <v>32549.45</v>
      </c>
      <c r="N24" s="11"/>
      <c r="O24" s="11"/>
      <c r="P24" s="11"/>
      <c r="Q24" s="11"/>
      <c r="R24" s="42" t="s">
        <v>35</v>
      </c>
      <c r="S24" s="43"/>
      <c r="T24" s="44" t="e">
        <f t="shared" ref="T24:Y24" si="29">D9/AVERAGE(C21:D21)</f>
        <v>#DIV/0!</v>
      </c>
      <c r="U24" s="44" t="e">
        <f t="shared" si="29"/>
        <v>#DIV/0!</v>
      </c>
      <c r="V24" s="44">
        <f t="shared" si="29"/>
        <v>7.9459029783226373E-2</v>
      </c>
      <c r="W24" s="44">
        <f t="shared" si="29"/>
        <v>6.4938508034527886E-2</v>
      </c>
      <c r="X24" s="44">
        <f t="shared" si="29"/>
        <v>6.6073975863611398E-2</v>
      </c>
      <c r="Y24" s="44">
        <f t="shared" si="29"/>
        <v>7.2746971021112286E-2</v>
      </c>
      <c r="Z24" s="18"/>
      <c r="AA24" s="18"/>
      <c r="AB24" s="18"/>
      <c r="AC24" s="18"/>
    </row>
    <row r="25" spans="1:29" x14ac:dyDescent="0.25">
      <c r="A25" s="6" t="s">
        <v>60</v>
      </c>
      <c r="B25" s="10"/>
      <c r="C25" s="10"/>
      <c r="D25" s="89"/>
      <c r="E25" s="89"/>
      <c r="F25" s="89">
        <v>26047.26</v>
      </c>
      <c r="G25" s="89">
        <v>31879.09</v>
      </c>
      <c r="H25" s="89">
        <v>29829.77</v>
      </c>
      <c r="I25" s="89">
        <v>21555.45</v>
      </c>
      <c r="J25" s="89"/>
      <c r="K25" s="89"/>
      <c r="L25" s="89"/>
      <c r="M25" s="89">
        <v>21555.45</v>
      </c>
      <c r="N25" s="11"/>
      <c r="O25" s="11"/>
      <c r="P25" s="11"/>
      <c r="Q25" s="11"/>
      <c r="R25" s="42" t="s">
        <v>36</v>
      </c>
      <c r="S25" s="43"/>
      <c r="T25" s="48" t="e">
        <f t="shared" ref="T25:Y25" si="30">T23-T24</f>
        <v>#DIV/0!</v>
      </c>
      <c r="U25" s="48" t="e">
        <f t="shared" si="30"/>
        <v>#DIV/0!</v>
      </c>
      <c r="V25" s="48">
        <f t="shared" si="30"/>
        <v>2.3217357753422568E-2</v>
      </c>
      <c r="W25" s="48">
        <f t="shared" si="30"/>
        <v>3.2286462826856391E-2</v>
      </c>
      <c r="X25" s="48">
        <f t="shared" si="30"/>
        <v>3.8485763458592476E-2</v>
      </c>
      <c r="Y25" s="48">
        <f t="shared" si="30"/>
        <v>3.4637924886375474E-2</v>
      </c>
      <c r="Z25" s="18"/>
      <c r="AA25" s="18"/>
      <c r="AB25" s="18"/>
      <c r="AC25" s="18"/>
    </row>
  </sheetData>
  <mergeCells count="1">
    <mergeCell ref="K1:M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W25"/>
  <sheetViews>
    <sheetView workbookViewId="0">
      <selection activeCell="AG6" sqref="AG6"/>
    </sheetView>
  </sheetViews>
  <sheetFormatPr defaultRowHeight="15" x14ac:dyDescent="0.25"/>
  <cols>
    <col min="1" max="1" width="28.140625" customWidth="1"/>
    <col min="4" max="4" width="11.28515625" customWidth="1"/>
    <col min="5" max="5" width="11.42578125" customWidth="1"/>
    <col min="6" max="6" width="11.7109375" customWidth="1"/>
    <col min="7" max="7" width="12" customWidth="1"/>
    <col min="8" max="8" width="10.140625" bestFit="1" customWidth="1"/>
    <col min="9" max="9" width="11.28515625" bestFit="1" customWidth="1"/>
    <col min="10" max="10" width="10.140625" bestFit="1" customWidth="1"/>
    <col min="11" max="11" width="11.28515625" bestFit="1" customWidth="1"/>
    <col min="14" max="14" width="28.7109375" customWidth="1"/>
    <col min="17" max="17" width="12.7109375" customWidth="1"/>
  </cols>
  <sheetData>
    <row r="1" spans="1:23" x14ac:dyDescent="0.25">
      <c r="I1" s="772" t="s">
        <v>119</v>
      </c>
      <c r="J1" s="772"/>
      <c r="K1" s="772"/>
    </row>
    <row r="2" spans="1:23" ht="45" x14ac:dyDescent="0.25">
      <c r="A2" s="3" t="s">
        <v>4</v>
      </c>
      <c r="B2" s="1" t="s">
        <v>43</v>
      </c>
      <c r="C2" s="1" t="s">
        <v>41</v>
      </c>
      <c r="D2" s="2" t="s">
        <v>44</v>
      </c>
      <c r="E2" s="2" t="s">
        <v>0</v>
      </c>
      <c r="F2" s="3" t="s">
        <v>45</v>
      </c>
      <c r="G2" s="3" t="s">
        <v>42</v>
      </c>
      <c r="H2" s="3" t="s">
        <v>37</v>
      </c>
      <c r="I2" s="3" t="s">
        <v>38</v>
      </c>
      <c r="J2" s="3" t="s">
        <v>39</v>
      </c>
      <c r="K2" s="3" t="s">
        <v>40</v>
      </c>
      <c r="L2" s="11"/>
      <c r="M2" s="11"/>
      <c r="N2" s="40" t="s">
        <v>6</v>
      </c>
      <c r="O2" s="41" t="s">
        <v>7</v>
      </c>
      <c r="P2" s="41" t="s">
        <v>8</v>
      </c>
      <c r="Q2" s="41" t="s">
        <v>9</v>
      </c>
      <c r="R2" s="40" t="s">
        <v>10</v>
      </c>
      <c r="S2" s="41" t="s">
        <v>90</v>
      </c>
      <c r="T2" s="40" t="s">
        <v>37</v>
      </c>
      <c r="U2" s="41" t="s">
        <v>38</v>
      </c>
      <c r="V2" s="41" t="s">
        <v>39</v>
      </c>
      <c r="W2" s="41" t="s">
        <v>40</v>
      </c>
    </row>
    <row r="3" spans="1:23" x14ac:dyDescent="0.25">
      <c r="A3" s="3"/>
      <c r="B3" s="1" t="s">
        <v>46</v>
      </c>
      <c r="C3" s="4" t="s">
        <v>47</v>
      </c>
      <c r="D3" s="5" t="s">
        <v>47</v>
      </c>
      <c r="E3" s="5" t="s">
        <v>47</v>
      </c>
      <c r="F3" s="1" t="s">
        <v>46</v>
      </c>
      <c r="G3" s="1" t="s">
        <v>46</v>
      </c>
      <c r="H3" s="1" t="s">
        <v>96</v>
      </c>
      <c r="I3" s="1"/>
      <c r="J3" s="1"/>
      <c r="K3" s="1"/>
      <c r="L3" s="11"/>
      <c r="M3" s="11"/>
      <c r="N3" s="42" t="s">
        <v>11</v>
      </c>
      <c r="O3" s="43"/>
      <c r="P3" s="44" t="e">
        <f>D10/AVERAGE(C23:D23)</f>
        <v>#DIV/0!</v>
      </c>
      <c r="Q3" s="44" t="e">
        <f>E10/AVERAGE(D23:E23)</f>
        <v>#DIV/0!</v>
      </c>
      <c r="R3" s="44">
        <f>F10/AVERAGE(E23:F23)</f>
        <v>3.3036741171331006E-2</v>
      </c>
      <c r="S3" s="44">
        <f>G10/AVERAGE(F23:G23)</f>
        <v>3.3205308596650648E-2</v>
      </c>
      <c r="T3" s="18"/>
      <c r="U3" s="18"/>
      <c r="V3" s="18"/>
      <c r="W3" s="18"/>
    </row>
    <row r="4" spans="1:23" x14ac:dyDescent="0.25">
      <c r="A4" s="3"/>
      <c r="B4" s="1" t="s">
        <v>48</v>
      </c>
      <c r="C4" s="1" t="s">
        <v>48</v>
      </c>
      <c r="D4" s="5" t="s">
        <v>49</v>
      </c>
      <c r="E4" s="5" t="s">
        <v>49</v>
      </c>
      <c r="F4" s="5" t="s">
        <v>49</v>
      </c>
      <c r="G4" s="5" t="s">
        <v>49</v>
      </c>
      <c r="H4" s="5"/>
      <c r="I4" s="5"/>
      <c r="J4" s="5"/>
      <c r="K4" s="5"/>
      <c r="L4" s="11"/>
      <c r="M4" s="11"/>
      <c r="N4" s="40" t="s">
        <v>12</v>
      </c>
      <c r="O4" s="45"/>
      <c r="P4" s="45"/>
      <c r="Q4" s="45"/>
      <c r="R4" s="46" t="s">
        <v>5</v>
      </c>
      <c r="S4" s="18"/>
      <c r="T4" s="18"/>
      <c r="U4" s="18"/>
      <c r="V4" s="18"/>
      <c r="W4" s="18"/>
    </row>
    <row r="5" spans="1:23" x14ac:dyDescent="0.25">
      <c r="A5" s="6" t="s">
        <v>23</v>
      </c>
      <c r="B5" s="7"/>
      <c r="C5" s="8"/>
      <c r="F5" s="85">
        <v>508165</v>
      </c>
      <c r="G5" s="90">
        <v>612081</v>
      </c>
      <c r="H5" s="85">
        <v>172004</v>
      </c>
      <c r="I5" s="85">
        <v>149271</v>
      </c>
      <c r="J5" s="85">
        <v>175055</v>
      </c>
      <c r="K5" s="85">
        <v>164049</v>
      </c>
      <c r="L5" s="11"/>
      <c r="M5" s="11"/>
      <c r="N5" s="42" t="s">
        <v>13</v>
      </c>
      <c r="O5" s="46"/>
      <c r="P5" s="47" t="e">
        <f>D21/D20</f>
        <v>#DIV/0!</v>
      </c>
      <c r="Q5" s="47" t="e">
        <f>E21/E20</f>
        <v>#DIV/0!</v>
      </c>
      <c r="R5" s="47">
        <f>F21/F20</f>
        <v>1.3900335278107698</v>
      </c>
      <c r="S5" s="47">
        <f>G21/G20</f>
        <v>2.0852137160303532</v>
      </c>
      <c r="T5" s="18"/>
      <c r="U5" s="18"/>
      <c r="V5" s="18"/>
      <c r="W5" s="18"/>
    </row>
    <row r="6" spans="1:23" x14ac:dyDescent="0.25">
      <c r="A6" s="6" t="s">
        <v>50</v>
      </c>
      <c r="B6" s="7"/>
      <c r="C6" s="8"/>
      <c r="F6" s="85">
        <v>364342</v>
      </c>
      <c r="G6" s="85">
        <v>453155</v>
      </c>
      <c r="H6" s="85">
        <v>166963</v>
      </c>
      <c r="I6" s="85">
        <v>144875</v>
      </c>
      <c r="J6" s="85">
        <v>167617</v>
      </c>
      <c r="K6" s="85">
        <v>153248</v>
      </c>
      <c r="L6" s="11"/>
      <c r="M6" s="11"/>
      <c r="N6" s="42" t="s">
        <v>14</v>
      </c>
      <c r="O6" s="43"/>
      <c r="P6" s="43"/>
      <c r="Q6" s="43"/>
      <c r="R6" s="43">
        <v>0.32300000000000001</v>
      </c>
      <c r="S6" s="48">
        <v>0.22009999999999999</v>
      </c>
      <c r="T6" s="48"/>
      <c r="U6" s="18"/>
      <c r="V6" s="18"/>
      <c r="W6" s="18"/>
    </row>
    <row r="7" spans="1:23" x14ac:dyDescent="0.25">
      <c r="A7" s="6" t="s">
        <v>51</v>
      </c>
      <c r="B7" s="7"/>
      <c r="C7" s="8"/>
      <c r="D7" s="87"/>
      <c r="E7" s="85"/>
      <c r="F7" s="85">
        <v>0</v>
      </c>
      <c r="G7" s="85">
        <v>0</v>
      </c>
      <c r="H7" s="85"/>
      <c r="I7" s="85"/>
      <c r="J7" s="85"/>
      <c r="K7" s="85"/>
      <c r="L7" s="11"/>
      <c r="M7" s="11"/>
      <c r="N7" s="42" t="s">
        <v>15</v>
      </c>
      <c r="O7" s="43"/>
      <c r="P7" s="44" t="e">
        <f>D20/D23</f>
        <v>#DIV/0!</v>
      </c>
      <c r="Q7" s="44" t="e">
        <f>E20/E23</f>
        <v>#DIV/0!</v>
      </c>
      <c r="R7" s="44">
        <f>F20/F23</f>
        <v>0.87075546708402463</v>
      </c>
      <c r="S7" s="44">
        <f>G20/G23</f>
        <v>0.4680219881421811</v>
      </c>
      <c r="T7" s="18"/>
      <c r="U7" s="18"/>
      <c r="V7" s="18"/>
      <c r="W7" s="18"/>
    </row>
    <row r="8" spans="1:23" x14ac:dyDescent="0.25">
      <c r="A8" s="6" t="s">
        <v>52</v>
      </c>
      <c r="B8" s="7"/>
      <c r="C8" s="8"/>
      <c r="D8" s="85">
        <f t="shared" ref="D8:I8" si="0">D5-D6-D7</f>
        <v>0</v>
      </c>
      <c r="E8" s="85">
        <f t="shared" si="0"/>
        <v>0</v>
      </c>
      <c r="F8" s="85">
        <f t="shared" si="0"/>
        <v>143823</v>
      </c>
      <c r="G8" s="85">
        <f t="shared" si="0"/>
        <v>158926</v>
      </c>
      <c r="H8" s="85">
        <f t="shared" si="0"/>
        <v>5041</v>
      </c>
      <c r="I8" s="85">
        <f t="shared" si="0"/>
        <v>4396</v>
      </c>
      <c r="J8" s="85">
        <f>J5-J6-J7</f>
        <v>7438</v>
      </c>
      <c r="K8" s="85">
        <f>K5-K6-K7</f>
        <v>10801</v>
      </c>
      <c r="L8" s="11"/>
      <c r="M8" s="11"/>
      <c r="N8" s="40" t="s">
        <v>16</v>
      </c>
      <c r="O8" s="45"/>
      <c r="P8" s="45"/>
      <c r="Q8" s="45"/>
      <c r="R8" s="46" t="s">
        <v>5</v>
      </c>
      <c r="S8" s="18"/>
      <c r="T8" s="18"/>
      <c r="U8" s="18"/>
      <c r="V8" s="18"/>
      <c r="W8" s="18"/>
    </row>
    <row r="9" spans="1:23" ht="33.75" x14ac:dyDescent="0.25">
      <c r="A9" s="6" t="s">
        <v>24</v>
      </c>
      <c r="B9" s="7"/>
      <c r="C9" s="7"/>
      <c r="D9" s="88"/>
      <c r="E9" s="85"/>
      <c r="F9" s="85">
        <v>282821</v>
      </c>
      <c r="G9" s="85">
        <v>333224</v>
      </c>
      <c r="H9" s="85">
        <v>88600</v>
      </c>
      <c r="I9" s="85">
        <v>90220</v>
      </c>
      <c r="J9" s="85">
        <v>83067</v>
      </c>
      <c r="K9" s="85">
        <v>83446</v>
      </c>
      <c r="L9" s="11"/>
      <c r="M9" s="11"/>
      <c r="N9" s="49" t="s">
        <v>93</v>
      </c>
      <c r="O9" s="45"/>
      <c r="P9" s="93" t="e">
        <f>D14/(D11-D9)</f>
        <v>#DIV/0!</v>
      </c>
      <c r="Q9" s="93" t="e">
        <f>E14/(E11-E9)</f>
        <v>#DIV/0!</v>
      </c>
      <c r="R9" s="93">
        <f>F14/(F11-F9)</f>
        <v>0.23833339250213006</v>
      </c>
      <c r="S9" s="93">
        <f>G14/(G11-G9)</f>
        <v>0.30423837307293705</v>
      </c>
      <c r="T9" s="18"/>
      <c r="U9" s="18"/>
      <c r="V9" s="18"/>
      <c r="W9" s="18"/>
    </row>
    <row r="10" spans="1:23" ht="22.5" x14ac:dyDescent="0.25">
      <c r="A10" s="6" t="s">
        <v>53</v>
      </c>
      <c r="B10" s="10">
        <f t="shared" ref="B10:G10" si="1">B6-B9</f>
        <v>0</v>
      </c>
      <c r="C10" s="10">
        <f t="shared" si="1"/>
        <v>0</v>
      </c>
      <c r="D10" s="89">
        <f t="shared" si="1"/>
        <v>0</v>
      </c>
      <c r="E10" s="89">
        <f t="shared" si="1"/>
        <v>0</v>
      </c>
      <c r="F10" s="89">
        <f t="shared" si="1"/>
        <v>81521</v>
      </c>
      <c r="G10" s="89">
        <f t="shared" si="1"/>
        <v>119931</v>
      </c>
      <c r="H10" s="89">
        <f>H6-H9</f>
        <v>78363</v>
      </c>
      <c r="I10" s="89">
        <f>I6-I9</f>
        <v>54655</v>
      </c>
      <c r="J10" s="89">
        <f>J6-J9</f>
        <v>84550</v>
      </c>
      <c r="K10" s="89">
        <f>K6-K9</f>
        <v>69802</v>
      </c>
      <c r="L10" s="11"/>
      <c r="M10" s="11"/>
      <c r="N10" s="42" t="s">
        <v>92</v>
      </c>
      <c r="O10" s="43"/>
      <c r="P10" s="44" t="e">
        <f>D14/D11</f>
        <v>#DIV/0!</v>
      </c>
      <c r="Q10" s="44" t="e">
        <f>E14/E11</f>
        <v>#DIV/0!</v>
      </c>
      <c r="R10" s="44">
        <f>F14/F11</f>
        <v>0.10568811311286688</v>
      </c>
      <c r="S10" s="44">
        <f>G14/G11</f>
        <v>0.13860747188689079</v>
      </c>
      <c r="T10" s="18"/>
      <c r="U10" s="18"/>
      <c r="V10" s="18"/>
      <c r="W10" s="18"/>
    </row>
    <row r="11" spans="1:23" ht="22.5" x14ac:dyDescent="0.25">
      <c r="A11" s="6" t="s">
        <v>1</v>
      </c>
      <c r="B11" s="10">
        <f>B5-B9</f>
        <v>0</v>
      </c>
      <c r="C11" s="10">
        <f t="shared" ref="C11:K11" si="2">SUM(C6:C8)</f>
        <v>0</v>
      </c>
      <c r="D11" s="89">
        <f t="shared" si="2"/>
        <v>0</v>
      </c>
      <c r="E11" s="89">
        <f t="shared" si="2"/>
        <v>0</v>
      </c>
      <c r="F11" s="89">
        <f t="shared" si="2"/>
        <v>508165</v>
      </c>
      <c r="G11" s="89">
        <f t="shared" si="2"/>
        <v>612081</v>
      </c>
      <c r="H11" s="89">
        <f t="shared" si="2"/>
        <v>172004</v>
      </c>
      <c r="I11" s="89">
        <f t="shared" si="2"/>
        <v>149271</v>
      </c>
      <c r="J11" s="89">
        <f t="shared" si="2"/>
        <v>175055</v>
      </c>
      <c r="K11" s="89">
        <f t="shared" si="2"/>
        <v>164049</v>
      </c>
      <c r="L11" s="11"/>
      <c r="M11" s="11"/>
      <c r="N11" s="42" t="s">
        <v>17</v>
      </c>
      <c r="O11" s="43"/>
      <c r="P11" s="44" t="e">
        <f>D14/AVERAGE(C22:D22)</f>
        <v>#DIV/0!</v>
      </c>
      <c r="Q11" s="44" t="e">
        <f>E14/AVERAGE(D22:E22)</f>
        <v>#DIV/0!</v>
      </c>
      <c r="R11" s="44">
        <f>F14/AVERAGE(E22:F22)</f>
        <v>1.0199465670832266E-2</v>
      </c>
      <c r="S11" s="44">
        <f>G14/AVERAGE(F22:G22)</f>
        <v>1.281954032853708E-2</v>
      </c>
      <c r="T11" s="18"/>
      <c r="U11" s="18"/>
      <c r="V11" s="18"/>
      <c r="W11" s="18"/>
    </row>
    <row r="12" spans="1:23" x14ac:dyDescent="0.25">
      <c r="A12" s="6" t="s">
        <v>91</v>
      </c>
      <c r="B12" s="10"/>
      <c r="C12" s="10"/>
      <c r="D12" s="89"/>
      <c r="E12" s="89"/>
      <c r="F12" s="89">
        <v>625</v>
      </c>
      <c r="G12" s="89">
        <v>6611</v>
      </c>
      <c r="H12" s="89">
        <v>1259</v>
      </c>
      <c r="I12" s="89">
        <v>4372</v>
      </c>
      <c r="J12" s="89">
        <v>27</v>
      </c>
      <c r="K12" s="89">
        <v>371</v>
      </c>
      <c r="L12" s="11"/>
      <c r="M12" s="11"/>
      <c r="N12" s="40" t="s">
        <v>18</v>
      </c>
      <c r="O12" s="45"/>
      <c r="P12" s="45"/>
      <c r="Q12" s="45"/>
      <c r="R12" s="46" t="s">
        <v>5</v>
      </c>
      <c r="S12" s="18"/>
      <c r="T12" s="18"/>
      <c r="U12" s="18"/>
      <c r="V12" s="53"/>
      <c r="W12" s="54"/>
    </row>
    <row r="13" spans="1:23" x14ac:dyDescent="0.25">
      <c r="A13" s="6" t="s">
        <v>25</v>
      </c>
      <c r="B13" s="7"/>
      <c r="C13" s="7"/>
      <c r="D13" s="88">
        <f t="shared" ref="D13:K13" si="3">D11+D12</f>
        <v>0</v>
      </c>
      <c r="E13" s="88">
        <f t="shared" si="3"/>
        <v>0</v>
      </c>
      <c r="F13" s="88">
        <f t="shared" si="3"/>
        <v>508790</v>
      </c>
      <c r="G13" s="88">
        <f t="shared" si="3"/>
        <v>618692</v>
      </c>
      <c r="H13" s="88">
        <f t="shared" si="3"/>
        <v>173263</v>
      </c>
      <c r="I13" s="88">
        <f t="shared" si="3"/>
        <v>153643</v>
      </c>
      <c r="J13" s="88">
        <f t="shared" si="3"/>
        <v>175082</v>
      </c>
      <c r="K13" s="88">
        <f t="shared" si="3"/>
        <v>164420</v>
      </c>
      <c r="L13" s="11"/>
      <c r="M13" s="11"/>
      <c r="N13" s="42" t="s">
        <v>19</v>
      </c>
      <c r="O13" s="43"/>
      <c r="P13" s="44" t="e">
        <f>D24/D23</f>
        <v>#DIV/0!</v>
      </c>
      <c r="Q13" s="44" t="e">
        <f>E24/E23</f>
        <v>#DIV/0!</v>
      </c>
      <c r="R13" s="44">
        <f>F24/F23</f>
        <v>4.5302169812926479E-2</v>
      </c>
      <c r="S13" s="44">
        <f>G24/G23</f>
        <v>2.5361762718307625E-2</v>
      </c>
      <c r="T13" s="48"/>
      <c r="U13" s="18"/>
      <c r="V13" s="18"/>
      <c r="W13" s="18"/>
    </row>
    <row r="14" spans="1:23" x14ac:dyDescent="0.25">
      <c r="A14" s="6" t="s">
        <v>26</v>
      </c>
      <c r="B14" s="7"/>
      <c r="C14" s="7"/>
      <c r="D14" s="85"/>
      <c r="E14" s="85"/>
      <c r="F14" s="85">
        <f>11094+13507+2922+26184</f>
        <v>53707</v>
      </c>
      <c r="G14" s="85">
        <f>1645+29469+5236+48489</f>
        <v>84839</v>
      </c>
      <c r="H14" s="85">
        <f>441+12758+1839+19646</f>
        <v>34684</v>
      </c>
      <c r="I14" s="85">
        <f>602+10518+1986+34456</f>
        <v>47562</v>
      </c>
      <c r="J14" s="85">
        <f>809+15004+2417+25775</f>
        <v>44005</v>
      </c>
      <c r="K14" s="85">
        <f>1136+17824+3255+38325</f>
        <v>60540</v>
      </c>
      <c r="L14" s="11"/>
      <c r="M14" s="11"/>
      <c r="N14" s="42" t="s">
        <v>20</v>
      </c>
      <c r="O14" s="43"/>
      <c r="P14" s="44" t="e">
        <f>D25/D23</f>
        <v>#DIV/0!</v>
      </c>
      <c r="Q14" s="44" t="e">
        <f>E25/E23</f>
        <v>#DIV/0!</v>
      </c>
      <c r="R14" s="44">
        <f>F25/F23</f>
        <v>2.3500700684798828E-2</v>
      </c>
      <c r="S14" s="44">
        <f>G25/G23</f>
        <v>1.1776868800748862E-2</v>
      </c>
      <c r="T14" s="48"/>
      <c r="U14" s="18"/>
      <c r="V14" s="18"/>
      <c r="W14" s="18"/>
    </row>
    <row r="15" spans="1:23" x14ac:dyDescent="0.25">
      <c r="A15" s="6" t="s">
        <v>54</v>
      </c>
      <c r="B15" s="10"/>
      <c r="C15" s="10"/>
      <c r="D15" s="89">
        <f t="shared" ref="D15:K15" si="4">D11-D14</f>
        <v>0</v>
      </c>
      <c r="E15" s="89">
        <f t="shared" si="4"/>
        <v>0</v>
      </c>
      <c r="F15" s="89">
        <f t="shared" si="4"/>
        <v>454458</v>
      </c>
      <c r="G15" s="89">
        <f t="shared" si="4"/>
        <v>527242</v>
      </c>
      <c r="H15" s="89">
        <f t="shared" si="4"/>
        <v>137320</v>
      </c>
      <c r="I15" s="89">
        <f t="shared" si="4"/>
        <v>101709</v>
      </c>
      <c r="J15" s="89">
        <f t="shared" si="4"/>
        <v>131050</v>
      </c>
      <c r="K15" s="89">
        <f t="shared" si="4"/>
        <v>103509</v>
      </c>
      <c r="L15" s="11"/>
      <c r="M15" s="11"/>
      <c r="N15" s="42" t="s">
        <v>21</v>
      </c>
      <c r="O15" s="43"/>
      <c r="P15" s="44" t="e">
        <f>(P13-P14)/P13</f>
        <v>#DIV/0!</v>
      </c>
      <c r="Q15" s="44" t="e">
        <f>(Q13-Q14)/Q13</f>
        <v>#DIV/0!</v>
      </c>
      <c r="R15" s="44">
        <f>(R13-R14)/R13</f>
        <v>0.48124558311789384</v>
      </c>
      <c r="S15" s="44">
        <f>(S13-S14)/S13</f>
        <v>0.53564470531665298</v>
      </c>
      <c r="T15" s="44" t="e">
        <f>(T13-T14)/T13</f>
        <v>#DIV/0!</v>
      </c>
      <c r="U15" s="18"/>
      <c r="V15" s="18"/>
      <c r="W15" s="18"/>
    </row>
    <row r="16" spans="1:23" x14ac:dyDescent="0.25">
      <c r="A16" s="6" t="s">
        <v>94</v>
      </c>
      <c r="B16" s="10"/>
      <c r="C16" s="10"/>
      <c r="D16" s="89">
        <f t="shared" ref="D16:K16" si="5">D13-D14-D9</f>
        <v>0</v>
      </c>
      <c r="E16" s="89">
        <f t="shared" si="5"/>
        <v>0</v>
      </c>
      <c r="F16" s="89">
        <f t="shared" si="5"/>
        <v>172262</v>
      </c>
      <c r="G16" s="89">
        <f t="shared" si="5"/>
        <v>200629</v>
      </c>
      <c r="H16" s="89">
        <f t="shared" si="5"/>
        <v>49979</v>
      </c>
      <c r="I16" s="89">
        <f t="shared" si="5"/>
        <v>15861</v>
      </c>
      <c r="J16" s="89">
        <f t="shared" si="5"/>
        <v>48010</v>
      </c>
      <c r="K16" s="89">
        <f t="shared" si="5"/>
        <v>20434</v>
      </c>
      <c r="L16" s="11"/>
      <c r="M16" s="11"/>
      <c r="N16" s="42" t="s">
        <v>22</v>
      </c>
      <c r="O16" s="43"/>
      <c r="P16" s="44" t="e">
        <f>D17/AVERAGE(C23:D23)</f>
        <v>#DIV/0!</v>
      </c>
      <c r="Q16" s="44" t="e">
        <f>E17/AVERAGE(D23:E23)</f>
        <v>#DIV/0!</v>
      </c>
      <c r="R16" s="44">
        <f>F17/AVERAGE(E23:F23)</f>
        <v>-3.2517610328474875E-3</v>
      </c>
      <c r="S16" s="44">
        <f>G17/AVERAGE(F23:G23)</f>
        <v>1.7366677353852729E-2</v>
      </c>
      <c r="T16" s="18"/>
      <c r="U16" s="18"/>
      <c r="V16" s="18"/>
      <c r="W16" s="18"/>
    </row>
    <row r="17" spans="1:23" x14ac:dyDescent="0.25">
      <c r="A17" s="6" t="s">
        <v>27</v>
      </c>
      <c r="B17" s="7"/>
      <c r="C17" s="7"/>
      <c r="D17" s="88"/>
      <c r="E17" s="85"/>
      <c r="F17" s="85">
        <v>-8024</v>
      </c>
      <c r="G17" s="85">
        <v>62725</v>
      </c>
      <c r="H17" s="85">
        <v>-1556</v>
      </c>
      <c r="I17" s="85">
        <v>140859</v>
      </c>
      <c r="J17" s="85">
        <v>67183</v>
      </c>
      <c r="K17" s="85">
        <v>-22414</v>
      </c>
      <c r="L17" s="11"/>
      <c r="M17" s="11"/>
      <c r="N17" s="18"/>
      <c r="O17" s="18"/>
      <c r="P17" s="18"/>
      <c r="Q17" s="18"/>
      <c r="R17" s="18"/>
      <c r="S17" s="18"/>
      <c r="T17" s="18"/>
      <c r="U17" s="18"/>
      <c r="V17" s="18"/>
      <c r="W17" s="18"/>
    </row>
    <row r="18" spans="1:23" x14ac:dyDescent="0.25">
      <c r="A18" s="6" t="s">
        <v>55</v>
      </c>
      <c r="B18" s="7"/>
      <c r="C18" s="7"/>
      <c r="D18" s="88"/>
      <c r="E18" s="85"/>
      <c r="F18" s="89">
        <v>103444</v>
      </c>
      <c r="G18" s="89">
        <v>52575</v>
      </c>
      <c r="H18" s="89">
        <v>35813</v>
      </c>
      <c r="I18" s="89">
        <v>-162812</v>
      </c>
      <c r="J18" s="89">
        <v>281314</v>
      </c>
      <c r="K18" s="89">
        <v>-896798</v>
      </c>
      <c r="L18" s="11"/>
      <c r="M18" s="11"/>
      <c r="N18" s="40" t="s">
        <v>30</v>
      </c>
      <c r="O18" s="45"/>
      <c r="P18" s="45"/>
      <c r="Q18" s="45"/>
      <c r="R18" s="46" t="s">
        <v>5</v>
      </c>
      <c r="S18" s="18"/>
      <c r="T18" s="18"/>
      <c r="U18" s="18"/>
      <c r="V18" s="18"/>
      <c r="W18" s="18"/>
    </row>
    <row r="19" spans="1:23" ht="22.5" x14ac:dyDescent="0.25">
      <c r="A19" s="6" t="s">
        <v>28</v>
      </c>
      <c r="B19" s="7"/>
      <c r="C19" s="7"/>
      <c r="D19" s="88"/>
      <c r="E19" s="85"/>
      <c r="F19" s="85">
        <f>1928372+220292</f>
        <v>2148664</v>
      </c>
      <c r="G19" s="85">
        <f>2136469+89452</f>
        <v>2225921</v>
      </c>
      <c r="H19" s="85"/>
      <c r="I19" s="85">
        <f>(2136469-34952)</f>
        <v>2101517</v>
      </c>
      <c r="J19" s="85"/>
      <c r="K19" s="85">
        <f>2136469-646482</f>
        <v>1489987</v>
      </c>
      <c r="L19" s="11"/>
      <c r="M19" s="11"/>
      <c r="N19" s="46" t="s">
        <v>95</v>
      </c>
      <c r="O19" s="51"/>
      <c r="P19" s="51"/>
      <c r="Q19" s="52" t="e">
        <f>E16/AVERAGE(D22:E22)</f>
        <v>#DIV/0!</v>
      </c>
      <c r="R19" s="52">
        <f>F16/AVERAGE(E22:F22)</f>
        <v>3.2714177954250058E-2</v>
      </c>
      <c r="S19" s="52">
        <f>G16/AVERAGE(F22:G22)</f>
        <v>3.0315910802509057E-2</v>
      </c>
      <c r="T19" s="18"/>
      <c r="U19" s="18"/>
      <c r="V19" s="18"/>
      <c r="W19" s="18"/>
    </row>
    <row r="20" spans="1:23" x14ac:dyDescent="0.25">
      <c r="A20" s="6" t="s">
        <v>56</v>
      </c>
      <c r="B20" s="7"/>
      <c r="C20" s="7"/>
      <c r="D20" s="88">
        <f>D19-D71</f>
        <v>0</v>
      </c>
      <c r="E20" s="89">
        <f>E19-E71</f>
        <v>0</v>
      </c>
      <c r="F20" s="89">
        <f>F19-F71</f>
        <v>2148664</v>
      </c>
      <c r="G20" s="89">
        <f>G19-G71</f>
        <v>2225921</v>
      </c>
      <c r="H20" s="89">
        <f>H19-H71</f>
        <v>0</v>
      </c>
      <c r="I20" s="89"/>
      <c r="J20" s="89"/>
      <c r="K20" s="85">
        <f>2136469-646482</f>
        <v>1489987</v>
      </c>
      <c r="L20" s="11"/>
      <c r="M20" s="11"/>
      <c r="N20" s="42" t="s">
        <v>31</v>
      </c>
      <c r="O20" s="43"/>
      <c r="P20" s="43">
        <v>4.4699999999999997E-2</v>
      </c>
      <c r="Q20" s="44" t="e">
        <f>E18/AVERAGE(D22:E22)</f>
        <v>#DIV/0!</v>
      </c>
      <c r="R20" s="44">
        <f>F18/AVERAGE(E22:F22)</f>
        <v>1.9644990910934756E-2</v>
      </c>
      <c r="S20" s="44">
        <f>G18/AVERAGE(F22:G22)</f>
        <v>7.9443101966411318E-3</v>
      </c>
      <c r="T20" s="48"/>
      <c r="U20" s="18"/>
      <c r="V20" s="18"/>
      <c r="W20" s="18"/>
    </row>
    <row r="21" spans="1:23" x14ac:dyDescent="0.25">
      <c r="A21" s="6" t="s">
        <v>57</v>
      </c>
      <c r="B21" s="9"/>
      <c r="C21" s="9"/>
      <c r="D21" s="85"/>
      <c r="E21" s="85"/>
      <c r="F21" s="85">
        <f>1040599+1630023+266600+49493</f>
        <v>2986715</v>
      </c>
      <c r="G21" s="85">
        <f>2871266+1491055+266600+12600</f>
        <v>4641521</v>
      </c>
      <c r="H21" s="85"/>
      <c r="I21" s="85">
        <v>4231250</v>
      </c>
      <c r="J21" s="85"/>
      <c r="K21" s="85">
        <f>2552399+1464478+31552+12688</f>
        <v>4061117</v>
      </c>
      <c r="L21" s="11"/>
      <c r="M21" s="11"/>
      <c r="N21" s="42" t="s">
        <v>32</v>
      </c>
      <c r="O21" s="43"/>
      <c r="P21" s="44" t="e">
        <f>D18/AVERAGE(C19:D19)</f>
        <v>#DIV/0!</v>
      </c>
      <c r="Q21" s="44" t="e">
        <f>E18/AVERAGE(D19:E19)</f>
        <v>#DIV/0!</v>
      </c>
      <c r="R21" s="44">
        <f>F18/AVERAGE(E19:F19)</f>
        <v>4.8143404459701472E-2</v>
      </c>
      <c r="S21" s="44">
        <f>G18/AVERAGE(F19:G19)</f>
        <v>2.4036565754237259E-2</v>
      </c>
      <c r="T21" s="18"/>
      <c r="U21" s="18"/>
      <c r="V21" s="18"/>
      <c r="W21" s="18"/>
    </row>
    <row r="22" spans="1:23" x14ac:dyDescent="0.25">
      <c r="A22" s="6" t="s">
        <v>29</v>
      </c>
      <c r="B22" s="7"/>
      <c r="C22" s="7"/>
      <c r="D22" s="88"/>
      <c r="E22" s="85"/>
      <c r="F22" s="85">
        <v>5265668</v>
      </c>
      <c r="G22" s="85">
        <v>7970220</v>
      </c>
      <c r="H22" s="85"/>
      <c r="I22" s="85">
        <v>7340611</v>
      </c>
      <c r="J22" s="85"/>
      <c r="K22" s="85">
        <v>6174797</v>
      </c>
      <c r="L22" s="11"/>
      <c r="M22" s="11"/>
      <c r="N22" s="40" t="s">
        <v>33</v>
      </c>
      <c r="O22" s="45"/>
      <c r="P22" s="45"/>
      <c r="Q22" s="45"/>
      <c r="R22" s="46" t="s">
        <v>5</v>
      </c>
      <c r="S22" s="18"/>
      <c r="T22" s="18"/>
      <c r="U22" s="18"/>
      <c r="V22" s="18"/>
      <c r="W22" s="18"/>
    </row>
    <row r="23" spans="1:23" x14ac:dyDescent="0.25">
      <c r="A23" s="6" t="s">
        <v>58</v>
      </c>
      <c r="B23" s="7"/>
      <c r="C23" s="7"/>
      <c r="D23" s="88"/>
      <c r="E23" s="85"/>
      <c r="F23" s="85">
        <v>2467586</v>
      </c>
      <c r="G23" s="85">
        <v>4756018</v>
      </c>
      <c r="H23" s="85"/>
      <c r="I23" s="85">
        <v>4406974</v>
      </c>
      <c r="J23" s="85"/>
      <c r="K23" s="85">
        <v>4183582</v>
      </c>
      <c r="L23" s="11"/>
      <c r="M23" s="11"/>
      <c r="N23" s="42" t="s">
        <v>34</v>
      </c>
      <c r="O23" s="43"/>
      <c r="P23" s="44" t="e">
        <f>D6/AVERAGE(C23:D23)</f>
        <v>#DIV/0!</v>
      </c>
      <c r="Q23" s="44" t="e">
        <f>E6/AVERAGE(D23:E23)</f>
        <v>#DIV/0!</v>
      </c>
      <c r="R23" s="44">
        <f>F6/AVERAGE(E23:F23)</f>
        <v>0.14765118622005474</v>
      </c>
      <c r="S23" s="44">
        <f>G6/AVERAGE(F23:G23)</f>
        <v>0.1254650725593485</v>
      </c>
      <c r="T23" s="18"/>
      <c r="U23" s="18"/>
      <c r="V23" s="18"/>
      <c r="W23" s="18"/>
    </row>
    <row r="24" spans="1:23" x14ac:dyDescent="0.25">
      <c r="A24" s="6" t="s">
        <v>59</v>
      </c>
      <c r="B24" s="10"/>
      <c r="C24" s="10"/>
      <c r="D24" s="89"/>
      <c r="E24" s="89"/>
      <c r="F24" s="89">
        <v>111787</v>
      </c>
      <c r="G24" s="89">
        <v>120621</v>
      </c>
      <c r="H24" s="89"/>
      <c r="I24" s="89"/>
      <c r="J24" s="89"/>
      <c r="K24" s="89"/>
      <c r="L24" s="11"/>
      <c r="M24" s="11"/>
      <c r="N24" s="42" t="s">
        <v>35</v>
      </c>
      <c r="O24" s="43"/>
      <c r="P24" s="44" t="e">
        <f>D9/AVERAGE(C21:D21)</f>
        <v>#DIV/0!</v>
      </c>
      <c r="Q24" s="44" t="e">
        <f>E9/AVERAGE(D21:E21)</f>
        <v>#DIV/0!</v>
      </c>
      <c r="R24" s="44">
        <f>F9/AVERAGE(E21:F21)</f>
        <v>9.4692998829818048E-2</v>
      </c>
      <c r="S24" s="44">
        <f>G9/AVERAGE(F21:G21)</f>
        <v>8.7365938861881043E-2</v>
      </c>
      <c r="T24" s="18"/>
      <c r="U24" s="18"/>
      <c r="V24" s="18"/>
      <c r="W24" s="18"/>
    </row>
    <row r="25" spans="1:23" x14ac:dyDescent="0.25">
      <c r="A25" s="6" t="s">
        <v>60</v>
      </c>
      <c r="B25" s="10"/>
      <c r="C25" s="10"/>
      <c r="D25" s="89"/>
      <c r="E25" s="89"/>
      <c r="F25" s="89">
        <v>57990</v>
      </c>
      <c r="G25" s="89">
        <v>56011</v>
      </c>
      <c r="H25" s="89"/>
      <c r="I25" s="89"/>
      <c r="J25" s="89"/>
      <c r="K25" s="89"/>
      <c r="L25" s="11"/>
      <c r="M25" s="11"/>
      <c r="N25" s="42" t="s">
        <v>36</v>
      </c>
      <c r="O25" s="43"/>
      <c r="P25" s="48" t="e">
        <f>P23-P24</f>
        <v>#DIV/0!</v>
      </c>
      <c r="Q25" s="48" t="e">
        <f>Q23-Q24</f>
        <v>#DIV/0!</v>
      </c>
      <c r="R25" s="48">
        <f>R23-R24</f>
        <v>5.2958187390236694E-2</v>
      </c>
      <c r="S25" s="48">
        <f>S23-S24</f>
        <v>3.8099133697467452E-2</v>
      </c>
      <c r="T25" s="18"/>
      <c r="U25" s="18"/>
      <c r="V25" s="18"/>
      <c r="W25" s="18"/>
    </row>
  </sheetData>
  <mergeCells count="1">
    <mergeCell ref="I1:K1"/>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R26"/>
  <sheetViews>
    <sheetView topLeftCell="I16" workbookViewId="0">
      <selection activeCell="S27" sqref="S27"/>
    </sheetView>
  </sheetViews>
  <sheetFormatPr defaultRowHeight="15" x14ac:dyDescent="0.25"/>
  <cols>
    <col min="1" max="1" width="28.140625" customWidth="1"/>
    <col min="4" max="4" width="11.28515625" customWidth="1"/>
    <col min="5" max="5" width="11.42578125" customWidth="1"/>
    <col min="6" max="6" width="11.7109375" customWidth="1"/>
    <col min="7" max="9" width="10.42578125" customWidth="1"/>
    <col min="10" max="10" width="10.140625" bestFit="1" customWidth="1"/>
    <col min="13" max="13" width="10.140625" bestFit="1" customWidth="1"/>
    <col min="15" max="15" width="10" bestFit="1" customWidth="1"/>
    <col min="16" max="17" width="10" customWidth="1"/>
    <col min="19" max="19" width="28.7109375" customWidth="1"/>
    <col min="22" max="22" width="12.7109375" customWidth="1"/>
    <col min="24" max="24" width="13.5703125" customWidth="1"/>
    <col min="25" max="26" width="12"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569</v>
      </c>
      <c r="L1" s="772"/>
      <c r="M1" s="772"/>
    </row>
    <row r="2" spans="1:44" ht="45" x14ac:dyDescent="0.25">
      <c r="A2" s="3" t="s">
        <v>4</v>
      </c>
      <c r="B2" s="1" t="s">
        <v>43</v>
      </c>
      <c r="C2" s="1" t="s">
        <v>41</v>
      </c>
      <c r="D2" s="2" t="s">
        <v>44</v>
      </c>
      <c r="E2" s="2" t="s">
        <v>0</v>
      </c>
      <c r="F2" s="3" t="s">
        <v>45</v>
      </c>
      <c r="G2" s="3" t="s">
        <v>42</v>
      </c>
      <c r="H2" s="3" t="s">
        <v>495</v>
      </c>
      <c r="I2" s="3" t="s">
        <v>556</v>
      </c>
      <c r="J2" s="3" t="s">
        <v>37</v>
      </c>
      <c r="K2" s="3" t="s">
        <v>38</v>
      </c>
      <c r="L2" s="3" t="s">
        <v>39</v>
      </c>
      <c r="M2" s="3" t="s">
        <v>40</v>
      </c>
      <c r="N2" s="11" t="s">
        <v>648</v>
      </c>
      <c r="O2" s="11" t="s">
        <v>683</v>
      </c>
      <c r="P2" s="11" t="s">
        <v>686</v>
      </c>
      <c r="Q2" s="11"/>
      <c r="R2" s="11"/>
      <c r="S2" s="40" t="s">
        <v>6</v>
      </c>
      <c r="T2" s="41" t="s">
        <v>7</v>
      </c>
      <c r="U2" s="41" t="s">
        <v>8</v>
      </c>
      <c r="V2" s="41" t="s">
        <v>9</v>
      </c>
      <c r="W2" s="40" t="s">
        <v>10</v>
      </c>
      <c r="X2" s="41" t="s">
        <v>90</v>
      </c>
      <c r="Y2" s="41" t="s">
        <v>496</v>
      </c>
      <c r="Z2" s="41" t="s">
        <v>622</v>
      </c>
      <c r="AA2" s="40" t="s">
        <v>37</v>
      </c>
      <c r="AB2" s="41" t="s">
        <v>38</v>
      </c>
      <c r="AC2" s="41" t="s">
        <v>39</v>
      </c>
      <c r="AD2" s="41" t="s">
        <v>40</v>
      </c>
      <c r="AL2" s="403"/>
      <c r="AM2" s="403"/>
      <c r="AN2" s="403"/>
      <c r="AO2" s="403"/>
      <c r="AP2" s="403"/>
    </row>
    <row r="3" spans="1:44" x14ac:dyDescent="0.25">
      <c r="A3" s="3"/>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t="e">
        <f t="shared" ref="U3:Z3" si="0">D10/AVERAGE(C23:D23)</f>
        <v>#DIV/0!</v>
      </c>
      <c r="V3" s="44" t="e">
        <f t="shared" si="0"/>
        <v>#DIV/0!</v>
      </c>
      <c r="W3" s="44" t="e">
        <f t="shared" si="0"/>
        <v>#DIV/0!</v>
      </c>
      <c r="X3" s="44">
        <f t="shared" si="0"/>
        <v>6.0065733413366726E-2</v>
      </c>
      <c r="Y3" s="44">
        <f t="shared" si="0"/>
        <v>7.2706874268404956E-2</v>
      </c>
      <c r="Z3" s="44">
        <f t="shared" si="0"/>
        <v>7.4365224055972429E-2</v>
      </c>
      <c r="AA3" s="44">
        <f t="shared" ref="AA3:AH3" si="1">(J10*4)/J23</f>
        <v>7.5733349545551248E-2</v>
      </c>
      <c r="AB3" s="44">
        <f t="shared" si="1"/>
        <v>7.5207822888964854E-2</v>
      </c>
      <c r="AC3" s="44">
        <f t="shared" si="1"/>
        <v>7.0580818859375519E-2</v>
      </c>
      <c r="AD3" s="44">
        <f t="shared" si="1"/>
        <v>6.7201592251331682E-2</v>
      </c>
      <c r="AE3" s="44">
        <f t="shared" si="1"/>
        <v>7.3886811931418439E-2</v>
      </c>
      <c r="AF3" s="44">
        <f t="shared" si="1"/>
        <v>6.6519658131310194E-2</v>
      </c>
      <c r="AG3" s="44">
        <f t="shared" si="1"/>
        <v>6.6319032439356759E-2</v>
      </c>
      <c r="AH3" s="44">
        <f t="shared" si="1"/>
        <v>6.4837346273301191E-2</v>
      </c>
      <c r="AJ3" s="741" t="s">
        <v>624</v>
      </c>
      <c r="AK3" s="742"/>
      <c r="AL3" s="404" t="s">
        <v>625</v>
      </c>
      <c r="AM3" s="404" t="s">
        <v>626</v>
      </c>
      <c r="AN3" s="404" t="s">
        <v>627</v>
      </c>
      <c r="AO3" s="404" t="s">
        <v>628</v>
      </c>
      <c r="AP3" s="404" t="s">
        <v>629</v>
      </c>
      <c r="AQ3" s="404" t="s">
        <v>630</v>
      </c>
      <c r="AR3" s="404" t="s">
        <v>631</v>
      </c>
    </row>
    <row r="4" spans="1:44" x14ac:dyDescent="0.25">
      <c r="A4" s="3"/>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F5" s="85"/>
      <c r="G5" s="90">
        <v>5956.7</v>
      </c>
      <c r="H5" s="90">
        <v>7909.85</v>
      </c>
      <c r="I5" s="90">
        <v>11374.46</v>
      </c>
      <c r="J5" s="85">
        <v>2550.4699999999998</v>
      </c>
      <c r="K5" s="85">
        <v>2733.31</v>
      </c>
      <c r="L5" s="85">
        <v>2963.07</v>
      </c>
      <c r="M5" s="85">
        <v>3127.61</v>
      </c>
      <c r="N5" s="11">
        <v>2268.44</v>
      </c>
      <c r="O5" s="11">
        <v>3364.19</v>
      </c>
      <c r="P5" s="11">
        <v>3729.16</v>
      </c>
      <c r="Q5" s="11">
        <v>4059.47</v>
      </c>
      <c r="R5" s="11"/>
      <c r="S5" s="42" t="s">
        <v>13</v>
      </c>
      <c r="T5" s="46"/>
      <c r="U5" s="47" t="e">
        <f t="shared" ref="U5:Z5" si="2">D21/D20</f>
        <v>#DIV/0!</v>
      </c>
      <c r="V5" s="47" t="e">
        <f t="shared" si="2"/>
        <v>#DIV/0!</v>
      </c>
      <c r="W5" s="47" t="e">
        <f t="shared" si="2"/>
        <v>#DIV/0!</v>
      </c>
      <c r="X5" s="47">
        <f t="shared" si="2"/>
        <v>2.2029612025278245</v>
      </c>
      <c r="Y5" s="47">
        <f t="shared" si="2"/>
        <v>2.65277179972301</v>
      </c>
      <c r="Z5" s="47">
        <f t="shared" si="2"/>
        <v>3.4470543250439025</v>
      </c>
      <c r="AA5" s="47" t="e">
        <f t="shared" ref="AA5" si="3">J21/J20</f>
        <v>#DIV/0!</v>
      </c>
      <c r="AB5" s="47">
        <f t="shared" ref="AB5" si="4">K21/K20</f>
        <v>3.0884594444667433</v>
      </c>
      <c r="AC5" s="47" t="e">
        <f t="shared" ref="AC5" si="5">L21/L20</f>
        <v>#DIV/0!</v>
      </c>
      <c r="AD5" s="47">
        <f t="shared" ref="AD5" si="6">M21/M20</f>
        <v>3.4470543250439025</v>
      </c>
      <c r="AE5" s="47">
        <f t="shared" ref="AE5" si="7">N21/N20</f>
        <v>2.65277179972301</v>
      </c>
      <c r="AF5" s="47" t="e">
        <f t="shared" ref="AF5" si="8">O21/O20</f>
        <v>#DIV/0!</v>
      </c>
      <c r="AG5" s="47">
        <f t="shared" ref="AG5" si="9">P21/P20</f>
        <v>3.8747121504621762</v>
      </c>
      <c r="AH5" s="461"/>
      <c r="AJ5" s="406" t="s">
        <v>632</v>
      </c>
      <c r="AK5" s="406" t="s">
        <v>557</v>
      </c>
      <c r="AL5" s="745" t="s">
        <v>633</v>
      </c>
      <c r="AM5" s="745"/>
      <c r="AN5" s="745"/>
      <c r="AO5" s="745"/>
      <c r="AP5" s="745"/>
      <c r="AQ5" s="745"/>
      <c r="AR5" s="745"/>
    </row>
    <row r="6" spans="1:44" x14ac:dyDescent="0.25">
      <c r="A6" s="6" t="s">
        <v>50</v>
      </c>
      <c r="B6" s="7"/>
      <c r="C6" s="8"/>
      <c r="F6" s="85"/>
      <c r="G6" s="85">
        <v>4770.4399999999996</v>
      </c>
      <c r="H6" s="85">
        <v>6824.97</v>
      </c>
      <c r="I6" s="85">
        <v>10276.9</v>
      </c>
      <c r="J6" s="85">
        <v>2313.4299999999998</v>
      </c>
      <c r="K6" s="85">
        <v>2491.0100000000002</v>
      </c>
      <c r="L6" s="85">
        <v>2645.67</v>
      </c>
      <c r="M6" s="85">
        <v>2826.79</v>
      </c>
      <c r="N6" s="11">
        <v>2046.7</v>
      </c>
      <c r="O6" s="11">
        <v>3031.52</v>
      </c>
      <c r="P6" s="11">
        <v>3321.81</v>
      </c>
      <c r="Q6" s="11">
        <v>3557.78</v>
      </c>
      <c r="R6" s="11"/>
      <c r="S6" s="42" t="s">
        <v>14</v>
      </c>
      <c r="T6" s="43"/>
      <c r="U6" s="43"/>
      <c r="V6" s="43"/>
      <c r="W6" s="43"/>
      <c r="X6" s="48">
        <v>0.58609999999999995</v>
      </c>
      <c r="Y6" s="48">
        <v>0.49380000000000002</v>
      </c>
      <c r="Z6" s="48">
        <v>0.39500000000000002</v>
      </c>
      <c r="AA6" s="48">
        <v>0.46</v>
      </c>
      <c r="AB6" s="48">
        <v>0.45500000000000002</v>
      </c>
      <c r="AC6" s="48">
        <v>0.40899999999999997</v>
      </c>
      <c r="AD6" s="48">
        <v>0.39500000000000002</v>
      </c>
      <c r="AF6" s="80">
        <v>0.36199999999999999</v>
      </c>
      <c r="AG6" s="80">
        <v>0.36399999999999999</v>
      </c>
      <c r="AH6" s="80">
        <v>0.33100000000000002</v>
      </c>
      <c r="AJ6" s="392">
        <v>3</v>
      </c>
      <c r="AK6" s="108" t="s">
        <v>646</v>
      </c>
      <c r="AL6" s="418">
        <v>6.7199999999999996E-2</v>
      </c>
      <c r="AM6" s="418">
        <v>7.0599999999999996E-2</v>
      </c>
      <c r="AN6" s="81"/>
      <c r="AO6" s="81"/>
      <c r="AP6" s="417">
        <v>7.3899999999999993E-2</v>
      </c>
      <c r="AQ6" s="417">
        <v>7.4399999999999994E-2</v>
      </c>
      <c r="AR6" s="417">
        <v>7.2700000000000001E-2</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10">D20/D23</f>
        <v>#DIV/0!</v>
      </c>
      <c r="V7" s="44" t="e">
        <f t="shared" si="10"/>
        <v>#DIV/0!</v>
      </c>
      <c r="W7" s="44" t="e">
        <f t="shared" si="10"/>
        <v>#DIV/0!</v>
      </c>
      <c r="X7" s="44">
        <f t="shared" si="10"/>
        <v>0.36164063282773173</v>
      </c>
      <c r="Y7" s="44">
        <f t="shared" si="10"/>
        <v>0.29981335472087312</v>
      </c>
      <c r="Z7" s="44">
        <f t="shared" si="10"/>
        <v>0.26013091767874941</v>
      </c>
      <c r="AA7" s="18"/>
      <c r="AB7" s="18"/>
      <c r="AC7" s="18"/>
      <c r="AD7" s="18"/>
      <c r="AJ7" s="392">
        <v>4</v>
      </c>
      <c r="AK7" s="108" t="s">
        <v>634</v>
      </c>
      <c r="AL7" s="410">
        <v>83.5</v>
      </c>
      <c r="AM7" s="410">
        <v>78.8</v>
      </c>
      <c r="AN7" s="410">
        <v>74.3</v>
      </c>
      <c r="AO7" s="410">
        <v>69.099999999999994</v>
      </c>
      <c r="AP7" s="81"/>
      <c r="AQ7" s="411">
        <v>305.7</v>
      </c>
      <c r="AR7" s="412">
        <v>228.3</v>
      </c>
    </row>
    <row r="8" spans="1:44" x14ac:dyDescent="0.25">
      <c r="A8" s="6" t="s">
        <v>52</v>
      </c>
      <c r="B8" s="7"/>
      <c r="C8" s="8"/>
      <c r="D8" s="85">
        <f t="shared" ref="D8:Q8" si="11">D5-D6-D7</f>
        <v>0</v>
      </c>
      <c r="E8" s="85">
        <f t="shared" si="11"/>
        <v>0</v>
      </c>
      <c r="F8" s="85">
        <f t="shared" si="11"/>
        <v>0</v>
      </c>
      <c r="G8" s="85">
        <f t="shared" si="11"/>
        <v>1186.2600000000002</v>
      </c>
      <c r="H8" s="85">
        <f t="shared" si="11"/>
        <v>1084.8800000000001</v>
      </c>
      <c r="I8" s="85">
        <f t="shared" si="11"/>
        <v>1097.5599999999995</v>
      </c>
      <c r="J8" s="85">
        <f t="shared" si="11"/>
        <v>237.03999999999996</v>
      </c>
      <c r="K8" s="85">
        <f t="shared" si="11"/>
        <v>242.29999999999973</v>
      </c>
      <c r="L8" s="85">
        <f t="shared" si="11"/>
        <v>317.40000000000009</v>
      </c>
      <c r="M8" s="85">
        <f t="shared" si="11"/>
        <v>300.82000000000016</v>
      </c>
      <c r="N8" s="85">
        <f t="shared" si="11"/>
        <v>221.74</v>
      </c>
      <c r="O8" s="85">
        <f t="shared" si="11"/>
        <v>332.67000000000007</v>
      </c>
      <c r="P8" s="85">
        <f t="shared" si="11"/>
        <v>407.34999999999991</v>
      </c>
      <c r="Q8" s="85">
        <f t="shared" si="11"/>
        <v>501.6899999999996</v>
      </c>
      <c r="R8" s="11"/>
      <c r="S8" s="40" t="s">
        <v>16</v>
      </c>
      <c r="T8" s="45"/>
      <c r="U8" s="45"/>
      <c r="V8" s="45"/>
      <c r="W8" s="46" t="s">
        <v>5</v>
      </c>
      <c r="X8" s="18"/>
      <c r="Y8" s="18"/>
      <c r="Z8" s="18"/>
      <c r="AA8" s="18"/>
      <c r="AB8" s="18"/>
      <c r="AC8" s="18"/>
      <c r="AD8" s="18"/>
      <c r="AJ8" s="392">
        <v>7</v>
      </c>
      <c r="AK8" s="108" t="s">
        <v>635</v>
      </c>
      <c r="AL8" s="417">
        <v>1.7000000000000001E-2</v>
      </c>
      <c r="AM8" s="417">
        <v>1.7000000000000001E-2</v>
      </c>
      <c r="AN8" s="81"/>
      <c r="AO8" s="81"/>
      <c r="AP8" s="417">
        <v>1.61E-2</v>
      </c>
      <c r="AQ8" s="417">
        <v>1.7000000000000001E-2</v>
      </c>
      <c r="AR8" s="417">
        <v>1.61E-2</v>
      </c>
    </row>
    <row r="9" spans="1:44" ht="33.75" x14ac:dyDescent="0.25">
      <c r="A9" s="6" t="s">
        <v>24</v>
      </c>
      <c r="B9" s="7"/>
      <c r="C9" s="7"/>
      <c r="D9" s="88"/>
      <c r="E9" s="85"/>
      <c r="F9" s="85"/>
      <c r="G9" s="85">
        <v>2156.67</v>
      </c>
      <c r="H9" s="85">
        <v>3042.89</v>
      </c>
      <c r="I9" s="85">
        <v>4998.62</v>
      </c>
      <c r="J9" s="85">
        <v>1067.73</v>
      </c>
      <c r="K9" s="85">
        <v>1170.1099999999999</v>
      </c>
      <c r="L9" s="85">
        <v>1302.1199999999999</v>
      </c>
      <c r="M9" s="85">
        <v>1458.66</v>
      </c>
      <c r="N9" s="11">
        <v>928.77</v>
      </c>
      <c r="O9" s="11">
        <v>1567.72</v>
      </c>
      <c r="P9" s="11">
        <v>1755.6</v>
      </c>
      <c r="Q9" s="11">
        <v>1926.32</v>
      </c>
      <c r="R9" s="11"/>
      <c r="S9" s="49" t="s">
        <v>93</v>
      </c>
      <c r="T9" s="45"/>
      <c r="U9" s="93" t="e">
        <f t="shared" ref="U9:Z9" si="12">D14/(D11-D9)</f>
        <v>#DIV/0!</v>
      </c>
      <c r="V9" s="93" t="e">
        <f t="shared" si="12"/>
        <v>#DIV/0!</v>
      </c>
      <c r="W9" s="93" t="e">
        <f t="shared" si="12"/>
        <v>#DIV/0!</v>
      </c>
      <c r="X9" s="93">
        <f t="shared" si="12"/>
        <v>0.33872627321363258</v>
      </c>
      <c r="Y9" s="93">
        <f t="shared" si="12"/>
        <v>0.35867564146818548</v>
      </c>
      <c r="Z9" s="93">
        <f t="shared" si="12"/>
        <v>0.36276161258751788</v>
      </c>
      <c r="AA9" s="18"/>
      <c r="AB9" s="18"/>
      <c r="AC9" s="18"/>
      <c r="AD9" s="18"/>
      <c r="AJ9" s="392">
        <v>10</v>
      </c>
      <c r="AK9" s="108" t="s">
        <v>636</v>
      </c>
      <c r="AL9" s="417">
        <v>1.2E-2</v>
      </c>
      <c r="AM9" s="417">
        <v>1.2E-2</v>
      </c>
      <c r="AN9" s="81"/>
      <c r="AO9" s="81"/>
      <c r="AP9" s="417">
        <v>1.06E-2</v>
      </c>
      <c r="AQ9" s="417">
        <v>1.2E-2</v>
      </c>
      <c r="AR9" s="417">
        <v>1.06E-2</v>
      </c>
    </row>
    <row r="10" spans="1:44" ht="22.5" x14ac:dyDescent="0.25">
      <c r="A10" s="6" t="s">
        <v>53</v>
      </c>
      <c r="B10" s="10">
        <f t="shared" ref="B10:J10" si="13">B6-B9</f>
        <v>0</v>
      </c>
      <c r="C10" s="10">
        <f t="shared" si="13"/>
        <v>0</v>
      </c>
      <c r="D10" s="89">
        <f t="shared" si="13"/>
        <v>0</v>
      </c>
      <c r="E10" s="89">
        <f t="shared" si="13"/>
        <v>0</v>
      </c>
      <c r="F10" s="89">
        <f t="shared" si="13"/>
        <v>0</v>
      </c>
      <c r="G10" s="89">
        <f t="shared" si="13"/>
        <v>2613.7699999999995</v>
      </c>
      <c r="H10" s="89">
        <f t="shared" si="13"/>
        <v>3782.0800000000004</v>
      </c>
      <c r="I10" s="89">
        <f>I6-I9</f>
        <v>5278.28</v>
      </c>
      <c r="J10" s="89">
        <f t="shared" si="13"/>
        <v>1245.6999999999998</v>
      </c>
      <c r="K10" s="89">
        <f t="shared" ref="K10:P10" si="14">K6-K9</f>
        <v>1320.9000000000003</v>
      </c>
      <c r="L10" s="89">
        <f t="shared" si="14"/>
        <v>1343.5500000000002</v>
      </c>
      <c r="M10" s="89">
        <f t="shared" si="14"/>
        <v>1368.1299999999999</v>
      </c>
      <c r="N10" s="89">
        <f t="shared" si="14"/>
        <v>1117.93</v>
      </c>
      <c r="O10" s="89">
        <f t="shared" si="14"/>
        <v>1463.8</v>
      </c>
      <c r="P10" s="89">
        <f t="shared" si="14"/>
        <v>1566.21</v>
      </c>
      <c r="Q10" s="89">
        <f t="shared" ref="Q10" si="15">Q6-Q9</f>
        <v>1631.4600000000003</v>
      </c>
      <c r="R10" s="11"/>
      <c r="S10" s="42" t="s">
        <v>92</v>
      </c>
      <c r="T10" s="43"/>
      <c r="U10" s="44" t="e">
        <f t="shared" ref="U10:Z10" si="16">D14/D11</f>
        <v>#DIV/0!</v>
      </c>
      <c r="V10" s="44" t="e">
        <f t="shared" si="16"/>
        <v>#DIV/0!</v>
      </c>
      <c r="W10" s="44" t="e">
        <f t="shared" si="16"/>
        <v>#DIV/0!</v>
      </c>
      <c r="X10" s="44">
        <f t="shared" si="16"/>
        <v>0.21608776671647054</v>
      </c>
      <c r="Y10" s="44">
        <f t="shared" si="16"/>
        <v>0.22069445059008708</v>
      </c>
      <c r="Z10" s="44">
        <f t="shared" si="16"/>
        <v>0.20334240043043803</v>
      </c>
      <c r="AA10" s="18"/>
      <c r="AB10" s="18"/>
      <c r="AC10" s="18"/>
      <c r="AD10" s="18"/>
      <c r="AJ10" s="392">
        <v>12</v>
      </c>
      <c r="AK10" s="108" t="s">
        <v>637</v>
      </c>
      <c r="AL10" s="417">
        <v>1.2999999999999999E-3</v>
      </c>
      <c r="AM10" s="417">
        <v>3.7000000000000002E-3</v>
      </c>
      <c r="AN10" s="81"/>
      <c r="AO10" s="81"/>
      <c r="AP10" s="417">
        <v>4.5999999999999999E-3</v>
      </c>
      <c r="AQ10" s="417">
        <v>3.5999999999999999E-3</v>
      </c>
      <c r="AR10" s="417">
        <v>4.1000000000000003E-3</v>
      </c>
    </row>
    <row r="11" spans="1:44" ht="30" x14ac:dyDescent="0.25">
      <c r="A11" s="6" t="s">
        <v>1</v>
      </c>
      <c r="B11" s="10">
        <f>B5-B9</f>
        <v>0</v>
      </c>
      <c r="C11" s="10">
        <f t="shared" ref="C11:J11" si="17">SUM(C6:C8)</f>
        <v>0</v>
      </c>
      <c r="D11" s="89">
        <f t="shared" si="17"/>
        <v>0</v>
      </c>
      <c r="E11" s="89">
        <f t="shared" si="17"/>
        <v>0</v>
      </c>
      <c r="F11" s="89">
        <f>SUM(F6:F8)</f>
        <v>0</v>
      </c>
      <c r="G11" s="89">
        <f>SUM(G6:G8)</f>
        <v>5956.7</v>
      </c>
      <c r="H11" s="89">
        <f>SUM(H6:H8)</f>
        <v>7909.85</v>
      </c>
      <c r="I11" s="89">
        <f>SUM(I6:I8)</f>
        <v>11374.46</v>
      </c>
      <c r="J11" s="89">
        <f t="shared" si="17"/>
        <v>2550.4699999999998</v>
      </c>
      <c r="K11" s="89">
        <f t="shared" ref="K11:P11" si="18">SUM(K6:K8)</f>
        <v>2733.31</v>
      </c>
      <c r="L11" s="89">
        <f t="shared" si="18"/>
        <v>2963.07</v>
      </c>
      <c r="M11" s="89">
        <f t="shared" si="18"/>
        <v>3127.61</v>
      </c>
      <c r="N11" s="89">
        <f t="shared" si="18"/>
        <v>2268.44</v>
      </c>
      <c r="O11" s="89">
        <f t="shared" si="18"/>
        <v>3364.19</v>
      </c>
      <c r="P11" s="89">
        <f t="shared" si="18"/>
        <v>3729.16</v>
      </c>
      <c r="Q11" s="89">
        <f t="shared" ref="Q11" si="19">SUM(Q6:Q8)</f>
        <v>4059.47</v>
      </c>
      <c r="R11" s="11"/>
      <c r="S11" s="42" t="s">
        <v>17</v>
      </c>
      <c r="T11" s="43"/>
      <c r="U11" s="44" t="e">
        <f t="shared" ref="U11:Z11" si="20">D14/AVERAGE(C22:D22)</f>
        <v>#DIV/0!</v>
      </c>
      <c r="V11" s="44" t="e">
        <f t="shared" si="20"/>
        <v>#DIV/0!</v>
      </c>
      <c r="W11" s="44" t="e">
        <f t="shared" si="20"/>
        <v>#DIV/0!</v>
      </c>
      <c r="X11" s="44">
        <f t="shared" si="20"/>
        <v>2.515544185746546E-2</v>
      </c>
      <c r="Y11" s="44">
        <f t="shared" si="20"/>
        <v>2.9452947513432307E-2</v>
      </c>
      <c r="Z11" s="44">
        <f t="shared" si="20"/>
        <v>2.8429877706820504E-2</v>
      </c>
      <c r="AA11" s="18"/>
      <c r="AB11" s="18"/>
      <c r="AC11" s="18"/>
      <c r="AD11" s="18"/>
      <c r="AJ11" s="392">
        <v>13</v>
      </c>
      <c r="AK11" s="413" t="s">
        <v>638</v>
      </c>
      <c r="AL11" s="410">
        <v>1156.04</v>
      </c>
      <c r="AM11" s="81"/>
      <c r="AN11" s="81"/>
      <c r="AO11" s="81"/>
      <c r="AP11" s="81"/>
      <c r="AQ11" s="408"/>
      <c r="AR11" s="408"/>
    </row>
    <row r="12" spans="1:44" ht="30" x14ac:dyDescent="0.25">
      <c r="A12" s="6" t="s">
        <v>91</v>
      </c>
      <c r="B12" s="10"/>
      <c r="C12" s="10"/>
      <c r="D12" s="89"/>
      <c r="E12" s="89"/>
      <c r="F12" s="89"/>
      <c r="G12" s="89">
        <v>0.31</v>
      </c>
      <c r="H12" s="89">
        <v>46.13</v>
      </c>
      <c r="I12" s="89">
        <v>190.99</v>
      </c>
      <c r="J12" s="89">
        <v>47.6</v>
      </c>
      <c r="K12" s="89">
        <v>46.5</v>
      </c>
      <c r="L12" s="89">
        <v>47.03</v>
      </c>
      <c r="M12" s="89">
        <v>49.86</v>
      </c>
      <c r="N12" s="11">
        <v>44.59</v>
      </c>
      <c r="O12" s="11">
        <v>49.06</v>
      </c>
      <c r="P12" s="11">
        <v>13.21</v>
      </c>
      <c r="Q12" s="11">
        <v>15.03</v>
      </c>
      <c r="R12" s="11"/>
      <c r="S12" s="40" t="s">
        <v>18</v>
      </c>
      <c r="T12" s="45"/>
      <c r="U12" s="45"/>
      <c r="V12" s="45"/>
      <c r="W12" s="46" t="s">
        <v>5</v>
      </c>
      <c r="X12" s="18"/>
      <c r="Y12" s="18"/>
      <c r="Z12" s="18"/>
      <c r="AA12" s="18"/>
      <c r="AB12" s="18"/>
      <c r="AC12" s="53"/>
      <c r="AD12" s="54"/>
      <c r="AJ12" s="392">
        <v>14</v>
      </c>
      <c r="AK12" s="413" t="s">
        <v>639</v>
      </c>
      <c r="AL12" s="410">
        <v>265.8</v>
      </c>
      <c r="AM12" s="81"/>
      <c r="AN12" s="81"/>
      <c r="AO12" s="81"/>
      <c r="AP12" s="81"/>
      <c r="AQ12" s="408"/>
      <c r="AR12" s="408"/>
    </row>
    <row r="13" spans="1:44" x14ac:dyDescent="0.25">
      <c r="A13" s="6" t="s">
        <v>25</v>
      </c>
      <c r="B13" s="7"/>
      <c r="C13" s="7"/>
      <c r="D13" s="88">
        <f t="shared" ref="D13:Q13" si="21">D11+D12</f>
        <v>0</v>
      </c>
      <c r="E13" s="88">
        <f t="shared" si="21"/>
        <v>0</v>
      </c>
      <c r="F13" s="88">
        <f t="shared" si="21"/>
        <v>0</v>
      </c>
      <c r="G13" s="88">
        <f t="shared" si="21"/>
        <v>5957.01</v>
      </c>
      <c r="H13" s="88">
        <f t="shared" si="21"/>
        <v>7955.9800000000005</v>
      </c>
      <c r="I13" s="88">
        <f t="shared" si="21"/>
        <v>11565.449999999999</v>
      </c>
      <c r="J13" s="88">
        <f t="shared" si="21"/>
        <v>2598.0699999999997</v>
      </c>
      <c r="K13" s="88">
        <f t="shared" si="21"/>
        <v>2779.81</v>
      </c>
      <c r="L13" s="88">
        <f t="shared" si="21"/>
        <v>3010.1000000000004</v>
      </c>
      <c r="M13" s="88">
        <f t="shared" si="21"/>
        <v>3177.4700000000003</v>
      </c>
      <c r="N13" s="88">
        <f t="shared" si="21"/>
        <v>2313.0300000000002</v>
      </c>
      <c r="O13" s="88">
        <f t="shared" si="21"/>
        <v>3413.25</v>
      </c>
      <c r="P13" s="88">
        <f t="shared" si="21"/>
        <v>3742.37</v>
      </c>
      <c r="Q13" s="88">
        <f t="shared" si="21"/>
        <v>4074.5</v>
      </c>
      <c r="R13" s="11"/>
      <c r="S13" s="42" t="s">
        <v>19</v>
      </c>
      <c r="T13" s="43"/>
      <c r="U13" s="44" t="e">
        <f t="shared" ref="U13:Z13" si="22">D24/D23</f>
        <v>#DIV/0!</v>
      </c>
      <c r="V13" s="44" t="e">
        <f t="shared" si="22"/>
        <v>#DIV/0!</v>
      </c>
      <c r="W13" s="44" t="e">
        <f t="shared" si="22"/>
        <v>#DIV/0!</v>
      </c>
      <c r="X13" s="44">
        <f t="shared" si="22"/>
        <v>2.333048987984877E-2</v>
      </c>
      <c r="Y13" s="44">
        <f t="shared" si="22"/>
        <v>1.6091876535205336E-2</v>
      </c>
      <c r="Z13" s="44">
        <f t="shared" si="22"/>
        <v>0</v>
      </c>
      <c r="AA13" s="48">
        <v>1.6400000000000001E-2</v>
      </c>
      <c r="AB13" s="48">
        <v>1.745E-2</v>
      </c>
      <c r="AC13" s="48">
        <v>1.7000000000000001E-2</v>
      </c>
      <c r="AD13" s="48">
        <v>1.7000000000000001E-2</v>
      </c>
      <c r="AF13" s="80">
        <v>1.7000000000000001E-2</v>
      </c>
      <c r="AG13" s="80">
        <v>1.7000000000000001E-2</v>
      </c>
      <c r="AH13" s="80">
        <v>1.7000000000000001E-2</v>
      </c>
      <c r="AJ13" s="392">
        <v>15</v>
      </c>
      <c r="AK13" s="108" t="s">
        <v>640</v>
      </c>
      <c r="AL13" s="419">
        <f>AL11/AL12</f>
        <v>4.3492851768246803</v>
      </c>
      <c r="AM13" s="81"/>
      <c r="AN13" s="81"/>
      <c r="AO13" s="81"/>
      <c r="AP13" s="81"/>
      <c r="AQ13" s="81"/>
      <c r="AR13" s="81"/>
    </row>
    <row r="14" spans="1:44" x14ac:dyDescent="0.25">
      <c r="A14" s="6" t="s">
        <v>26</v>
      </c>
      <c r="B14" s="7"/>
      <c r="C14" s="7"/>
      <c r="D14" s="85"/>
      <c r="E14" s="85"/>
      <c r="F14" s="85"/>
      <c r="G14" s="85">
        <f>807.7+75.21+404.26</f>
        <v>1287.17</v>
      </c>
      <c r="H14" s="85">
        <f>1070.13+90.66+584.87</f>
        <v>1745.6600000000003</v>
      </c>
      <c r="I14" s="85">
        <f>1483.44+117.29+712.18</f>
        <v>2312.91</v>
      </c>
      <c r="J14" s="85">
        <f>359.05+26.46+167.67</f>
        <v>553.17999999999995</v>
      </c>
      <c r="K14" s="85">
        <f>368.72+28.45+168.14</f>
        <v>565.30999999999995</v>
      </c>
      <c r="L14" s="85">
        <f>390.1+30.07+190.33</f>
        <v>610.5</v>
      </c>
      <c r="M14" s="85">
        <f>365.57+32.31+186.04</f>
        <v>583.91999999999996</v>
      </c>
      <c r="N14" s="11">
        <f>274.9+24.75+175.01</f>
        <v>474.65999999999997</v>
      </c>
      <c r="O14" s="11">
        <f>415.7+34.62+204.5</f>
        <v>654.81999999999994</v>
      </c>
      <c r="P14" s="11">
        <f>502.58+36.21+187.1</f>
        <v>725.89</v>
      </c>
      <c r="Q14" s="11">
        <f>507.87+41.21+203.07</f>
        <v>752.15000000000009</v>
      </c>
      <c r="R14" s="11"/>
      <c r="S14" s="42" t="s">
        <v>20</v>
      </c>
      <c r="T14" s="43"/>
      <c r="U14" s="44" t="e">
        <f t="shared" ref="U14:Z14" si="23">D25/D23</f>
        <v>#DIV/0!</v>
      </c>
      <c r="V14" s="44" t="e">
        <f t="shared" si="23"/>
        <v>#DIV/0!</v>
      </c>
      <c r="W14" s="44" t="e">
        <f t="shared" si="23"/>
        <v>#DIV/0!</v>
      </c>
      <c r="X14" s="44">
        <f t="shared" si="23"/>
        <v>1.752768460462974E-2</v>
      </c>
      <c r="Y14" s="44">
        <f t="shared" si="23"/>
        <v>1.0627677366715344E-2</v>
      </c>
      <c r="Z14" s="44">
        <f t="shared" si="23"/>
        <v>0</v>
      </c>
      <c r="AA14" s="48">
        <v>1.14E-2</v>
      </c>
      <c r="AB14" s="48">
        <v>1.2200000000000001E-2</v>
      </c>
      <c r="AC14" s="48">
        <v>1.2E-2</v>
      </c>
      <c r="AD14" s="48">
        <v>1.2E-2</v>
      </c>
      <c r="AF14" s="80">
        <v>1.2E-2</v>
      </c>
      <c r="AG14" s="80">
        <v>1.2999999999999999E-2</v>
      </c>
      <c r="AH14" s="80">
        <v>1.2999999999999999E-2</v>
      </c>
      <c r="AJ14" s="392">
        <v>16</v>
      </c>
      <c r="AK14" s="108" t="s">
        <v>641</v>
      </c>
      <c r="AL14" s="417">
        <v>1.8032999999999999</v>
      </c>
      <c r="AM14" s="81"/>
      <c r="AN14" s="81"/>
      <c r="AO14" s="81"/>
      <c r="AP14" s="81"/>
      <c r="AQ14" s="408"/>
      <c r="AR14" s="408"/>
    </row>
    <row r="15" spans="1:44" x14ac:dyDescent="0.25">
      <c r="A15" s="6" t="s">
        <v>54</v>
      </c>
      <c r="B15" s="10"/>
      <c r="C15" s="10"/>
      <c r="D15" s="89">
        <f t="shared" ref="D15:M15" si="24">D11-D14</f>
        <v>0</v>
      </c>
      <c r="E15" s="89">
        <f t="shared" si="24"/>
        <v>0</v>
      </c>
      <c r="F15" s="89">
        <f t="shared" si="24"/>
        <v>0</v>
      </c>
      <c r="G15" s="89">
        <f t="shared" si="24"/>
        <v>4669.53</v>
      </c>
      <c r="H15" s="89">
        <f t="shared" si="24"/>
        <v>6164.1900000000005</v>
      </c>
      <c r="I15" s="89">
        <f>I11-I14</f>
        <v>9061.5499999999993</v>
      </c>
      <c r="J15" s="89">
        <f t="shared" si="24"/>
        <v>1997.29</v>
      </c>
      <c r="K15" s="89">
        <f t="shared" si="24"/>
        <v>2168</v>
      </c>
      <c r="L15" s="89">
        <f t="shared" si="24"/>
        <v>2352.5700000000002</v>
      </c>
      <c r="M15" s="89">
        <f t="shared" si="24"/>
        <v>2543.69</v>
      </c>
      <c r="N15" s="89">
        <f>N11-N14</f>
        <v>1793.7800000000002</v>
      </c>
      <c r="O15" s="89">
        <f>O11-O14</f>
        <v>2709.37</v>
      </c>
      <c r="P15" s="89">
        <f>P11-P14</f>
        <v>3003.27</v>
      </c>
      <c r="Q15" s="89">
        <f>Q11-Q14</f>
        <v>3307.3199999999997</v>
      </c>
      <c r="R15" s="11"/>
      <c r="S15" s="42" t="s">
        <v>21</v>
      </c>
      <c r="T15" s="43"/>
      <c r="U15" s="44" t="e">
        <f t="shared" ref="U15:AA15" si="25">(U13-U14)/U13</f>
        <v>#DIV/0!</v>
      </c>
      <c r="V15" s="44" t="e">
        <f t="shared" si="25"/>
        <v>#DIV/0!</v>
      </c>
      <c r="W15" s="44" t="e">
        <f t="shared" si="25"/>
        <v>#DIV/0!</v>
      </c>
      <c r="X15" s="44">
        <f t="shared" si="25"/>
        <v>0.24872196448095515</v>
      </c>
      <c r="Y15" s="44">
        <f t="shared" si="25"/>
        <v>0.33956258342745654</v>
      </c>
      <c r="Z15" s="44" t="e">
        <f>(Z13-Z14)/Z13</f>
        <v>#DIV/0!</v>
      </c>
      <c r="AA15" s="44">
        <f t="shared" si="25"/>
        <v>0.30487804878048785</v>
      </c>
      <c r="AB15" s="18"/>
      <c r="AC15" s="18"/>
      <c r="AD15" s="18"/>
      <c r="AJ15" s="392">
        <v>17</v>
      </c>
      <c r="AK15" s="108" t="s">
        <v>642</v>
      </c>
      <c r="AL15" s="417">
        <v>0.39500000000000002</v>
      </c>
      <c r="AM15" s="81"/>
      <c r="AN15" s="81"/>
      <c r="AO15" s="81"/>
      <c r="AP15" s="81"/>
      <c r="AQ15" s="408"/>
      <c r="AR15" s="408"/>
    </row>
    <row r="16" spans="1:44" x14ac:dyDescent="0.25">
      <c r="A16" s="6" t="s">
        <v>94</v>
      </c>
      <c r="B16" s="10"/>
      <c r="C16" s="10"/>
      <c r="D16" s="89">
        <f t="shared" ref="D16:M16" si="26">D13-D14-D9</f>
        <v>0</v>
      </c>
      <c r="E16" s="89">
        <f t="shared" si="26"/>
        <v>0</v>
      </c>
      <c r="F16" s="89">
        <f t="shared" si="26"/>
        <v>0</v>
      </c>
      <c r="G16" s="89">
        <f t="shared" si="26"/>
        <v>2513.17</v>
      </c>
      <c r="H16" s="89">
        <f t="shared" si="26"/>
        <v>3167.43</v>
      </c>
      <c r="I16" s="89">
        <f>I13-I14-I9</f>
        <v>4253.9199999999992</v>
      </c>
      <c r="J16" s="89">
        <f t="shared" si="26"/>
        <v>977.15999999999985</v>
      </c>
      <c r="K16" s="89">
        <f t="shared" si="26"/>
        <v>1044.3900000000001</v>
      </c>
      <c r="L16" s="89">
        <f t="shared" si="26"/>
        <v>1097.4800000000005</v>
      </c>
      <c r="M16" s="89">
        <f t="shared" si="26"/>
        <v>1134.8900000000001</v>
      </c>
      <c r="N16" s="89">
        <f>N13-N14-N9</f>
        <v>909.60000000000036</v>
      </c>
      <c r="O16" s="89">
        <f>O13-O14-O9</f>
        <v>1190.7100000000003</v>
      </c>
      <c r="P16" s="89">
        <f>P13-P14-P9</f>
        <v>1260.8800000000001</v>
      </c>
      <c r="Q16" s="89">
        <f>Q13-Q14-Q9</f>
        <v>1396.03</v>
      </c>
      <c r="R16" s="11"/>
      <c r="S16" s="42" t="s">
        <v>22</v>
      </c>
      <c r="T16" s="43"/>
      <c r="U16" s="44" t="e">
        <f t="shared" ref="U16:Z16" si="27">D17/AVERAGE(C23:D23)</f>
        <v>#DIV/0!</v>
      </c>
      <c r="V16" s="44" t="e">
        <f t="shared" si="27"/>
        <v>#DIV/0!</v>
      </c>
      <c r="W16" s="44" t="e">
        <f t="shared" si="27"/>
        <v>#DIV/0!</v>
      </c>
      <c r="X16" s="44">
        <f t="shared" si="27"/>
        <v>5.7501799372908198E-3</v>
      </c>
      <c r="Y16" s="44">
        <f t="shared" si="27"/>
        <v>4.1375911003439366E-3</v>
      </c>
      <c r="Z16" s="44">
        <f t="shared" si="27"/>
        <v>3.5830921781176647E-3</v>
      </c>
      <c r="AA16" s="44">
        <f t="shared" ref="AA16:AH16" si="28">(J17*4)/J23</f>
        <v>4.6727665136638598E-3</v>
      </c>
      <c r="AB16" s="44">
        <f t="shared" si="28"/>
        <v>4.5532361241808752E-3</v>
      </c>
      <c r="AC16" s="44">
        <f t="shared" si="28"/>
        <v>3.6799422136126339E-3</v>
      </c>
      <c r="AD16" s="44">
        <f t="shared" si="28"/>
        <v>1.3478336790922949E-3</v>
      </c>
      <c r="AE16" s="44">
        <f t="shared" si="28"/>
        <v>4.5967348311881347E-3</v>
      </c>
      <c r="AF16" s="44">
        <f t="shared" si="28"/>
        <v>2.5225483145709993E-3</v>
      </c>
      <c r="AG16" s="44">
        <f t="shared" si="28"/>
        <v>2.4267140096791212E-3</v>
      </c>
      <c r="AH16" s="44">
        <f t="shared" si="28"/>
        <v>3.8895413186765151E-3</v>
      </c>
      <c r="AK16" s="414"/>
    </row>
    <row r="17" spans="1:37" x14ac:dyDescent="0.25">
      <c r="A17" s="6" t="s">
        <v>27</v>
      </c>
      <c r="B17" s="7"/>
      <c r="C17" s="7"/>
      <c r="D17" s="88"/>
      <c r="E17" s="85"/>
      <c r="F17" s="85"/>
      <c r="G17" s="85">
        <v>250.22</v>
      </c>
      <c r="H17" s="85">
        <v>215.23</v>
      </c>
      <c r="I17" s="85">
        <v>254.32</v>
      </c>
      <c r="J17" s="85">
        <v>76.86</v>
      </c>
      <c r="K17" s="85">
        <v>79.97</v>
      </c>
      <c r="L17" s="85">
        <v>70.05</v>
      </c>
      <c r="M17" s="85">
        <v>27.44</v>
      </c>
      <c r="N17" s="11">
        <v>69.55</v>
      </c>
      <c r="O17" s="11">
        <v>55.51</v>
      </c>
      <c r="P17" s="11">
        <v>57.31</v>
      </c>
      <c r="Q17" s="11">
        <v>97.87</v>
      </c>
      <c r="R17" s="11"/>
      <c r="S17" s="18"/>
      <c r="T17" s="18"/>
      <c r="U17" s="18"/>
      <c r="V17" s="18"/>
      <c r="W17" s="18"/>
      <c r="X17" s="18"/>
      <c r="Y17" s="18"/>
      <c r="Z17" s="18"/>
      <c r="AA17" s="18"/>
      <c r="AB17" s="18"/>
      <c r="AC17" s="18"/>
      <c r="AD17" s="18"/>
      <c r="AK17" s="415" t="s">
        <v>643</v>
      </c>
    </row>
    <row r="18" spans="1:37" x14ac:dyDescent="0.25">
      <c r="A18" s="6" t="s">
        <v>55</v>
      </c>
      <c r="B18" s="7"/>
      <c r="C18" s="7"/>
      <c r="D18" s="88"/>
      <c r="E18" s="85"/>
      <c r="F18" s="89"/>
      <c r="G18" s="89">
        <v>1860.98</v>
      </c>
      <c r="H18" s="89">
        <v>2282.92</v>
      </c>
      <c r="I18" s="89">
        <v>3057.17</v>
      </c>
      <c r="J18" s="89">
        <v>691.22</v>
      </c>
      <c r="K18" s="89">
        <v>743.08</v>
      </c>
      <c r="L18" s="89">
        <v>788.21</v>
      </c>
      <c r="M18" s="89">
        <v>834.66</v>
      </c>
      <c r="N18" s="11">
        <v>640.28</v>
      </c>
      <c r="O18" s="11">
        <v>877.68</v>
      </c>
      <c r="P18" s="11">
        <v>922.25</v>
      </c>
      <c r="Q18" s="11">
        <v>973.83</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c r="E19" s="85"/>
      <c r="F19" s="85"/>
      <c r="G19" s="85">
        <f>15736.85</f>
        <v>15736.85</v>
      </c>
      <c r="H19" s="85">
        <f>18173.39-28.32</f>
        <v>18145.07</v>
      </c>
      <c r="I19" s="85">
        <f>21214.85-31.25</f>
        <v>21183.599999999999</v>
      </c>
      <c r="J19" s="85"/>
      <c r="K19" s="85">
        <f>19467.32-34.46</f>
        <v>19432.86</v>
      </c>
      <c r="L19" s="85"/>
      <c r="M19" s="85">
        <f>21214.85-31.25</f>
        <v>21183.599999999999</v>
      </c>
      <c r="N19">
        <v>18145.07</v>
      </c>
      <c r="P19">
        <f>22894.87-9.65</f>
        <v>22885.219999999998</v>
      </c>
      <c r="R19" s="11"/>
      <c r="S19" s="46" t="s">
        <v>95</v>
      </c>
      <c r="T19" s="51"/>
      <c r="U19" s="51"/>
      <c r="V19" s="52" t="e">
        <f>E16/AVERAGE(D22:E22)</f>
        <v>#DIV/0!</v>
      </c>
      <c r="W19" s="52" t="e">
        <f>F16/AVERAGE(E22:F22)</f>
        <v>#DIV/0!</v>
      </c>
      <c r="X19" s="52">
        <f>G16/AVERAGE(F22:G22)</f>
        <v>4.9115425167558652E-2</v>
      </c>
      <c r="Y19" s="52">
        <f>H16/AVERAGE(G22:H22)</f>
        <v>5.3441191035179171E-2</v>
      </c>
      <c r="Z19" s="52">
        <f>I16/AVERAGE(H22:I22)</f>
        <v>5.2288426862522906E-2</v>
      </c>
      <c r="AA19" s="18"/>
      <c r="AB19" s="18"/>
      <c r="AC19" s="18"/>
      <c r="AD19" s="18"/>
    </row>
    <row r="20" spans="1:37" x14ac:dyDescent="0.25">
      <c r="A20" s="6" t="s">
        <v>56</v>
      </c>
      <c r="B20" s="7"/>
      <c r="C20" s="7"/>
      <c r="D20" s="88">
        <f t="shared" ref="D20:L20" si="29">D19-D71</f>
        <v>0</v>
      </c>
      <c r="E20" s="89">
        <f t="shared" si="29"/>
        <v>0</v>
      </c>
      <c r="F20" s="89">
        <f t="shared" si="29"/>
        <v>0</v>
      </c>
      <c r="G20" s="89">
        <f t="shared" si="29"/>
        <v>15736.85</v>
      </c>
      <c r="H20" s="89">
        <f t="shared" si="29"/>
        <v>18145.07</v>
      </c>
      <c r="I20" s="89">
        <f t="shared" si="29"/>
        <v>21183.599999999999</v>
      </c>
      <c r="J20" s="89">
        <f t="shared" si="29"/>
        <v>0</v>
      </c>
      <c r="K20" s="89">
        <f t="shared" si="29"/>
        <v>19432.86</v>
      </c>
      <c r="L20" s="89">
        <f t="shared" si="29"/>
        <v>0</v>
      </c>
      <c r="M20" s="89">
        <f>M19-N71</f>
        <v>21183.599999999999</v>
      </c>
      <c r="N20" s="89">
        <f t="shared" ref="N20:O20" si="30">N19-O71</f>
        <v>18145.07</v>
      </c>
      <c r="O20" s="89">
        <f t="shared" si="30"/>
        <v>0</v>
      </c>
      <c r="P20" s="89">
        <f>P19-R71</f>
        <v>22885.219999999998</v>
      </c>
      <c r="Q20" s="440"/>
      <c r="R20" s="11"/>
      <c r="S20" s="42" t="s">
        <v>31</v>
      </c>
      <c r="T20" s="43"/>
      <c r="U20" s="43">
        <v>4.4699999999999997E-2</v>
      </c>
      <c r="V20" s="44" t="e">
        <f>E18/AVERAGE(D22:E22)</f>
        <v>#DIV/0!</v>
      </c>
      <c r="W20" s="44" t="e">
        <f>F18/AVERAGE(E22:F22)</f>
        <v>#DIV/0!</v>
      </c>
      <c r="X20" s="44">
        <f>G18/AVERAGE(F22:G22)</f>
        <v>3.6369534861678002E-2</v>
      </c>
      <c r="Y20" s="44">
        <f>H18/AVERAGE(G22:H22)</f>
        <v>3.8517651167675762E-2</v>
      </c>
      <c r="Z20" s="44">
        <f>I18/AVERAGE(H22:I22)</f>
        <v>3.7578189047113998E-2</v>
      </c>
      <c r="AA20" s="48"/>
      <c r="AB20" s="18"/>
      <c r="AC20" s="18"/>
      <c r="AD20" s="18"/>
    </row>
    <row r="21" spans="1:37" x14ac:dyDescent="0.25">
      <c r="A21" s="6" t="s">
        <v>57</v>
      </c>
      <c r="B21" s="9"/>
      <c r="C21" s="9"/>
      <c r="D21" s="85"/>
      <c r="E21" s="85"/>
      <c r="F21" s="85"/>
      <c r="G21" s="85">
        <f>1687.82+32979.85</f>
        <v>34667.67</v>
      </c>
      <c r="H21" s="85">
        <f>3469.49+44665.24</f>
        <v>48134.729999999996</v>
      </c>
      <c r="I21" s="85">
        <f>2775.28+70245.74</f>
        <v>73021.02</v>
      </c>
      <c r="J21" s="85"/>
      <c r="K21" s="85">
        <f>2772.47+57245.13</f>
        <v>60017.599999999999</v>
      </c>
      <c r="L21" s="85"/>
      <c r="M21" s="85">
        <f>2775.28+70245.74</f>
        <v>73021.02</v>
      </c>
      <c r="N21">
        <v>48134.729999999996</v>
      </c>
      <c r="P21">
        <f>2777.95+85895.69</f>
        <v>88673.64</v>
      </c>
      <c r="R21" s="11"/>
      <c r="S21" s="42" t="s">
        <v>32</v>
      </c>
      <c r="T21" s="43"/>
      <c r="U21" s="44" t="e">
        <f t="shared" ref="U21:Z21" si="31">D18/AVERAGE(C19:D19)</f>
        <v>#DIV/0!</v>
      </c>
      <c r="V21" s="44" t="e">
        <f t="shared" si="31"/>
        <v>#DIV/0!</v>
      </c>
      <c r="W21" s="44" t="e">
        <f t="shared" si="31"/>
        <v>#DIV/0!</v>
      </c>
      <c r="X21" s="44">
        <f t="shared" si="31"/>
        <v>0.11825619485475174</v>
      </c>
      <c r="Y21" s="44">
        <f t="shared" si="31"/>
        <v>0.13475741634476443</v>
      </c>
      <c r="Z21" s="44">
        <f t="shared" si="31"/>
        <v>0.15546775418543268</v>
      </c>
      <c r="AA21" s="18"/>
      <c r="AB21" s="18"/>
      <c r="AC21" s="18"/>
      <c r="AD21" s="18"/>
    </row>
    <row r="22" spans="1:37" x14ac:dyDescent="0.25">
      <c r="A22" s="6" t="s">
        <v>29</v>
      </c>
      <c r="B22" s="7"/>
      <c r="C22" s="7"/>
      <c r="D22" s="88"/>
      <c r="E22" s="85"/>
      <c r="F22" s="85"/>
      <c r="G22" s="85">
        <v>51168.65</v>
      </c>
      <c r="H22" s="85">
        <v>67370.25</v>
      </c>
      <c r="I22" s="85">
        <v>95339.56</v>
      </c>
      <c r="J22" s="85"/>
      <c r="K22" s="85">
        <v>80434.3</v>
      </c>
      <c r="L22" s="85"/>
      <c r="M22" s="85">
        <v>95339.56</v>
      </c>
      <c r="N22">
        <v>67370.25</v>
      </c>
      <c r="P22" s="439">
        <v>113085.35</v>
      </c>
      <c r="Q22" s="439"/>
      <c r="R22" s="11"/>
      <c r="S22" s="40" t="s">
        <v>33</v>
      </c>
      <c r="T22" s="45"/>
      <c r="U22" s="45"/>
      <c r="V22" s="45"/>
      <c r="W22" s="46" t="s">
        <v>5</v>
      </c>
      <c r="X22" s="18"/>
      <c r="Y22" s="18"/>
      <c r="Z22" s="18"/>
      <c r="AA22" s="18"/>
      <c r="AB22" s="18"/>
      <c r="AC22" s="18"/>
      <c r="AD22" s="18"/>
    </row>
    <row r="23" spans="1:37" x14ac:dyDescent="0.25">
      <c r="A23" s="6" t="s">
        <v>58</v>
      </c>
      <c r="B23" s="7"/>
      <c r="C23" s="7"/>
      <c r="D23" s="88"/>
      <c r="E23" s="85"/>
      <c r="F23" s="85"/>
      <c r="G23" s="85">
        <v>43515.16</v>
      </c>
      <c r="H23" s="85">
        <v>60521.22</v>
      </c>
      <c r="I23" s="85">
        <v>81434.38</v>
      </c>
      <c r="J23" s="85">
        <v>65794</v>
      </c>
      <c r="K23" s="85">
        <v>70253.33</v>
      </c>
      <c r="L23" s="85">
        <v>76142.5</v>
      </c>
      <c r="M23" s="85">
        <v>81434.38</v>
      </c>
      <c r="N23">
        <v>60521.22</v>
      </c>
      <c r="O23" s="444">
        <v>88022.1</v>
      </c>
      <c r="P23" s="439">
        <v>94465.19</v>
      </c>
      <c r="Q23" s="439">
        <v>100649.4</v>
      </c>
      <c r="R23" s="11"/>
      <c r="S23" s="42" t="s">
        <v>34</v>
      </c>
      <c r="T23" s="43"/>
      <c r="U23" s="44" t="e">
        <f t="shared" ref="U23:Z23" si="32">D6/AVERAGE(C23:D23)</f>
        <v>#DIV/0!</v>
      </c>
      <c r="V23" s="44" t="e">
        <f t="shared" si="32"/>
        <v>#DIV/0!</v>
      </c>
      <c r="W23" s="44" t="e">
        <f t="shared" si="32"/>
        <v>#DIV/0!</v>
      </c>
      <c r="X23" s="44">
        <f t="shared" si="32"/>
        <v>0.10962708168831274</v>
      </c>
      <c r="Y23" s="44">
        <f t="shared" si="32"/>
        <v>0.13120352707389474</v>
      </c>
      <c r="Z23" s="44">
        <f t="shared" si="32"/>
        <v>0.14479034289594775</v>
      </c>
      <c r="AA23" s="18"/>
      <c r="AB23" s="18"/>
      <c r="AC23" s="18"/>
      <c r="AD23" s="18"/>
    </row>
    <row r="24" spans="1:37" x14ac:dyDescent="0.25">
      <c r="A24" s="6" t="s">
        <v>59</v>
      </c>
      <c r="B24" s="10"/>
      <c r="C24" s="10"/>
      <c r="D24" s="89"/>
      <c r="E24" s="89"/>
      <c r="F24" s="89"/>
      <c r="G24" s="89">
        <v>1015.23</v>
      </c>
      <c r="H24" s="89">
        <v>973.9</v>
      </c>
      <c r="I24" s="89"/>
      <c r="J24" s="89"/>
      <c r="K24" s="89"/>
      <c r="L24" s="89"/>
      <c r="M24" s="89"/>
      <c r="N24" s="11">
        <v>973.9</v>
      </c>
      <c r="O24" s="11"/>
      <c r="P24" s="11"/>
      <c r="Q24" s="11"/>
      <c r="R24" s="11"/>
      <c r="S24" s="42" t="s">
        <v>35</v>
      </c>
      <c r="T24" s="43"/>
      <c r="U24" s="44" t="e">
        <f t="shared" ref="U24:Z24" si="33">D9/AVERAGE(C21:D21)</f>
        <v>#DIV/0!</v>
      </c>
      <c r="V24" s="44" t="e">
        <f t="shared" si="33"/>
        <v>#DIV/0!</v>
      </c>
      <c r="W24" s="44" t="e">
        <f t="shared" si="33"/>
        <v>#DIV/0!</v>
      </c>
      <c r="X24" s="44">
        <f t="shared" si="33"/>
        <v>6.2209834119224053E-2</v>
      </c>
      <c r="Y24" s="44">
        <f t="shared" si="33"/>
        <v>7.3497628088074737E-2</v>
      </c>
      <c r="Z24" s="44">
        <f t="shared" si="33"/>
        <v>8.2515604913510093E-2</v>
      </c>
      <c r="AA24" s="18"/>
      <c r="AB24" s="18"/>
      <c r="AC24" s="18"/>
      <c r="AD24" s="18"/>
    </row>
    <row r="25" spans="1:37" x14ac:dyDescent="0.25">
      <c r="A25" s="6" t="s">
        <v>60</v>
      </c>
      <c r="B25" s="10"/>
      <c r="C25" s="10"/>
      <c r="D25" s="89"/>
      <c r="E25" s="89"/>
      <c r="F25" s="89"/>
      <c r="G25" s="89">
        <v>762.72</v>
      </c>
      <c r="H25" s="89">
        <v>643.20000000000005</v>
      </c>
      <c r="I25" s="89"/>
      <c r="J25" s="89"/>
      <c r="K25" s="89"/>
      <c r="L25" s="89"/>
      <c r="M25" s="89"/>
      <c r="N25" s="11">
        <v>643.20000000000005</v>
      </c>
      <c r="O25" s="11"/>
      <c r="P25" s="11"/>
      <c r="Q25" s="11"/>
      <c r="R25" s="11"/>
      <c r="S25" s="42" t="s">
        <v>36</v>
      </c>
      <c r="T25" s="43"/>
      <c r="U25" s="48" t="e">
        <f t="shared" ref="U25:Z25" si="34">U23-U24</f>
        <v>#DIV/0!</v>
      </c>
      <c r="V25" s="48" t="e">
        <f t="shared" si="34"/>
        <v>#DIV/0!</v>
      </c>
      <c r="W25" s="48" t="e">
        <f t="shared" si="34"/>
        <v>#DIV/0!</v>
      </c>
      <c r="X25" s="48">
        <f t="shared" si="34"/>
        <v>4.7417247569088689E-2</v>
      </c>
      <c r="Y25" s="48">
        <f t="shared" si="34"/>
        <v>5.7705898985820001E-2</v>
      </c>
      <c r="Z25" s="48">
        <f t="shared" si="34"/>
        <v>6.2274737982437656E-2</v>
      </c>
      <c r="AA25" s="18"/>
      <c r="AB25" s="18"/>
      <c r="AC25" s="18"/>
      <c r="AD25" s="18"/>
    </row>
    <row r="26" spans="1:37" x14ac:dyDescent="0.25">
      <c r="S26" s="407" t="s">
        <v>691</v>
      </c>
      <c r="AG26" s="436">
        <v>0.5</v>
      </c>
      <c r="AH26" s="436"/>
    </row>
  </sheetData>
  <mergeCells count="3">
    <mergeCell ref="K1:M1"/>
    <mergeCell ref="AJ3:AK4"/>
    <mergeCell ref="AL5:AR5"/>
  </mergeCell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R25"/>
  <sheetViews>
    <sheetView topLeftCell="I13" workbookViewId="0">
      <selection activeCell="N23" sqref="N23"/>
    </sheetView>
  </sheetViews>
  <sheetFormatPr defaultRowHeight="15" x14ac:dyDescent="0.25"/>
  <cols>
    <col min="1" max="1" width="28.140625" customWidth="1"/>
    <col min="4" max="4" width="11.28515625" customWidth="1"/>
    <col min="5" max="5" width="11.42578125" customWidth="1"/>
    <col min="6" max="6" width="11.7109375" customWidth="1"/>
    <col min="7" max="9" width="10.42578125" customWidth="1"/>
    <col min="10" max="10" width="10.140625" bestFit="1" customWidth="1"/>
    <col min="13" max="13" width="10.140625" bestFit="1" customWidth="1"/>
    <col min="19" max="19" width="28.7109375" customWidth="1"/>
    <col min="22" max="22" width="12.7109375" customWidth="1"/>
    <col min="24" max="24" width="13.5703125" customWidth="1"/>
    <col min="25" max="26" width="12" customWidth="1"/>
    <col min="36" max="36" width="5.7109375" bestFit="1" customWidth="1"/>
    <col min="37" max="37" width="36.7109375" bestFit="1" customWidth="1"/>
    <col min="38" max="38" width="27.5703125" bestFit="1" customWidth="1"/>
    <col min="39" max="39" width="34.140625" bestFit="1" customWidth="1"/>
    <col min="40" max="41" width="12.140625" bestFit="1" customWidth="1"/>
    <col min="42" max="42" width="23.140625" bestFit="1" customWidth="1"/>
    <col min="43" max="43" width="22.85546875" bestFit="1" customWidth="1"/>
    <col min="44" max="44" width="25.140625" bestFit="1" customWidth="1"/>
  </cols>
  <sheetData>
    <row r="1" spans="1:44" x14ac:dyDescent="0.25">
      <c r="K1" s="772" t="s">
        <v>113</v>
      </c>
      <c r="L1" s="772"/>
      <c r="M1" s="772"/>
    </row>
    <row r="2" spans="1:44" ht="45" x14ac:dyDescent="0.25">
      <c r="A2" s="3" t="s">
        <v>4</v>
      </c>
      <c r="B2" s="1" t="s">
        <v>43</v>
      </c>
      <c r="C2" s="1" t="s">
        <v>41</v>
      </c>
      <c r="D2" s="2" t="s">
        <v>44</v>
      </c>
      <c r="E2" s="2" t="s">
        <v>0</v>
      </c>
      <c r="F2" s="3" t="s">
        <v>45</v>
      </c>
      <c r="G2" s="3" t="s">
        <v>42</v>
      </c>
      <c r="H2" s="3" t="s">
        <v>495</v>
      </c>
      <c r="I2" s="3" t="s">
        <v>556</v>
      </c>
      <c r="J2" s="3" t="s">
        <v>37</v>
      </c>
      <c r="K2" s="3" t="s">
        <v>38</v>
      </c>
      <c r="L2" s="3" t="s">
        <v>39</v>
      </c>
      <c r="M2" s="3" t="s">
        <v>40</v>
      </c>
      <c r="N2" s="11"/>
      <c r="O2" s="11" t="s">
        <v>683</v>
      </c>
      <c r="P2" s="11" t="s">
        <v>686</v>
      </c>
      <c r="Q2" s="11" t="s">
        <v>692</v>
      </c>
      <c r="R2" s="11"/>
      <c r="S2" s="40" t="s">
        <v>6</v>
      </c>
      <c r="T2" s="41" t="s">
        <v>7</v>
      </c>
      <c r="U2" s="41" t="s">
        <v>8</v>
      </c>
      <c r="V2" s="41" t="s">
        <v>9</v>
      </c>
      <c r="W2" s="40" t="s">
        <v>10</v>
      </c>
      <c r="X2" s="41" t="s">
        <v>90</v>
      </c>
      <c r="Y2" s="41" t="s">
        <v>496</v>
      </c>
      <c r="Z2" s="41"/>
      <c r="AA2" s="40" t="s">
        <v>37</v>
      </c>
      <c r="AB2" s="41" t="s">
        <v>38</v>
      </c>
      <c r="AC2" s="41" t="s">
        <v>39</v>
      </c>
      <c r="AD2" s="41" t="s">
        <v>40</v>
      </c>
      <c r="AL2" s="403"/>
      <c r="AM2" s="403"/>
      <c r="AN2" s="403"/>
      <c r="AO2" s="403"/>
      <c r="AP2" s="403"/>
    </row>
    <row r="3" spans="1:44" x14ac:dyDescent="0.25">
      <c r="A3" s="3"/>
      <c r="B3" s="1" t="s">
        <v>46</v>
      </c>
      <c r="C3" s="4" t="s">
        <v>47</v>
      </c>
      <c r="D3" s="5" t="s">
        <v>47</v>
      </c>
      <c r="E3" s="5" t="s">
        <v>47</v>
      </c>
      <c r="F3" s="1" t="s">
        <v>46</v>
      </c>
      <c r="G3" s="1" t="s">
        <v>46</v>
      </c>
      <c r="H3" s="1" t="s">
        <v>46</v>
      </c>
      <c r="I3" s="1" t="s">
        <v>46</v>
      </c>
      <c r="J3" s="1" t="s">
        <v>96</v>
      </c>
      <c r="K3" s="1"/>
      <c r="L3" s="1"/>
      <c r="M3" s="1"/>
      <c r="N3" s="11"/>
      <c r="O3" s="11"/>
      <c r="P3" s="11"/>
      <c r="Q3" s="11"/>
      <c r="R3" s="11"/>
      <c r="S3" s="42" t="s">
        <v>11</v>
      </c>
      <c r="T3" s="43"/>
      <c r="U3" s="44" t="e">
        <f t="shared" ref="U3:Z3" si="0">D10/AVERAGE(C23:D23)</f>
        <v>#DIV/0!</v>
      </c>
      <c r="V3" s="44" t="e">
        <f t="shared" si="0"/>
        <v>#DIV/0!</v>
      </c>
      <c r="W3" s="44" t="e">
        <f t="shared" si="0"/>
        <v>#DIV/0!</v>
      </c>
      <c r="X3" s="44">
        <f t="shared" si="0"/>
        <v>0.10988436828515473</v>
      </c>
      <c r="Y3" s="44">
        <f t="shared" si="0"/>
        <v>0.12920450358704849</v>
      </c>
      <c r="Z3" s="44">
        <f t="shared" si="0"/>
        <v>0.13495947043232959</v>
      </c>
      <c r="AA3" s="422">
        <f t="shared" ref="AA3:AH3" si="1">J10*4/J23</f>
        <v>0.12199720279720279</v>
      </c>
      <c r="AB3" s="422">
        <f t="shared" si="1"/>
        <v>0.12150329235706075</v>
      </c>
      <c r="AC3" s="422">
        <f t="shared" si="1"/>
        <v>0.13180558139534881</v>
      </c>
      <c r="AD3" s="422">
        <f t="shared" si="1"/>
        <v>0.13708870391851227</v>
      </c>
      <c r="AE3" s="422">
        <f t="shared" si="1"/>
        <v>0.12072415486660595</v>
      </c>
      <c r="AF3" s="422">
        <f t="shared" si="1"/>
        <v>0.12929383697813121</v>
      </c>
      <c r="AG3" s="422">
        <f t="shared" si="1"/>
        <v>0.13353532143546548</v>
      </c>
      <c r="AH3" s="422">
        <f t="shared" si="1"/>
        <v>0.12044011957005661</v>
      </c>
      <c r="AJ3" s="741" t="s">
        <v>624</v>
      </c>
      <c r="AK3" s="742"/>
      <c r="AL3" s="404" t="s">
        <v>625</v>
      </c>
      <c r="AM3" s="404" t="s">
        <v>626</v>
      </c>
      <c r="AN3" s="404" t="s">
        <v>627</v>
      </c>
      <c r="AO3" s="404" t="s">
        <v>628</v>
      </c>
      <c r="AP3" s="404" t="s">
        <v>629</v>
      </c>
      <c r="AQ3" s="404" t="s">
        <v>630</v>
      </c>
      <c r="AR3" s="404" t="s">
        <v>631</v>
      </c>
    </row>
    <row r="4" spans="1:44" x14ac:dyDescent="0.25">
      <c r="A4" s="3"/>
      <c r="B4" s="1" t="s">
        <v>48</v>
      </c>
      <c r="C4" s="1" t="s">
        <v>48</v>
      </c>
      <c r="D4" s="5" t="s">
        <v>49</v>
      </c>
      <c r="E4" s="5" t="s">
        <v>49</v>
      </c>
      <c r="F4" s="5" t="s">
        <v>49</v>
      </c>
      <c r="G4" s="5" t="s">
        <v>49</v>
      </c>
      <c r="H4" s="5" t="s">
        <v>49</v>
      </c>
      <c r="I4" s="5" t="s">
        <v>49</v>
      </c>
      <c r="J4" s="5"/>
      <c r="K4" s="5"/>
      <c r="L4" s="5"/>
      <c r="M4" s="5"/>
      <c r="N4" s="11"/>
      <c r="O4" s="11"/>
      <c r="P4" s="11"/>
      <c r="Q4" s="11"/>
      <c r="R4" s="11"/>
      <c r="S4" s="40" t="s">
        <v>12</v>
      </c>
      <c r="T4" s="45"/>
      <c r="U4" s="45"/>
      <c r="V4" s="45"/>
      <c r="W4" s="46" t="s">
        <v>5</v>
      </c>
      <c r="X4" s="18"/>
      <c r="Y4" s="18"/>
      <c r="Z4" s="18"/>
      <c r="AA4" s="18"/>
      <c r="AB4" s="18"/>
      <c r="AC4" s="18"/>
      <c r="AD4" s="18"/>
      <c r="AJ4" s="743"/>
      <c r="AK4" s="744"/>
      <c r="AL4" s="405"/>
      <c r="AM4" s="405"/>
      <c r="AN4" s="405"/>
      <c r="AO4" s="405"/>
      <c r="AP4" s="405"/>
      <c r="AQ4" s="405"/>
      <c r="AR4" s="405"/>
    </row>
    <row r="5" spans="1:44" x14ac:dyDescent="0.25">
      <c r="A5" s="6" t="s">
        <v>23</v>
      </c>
      <c r="B5" s="7"/>
      <c r="C5" s="8"/>
      <c r="F5" s="85"/>
      <c r="G5" s="90">
        <v>7462.54</v>
      </c>
      <c r="H5" s="90">
        <v>11723.68</v>
      </c>
      <c r="I5" s="90">
        <v>16564.87</v>
      </c>
      <c r="J5" s="85">
        <v>3529</v>
      </c>
      <c r="K5" s="85">
        <v>3830.87</v>
      </c>
      <c r="L5" s="85">
        <v>4540.3999999999996</v>
      </c>
      <c r="M5" s="85">
        <v>4664.58</v>
      </c>
      <c r="N5" s="11">
        <v>3359</v>
      </c>
      <c r="O5" s="11">
        <v>5108.8</v>
      </c>
      <c r="P5" s="11">
        <v>5405.56</v>
      </c>
      <c r="Q5" s="11">
        <v>5339.16</v>
      </c>
      <c r="R5" s="11"/>
      <c r="S5" s="42" t="s">
        <v>13</v>
      </c>
      <c r="T5" s="46"/>
      <c r="U5" s="47" t="e">
        <f t="shared" ref="U5:Z5" si="2">D21/D20</f>
        <v>#DIV/0!</v>
      </c>
      <c r="V5" s="47" t="e">
        <f t="shared" si="2"/>
        <v>#DIV/0!</v>
      </c>
      <c r="W5" s="47" t="e">
        <f t="shared" si="2"/>
        <v>#DIV/0!</v>
      </c>
      <c r="X5" s="47">
        <f t="shared" si="2"/>
        <v>0.63771202322885023</v>
      </c>
      <c r="Y5" s="47">
        <f t="shared" si="2"/>
        <v>1.1305829404081842</v>
      </c>
      <c r="Z5" s="47">
        <f t="shared" si="2"/>
        <v>1.0637324606841778</v>
      </c>
      <c r="AA5" s="47" t="e">
        <f t="shared" ref="AA5" si="3">J21/J20</f>
        <v>#DIV/0!</v>
      </c>
      <c r="AB5" s="47">
        <f t="shared" ref="AB5" si="4">K21/K20</f>
        <v>0.92661708048507441</v>
      </c>
      <c r="AC5" s="47" t="e">
        <f t="shared" ref="AC5" si="5">L21/L20</f>
        <v>#DIV/0!</v>
      </c>
      <c r="AD5" s="47">
        <f t="shared" ref="AD5" si="6">M21/M20</f>
        <v>1.0637324606841778</v>
      </c>
      <c r="AE5" s="47">
        <f t="shared" ref="AE5" si="7">N21/N20</f>
        <v>1.1305829404081842</v>
      </c>
      <c r="AF5" s="47" t="e">
        <f t="shared" ref="AF5" si="8">O21/O20</f>
        <v>#DIV/0!</v>
      </c>
      <c r="AG5" s="47">
        <f t="shared" ref="AG5" si="9">P21/P20</f>
        <v>1.140097662346734</v>
      </c>
      <c r="AH5" s="461"/>
      <c r="AJ5" s="406" t="s">
        <v>632</v>
      </c>
      <c r="AK5" s="406" t="s">
        <v>557</v>
      </c>
      <c r="AL5" s="745" t="s">
        <v>633</v>
      </c>
      <c r="AM5" s="745"/>
      <c r="AN5" s="745"/>
      <c r="AO5" s="745"/>
      <c r="AP5" s="745"/>
      <c r="AQ5" s="745"/>
      <c r="AR5" s="745"/>
    </row>
    <row r="6" spans="1:44" x14ac:dyDescent="0.25">
      <c r="A6" s="6" t="s">
        <v>50</v>
      </c>
      <c r="B6" s="7"/>
      <c r="C6" s="8"/>
      <c r="F6" s="85"/>
      <c r="G6" s="85">
        <v>6755.45</v>
      </c>
      <c r="H6" s="85">
        <v>10785.73</v>
      </c>
      <c r="I6" s="85">
        <v>15371.62</v>
      </c>
      <c r="J6" s="85">
        <v>3126.77</v>
      </c>
      <c r="K6" s="85">
        <v>3393.6</v>
      </c>
      <c r="L6" s="85">
        <v>3945.96</v>
      </c>
      <c r="M6" s="85">
        <v>4462.0200000000004</v>
      </c>
      <c r="N6" s="11">
        <v>3143.7</v>
      </c>
      <c r="O6" s="11">
        <v>4677.53</v>
      </c>
      <c r="P6" s="11">
        <v>4956.33</v>
      </c>
      <c r="Q6" s="11">
        <v>5033.34</v>
      </c>
      <c r="R6" s="11"/>
      <c r="S6" s="42" t="s">
        <v>14</v>
      </c>
      <c r="T6" s="43"/>
      <c r="U6" s="43"/>
      <c r="V6" s="43"/>
      <c r="W6" s="43"/>
      <c r="X6" s="48">
        <v>0.63819999999999999</v>
      </c>
      <c r="Y6" s="48">
        <v>0.49880000000000002</v>
      </c>
      <c r="Z6" s="48">
        <v>1.4987999999999999</v>
      </c>
      <c r="AA6" s="48">
        <v>0.52759999999999996</v>
      </c>
      <c r="AB6" s="48">
        <v>0.51029999999999998</v>
      </c>
      <c r="AC6" s="48">
        <v>0.48420000000000002</v>
      </c>
      <c r="AD6" s="48"/>
      <c r="AF6" s="80">
        <v>0.49680000000000002</v>
      </c>
      <c r="AG6" s="80">
        <v>0.49109999999999998</v>
      </c>
      <c r="AH6" s="80">
        <v>0.47489999999999999</v>
      </c>
      <c r="AJ6" s="392">
        <v>1</v>
      </c>
      <c r="AK6" s="108" t="s">
        <v>646</v>
      </c>
      <c r="AL6" s="418">
        <v>0.13700000000000001</v>
      </c>
      <c r="AM6" s="409"/>
      <c r="AN6" s="81"/>
      <c r="AO6" s="81"/>
      <c r="AP6" s="417">
        <v>0.121</v>
      </c>
      <c r="AQ6" s="417">
        <v>0.13500000000000001</v>
      </c>
      <c r="AR6" s="417">
        <v>0.12920000000000001</v>
      </c>
    </row>
    <row r="7" spans="1:44" x14ac:dyDescent="0.25">
      <c r="A7" s="6" t="s">
        <v>51</v>
      </c>
      <c r="B7" s="7"/>
      <c r="C7" s="8"/>
      <c r="D7" s="87"/>
      <c r="E7" s="85"/>
      <c r="F7" s="85">
        <v>0</v>
      </c>
      <c r="G7" s="85">
        <v>0</v>
      </c>
      <c r="H7" s="85"/>
      <c r="I7" s="85"/>
      <c r="J7" s="85"/>
      <c r="K7" s="85"/>
      <c r="L7" s="85"/>
      <c r="M7" s="85"/>
      <c r="N7" s="11"/>
      <c r="O7" s="11"/>
      <c r="P7" s="11"/>
      <c r="Q7" s="11"/>
      <c r="R7" s="11"/>
      <c r="S7" s="42" t="s">
        <v>15</v>
      </c>
      <c r="T7" s="43"/>
      <c r="U7" s="44" t="e">
        <f t="shared" ref="U7:Z7" si="10">D20/D23</f>
        <v>#DIV/0!</v>
      </c>
      <c r="V7" s="44" t="e">
        <f t="shared" si="10"/>
        <v>#DIV/0!</v>
      </c>
      <c r="W7" s="44" t="e">
        <f t="shared" si="10"/>
        <v>#DIV/0!</v>
      </c>
      <c r="X7" s="44">
        <f t="shared" si="10"/>
        <v>0.61931058923117754</v>
      </c>
      <c r="Y7" s="44">
        <f t="shared" si="10"/>
        <v>0.49280472447546059</v>
      </c>
      <c r="Z7" s="44">
        <f t="shared" si="10"/>
        <v>0.52028873884837257</v>
      </c>
      <c r="AA7" s="18"/>
      <c r="AB7" s="18"/>
      <c r="AC7" s="18"/>
      <c r="AD7" s="18"/>
      <c r="AJ7" s="392">
        <v>2</v>
      </c>
      <c r="AK7" s="108" t="s">
        <v>634</v>
      </c>
      <c r="AL7" s="410">
        <v>18.57</v>
      </c>
      <c r="AM7" s="410">
        <v>16.72</v>
      </c>
      <c r="AN7" s="410">
        <v>14.82</v>
      </c>
      <c r="AO7" s="410">
        <v>13.25</v>
      </c>
      <c r="AP7" s="81"/>
      <c r="AQ7" s="411">
        <v>63.36</v>
      </c>
      <c r="AR7" s="412">
        <v>45.63</v>
      </c>
    </row>
    <row r="8" spans="1:44" x14ac:dyDescent="0.25">
      <c r="A8" s="6" t="s">
        <v>52</v>
      </c>
      <c r="B8" s="7"/>
      <c r="C8" s="8"/>
      <c r="D8" s="85">
        <f t="shared" ref="D8:Q8" si="11">D5-D6-D7</f>
        <v>0</v>
      </c>
      <c r="E8" s="85">
        <f t="shared" si="11"/>
        <v>0</v>
      </c>
      <c r="F8" s="85">
        <f t="shared" si="11"/>
        <v>0</v>
      </c>
      <c r="G8" s="85">
        <f t="shared" si="11"/>
        <v>707.09000000000015</v>
      </c>
      <c r="H8" s="85">
        <f t="shared" si="11"/>
        <v>937.95000000000073</v>
      </c>
      <c r="I8" s="85">
        <f t="shared" si="11"/>
        <v>1193.2499999999982</v>
      </c>
      <c r="J8" s="85">
        <f t="shared" si="11"/>
        <v>402.23</v>
      </c>
      <c r="K8" s="85">
        <f t="shared" si="11"/>
        <v>437.27</v>
      </c>
      <c r="L8" s="85">
        <f t="shared" si="11"/>
        <v>594.4399999999996</v>
      </c>
      <c r="M8" s="85">
        <f t="shared" si="11"/>
        <v>202.55999999999949</v>
      </c>
      <c r="N8" s="85">
        <f t="shared" si="11"/>
        <v>215.30000000000018</v>
      </c>
      <c r="O8" s="85">
        <f t="shared" si="11"/>
        <v>431.27000000000044</v>
      </c>
      <c r="P8" s="85">
        <f t="shared" si="11"/>
        <v>449.23000000000047</v>
      </c>
      <c r="Q8" s="85">
        <f t="shared" si="11"/>
        <v>305.81999999999971</v>
      </c>
      <c r="R8" s="11"/>
      <c r="S8" s="40" t="s">
        <v>16</v>
      </c>
      <c r="T8" s="45"/>
      <c r="U8" s="45"/>
      <c r="V8" s="45"/>
      <c r="W8" s="46" t="s">
        <v>5</v>
      </c>
      <c r="X8" s="18"/>
      <c r="Y8" s="18"/>
      <c r="Z8" s="18"/>
      <c r="AA8" s="18"/>
      <c r="AB8" s="18"/>
      <c r="AC8" s="18"/>
      <c r="AD8" s="18"/>
      <c r="AJ8" s="392">
        <v>3</v>
      </c>
      <c r="AK8" s="108" t="s">
        <v>635</v>
      </c>
      <c r="AL8" s="417">
        <v>4.4000000000000003E-3</v>
      </c>
      <c r="AM8" s="417">
        <v>4.0000000000000001E-3</v>
      </c>
      <c r="AN8" s="81"/>
      <c r="AO8" s="81"/>
      <c r="AP8" s="417">
        <v>6.1000000000000004E-3</v>
      </c>
      <c r="AQ8" s="417">
        <v>4.4000000000000003E-3</v>
      </c>
      <c r="AR8" s="417">
        <v>4.0000000000000001E-3</v>
      </c>
    </row>
    <row r="9" spans="1:44" ht="33.75" x14ac:dyDescent="0.25">
      <c r="A9" s="6" t="s">
        <v>24</v>
      </c>
      <c r="B9" s="7"/>
      <c r="C9" s="7"/>
      <c r="D9" s="88"/>
      <c r="E9" s="85"/>
      <c r="F9" s="85"/>
      <c r="G9" s="85">
        <v>1074.96</v>
      </c>
      <c r="H9" s="85">
        <v>2714.7</v>
      </c>
      <c r="I9" s="85">
        <v>4293.87</v>
      </c>
      <c r="J9" s="85">
        <v>946.07</v>
      </c>
      <c r="K9" s="85">
        <v>889.85</v>
      </c>
      <c r="L9" s="85">
        <v>1112.1400000000001</v>
      </c>
      <c r="M9" s="85">
        <v>1345.82</v>
      </c>
      <c r="N9" s="11">
        <v>933.27</v>
      </c>
      <c r="O9" s="11">
        <v>1425.79</v>
      </c>
      <c r="P9" s="11">
        <v>1533.79</v>
      </c>
      <c r="Q9" s="11">
        <v>1719.4</v>
      </c>
      <c r="R9" s="11"/>
      <c r="S9" s="49" t="s">
        <v>93</v>
      </c>
      <c r="T9" s="45"/>
      <c r="U9" s="93" t="e">
        <f t="shared" ref="U9:Z9" si="12">D14/(D11-D9)</f>
        <v>#DIV/0!</v>
      </c>
      <c r="V9" s="93" t="e">
        <f t="shared" si="12"/>
        <v>#DIV/0!</v>
      </c>
      <c r="W9" s="93" t="e">
        <f t="shared" si="12"/>
        <v>#DIV/0!</v>
      </c>
      <c r="X9" s="93">
        <f t="shared" si="12"/>
        <v>0.243892053015383</v>
      </c>
      <c r="Y9" s="93">
        <f t="shared" si="12"/>
        <v>0.27729221288092554</v>
      </c>
      <c r="Z9" s="93">
        <f t="shared" si="12"/>
        <v>0.26810691875152798</v>
      </c>
      <c r="AA9" s="18"/>
      <c r="AB9" s="18"/>
      <c r="AC9" s="18"/>
      <c r="AD9" s="18"/>
      <c r="AJ9" s="392">
        <v>4</v>
      </c>
      <c r="AK9" s="108" t="s">
        <v>636</v>
      </c>
      <c r="AL9" s="417">
        <v>2.5000000000000001E-3</v>
      </c>
      <c r="AM9" s="417">
        <v>2.3999999999999998E-3</v>
      </c>
      <c r="AN9" s="81"/>
      <c r="AO9" s="81"/>
      <c r="AP9" s="417">
        <v>3.5000000000000001E-3</v>
      </c>
      <c r="AQ9" s="417">
        <v>2.5000000000000001E-3</v>
      </c>
      <c r="AR9" s="417">
        <v>2.3999999999999998E-3</v>
      </c>
    </row>
    <row r="10" spans="1:44" ht="22.5" x14ac:dyDescent="0.25">
      <c r="A10" s="6" t="s">
        <v>53</v>
      </c>
      <c r="B10" s="10">
        <f t="shared" ref="B10:J10" si="13">B6-B9</f>
        <v>0</v>
      </c>
      <c r="C10" s="10">
        <f t="shared" si="13"/>
        <v>0</v>
      </c>
      <c r="D10" s="89">
        <f t="shared" si="13"/>
        <v>0</v>
      </c>
      <c r="E10" s="89">
        <f t="shared" si="13"/>
        <v>0</v>
      </c>
      <c r="F10" s="89">
        <f t="shared" si="13"/>
        <v>0</v>
      </c>
      <c r="G10" s="89">
        <f t="shared" si="13"/>
        <v>5680.49</v>
      </c>
      <c r="H10" s="89">
        <f t="shared" si="13"/>
        <v>8071.03</v>
      </c>
      <c r="I10" s="89">
        <f>I6-I9</f>
        <v>11077.75</v>
      </c>
      <c r="J10" s="89">
        <f t="shared" si="13"/>
        <v>2180.6999999999998</v>
      </c>
      <c r="K10" s="89">
        <f t="shared" ref="K10:P10" si="14">K6-K9</f>
        <v>2503.75</v>
      </c>
      <c r="L10" s="89">
        <f t="shared" si="14"/>
        <v>2833.8199999999997</v>
      </c>
      <c r="M10" s="89">
        <f t="shared" si="14"/>
        <v>3116.2000000000007</v>
      </c>
      <c r="N10" s="89">
        <f t="shared" si="14"/>
        <v>2210.4299999999998</v>
      </c>
      <c r="O10" s="89">
        <f t="shared" si="14"/>
        <v>3251.74</v>
      </c>
      <c r="P10" s="89">
        <f t="shared" si="14"/>
        <v>3422.54</v>
      </c>
      <c r="Q10" s="89">
        <f t="shared" ref="Q10" si="15">Q6-Q9</f>
        <v>3313.94</v>
      </c>
      <c r="R10" s="11"/>
      <c r="S10" s="42" t="s">
        <v>92</v>
      </c>
      <c r="T10" s="43"/>
      <c r="U10" s="44" t="e">
        <f t="shared" ref="U10:Z10" si="16">D14/D11</f>
        <v>#DIV/0!</v>
      </c>
      <c r="V10" s="44" t="e">
        <f t="shared" si="16"/>
        <v>#DIV/0!</v>
      </c>
      <c r="W10" s="44" t="e">
        <f t="shared" si="16"/>
        <v>#DIV/0!</v>
      </c>
      <c r="X10" s="44">
        <f t="shared" si="16"/>
        <v>0.20876002004679373</v>
      </c>
      <c r="Y10" s="44">
        <f t="shared" si="16"/>
        <v>0.21308326395807461</v>
      </c>
      <c r="Z10" s="44">
        <f t="shared" si="16"/>
        <v>0.1986094669019437</v>
      </c>
      <c r="AA10" s="18"/>
      <c r="AB10" s="18"/>
      <c r="AC10" s="18"/>
      <c r="AD10" s="18"/>
      <c r="AJ10" s="392">
        <v>5</v>
      </c>
      <c r="AK10" s="108" t="s">
        <v>637</v>
      </c>
      <c r="AL10" s="417">
        <v>5.1999999999999998E-3</v>
      </c>
      <c r="AM10" s="410"/>
      <c r="AN10" s="81"/>
      <c r="AO10" s="81"/>
      <c r="AP10" s="417">
        <v>6.3E-3</v>
      </c>
      <c r="AQ10" s="417">
        <v>6.3E-3</v>
      </c>
      <c r="AR10" s="417">
        <v>6.1999999999999998E-3</v>
      </c>
    </row>
    <row r="11" spans="1:44" ht="30" x14ac:dyDescent="0.25">
      <c r="A11" s="6" t="s">
        <v>1</v>
      </c>
      <c r="B11" s="10">
        <f>B5-B9</f>
        <v>0</v>
      </c>
      <c r="C11" s="10">
        <f t="shared" ref="C11:J11" si="17">SUM(C6:C8)</f>
        <v>0</v>
      </c>
      <c r="D11" s="89">
        <f t="shared" si="17"/>
        <v>0</v>
      </c>
      <c r="E11" s="89">
        <f t="shared" si="17"/>
        <v>0</v>
      </c>
      <c r="F11" s="89">
        <f>SUM(F6:F8)</f>
        <v>0</v>
      </c>
      <c r="G11" s="89">
        <f>SUM(G6:G8)</f>
        <v>7462.54</v>
      </c>
      <c r="H11" s="89">
        <f>SUM(H6:H8)</f>
        <v>11723.68</v>
      </c>
      <c r="I11" s="89">
        <f>SUM(I6:I8)</f>
        <v>16564.87</v>
      </c>
      <c r="J11" s="89">
        <f t="shared" si="17"/>
        <v>3529</v>
      </c>
      <c r="K11" s="89">
        <f t="shared" ref="K11:P11" si="18">SUM(K6:K8)</f>
        <v>3830.87</v>
      </c>
      <c r="L11" s="89">
        <f t="shared" si="18"/>
        <v>4540.3999999999996</v>
      </c>
      <c r="M11" s="89">
        <f t="shared" si="18"/>
        <v>4664.58</v>
      </c>
      <c r="N11" s="89">
        <f t="shared" si="18"/>
        <v>3359</v>
      </c>
      <c r="O11" s="89">
        <f t="shared" si="18"/>
        <v>5108.8</v>
      </c>
      <c r="P11" s="89">
        <f t="shared" si="18"/>
        <v>5405.56</v>
      </c>
      <c r="Q11" s="89">
        <f t="shared" ref="Q11" si="19">SUM(Q6:Q8)</f>
        <v>5339.16</v>
      </c>
      <c r="R11" s="11"/>
      <c r="S11" s="42" t="s">
        <v>17</v>
      </c>
      <c r="T11" s="43"/>
      <c r="U11" s="44" t="e">
        <f t="shared" ref="U11:Z11" si="20">D14/AVERAGE(C22:D22)</f>
        <v>#DIV/0!</v>
      </c>
      <c r="V11" s="44" t="e">
        <f t="shared" si="20"/>
        <v>#DIV/0!</v>
      </c>
      <c r="W11" s="44" t="e">
        <f t="shared" si="20"/>
        <v>#DIV/0!</v>
      </c>
      <c r="X11" s="44">
        <f t="shared" si="20"/>
        <v>2.9270732480408429E-2</v>
      </c>
      <c r="Y11" s="44">
        <f t="shared" si="20"/>
        <v>3.8110915285472974E-2</v>
      </c>
      <c r="Z11" s="44">
        <f t="shared" si="20"/>
        <v>3.7299338089066776E-2</v>
      </c>
      <c r="AA11" s="18"/>
      <c r="AB11" s="18"/>
      <c r="AC11" s="18"/>
      <c r="AD11" s="18"/>
      <c r="AJ11" s="392">
        <v>6</v>
      </c>
      <c r="AK11" s="413" t="s">
        <v>638</v>
      </c>
      <c r="AL11" s="410">
        <v>54.087000000000003</v>
      </c>
      <c r="AM11" s="81"/>
      <c r="AN11" s="81"/>
      <c r="AO11" s="81"/>
      <c r="AP11" s="81"/>
      <c r="AQ11" s="408"/>
      <c r="AR11" s="408"/>
    </row>
    <row r="12" spans="1:44" ht="30" x14ac:dyDescent="0.25">
      <c r="A12" s="6" t="s">
        <v>91</v>
      </c>
      <c r="B12" s="10"/>
      <c r="C12" s="10"/>
      <c r="D12" s="89"/>
      <c r="E12" s="89"/>
      <c r="F12" s="89"/>
      <c r="G12" s="89">
        <v>17.37</v>
      </c>
      <c r="H12" s="89">
        <v>29.27</v>
      </c>
      <c r="I12" s="89">
        <v>93.62</v>
      </c>
      <c r="J12" s="89">
        <v>19.690000000000001</v>
      </c>
      <c r="K12" s="89">
        <v>21.92</v>
      </c>
      <c r="L12" s="89">
        <v>24.04</v>
      </c>
      <c r="M12" s="89">
        <v>27.97</v>
      </c>
      <c r="N12" s="11">
        <v>15.33</v>
      </c>
      <c r="O12" s="11">
        <v>26.86</v>
      </c>
      <c r="P12" s="11">
        <v>25.41</v>
      </c>
      <c r="Q12" s="11">
        <v>30.75</v>
      </c>
      <c r="R12" s="11"/>
      <c r="S12" s="40" t="s">
        <v>18</v>
      </c>
      <c r="T12" s="45"/>
      <c r="U12" s="45"/>
      <c r="V12" s="45"/>
      <c r="W12" s="46" t="s">
        <v>5</v>
      </c>
      <c r="X12" s="18"/>
      <c r="Y12" s="18"/>
      <c r="Z12" s="18"/>
      <c r="AA12" s="18"/>
      <c r="AB12" s="18"/>
      <c r="AC12" s="53"/>
      <c r="AD12" s="54"/>
      <c r="AJ12" s="392">
        <v>7</v>
      </c>
      <c r="AK12" s="413" t="s">
        <v>639</v>
      </c>
      <c r="AL12" s="410">
        <v>35.22</v>
      </c>
      <c r="AM12" s="81"/>
      <c r="AN12" s="81"/>
      <c r="AO12" s="81"/>
      <c r="AP12" s="81"/>
      <c r="AQ12" s="408"/>
      <c r="AR12" s="408"/>
    </row>
    <row r="13" spans="1:44" x14ac:dyDescent="0.25">
      <c r="A13" s="6" t="s">
        <v>25</v>
      </c>
      <c r="B13" s="7"/>
      <c r="C13" s="7"/>
      <c r="D13" s="88">
        <f t="shared" ref="D13:Q13" si="21">D11+D12</f>
        <v>0</v>
      </c>
      <c r="E13" s="88">
        <f t="shared" si="21"/>
        <v>0</v>
      </c>
      <c r="F13" s="88">
        <f t="shared" si="21"/>
        <v>0</v>
      </c>
      <c r="G13" s="88">
        <f t="shared" si="21"/>
        <v>7479.91</v>
      </c>
      <c r="H13" s="88">
        <f t="shared" si="21"/>
        <v>11752.95</v>
      </c>
      <c r="I13" s="88">
        <f t="shared" si="21"/>
        <v>16658.489999999998</v>
      </c>
      <c r="J13" s="88">
        <f t="shared" si="21"/>
        <v>3548.69</v>
      </c>
      <c r="K13" s="88">
        <f t="shared" si="21"/>
        <v>3852.79</v>
      </c>
      <c r="L13" s="88">
        <f t="shared" si="21"/>
        <v>4564.4399999999996</v>
      </c>
      <c r="M13" s="88">
        <f t="shared" si="21"/>
        <v>4692.55</v>
      </c>
      <c r="N13" s="88">
        <f t="shared" si="21"/>
        <v>3374.33</v>
      </c>
      <c r="O13" s="88">
        <f t="shared" si="21"/>
        <v>5135.66</v>
      </c>
      <c r="P13" s="88">
        <f t="shared" si="21"/>
        <v>5430.97</v>
      </c>
      <c r="Q13" s="88">
        <f t="shared" si="21"/>
        <v>5369.91</v>
      </c>
      <c r="R13" s="11"/>
      <c r="S13" s="42" t="s">
        <v>19</v>
      </c>
      <c r="T13" s="43"/>
      <c r="U13" s="44" t="e">
        <f t="shared" ref="U13:Z13" si="22">D24/D23</f>
        <v>#DIV/0!</v>
      </c>
      <c r="V13" s="44" t="e">
        <f t="shared" si="22"/>
        <v>#DIV/0!</v>
      </c>
      <c r="W13" s="44" t="e">
        <f t="shared" si="22"/>
        <v>#DIV/0!</v>
      </c>
      <c r="X13" s="44">
        <f t="shared" si="22"/>
        <v>0</v>
      </c>
      <c r="Y13" s="44">
        <f t="shared" si="22"/>
        <v>0</v>
      </c>
      <c r="Z13" s="44">
        <f t="shared" si="22"/>
        <v>0</v>
      </c>
      <c r="AA13" s="48">
        <v>7.4999999999999997E-3</v>
      </c>
      <c r="AB13" s="48">
        <v>5.4999999999999997E-3</v>
      </c>
      <c r="AC13" s="48">
        <v>4.0000000000000001E-3</v>
      </c>
      <c r="AD13" s="48">
        <v>4.4000000000000003E-3</v>
      </c>
      <c r="AE13" s="80">
        <v>6.1000000000000004E-3</v>
      </c>
      <c r="AF13" s="80">
        <v>4.4999999999999997E-3</v>
      </c>
      <c r="AG13" s="80">
        <v>5.4000000000000003E-3</v>
      </c>
      <c r="AH13" s="80">
        <v>3.8E-3</v>
      </c>
      <c r="AJ13" s="392">
        <v>8</v>
      </c>
      <c r="AK13" s="108" t="s">
        <v>640</v>
      </c>
      <c r="AL13" s="419">
        <f>AL11/AL12</f>
        <v>1.5356899488926747</v>
      </c>
      <c r="AM13" s="81"/>
      <c r="AN13" s="81"/>
      <c r="AO13" s="81"/>
      <c r="AP13" s="81"/>
      <c r="AQ13" s="81"/>
      <c r="AR13" s="81"/>
    </row>
    <row r="14" spans="1:44" x14ac:dyDescent="0.25">
      <c r="A14" s="6" t="s">
        <v>26</v>
      </c>
      <c r="B14" s="7"/>
      <c r="C14" s="7"/>
      <c r="D14" s="85"/>
      <c r="E14" s="85"/>
      <c r="F14" s="85"/>
      <c r="G14" s="85">
        <f>23.58+930.98+65.56+537.76</f>
        <v>1557.88</v>
      </c>
      <c r="H14" s="85">
        <f>806.29+103.26+1577.21+11.36</f>
        <v>2498.1200000000003</v>
      </c>
      <c r="I14" s="85">
        <f>25.86+2157.04+137.75+969.29</f>
        <v>3289.94</v>
      </c>
      <c r="J14" s="85">
        <f>8.41+466.51+31.49+168.63</f>
        <v>675.04</v>
      </c>
      <c r="K14" s="85">
        <f>520.53+34.45+217.76+6.06</f>
        <v>778.8</v>
      </c>
      <c r="L14" s="85">
        <f>0.68+35.76+269.03+640.92</f>
        <v>946.38999999999987</v>
      </c>
      <c r="M14" s="85">
        <f>10.71+554.08+36.06+288.87</f>
        <v>889.72000000000014</v>
      </c>
      <c r="N14" s="11">
        <f>426.5+29.93+228.37+0.09</f>
        <v>684.89</v>
      </c>
      <c r="O14" s="11">
        <f>13.76+619.81+38.71+210.34</f>
        <v>882.62</v>
      </c>
      <c r="P14" s="11">
        <f>11.31+636.99+44.91+297.72</f>
        <v>990.93</v>
      </c>
      <c r="Q14" s="11">
        <f>17.46+696.33+43.88+319.38</f>
        <v>1077.0500000000002</v>
      </c>
      <c r="R14" s="11"/>
      <c r="S14" s="42" t="s">
        <v>20</v>
      </c>
      <c r="T14" s="43"/>
      <c r="U14" s="44" t="e">
        <f t="shared" ref="U14:Z14" si="23">D25/D23</f>
        <v>#DIV/0!</v>
      </c>
      <c r="V14" s="44" t="e">
        <f t="shared" si="23"/>
        <v>#DIV/0!</v>
      </c>
      <c r="W14" s="44" t="e">
        <f t="shared" si="23"/>
        <v>#DIV/0!</v>
      </c>
      <c r="X14" s="44">
        <f t="shared" si="23"/>
        <v>0</v>
      </c>
      <c r="Y14" s="44">
        <f t="shared" si="23"/>
        <v>0</v>
      </c>
      <c r="Z14" s="44">
        <f t="shared" si="23"/>
        <v>0</v>
      </c>
      <c r="AA14" s="48">
        <v>4.3E-3</v>
      </c>
      <c r="AB14" s="48">
        <v>3.2000000000000002E-3</v>
      </c>
      <c r="AC14" s="48">
        <v>2.3500000000000001E-3</v>
      </c>
      <c r="AD14" s="48">
        <v>2.5000000000000001E-3</v>
      </c>
      <c r="AE14" s="80">
        <v>3.5000000000000001E-3</v>
      </c>
      <c r="AF14" s="80">
        <v>2.5999999999999999E-3</v>
      </c>
      <c r="AG14" s="80">
        <v>3.2000000000000002E-3</v>
      </c>
      <c r="AH14" s="80">
        <v>2.3E-3</v>
      </c>
      <c r="AJ14" s="392">
        <v>9</v>
      </c>
      <c r="AK14" s="108" t="s">
        <v>641</v>
      </c>
      <c r="AL14" s="417" t="s">
        <v>373</v>
      </c>
      <c r="AM14" s="81"/>
      <c r="AN14" s="81"/>
      <c r="AO14" s="81"/>
      <c r="AP14" s="81"/>
      <c r="AQ14" s="408"/>
      <c r="AR14" s="408"/>
    </row>
    <row r="15" spans="1:44" x14ac:dyDescent="0.25">
      <c r="A15" s="6" t="s">
        <v>54</v>
      </c>
      <c r="B15" s="10"/>
      <c r="C15" s="10"/>
      <c r="D15" s="89">
        <f t="shared" ref="D15:M15" si="24">D11-D14</f>
        <v>0</v>
      </c>
      <c r="E15" s="89">
        <f t="shared" si="24"/>
        <v>0</v>
      </c>
      <c r="F15" s="89">
        <f t="shared" si="24"/>
        <v>0</v>
      </c>
      <c r="G15" s="89">
        <f t="shared" si="24"/>
        <v>5904.66</v>
      </c>
      <c r="H15" s="89">
        <f t="shared" si="24"/>
        <v>9225.56</v>
      </c>
      <c r="I15" s="89">
        <f>I11-I14</f>
        <v>13274.929999999998</v>
      </c>
      <c r="J15" s="89">
        <f t="shared" si="24"/>
        <v>2853.96</v>
      </c>
      <c r="K15" s="89">
        <f t="shared" si="24"/>
        <v>3052.0699999999997</v>
      </c>
      <c r="L15" s="89">
        <f t="shared" si="24"/>
        <v>3594.0099999999998</v>
      </c>
      <c r="M15" s="89">
        <f t="shared" si="24"/>
        <v>3774.8599999999997</v>
      </c>
      <c r="N15" s="89">
        <f>N11-N14</f>
        <v>2674.11</v>
      </c>
      <c r="O15" s="89">
        <f>O11-O14</f>
        <v>4226.18</v>
      </c>
      <c r="P15" s="89">
        <f>P11-P14</f>
        <v>4414.63</v>
      </c>
      <c r="Q15" s="89">
        <f>Q11-Q14</f>
        <v>4262.1099999999997</v>
      </c>
      <c r="R15" s="11"/>
      <c r="S15" s="42" t="s">
        <v>21</v>
      </c>
      <c r="T15" s="43"/>
      <c r="U15" s="44" t="e">
        <f t="shared" ref="U15:AA15" si="25">(U13-U14)/U13</f>
        <v>#DIV/0!</v>
      </c>
      <c r="V15" s="44" t="e">
        <f t="shared" si="25"/>
        <v>#DIV/0!</v>
      </c>
      <c r="W15" s="44" t="e">
        <f t="shared" si="25"/>
        <v>#DIV/0!</v>
      </c>
      <c r="X15" s="44" t="e">
        <f t="shared" si="25"/>
        <v>#DIV/0!</v>
      </c>
      <c r="Y15" s="44" t="e">
        <f t="shared" si="25"/>
        <v>#DIV/0!</v>
      </c>
      <c r="Z15" s="44" t="e">
        <f>(Z13-Z14)/Z13</f>
        <v>#DIV/0!</v>
      </c>
      <c r="AA15" s="44">
        <f t="shared" si="25"/>
        <v>0.42666666666666664</v>
      </c>
      <c r="AB15" s="18"/>
      <c r="AC15" s="18"/>
      <c r="AD15" s="18"/>
      <c r="AJ15" s="392">
        <v>10</v>
      </c>
      <c r="AK15" s="108" t="s">
        <v>642</v>
      </c>
      <c r="AL15" s="417">
        <v>0.52329999999999999</v>
      </c>
      <c r="AM15" s="81"/>
      <c r="AN15" s="81"/>
      <c r="AO15" s="81"/>
      <c r="AP15" s="81"/>
      <c r="AQ15" s="408"/>
      <c r="AR15" s="408"/>
    </row>
    <row r="16" spans="1:44" x14ac:dyDescent="0.25">
      <c r="A16" s="6" t="s">
        <v>94</v>
      </c>
      <c r="B16" s="10"/>
      <c r="C16" s="10"/>
      <c r="D16" s="89">
        <f t="shared" ref="D16:M16" si="26">D13-D14-D9</f>
        <v>0</v>
      </c>
      <c r="E16" s="89">
        <f t="shared" si="26"/>
        <v>0</v>
      </c>
      <c r="F16" s="89">
        <f t="shared" si="26"/>
        <v>0</v>
      </c>
      <c r="G16" s="89">
        <f t="shared" si="26"/>
        <v>4847.07</v>
      </c>
      <c r="H16" s="89">
        <f t="shared" si="26"/>
        <v>6540.13</v>
      </c>
      <c r="I16" s="89">
        <f>I13-I14-I9</f>
        <v>9074.6799999999967</v>
      </c>
      <c r="J16" s="89">
        <f t="shared" si="26"/>
        <v>1927.58</v>
      </c>
      <c r="K16" s="89">
        <f t="shared" si="26"/>
        <v>2184.14</v>
      </c>
      <c r="L16" s="89">
        <f t="shared" si="26"/>
        <v>2505.91</v>
      </c>
      <c r="M16" s="89">
        <f t="shared" si="26"/>
        <v>2457.0100000000002</v>
      </c>
      <c r="N16" s="89">
        <f>N13-N14-N9</f>
        <v>1756.17</v>
      </c>
      <c r="O16" s="89">
        <f>O13-O14-O9</f>
        <v>2827.25</v>
      </c>
      <c r="P16" s="89">
        <f>P13-P14-P9</f>
        <v>2906.25</v>
      </c>
      <c r="Q16" s="89">
        <f>Q13-Q14-Q9</f>
        <v>2573.4599999999996</v>
      </c>
      <c r="R16" s="11"/>
      <c r="S16" s="42" t="s">
        <v>22</v>
      </c>
      <c r="T16" s="43"/>
      <c r="U16" s="44" t="e">
        <f t="shared" ref="U16:Z16" si="27">D17/AVERAGE(C23:D23)</f>
        <v>#DIV/0!</v>
      </c>
      <c r="V16" s="44" t="e">
        <f t="shared" si="27"/>
        <v>#DIV/0!</v>
      </c>
      <c r="W16" s="44" t="e">
        <f t="shared" si="27"/>
        <v>#DIV/0!</v>
      </c>
      <c r="X16" s="44">
        <f t="shared" si="27"/>
        <v>7.1890676032340351E-3</v>
      </c>
      <c r="Y16" s="44">
        <f t="shared" si="27"/>
        <v>6.1952616813700078E-3</v>
      </c>
      <c r="Z16" s="44">
        <f t="shared" si="27"/>
        <v>6.2751844038982946E-3</v>
      </c>
      <c r="AA16" s="44">
        <f t="shared" ref="AA16:AF16" si="28">(J17*4)/J23</f>
        <v>6.0861538461538462E-3</v>
      </c>
      <c r="AB16" s="44">
        <f t="shared" si="28"/>
        <v>7.7155500556561514E-3</v>
      </c>
      <c r="AC16" s="44">
        <f t="shared" si="28"/>
        <v>6.0200000000000002E-3</v>
      </c>
      <c r="AD16" s="44">
        <f t="shared" si="28"/>
        <v>5.1849286450920519E-3</v>
      </c>
      <c r="AE16" s="44">
        <f t="shared" si="28"/>
        <v>6.2589578261754691E-3</v>
      </c>
      <c r="AF16" s="44">
        <f t="shared" si="28"/>
        <v>1.4391252485089464E-2</v>
      </c>
      <c r="AG16" s="44">
        <f>(P17*4)/P23</f>
        <v>1.616412030757829E-2</v>
      </c>
      <c r="AH16" s="44">
        <f>(Q17*4)/Q23</f>
        <v>1.1559044529851629E-2</v>
      </c>
      <c r="AK16" s="414"/>
    </row>
    <row r="17" spans="1:37" x14ac:dyDescent="0.25">
      <c r="A17" s="6" t="s">
        <v>27</v>
      </c>
      <c r="B17" s="7"/>
      <c r="C17" s="7"/>
      <c r="D17" s="88"/>
      <c r="E17" s="85"/>
      <c r="F17" s="85"/>
      <c r="G17" s="85">
        <v>371.64</v>
      </c>
      <c r="H17" s="85">
        <v>387</v>
      </c>
      <c r="I17" s="85">
        <v>515.08000000000004</v>
      </c>
      <c r="J17" s="85">
        <v>108.79</v>
      </c>
      <c r="K17" s="85">
        <v>158.99</v>
      </c>
      <c r="L17" s="85">
        <v>129.43</v>
      </c>
      <c r="M17" s="85">
        <v>117.86</v>
      </c>
      <c r="N17" s="11">
        <v>114.6</v>
      </c>
      <c r="O17" s="11">
        <v>361.94</v>
      </c>
      <c r="P17" s="11">
        <v>414.29</v>
      </c>
      <c r="Q17" s="11">
        <v>318.05</v>
      </c>
      <c r="R17" s="11"/>
      <c r="S17" s="18"/>
      <c r="T17" s="18"/>
      <c r="U17" s="18"/>
      <c r="V17" s="18"/>
      <c r="W17" s="18"/>
      <c r="X17" s="18"/>
      <c r="Y17" s="18"/>
      <c r="Z17" s="18"/>
      <c r="AA17" s="18"/>
      <c r="AB17" s="18"/>
      <c r="AC17" s="18"/>
      <c r="AD17" s="18"/>
      <c r="AK17" s="415" t="s">
        <v>643</v>
      </c>
    </row>
    <row r="18" spans="1:37" x14ac:dyDescent="0.25">
      <c r="A18" s="6" t="s">
        <v>55</v>
      </c>
      <c r="B18" s="7"/>
      <c r="C18" s="7"/>
      <c r="D18" s="88"/>
      <c r="E18" s="85"/>
      <c r="F18" s="89"/>
      <c r="G18" s="89">
        <v>3344.94</v>
      </c>
      <c r="H18" s="89">
        <v>4562.84</v>
      </c>
      <c r="I18" s="89">
        <v>6336.21</v>
      </c>
      <c r="J18" s="89">
        <v>1324.79</v>
      </c>
      <c r="K18" s="89">
        <v>1482.03</v>
      </c>
      <c r="L18" s="89">
        <v>1671.96</v>
      </c>
      <c r="M18" s="89">
        <v>1857.41</v>
      </c>
      <c r="N18" s="11">
        <v>1189.6600000000001</v>
      </c>
      <c r="O18" s="11">
        <v>1848.83</v>
      </c>
      <c r="P18" s="11">
        <v>1785.41</v>
      </c>
      <c r="Q18" s="11">
        <v>1677.4</v>
      </c>
      <c r="R18" s="11"/>
      <c r="S18" s="40" t="s">
        <v>30</v>
      </c>
      <c r="T18" s="45"/>
      <c r="U18" s="45"/>
      <c r="V18" s="45"/>
      <c r="W18" s="46" t="s">
        <v>5</v>
      </c>
      <c r="X18" s="18"/>
      <c r="Y18" s="18"/>
      <c r="Z18" s="18"/>
      <c r="AA18" s="18"/>
      <c r="AB18" s="18"/>
      <c r="AC18" s="18"/>
      <c r="AD18" s="18"/>
      <c r="AK18" s="416" t="s">
        <v>644</v>
      </c>
    </row>
    <row r="19" spans="1:37" ht="22.5" x14ac:dyDescent="0.25">
      <c r="A19" s="6" t="s">
        <v>28</v>
      </c>
      <c r="B19" s="7"/>
      <c r="C19" s="7"/>
      <c r="D19" s="88"/>
      <c r="E19" s="85"/>
      <c r="F19" s="85"/>
      <c r="G19" s="85">
        <f>30126.32+2023.17-116.69-17.44</f>
        <v>32015.360000000001</v>
      </c>
      <c r="H19" s="85">
        <f>34228.13+2023.84-117.23-42.2</f>
        <v>36092.539999999994</v>
      </c>
      <c r="I19" s="85">
        <f>45239.09+2243.62-70.11-105.31</f>
        <v>47307.29</v>
      </c>
      <c r="J19" s="85"/>
      <c r="K19" s="85">
        <f>2242.02+41688.82-151.17</f>
        <v>43779.67</v>
      </c>
      <c r="L19" s="85"/>
      <c r="M19" s="85">
        <v>47307.29</v>
      </c>
      <c r="N19" s="11">
        <v>36092.539999999994</v>
      </c>
      <c r="O19" s="11"/>
      <c r="P19" s="11">
        <f>2245.55+48327.77-107.45-73.88</f>
        <v>50391.990000000005</v>
      </c>
      <c r="Q19" s="11"/>
      <c r="R19" s="11"/>
      <c r="S19" s="46" t="s">
        <v>95</v>
      </c>
      <c r="T19" s="51"/>
      <c r="U19" s="51"/>
      <c r="V19" s="52" t="e">
        <f>E16/AVERAGE(D22:E22)</f>
        <v>#DIV/0!</v>
      </c>
      <c r="W19" s="52" t="e">
        <f>F16/AVERAGE(E22:F22)</f>
        <v>#DIV/0!</v>
      </c>
      <c r="X19" s="52">
        <f>G16/AVERAGE(F22:G22)</f>
        <v>9.1070743114882571E-2</v>
      </c>
      <c r="Y19" s="52">
        <f>H16/AVERAGE(G22:H22)</f>
        <v>9.9775167080036323E-2</v>
      </c>
      <c r="Z19" s="52">
        <f>I16/AVERAGE(H22:I22)</f>
        <v>0.10288320071797431</v>
      </c>
      <c r="AA19" s="18"/>
      <c r="AB19" s="18"/>
      <c r="AC19" s="18"/>
      <c r="AD19" s="18"/>
    </row>
    <row r="20" spans="1:37" x14ac:dyDescent="0.25">
      <c r="A20" s="6" t="s">
        <v>56</v>
      </c>
      <c r="B20" s="7"/>
      <c r="C20" s="7"/>
      <c r="D20" s="88">
        <f t="shared" ref="D20:P20" si="29">D19-D71</f>
        <v>0</v>
      </c>
      <c r="E20" s="89">
        <f t="shared" si="29"/>
        <v>0</v>
      </c>
      <c r="F20" s="89">
        <f t="shared" si="29"/>
        <v>0</v>
      </c>
      <c r="G20" s="89">
        <f t="shared" si="29"/>
        <v>32015.360000000001</v>
      </c>
      <c r="H20" s="89">
        <f t="shared" si="29"/>
        <v>36092.539999999994</v>
      </c>
      <c r="I20" s="89">
        <f t="shared" si="29"/>
        <v>47307.29</v>
      </c>
      <c r="J20" s="89">
        <f t="shared" si="29"/>
        <v>0</v>
      </c>
      <c r="K20" s="89">
        <f t="shared" si="29"/>
        <v>43779.67</v>
      </c>
      <c r="L20" s="89">
        <f t="shared" si="29"/>
        <v>0</v>
      </c>
      <c r="M20" s="89">
        <f t="shared" si="29"/>
        <v>47307.29</v>
      </c>
      <c r="N20" s="89">
        <f t="shared" si="29"/>
        <v>36092.539999999994</v>
      </c>
      <c r="O20" s="89">
        <f t="shared" si="29"/>
        <v>0</v>
      </c>
      <c r="P20" s="89">
        <f t="shared" si="29"/>
        <v>50391.990000000005</v>
      </c>
      <c r="Q20" s="440"/>
      <c r="R20" s="11"/>
      <c r="S20" s="42" t="s">
        <v>31</v>
      </c>
      <c r="T20" s="43"/>
      <c r="U20" s="43">
        <v>4.4699999999999997E-2</v>
      </c>
      <c r="V20" s="44" t="e">
        <f>E18/AVERAGE(D22:E22)</f>
        <v>#DIV/0!</v>
      </c>
      <c r="W20" s="44" t="e">
        <f>F18/AVERAGE(E22:F22)</f>
        <v>#DIV/0!</v>
      </c>
      <c r="X20" s="44">
        <f>G18/AVERAGE(F22:G22)</f>
        <v>6.2847487549116343E-2</v>
      </c>
      <c r="Y20" s="44">
        <f>H18/AVERAGE(G22:H22)</f>
        <v>6.960995016298957E-2</v>
      </c>
      <c r="Z20" s="44">
        <f>I18/AVERAGE(H22:I22)</f>
        <v>7.1836093969289957E-2</v>
      </c>
      <c r="AA20" s="48"/>
      <c r="AB20" s="18"/>
      <c r="AC20" s="18"/>
      <c r="AD20" s="18"/>
    </row>
    <row r="21" spans="1:37" x14ac:dyDescent="0.25">
      <c r="A21" s="6" t="s">
        <v>57</v>
      </c>
      <c r="B21" s="9"/>
      <c r="C21" s="9"/>
      <c r="D21" s="85"/>
      <c r="E21" s="85"/>
      <c r="F21" s="85"/>
      <c r="G21" s="85">
        <f>4196.48+16220.1</f>
        <v>20416.580000000002</v>
      </c>
      <c r="H21" s="85">
        <f>4198.77+36606.84</f>
        <v>40805.61</v>
      </c>
      <c r="I21" s="85">
        <v>50322.3</v>
      </c>
      <c r="J21" s="85"/>
      <c r="K21" s="85">
        <v>40566.99</v>
      </c>
      <c r="L21" s="85"/>
      <c r="M21" s="85">
        <v>50322.3</v>
      </c>
      <c r="N21" s="11">
        <v>40805.61</v>
      </c>
      <c r="O21" s="11"/>
      <c r="P21" s="11">
        <f>57451.79</f>
        <v>57451.79</v>
      </c>
      <c r="Q21" s="11"/>
      <c r="R21" s="11"/>
      <c r="S21" s="42" t="s">
        <v>32</v>
      </c>
      <c r="T21" s="43"/>
      <c r="U21" s="44" t="e">
        <f t="shared" ref="U21:Z21" si="30">D18/AVERAGE(C19:D19)</f>
        <v>#DIV/0!</v>
      </c>
      <c r="V21" s="44" t="e">
        <f t="shared" si="30"/>
        <v>#DIV/0!</v>
      </c>
      <c r="W21" s="44" t="e">
        <f t="shared" si="30"/>
        <v>#DIV/0!</v>
      </c>
      <c r="X21" s="44">
        <f t="shared" si="30"/>
        <v>0.10447922497201344</v>
      </c>
      <c r="Y21" s="44">
        <f t="shared" si="30"/>
        <v>0.1339885681396725</v>
      </c>
      <c r="Z21" s="44">
        <f t="shared" si="30"/>
        <v>0.15194779174010309</v>
      </c>
      <c r="AA21" s="18"/>
      <c r="AB21" s="18"/>
      <c r="AC21" s="18"/>
      <c r="AD21" s="18"/>
    </row>
    <row r="22" spans="1:37" x14ac:dyDescent="0.25">
      <c r="A22" s="6" t="s">
        <v>29</v>
      </c>
      <c r="B22" s="7"/>
      <c r="C22" s="7"/>
      <c r="D22" s="88"/>
      <c r="E22" s="85"/>
      <c r="F22" s="85"/>
      <c r="G22" s="85">
        <v>53223.13</v>
      </c>
      <c r="H22" s="85">
        <v>77874.22</v>
      </c>
      <c r="I22" s="85">
        <v>98533.2</v>
      </c>
      <c r="J22" s="85"/>
      <c r="K22" s="85">
        <v>87073.01</v>
      </c>
      <c r="L22" s="85"/>
      <c r="M22" s="85">
        <v>98533.2</v>
      </c>
      <c r="N22" s="11">
        <v>77874.22</v>
      </c>
      <c r="O22" s="11"/>
      <c r="P22" s="11">
        <v>109524.05</v>
      </c>
      <c r="Q22" s="11"/>
      <c r="R22" s="11"/>
      <c r="S22" s="40" t="s">
        <v>33</v>
      </c>
      <c r="T22" s="45"/>
      <c r="U22" s="45"/>
      <c r="V22" s="45"/>
      <c r="W22" s="46" t="s">
        <v>5</v>
      </c>
      <c r="X22" s="18"/>
      <c r="Y22" s="18"/>
      <c r="Z22" s="18"/>
      <c r="AA22" s="18"/>
      <c r="AB22" s="18"/>
      <c r="AC22" s="18"/>
      <c r="AD22" s="18"/>
    </row>
    <row r="23" spans="1:37" x14ac:dyDescent="0.25">
      <c r="A23" s="6" t="s">
        <v>58</v>
      </c>
      <c r="B23" s="7"/>
      <c r="C23" s="7"/>
      <c r="D23" s="88"/>
      <c r="E23" s="85"/>
      <c r="F23" s="85"/>
      <c r="G23" s="85">
        <v>51695.16</v>
      </c>
      <c r="H23" s="85">
        <v>73239.03</v>
      </c>
      <c r="I23" s="85">
        <v>90925.07</v>
      </c>
      <c r="J23" s="85">
        <v>71500</v>
      </c>
      <c r="K23" s="85">
        <v>82425.75</v>
      </c>
      <c r="L23" s="85">
        <v>86000</v>
      </c>
      <c r="M23" s="85">
        <v>90925.07</v>
      </c>
      <c r="N23" s="11">
        <v>73239.03</v>
      </c>
      <c r="O23" s="11">
        <v>100600</v>
      </c>
      <c r="P23" s="11">
        <v>102520.89</v>
      </c>
      <c r="Q23" s="11">
        <v>110061</v>
      </c>
      <c r="R23" s="11"/>
      <c r="S23" s="42" t="s">
        <v>34</v>
      </c>
      <c r="T23" s="43"/>
      <c r="U23" s="44" t="e">
        <f t="shared" ref="U23:Z23" si="31">D6/AVERAGE(C23:D23)</f>
        <v>#DIV/0!</v>
      </c>
      <c r="V23" s="44" t="e">
        <f t="shared" si="31"/>
        <v>#DIV/0!</v>
      </c>
      <c r="W23" s="44" t="e">
        <f t="shared" si="31"/>
        <v>#DIV/0!</v>
      </c>
      <c r="X23" s="44">
        <f t="shared" si="31"/>
        <v>0.130678578033224</v>
      </c>
      <c r="Y23" s="44">
        <f t="shared" si="31"/>
        <v>0.17266258339690679</v>
      </c>
      <c r="Z23" s="44">
        <f t="shared" si="31"/>
        <v>0.18727139490302691</v>
      </c>
      <c r="AA23" s="18"/>
      <c r="AB23" s="18"/>
      <c r="AC23" s="18"/>
      <c r="AD23" s="18"/>
    </row>
    <row r="24" spans="1:37" x14ac:dyDescent="0.25">
      <c r="A24" s="6" t="s">
        <v>59</v>
      </c>
      <c r="B24" s="10"/>
      <c r="C24" s="10"/>
      <c r="D24" s="89"/>
      <c r="E24" s="89"/>
      <c r="F24" s="89"/>
      <c r="G24" s="89"/>
      <c r="H24" s="89"/>
      <c r="I24" s="89"/>
      <c r="J24" s="89"/>
      <c r="K24" s="89"/>
      <c r="L24" s="89"/>
      <c r="M24" s="89"/>
      <c r="N24" s="11"/>
      <c r="O24" s="11"/>
      <c r="P24" s="11"/>
      <c r="Q24" s="11"/>
      <c r="R24" s="11"/>
      <c r="S24" s="42" t="s">
        <v>35</v>
      </c>
      <c r="T24" s="43"/>
      <c r="U24" s="44" t="e">
        <f t="shared" ref="U24:Z24" si="32">D9/AVERAGE(C21:D21)</f>
        <v>#DIV/0!</v>
      </c>
      <c r="V24" s="44" t="e">
        <f t="shared" si="32"/>
        <v>#DIV/0!</v>
      </c>
      <c r="W24" s="44" t="e">
        <f t="shared" si="32"/>
        <v>#DIV/0!</v>
      </c>
      <c r="X24" s="44">
        <f t="shared" si="32"/>
        <v>5.2651325540320655E-2</v>
      </c>
      <c r="Y24" s="44">
        <f t="shared" si="32"/>
        <v>8.8683531249045475E-2</v>
      </c>
      <c r="Z24" s="44">
        <f t="shared" si="32"/>
        <v>9.423830745158096E-2</v>
      </c>
      <c r="AA24" s="18"/>
      <c r="AB24" s="18"/>
      <c r="AC24" s="18"/>
      <c r="AD24" s="18"/>
    </row>
    <row r="25" spans="1:37" x14ac:dyDescent="0.25">
      <c r="A25" s="6" t="s">
        <v>60</v>
      </c>
      <c r="B25" s="10"/>
      <c r="C25" s="10"/>
      <c r="D25" s="89"/>
      <c r="E25" s="89"/>
      <c r="F25" s="89"/>
      <c r="G25" s="89"/>
      <c r="H25" s="89"/>
      <c r="I25" s="89"/>
      <c r="J25" s="89"/>
      <c r="K25" s="89"/>
      <c r="L25" s="89"/>
      <c r="M25" s="89"/>
      <c r="N25" s="11"/>
      <c r="O25" s="11"/>
      <c r="P25" s="11"/>
      <c r="Q25" s="11"/>
      <c r="R25" s="11"/>
      <c r="S25" s="42" t="s">
        <v>36</v>
      </c>
      <c r="T25" s="43"/>
      <c r="U25" s="48" t="e">
        <f t="shared" ref="U25:Z25" si="33">U23-U24</f>
        <v>#DIV/0!</v>
      </c>
      <c r="V25" s="48" t="e">
        <f t="shared" si="33"/>
        <v>#DIV/0!</v>
      </c>
      <c r="W25" s="48" t="e">
        <f t="shared" si="33"/>
        <v>#DIV/0!</v>
      </c>
      <c r="X25" s="48">
        <f t="shared" si="33"/>
        <v>7.8027252492903348E-2</v>
      </c>
      <c r="Y25" s="48">
        <f t="shared" si="33"/>
        <v>8.3979052147861319E-2</v>
      </c>
      <c r="Z25" s="48">
        <f t="shared" si="33"/>
        <v>9.303308745144595E-2</v>
      </c>
      <c r="AA25" s="18"/>
      <c r="AB25" s="18"/>
      <c r="AC25" s="18"/>
      <c r="AD25" s="18"/>
    </row>
  </sheetData>
  <mergeCells count="3">
    <mergeCell ref="K1:M1"/>
    <mergeCell ref="AJ3:AK4"/>
    <mergeCell ref="AL5:AR5"/>
  </mergeCells>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11"/>
  <sheetViews>
    <sheetView workbookViewId="0">
      <selection activeCell="AG6" sqref="AG6"/>
    </sheetView>
  </sheetViews>
  <sheetFormatPr defaultRowHeight="15" x14ac:dyDescent="0.25"/>
  <cols>
    <col min="1" max="1" width="42.85546875" customWidth="1"/>
  </cols>
  <sheetData>
    <row r="1" spans="1:7" ht="16.5" thickBot="1" x14ac:dyDescent="0.3">
      <c r="A1" s="424" t="s">
        <v>557</v>
      </c>
      <c r="B1" s="425">
        <v>45352</v>
      </c>
      <c r="C1" s="425">
        <v>45261</v>
      </c>
      <c r="D1" s="425">
        <v>45170</v>
      </c>
      <c r="E1" s="425">
        <v>45078</v>
      </c>
      <c r="F1" s="425">
        <v>44986</v>
      </c>
      <c r="G1" s="425">
        <v>44896</v>
      </c>
    </row>
    <row r="2" spans="1:7" ht="75.75" customHeight="1" thickBot="1" x14ac:dyDescent="0.3">
      <c r="A2" s="426" t="s">
        <v>650</v>
      </c>
      <c r="B2" s="427" t="s">
        <v>651</v>
      </c>
      <c r="C2" s="427" t="s">
        <v>651</v>
      </c>
      <c r="D2" s="427"/>
      <c r="E2" s="427"/>
      <c r="F2" s="427" t="s">
        <v>651</v>
      </c>
      <c r="G2" s="428" t="s">
        <v>651</v>
      </c>
    </row>
    <row r="3" spans="1:7" ht="16.5" thickBot="1" x14ac:dyDescent="0.3">
      <c r="A3" s="426" t="s">
        <v>652</v>
      </c>
      <c r="B3" s="427" t="s">
        <v>651</v>
      </c>
      <c r="C3" s="427" t="s">
        <v>651</v>
      </c>
      <c r="D3" s="428" t="s">
        <v>651</v>
      </c>
      <c r="E3" s="428" t="s">
        <v>651</v>
      </c>
      <c r="F3" s="427"/>
      <c r="G3" s="427"/>
    </row>
    <row r="4" spans="1:7" ht="16.5" thickBot="1" x14ac:dyDescent="0.3">
      <c r="A4" s="426" t="s">
        <v>653</v>
      </c>
      <c r="B4" s="427" t="s">
        <v>651</v>
      </c>
      <c r="C4" s="427" t="s">
        <v>651</v>
      </c>
      <c r="D4" s="427"/>
      <c r="E4" s="427"/>
      <c r="F4" s="427" t="s">
        <v>651</v>
      </c>
      <c r="G4" s="427"/>
    </row>
    <row r="5" spans="1:7" ht="16.5" thickBot="1" x14ac:dyDescent="0.3">
      <c r="A5" s="426" t="s">
        <v>380</v>
      </c>
      <c r="B5" s="427" t="s">
        <v>651</v>
      </c>
      <c r="C5" s="427"/>
      <c r="D5" s="427"/>
      <c r="E5" s="427"/>
      <c r="F5" s="427"/>
      <c r="G5" s="427"/>
    </row>
    <row r="6" spans="1:7" ht="16.5" thickBot="1" x14ac:dyDescent="0.3">
      <c r="A6" s="426" t="s">
        <v>654</v>
      </c>
      <c r="B6" s="427" t="s">
        <v>651</v>
      </c>
      <c r="C6" s="427"/>
      <c r="D6" s="427"/>
      <c r="E6" s="427"/>
      <c r="F6" s="427"/>
      <c r="G6" s="427"/>
    </row>
    <row r="7" spans="1:7" ht="32.25" thickBot="1" x14ac:dyDescent="0.3">
      <c r="A7" s="426" t="s">
        <v>655</v>
      </c>
      <c r="B7" s="427" t="s">
        <v>651</v>
      </c>
      <c r="C7" s="427"/>
      <c r="D7" s="427"/>
      <c r="E7" s="427"/>
      <c r="F7" s="427"/>
      <c r="G7" s="427"/>
    </row>
    <row r="8" spans="1:7" ht="32.25" thickBot="1" x14ac:dyDescent="0.3">
      <c r="A8" s="426" t="s">
        <v>656</v>
      </c>
      <c r="B8" s="427" t="s">
        <v>651</v>
      </c>
      <c r="C8" s="427"/>
      <c r="D8" s="427"/>
      <c r="E8" s="427"/>
      <c r="F8" s="427"/>
      <c r="G8" s="427"/>
    </row>
    <row r="9" spans="1:7" ht="16.5" thickBot="1" x14ac:dyDescent="0.3">
      <c r="A9" s="426" t="s">
        <v>657</v>
      </c>
      <c r="B9" s="427" t="s">
        <v>651</v>
      </c>
      <c r="C9" s="427"/>
      <c r="D9" s="427"/>
      <c r="E9" s="427"/>
      <c r="F9" s="427"/>
      <c r="G9" s="427"/>
    </row>
    <row r="10" spans="1:7" ht="16.5" thickBot="1" x14ac:dyDescent="0.3">
      <c r="A10" s="426" t="s">
        <v>658</v>
      </c>
      <c r="B10" s="427" t="s">
        <v>651</v>
      </c>
      <c r="C10" s="427"/>
      <c r="D10" s="427"/>
      <c r="E10" s="427"/>
      <c r="F10" s="427"/>
      <c r="G10" s="427"/>
    </row>
    <row r="11" spans="1:7" ht="16.5" thickBot="1" x14ac:dyDescent="0.3">
      <c r="A11" s="426" t="s">
        <v>659</v>
      </c>
      <c r="B11" s="427" t="s">
        <v>651</v>
      </c>
      <c r="C11" s="427"/>
      <c r="D11" s="427"/>
      <c r="E11" s="427"/>
      <c r="F11" s="427"/>
      <c r="G11" s="427"/>
    </row>
  </sheetData>
  <pageMargins left="0.7" right="0.7" top="0.75" bottom="0.75" header="0.3" footer="0.3"/>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Y25"/>
  <sheetViews>
    <sheetView workbookViewId="0">
      <selection activeCell="G14" sqref="G14"/>
    </sheetView>
  </sheetViews>
  <sheetFormatPr defaultRowHeight="15" x14ac:dyDescent="0.25"/>
  <cols>
    <col min="1" max="1" width="28.140625" customWidth="1"/>
    <col min="4" max="4" width="11.28515625" customWidth="1"/>
    <col min="5" max="5" width="11.42578125" customWidth="1"/>
    <col min="6" max="6" width="11.7109375" customWidth="1"/>
    <col min="7" max="8" width="10.42578125" customWidth="1"/>
    <col min="9" max="10" width="10.140625" bestFit="1" customWidth="1"/>
    <col min="12" max="12" width="10.140625" bestFit="1" customWidth="1"/>
    <col min="15" max="15" width="28.7109375" customWidth="1"/>
    <col min="18" max="18" width="12.7109375" customWidth="1"/>
    <col min="20" max="20" width="13.5703125" customWidth="1"/>
    <col min="21" max="21" width="12" customWidth="1"/>
  </cols>
  <sheetData>
    <row r="1" spans="1:25" x14ac:dyDescent="0.25">
      <c r="J1" s="772" t="s">
        <v>113</v>
      </c>
      <c r="K1" s="772"/>
      <c r="L1" s="772"/>
    </row>
    <row r="2" spans="1:25" ht="45" x14ac:dyDescent="0.25">
      <c r="A2" s="3" t="s">
        <v>4</v>
      </c>
      <c r="B2" s="1" t="s">
        <v>43</v>
      </c>
      <c r="C2" s="1" t="s">
        <v>41</v>
      </c>
      <c r="D2" s="2" t="s">
        <v>44</v>
      </c>
      <c r="E2" s="2" t="s">
        <v>0</v>
      </c>
      <c r="F2" s="3" t="s">
        <v>45</v>
      </c>
      <c r="G2" s="3" t="s">
        <v>42</v>
      </c>
      <c r="H2" s="3" t="s">
        <v>495</v>
      </c>
      <c r="I2" s="3" t="s">
        <v>37</v>
      </c>
      <c r="J2" s="3" t="s">
        <v>38</v>
      </c>
      <c r="K2" s="3" t="s">
        <v>39</v>
      </c>
      <c r="L2" s="3" t="s">
        <v>40</v>
      </c>
      <c r="M2" s="11"/>
      <c r="N2" s="11"/>
      <c r="O2" s="40" t="s">
        <v>6</v>
      </c>
      <c r="P2" s="41" t="s">
        <v>7</v>
      </c>
      <c r="Q2" s="41" t="s">
        <v>8</v>
      </c>
      <c r="R2" s="41" t="s">
        <v>9</v>
      </c>
      <c r="S2" s="40" t="s">
        <v>10</v>
      </c>
      <c r="T2" s="41" t="s">
        <v>90</v>
      </c>
      <c r="U2" s="41" t="s">
        <v>496</v>
      </c>
      <c r="V2" s="40" t="s">
        <v>37</v>
      </c>
      <c r="W2" s="41" t="s">
        <v>38</v>
      </c>
      <c r="X2" s="41" t="s">
        <v>39</v>
      </c>
      <c r="Y2" s="41" t="s">
        <v>40</v>
      </c>
    </row>
    <row r="3" spans="1:25" x14ac:dyDescent="0.25">
      <c r="A3" s="3"/>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t="e">
        <f>E10/AVERAGE(D23:E23)</f>
        <v>#DIV/0!</v>
      </c>
      <c r="S3" s="44" t="e">
        <f>F10/AVERAGE(E23:F23)</f>
        <v>#DIV/0!</v>
      </c>
      <c r="T3" s="44" t="e">
        <f>G10/AVERAGE(F23:G23)</f>
        <v>#DIV/0!</v>
      </c>
      <c r="U3" s="44" t="e">
        <f>H10/AVERAGE(G23:H23)</f>
        <v>#DIV/0!</v>
      </c>
      <c r="V3" s="18"/>
      <c r="W3" s="18"/>
      <c r="X3" s="18"/>
      <c r="Y3" s="18"/>
    </row>
    <row r="4" spans="1:25" x14ac:dyDescent="0.25">
      <c r="A4" s="3"/>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F5" s="85"/>
      <c r="G5" s="90">
        <v>13331.64</v>
      </c>
      <c r="H5" s="90">
        <v>19158.61</v>
      </c>
      <c r="I5" s="85"/>
      <c r="J5" s="85"/>
      <c r="K5" s="85"/>
      <c r="L5" s="85"/>
      <c r="M5" s="11"/>
      <c r="N5" s="11"/>
      <c r="O5" s="42" t="s">
        <v>13</v>
      </c>
      <c r="P5" s="46"/>
      <c r="Q5" s="47" t="e">
        <f>D21/D20</f>
        <v>#DIV/0!</v>
      </c>
      <c r="R5" s="47" t="e">
        <f>E21/E20</f>
        <v>#DIV/0!</v>
      </c>
      <c r="S5" s="47" t="e">
        <f>F21/F20</f>
        <v>#DIV/0!</v>
      </c>
      <c r="T5" s="47" t="e">
        <f>G21/G20</f>
        <v>#DIV/0!</v>
      </c>
      <c r="U5" s="47" t="e">
        <f>H21/H20</f>
        <v>#DIV/0!</v>
      </c>
      <c r="V5" s="47"/>
      <c r="W5" s="47" t="e">
        <f>J21/J20</f>
        <v>#DIV/0!</v>
      </c>
      <c r="X5" s="18"/>
      <c r="Y5" s="18"/>
    </row>
    <row r="6" spans="1:25" x14ac:dyDescent="0.25">
      <c r="A6" s="6" t="s">
        <v>50</v>
      </c>
      <c r="B6" s="7"/>
      <c r="C6" s="8"/>
      <c r="F6" s="85"/>
      <c r="G6" s="85">
        <v>12496.17</v>
      </c>
      <c r="H6" s="85">
        <v>16835.759999999998</v>
      </c>
      <c r="I6" s="85"/>
      <c r="J6" s="85"/>
      <c r="K6" s="85"/>
      <c r="L6" s="85"/>
      <c r="M6" s="11"/>
      <c r="N6" s="11"/>
      <c r="O6" s="42" t="s">
        <v>14</v>
      </c>
      <c r="P6" s="43"/>
      <c r="Q6" s="43"/>
      <c r="R6" s="43"/>
      <c r="S6" s="43"/>
      <c r="T6" s="48"/>
      <c r="U6" s="48"/>
      <c r="V6" s="48"/>
      <c r="W6" s="48"/>
      <c r="X6" s="48"/>
      <c r="Y6" s="48"/>
    </row>
    <row r="7" spans="1:25" x14ac:dyDescent="0.25">
      <c r="A7" s="6" t="s">
        <v>51</v>
      </c>
      <c r="B7" s="7"/>
      <c r="C7" s="8"/>
      <c r="D7" s="87"/>
      <c r="E7" s="85"/>
      <c r="F7" s="85">
        <v>0</v>
      </c>
      <c r="G7" s="85">
        <v>0</v>
      </c>
      <c r="H7" s="85"/>
      <c r="I7" s="85"/>
      <c r="J7" s="85"/>
      <c r="K7" s="85"/>
      <c r="L7" s="85"/>
      <c r="M7" s="11"/>
      <c r="N7" s="11"/>
      <c r="O7" s="42" t="s">
        <v>15</v>
      </c>
      <c r="P7" s="43"/>
      <c r="Q7" s="44" t="e">
        <f>D20/D23</f>
        <v>#DIV/0!</v>
      </c>
      <c r="R7" s="44" t="e">
        <f>E20/E23</f>
        <v>#DIV/0!</v>
      </c>
      <c r="S7" s="44" t="e">
        <f>F20/F23</f>
        <v>#DIV/0!</v>
      </c>
      <c r="T7" s="44" t="e">
        <f>G20/G23</f>
        <v>#DIV/0!</v>
      </c>
      <c r="U7" s="44" t="e">
        <f>H20/H23</f>
        <v>#DIV/0!</v>
      </c>
      <c r="V7" s="18"/>
      <c r="W7" s="18"/>
      <c r="X7" s="18"/>
      <c r="Y7" s="18"/>
    </row>
    <row r="8" spans="1:25" x14ac:dyDescent="0.25">
      <c r="A8" s="6" t="s">
        <v>52</v>
      </c>
      <c r="B8" s="7"/>
      <c r="C8" s="8"/>
      <c r="D8" s="85">
        <f t="shared" ref="D8:L8" si="0">D5-D6-D7</f>
        <v>0</v>
      </c>
      <c r="E8" s="85">
        <f t="shared" si="0"/>
        <v>0</v>
      </c>
      <c r="F8" s="85">
        <f t="shared" si="0"/>
        <v>0</v>
      </c>
      <c r="G8" s="85">
        <f t="shared" si="0"/>
        <v>835.46999999999935</v>
      </c>
      <c r="H8" s="85">
        <f t="shared" si="0"/>
        <v>2322.8500000000022</v>
      </c>
      <c r="I8" s="85">
        <f t="shared" si="0"/>
        <v>0</v>
      </c>
      <c r="J8" s="85">
        <f t="shared" si="0"/>
        <v>0</v>
      </c>
      <c r="K8" s="85">
        <f t="shared" si="0"/>
        <v>0</v>
      </c>
      <c r="L8" s="85">
        <f t="shared" si="0"/>
        <v>0</v>
      </c>
      <c r="M8" s="11"/>
      <c r="N8" s="11"/>
      <c r="O8" s="40" t="s">
        <v>16</v>
      </c>
      <c r="P8" s="45"/>
      <c r="Q8" s="45"/>
      <c r="R8" s="45"/>
      <c r="S8" s="46" t="s">
        <v>5</v>
      </c>
      <c r="T8" s="18"/>
      <c r="U8" s="18"/>
      <c r="V8" s="18"/>
      <c r="W8" s="18"/>
      <c r="X8" s="18"/>
      <c r="Y8" s="18"/>
    </row>
    <row r="9" spans="1:25" ht="33.75" x14ac:dyDescent="0.25">
      <c r="A9" s="6" t="s">
        <v>24</v>
      </c>
      <c r="B9" s="7"/>
      <c r="C9" s="7"/>
      <c r="D9" s="88"/>
      <c r="E9" s="85"/>
      <c r="F9" s="85"/>
      <c r="G9" s="85">
        <v>5661.89</v>
      </c>
      <c r="H9" s="85">
        <v>8186.89</v>
      </c>
      <c r="I9" s="85"/>
      <c r="J9" s="85"/>
      <c r="K9" s="85"/>
      <c r="L9" s="85"/>
      <c r="M9" s="11"/>
      <c r="N9" s="11"/>
      <c r="O9" s="49" t="s">
        <v>93</v>
      </c>
      <c r="P9" s="45"/>
      <c r="Q9" s="93" t="e">
        <f>D14/(D11-D9)</f>
        <v>#DIV/0!</v>
      </c>
      <c r="R9" s="93" t="e">
        <f>E14/(E11-E9)</f>
        <v>#DIV/0!</v>
      </c>
      <c r="S9" s="93" t="e">
        <f>F14/(F11-F9)</f>
        <v>#DIV/0!</v>
      </c>
      <c r="T9" s="93">
        <f>G14/(G11-G9)</f>
        <v>0</v>
      </c>
      <c r="U9" s="93">
        <f>H14/(H11-H9)</f>
        <v>0</v>
      </c>
      <c r="V9" s="18"/>
      <c r="W9" s="18"/>
      <c r="X9" s="18"/>
      <c r="Y9" s="18"/>
    </row>
    <row r="10" spans="1:25" ht="22.5" x14ac:dyDescent="0.25">
      <c r="A10" s="6" t="s">
        <v>53</v>
      </c>
      <c r="B10" s="10">
        <f t="shared" ref="B10:H10" si="1">B6-B9</f>
        <v>0</v>
      </c>
      <c r="C10" s="10">
        <f t="shared" si="1"/>
        <v>0</v>
      </c>
      <c r="D10" s="89">
        <f t="shared" si="1"/>
        <v>0</v>
      </c>
      <c r="E10" s="89">
        <f t="shared" si="1"/>
        <v>0</v>
      </c>
      <c r="F10" s="89">
        <f t="shared" si="1"/>
        <v>0</v>
      </c>
      <c r="G10" s="89">
        <f t="shared" si="1"/>
        <v>6834.28</v>
      </c>
      <c r="H10" s="89">
        <f t="shared" si="1"/>
        <v>8648.869999999999</v>
      </c>
      <c r="I10" s="89"/>
      <c r="J10" s="89">
        <f>J6-J9</f>
        <v>0</v>
      </c>
      <c r="K10" s="89"/>
      <c r="L10" s="89">
        <f>L6-L9</f>
        <v>0</v>
      </c>
      <c r="M10" s="11"/>
      <c r="N10" s="11"/>
      <c r="O10" s="42" t="s">
        <v>92</v>
      </c>
      <c r="P10" s="43"/>
      <c r="Q10" s="44" t="e">
        <f>D14/D11</f>
        <v>#DIV/0!</v>
      </c>
      <c r="R10" s="44" t="e">
        <f>E14/E11</f>
        <v>#DIV/0!</v>
      </c>
      <c r="S10" s="44" t="e">
        <f>F14/F11</f>
        <v>#DIV/0!</v>
      </c>
      <c r="T10" s="44">
        <f>G14/G11</f>
        <v>0</v>
      </c>
      <c r="U10" s="44">
        <f>H14/H11</f>
        <v>0</v>
      </c>
      <c r="V10" s="18"/>
      <c r="W10" s="18"/>
      <c r="X10" s="18"/>
      <c r="Y10" s="18"/>
    </row>
    <row r="11" spans="1:25" ht="22.5" x14ac:dyDescent="0.25">
      <c r="A11" s="6" t="s">
        <v>1</v>
      </c>
      <c r="B11" s="10">
        <f>B5-B9</f>
        <v>0</v>
      </c>
      <c r="C11" s="10">
        <f t="shared" ref="C11:I11" si="2">SUM(C6:C8)</f>
        <v>0</v>
      </c>
      <c r="D11" s="89">
        <f t="shared" si="2"/>
        <v>0</v>
      </c>
      <c r="E11" s="89">
        <f t="shared" si="2"/>
        <v>0</v>
      </c>
      <c r="F11" s="89">
        <f>SUM(F6:F8)</f>
        <v>0</v>
      </c>
      <c r="G11" s="89">
        <f>SUM(G6:G8)</f>
        <v>13331.64</v>
      </c>
      <c r="H11" s="89">
        <f>SUM(H6:H8)</f>
        <v>19158.61</v>
      </c>
      <c r="I11" s="89">
        <f t="shared" si="2"/>
        <v>0</v>
      </c>
      <c r="J11" s="89">
        <f>SUM(J6:J8)</f>
        <v>0</v>
      </c>
      <c r="K11" s="89">
        <f>SUM(K6:K8)</f>
        <v>0</v>
      </c>
      <c r="L11" s="89">
        <f>SUM(L6:L8)</f>
        <v>0</v>
      </c>
      <c r="M11" s="11"/>
      <c r="N11" s="11"/>
      <c r="O11" s="42" t="s">
        <v>17</v>
      </c>
      <c r="P11" s="43"/>
      <c r="Q11" s="44" t="e">
        <f>D14/AVERAGE(C22:D22)</f>
        <v>#DIV/0!</v>
      </c>
      <c r="R11" s="44" t="e">
        <f>E14/AVERAGE(D22:E22)</f>
        <v>#DIV/0!</v>
      </c>
      <c r="S11" s="44" t="e">
        <f>F14/AVERAGE(E22:F22)</f>
        <v>#DIV/0!</v>
      </c>
      <c r="T11" s="44" t="e">
        <f>G14/AVERAGE(F22:G22)</f>
        <v>#DIV/0!</v>
      </c>
      <c r="U11" s="44" t="e">
        <f>H14/AVERAGE(G22:H22)</f>
        <v>#DIV/0!</v>
      </c>
      <c r="V11" s="18"/>
      <c r="W11" s="18"/>
      <c r="X11" s="18"/>
      <c r="Y11" s="18"/>
    </row>
    <row r="12" spans="1:25" x14ac:dyDescent="0.25">
      <c r="A12" s="6" t="s">
        <v>91</v>
      </c>
      <c r="B12" s="10"/>
      <c r="C12" s="10"/>
      <c r="D12" s="89"/>
      <c r="E12" s="89"/>
      <c r="F12" s="89"/>
      <c r="G12" s="89">
        <v>53.25</v>
      </c>
      <c r="H12" s="89">
        <v>4.6100000000000003</v>
      </c>
      <c r="I12" s="89"/>
      <c r="J12" s="89"/>
      <c r="K12" s="89"/>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L13" si="3">D11+D12</f>
        <v>0</v>
      </c>
      <c r="E13" s="88">
        <f t="shared" si="3"/>
        <v>0</v>
      </c>
      <c r="F13" s="88">
        <f t="shared" si="3"/>
        <v>0</v>
      </c>
      <c r="G13" s="88">
        <f t="shared" si="3"/>
        <v>13384.89</v>
      </c>
      <c r="H13" s="88">
        <f t="shared" si="3"/>
        <v>19163.22</v>
      </c>
      <c r="I13" s="88">
        <f t="shared" si="3"/>
        <v>0</v>
      </c>
      <c r="J13" s="88">
        <f t="shared" si="3"/>
        <v>0</v>
      </c>
      <c r="K13" s="88"/>
      <c r="L13" s="88">
        <f t="shared" si="3"/>
        <v>0</v>
      </c>
      <c r="M13" s="11"/>
      <c r="N13" s="11"/>
      <c r="O13" s="42" t="s">
        <v>19</v>
      </c>
      <c r="P13" s="43"/>
      <c r="Q13" s="44" t="e">
        <f>D24/D23</f>
        <v>#DIV/0!</v>
      </c>
      <c r="R13" s="44" t="e">
        <f>E24/E23</f>
        <v>#DIV/0!</v>
      </c>
      <c r="S13" s="44" t="e">
        <f>F24/F23</f>
        <v>#DIV/0!</v>
      </c>
      <c r="T13" s="44" t="e">
        <f>G24/G23</f>
        <v>#DIV/0!</v>
      </c>
      <c r="U13" s="44" t="e">
        <f>H24/H23</f>
        <v>#DIV/0!</v>
      </c>
      <c r="V13" s="48"/>
      <c r="W13" s="48"/>
      <c r="X13" s="48"/>
      <c r="Y13" s="48"/>
    </row>
    <row r="14" spans="1:25" x14ac:dyDescent="0.25">
      <c r="A14" s="6" t="s">
        <v>26</v>
      </c>
      <c r="B14" s="7"/>
      <c r="C14" s="7"/>
      <c r="D14" s="85"/>
      <c r="E14" s="85"/>
      <c r="F14" s="85"/>
      <c r="G14" s="85"/>
      <c r="H14" s="85"/>
      <c r="I14" s="85"/>
      <c r="J14" s="85"/>
      <c r="K14" s="85"/>
      <c r="L14" s="85"/>
      <c r="M14" s="11"/>
      <c r="N14" s="11"/>
      <c r="O14" s="42" t="s">
        <v>20</v>
      </c>
      <c r="P14" s="43"/>
      <c r="Q14" s="44" t="e">
        <f>D25/D23</f>
        <v>#DIV/0!</v>
      </c>
      <c r="R14" s="44" t="e">
        <f>E25/E23</f>
        <v>#DIV/0!</v>
      </c>
      <c r="S14" s="44" t="e">
        <f>F25/F23</f>
        <v>#DIV/0!</v>
      </c>
      <c r="T14" s="44" t="e">
        <f>G25/G23</f>
        <v>#DIV/0!</v>
      </c>
      <c r="U14" s="44" t="e">
        <f>H25/H23</f>
        <v>#DIV/0!</v>
      </c>
      <c r="V14" s="48"/>
      <c r="W14" s="48"/>
      <c r="X14" s="48"/>
      <c r="Y14" s="48"/>
    </row>
    <row r="15" spans="1:25" x14ac:dyDescent="0.25">
      <c r="A15" s="6" t="s">
        <v>54</v>
      </c>
      <c r="B15" s="10"/>
      <c r="C15" s="10"/>
      <c r="D15" s="89">
        <f t="shared" ref="D15:L15" si="4">D11-D14</f>
        <v>0</v>
      </c>
      <c r="E15" s="89">
        <f t="shared" si="4"/>
        <v>0</v>
      </c>
      <c r="F15" s="89">
        <f t="shared" si="4"/>
        <v>0</v>
      </c>
      <c r="G15" s="89">
        <f t="shared" si="4"/>
        <v>13331.64</v>
      </c>
      <c r="H15" s="89">
        <f t="shared" si="4"/>
        <v>19158.61</v>
      </c>
      <c r="I15" s="89">
        <f t="shared" si="4"/>
        <v>0</v>
      </c>
      <c r="J15" s="89">
        <f t="shared" si="4"/>
        <v>0</v>
      </c>
      <c r="K15" s="89">
        <f t="shared" si="4"/>
        <v>0</v>
      </c>
      <c r="L15" s="89">
        <f t="shared" si="4"/>
        <v>0</v>
      </c>
      <c r="M15" s="11"/>
      <c r="N15" s="11"/>
      <c r="O15" s="42" t="s">
        <v>21</v>
      </c>
      <c r="P15" s="43"/>
      <c r="Q15" s="44" t="e">
        <f t="shared" ref="Q15:V15" si="5">(Q13-Q14)/Q13</f>
        <v>#DIV/0!</v>
      </c>
      <c r="R15" s="44" t="e">
        <f t="shared" si="5"/>
        <v>#DIV/0!</v>
      </c>
      <c r="S15" s="44" t="e">
        <f t="shared" si="5"/>
        <v>#DIV/0!</v>
      </c>
      <c r="T15" s="44" t="e">
        <f t="shared" si="5"/>
        <v>#DIV/0!</v>
      </c>
      <c r="U15" s="44" t="e">
        <f t="shared" si="5"/>
        <v>#DIV/0!</v>
      </c>
      <c r="V15" s="44" t="e">
        <f t="shared" si="5"/>
        <v>#DIV/0!</v>
      </c>
      <c r="W15" s="18"/>
      <c r="X15" s="18"/>
      <c r="Y15" s="18"/>
    </row>
    <row r="16" spans="1:25" x14ac:dyDescent="0.25">
      <c r="A16" s="6" t="s">
        <v>94</v>
      </c>
      <c r="B16" s="10"/>
      <c r="C16" s="10"/>
      <c r="D16" s="89">
        <f t="shared" ref="D16:L16" si="6">D13-D14-D9</f>
        <v>0</v>
      </c>
      <c r="E16" s="89">
        <f t="shared" si="6"/>
        <v>0</v>
      </c>
      <c r="F16" s="89">
        <f t="shared" si="6"/>
        <v>0</v>
      </c>
      <c r="G16" s="89">
        <f t="shared" si="6"/>
        <v>7722.9999999999991</v>
      </c>
      <c r="H16" s="89">
        <f t="shared" si="6"/>
        <v>10976.330000000002</v>
      </c>
      <c r="I16" s="89">
        <f t="shared" si="6"/>
        <v>0</v>
      </c>
      <c r="J16" s="89">
        <f t="shared" si="6"/>
        <v>0</v>
      </c>
      <c r="K16" s="89">
        <f t="shared" si="6"/>
        <v>0</v>
      </c>
      <c r="L16" s="89">
        <f t="shared" si="6"/>
        <v>0</v>
      </c>
      <c r="M16" s="11"/>
      <c r="N16" s="11"/>
      <c r="O16" s="42" t="s">
        <v>22</v>
      </c>
      <c r="P16" s="43"/>
      <c r="Q16" s="44" t="e">
        <f>D17/AVERAGE(C23:D23)</f>
        <v>#DIV/0!</v>
      </c>
      <c r="R16" s="44" t="e">
        <f>E17/AVERAGE(D23:E23)</f>
        <v>#DIV/0!</v>
      </c>
      <c r="S16" s="44" t="e">
        <f>F17/AVERAGE(E23:F23)</f>
        <v>#DIV/0!</v>
      </c>
      <c r="T16" s="44" t="e">
        <f>G17/AVERAGE(F23:G23)</f>
        <v>#DIV/0!</v>
      </c>
      <c r="U16" s="44" t="e">
        <f>H17/AVERAGE(G23:H23)</f>
        <v>#DIV/0!</v>
      </c>
      <c r="V16" s="18"/>
      <c r="W16" s="18"/>
      <c r="X16" s="18"/>
      <c r="Y16" s="18"/>
    </row>
    <row r="17" spans="1:25" x14ac:dyDescent="0.25">
      <c r="A17" s="6" t="s">
        <v>27</v>
      </c>
      <c r="B17" s="7"/>
      <c r="C17" s="7"/>
      <c r="D17" s="88"/>
      <c r="E17" s="85"/>
      <c r="F17" s="85"/>
      <c r="G17" s="85"/>
      <c r="H17" s="85"/>
      <c r="I17" s="85"/>
      <c r="J17" s="85"/>
      <c r="K17" s="85"/>
      <c r="L17" s="85"/>
      <c r="M17" s="11"/>
      <c r="N17" s="11"/>
      <c r="O17" s="18"/>
      <c r="P17" s="18"/>
      <c r="Q17" s="18"/>
      <c r="R17" s="18"/>
      <c r="S17" s="18"/>
      <c r="T17" s="18"/>
      <c r="U17" s="18"/>
      <c r="V17" s="18"/>
      <c r="W17" s="18"/>
      <c r="X17" s="18"/>
      <c r="Y17" s="18"/>
    </row>
    <row r="18" spans="1:25" x14ac:dyDescent="0.25">
      <c r="A18" s="6" t="s">
        <v>55</v>
      </c>
      <c r="B18" s="7"/>
      <c r="C18" s="7"/>
      <c r="D18" s="88"/>
      <c r="E18" s="85"/>
      <c r="F18" s="89"/>
      <c r="G18" s="89"/>
      <c r="H18" s="89"/>
      <c r="I18" s="89"/>
      <c r="J18" s="89"/>
      <c r="K18" s="89"/>
      <c r="L18" s="89"/>
      <c r="M18" s="11"/>
      <c r="N18" s="11"/>
      <c r="O18" s="40" t="s">
        <v>30</v>
      </c>
      <c r="P18" s="45"/>
      <c r="Q18" s="45"/>
      <c r="R18" s="45"/>
      <c r="S18" s="46" t="s">
        <v>5</v>
      </c>
      <c r="T18" s="18"/>
      <c r="U18" s="18"/>
      <c r="V18" s="18"/>
      <c r="W18" s="18"/>
      <c r="X18" s="18"/>
      <c r="Y18" s="18"/>
    </row>
    <row r="19" spans="1:25" ht="22.5" x14ac:dyDescent="0.25">
      <c r="A19" s="6" t="s">
        <v>28</v>
      </c>
      <c r="B19" s="7"/>
      <c r="C19" s="7"/>
      <c r="D19" s="88"/>
      <c r="E19" s="85"/>
      <c r="F19" s="85"/>
      <c r="G19" s="85"/>
      <c r="H19" s="85"/>
      <c r="I19" s="85"/>
      <c r="J19" s="85"/>
      <c r="K19" s="85"/>
      <c r="L19" s="85"/>
      <c r="M19" s="11"/>
      <c r="N19" s="11"/>
      <c r="O19" s="46" t="s">
        <v>95</v>
      </c>
      <c r="P19" s="51"/>
      <c r="Q19" s="51"/>
      <c r="R19" s="52" t="e">
        <f>E16/AVERAGE(D22:E22)</f>
        <v>#DIV/0!</v>
      </c>
      <c r="S19" s="52" t="e">
        <f>F16/AVERAGE(E22:F22)</f>
        <v>#DIV/0!</v>
      </c>
      <c r="T19" s="52" t="e">
        <f>G16/AVERAGE(F22:G22)</f>
        <v>#DIV/0!</v>
      </c>
      <c r="U19" s="52" t="e">
        <f>H16/AVERAGE(G22:H22)</f>
        <v>#DIV/0!</v>
      </c>
      <c r="V19" s="18"/>
      <c r="W19" s="18"/>
      <c r="X19" s="18"/>
      <c r="Y19" s="18"/>
    </row>
    <row r="20" spans="1:25" x14ac:dyDescent="0.25">
      <c r="A20" s="6" t="s">
        <v>56</v>
      </c>
      <c r="B20" s="7"/>
      <c r="C20" s="7"/>
      <c r="D20" s="88">
        <f t="shared" ref="D20:J20" si="7">D19-D71</f>
        <v>0</v>
      </c>
      <c r="E20" s="89">
        <f t="shared" si="7"/>
        <v>0</v>
      </c>
      <c r="F20" s="89">
        <f t="shared" si="7"/>
        <v>0</v>
      </c>
      <c r="G20" s="89">
        <f t="shared" si="7"/>
        <v>0</v>
      </c>
      <c r="H20" s="89">
        <f t="shared" si="7"/>
        <v>0</v>
      </c>
      <c r="I20" s="89">
        <f t="shared" si="7"/>
        <v>0</v>
      </c>
      <c r="J20" s="89">
        <f t="shared" si="7"/>
        <v>0</v>
      </c>
      <c r="K20" s="89"/>
      <c r="L20" s="89"/>
      <c r="M20" s="11"/>
      <c r="N20" s="11"/>
      <c r="O20" s="42" t="s">
        <v>31</v>
      </c>
      <c r="P20" s="43"/>
      <c r="Q20" s="43">
        <v>4.4699999999999997E-2</v>
      </c>
      <c r="R20" s="44" t="e">
        <f>E18/AVERAGE(D22:E22)</f>
        <v>#DIV/0!</v>
      </c>
      <c r="S20" s="44" t="e">
        <f>F18/AVERAGE(E22:F22)</f>
        <v>#DIV/0!</v>
      </c>
      <c r="T20" s="44" t="e">
        <f>G18/AVERAGE(F22:G22)</f>
        <v>#DIV/0!</v>
      </c>
      <c r="U20" s="44" t="e">
        <f>H18/AVERAGE(G22:H22)</f>
        <v>#DIV/0!</v>
      </c>
      <c r="V20" s="48"/>
      <c r="W20" s="18"/>
      <c r="X20" s="18"/>
      <c r="Y20" s="18"/>
    </row>
    <row r="21" spans="1:25" x14ac:dyDescent="0.25">
      <c r="A21" s="6" t="s">
        <v>57</v>
      </c>
      <c r="B21" s="9"/>
      <c r="C21" s="9"/>
      <c r="D21" s="85"/>
      <c r="E21" s="85"/>
      <c r="F21" s="85"/>
      <c r="G21" s="85"/>
      <c r="H21" s="85"/>
      <c r="I21" s="85"/>
      <c r="J21" s="85"/>
      <c r="K21" s="85"/>
      <c r="L21" s="85"/>
      <c r="M21" s="11"/>
      <c r="N21" s="11"/>
      <c r="O21" s="42" t="s">
        <v>32</v>
      </c>
      <c r="P21" s="43"/>
      <c r="Q21" s="44" t="e">
        <f>D18/AVERAGE(C19:D19)</f>
        <v>#DIV/0!</v>
      </c>
      <c r="R21" s="44" t="e">
        <f>E18/AVERAGE(D19:E19)</f>
        <v>#DIV/0!</v>
      </c>
      <c r="S21" s="44" t="e">
        <f>F18/AVERAGE(E19:F19)</f>
        <v>#DIV/0!</v>
      </c>
      <c r="T21" s="44" t="e">
        <f>G18/AVERAGE(F19:G19)</f>
        <v>#DIV/0!</v>
      </c>
      <c r="U21" s="44" t="e">
        <f>H18/AVERAGE(G19:H19)</f>
        <v>#DIV/0!</v>
      </c>
      <c r="V21" s="18"/>
      <c r="W21" s="18"/>
      <c r="X21" s="18"/>
      <c r="Y21" s="18"/>
    </row>
    <row r="22" spans="1:25" x14ac:dyDescent="0.25">
      <c r="A22" s="6" t="s">
        <v>29</v>
      </c>
      <c r="B22" s="7"/>
      <c r="C22" s="7"/>
      <c r="D22" s="88"/>
      <c r="E22" s="85"/>
      <c r="F22" s="85"/>
      <c r="G22" s="85"/>
      <c r="H22" s="85"/>
      <c r="I22" s="85"/>
      <c r="J22" s="85"/>
      <c r="K22" s="85"/>
      <c r="L22" s="85"/>
      <c r="M22" s="11"/>
      <c r="N22" s="11"/>
      <c r="O22" s="40" t="s">
        <v>33</v>
      </c>
      <c r="P22" s="45"/>
      <c r="Q22" s="45"/>
      <c r="R22" s="45"/>
      <c r="S22" s="46" t="s">
        <v>5</v>
      </c>
      <c r="T22" s="18"/>
      <c r="U22" s="18"/>
      <c r="V22" s="18"/>
      <c r="W22" s="18"/>
      <c r="X22" s="18"/>
      <c r="Y22" s="18"/>
    </row>
    <row r="23" spans="1:25" x14ac:dyDescent="0.25">
      <c r="A23" s="6" t="s">
        <v>58</v>
      </c>
      <c r="B23" s="7"/>
      <c r="C23" s="7"/>
      <c r="D23" s="88"/>
      <c r="E23" s="85"/>
      <c r="F23" s="85"/>
      <c r="G23" s="85"/>
      <c r="H23" s="85"/>
      <c r="I23" s="85"/>
      <c r="J23" s="85"/>
      <c r="K23" s="85"/>
      <c r="L23" s="85"/>
      <c r="M23" s="11"/>
      <c r="N23" s="11"/>
      <c r="O23" s="42" t="s">
        <v>34</v>
      </c>
      <c r="P23" s="43"/>
      <c r="Q23" s="44" t="e">
        <f>D6/AVERAGE(C23:D23)</f>
        <v>#DIV/0!</v>
      </c>
      <c r="R23" s="44" t="e">
        <f>E6/AVERAGE(D23:E23)</f>
        <v>#DIV/0!</v>
      </c>
      <c r="S23" s="44" t="e">
        <f>F6/AVERAGE(E23:F23)</f>
        <v>#DIV/0!</v>
      </c>
      <c r="T23" s="44" t="e">
        <f>G6/AVERAGE(F23:G23)</f>
        <v>#DIV/0!</v>
      </c>
      <c r="U23" s="44" t="e">
        <f>H6/AVERAGE(G23:H23)</f>
        <v>#DIV/0!</v>
      </c>
      <c r="V23" s="18"/>
      <c r="W23" s="18"/>
      <c r="X23" s="18"/>
      <c r="Y23" s="18"/>
    </row>
    <row r="24" spans="1:25" x14ac:dyDescent="0.25">
      <c r="A24" s="6" t="s">
        <v>59</v>
      </c>
      <c r="B24" s="10"/>
      <c r="C24" s="10"/>
      <c r="D24" s="89"/>
      <c r="E24" s="89"/>
      <c r="F24" s="89"/>
      <c r="G24" s="89"/>
      <c r="H24" s="89"/>
      <c r="I24" s="89"/>
      <c r="J24" s="89"/>
      <c r="K24" s="89"/>
      <c r="L24" s="89"/>
      <c r="M24" s="11"/>
      <c r="N24" s="11"/>
      <c r="O24" s="42" t="s">
        <v>35</v>
      </c>
      <c r="P24" s="43"/>
      <c r="Q24" s="44" t="e">
        <f>D9/AVERAGE(C21:D21)</f>
        <v>#DIV/0!</v>
      </c>
      <c r="R24" s="44" t="e">
        <f>E9/AVERAGE(D21:E21)</f>
        <v>#DIV/0!</v>
      </c>
      <c r="S24" s="44" t="e">
        <f>F9/AVERAGE(E21:F21)</f>
        <v>#DIV/0!</v>
      </c>
      <c r="T24" s="44" t="e">
        <f>G9/AVERAGE(F21:G21)</f>
        <v>#DIV/0!</v>
      </c>
      <c r="U24" s="44" t="e">
        <f>H9/AVERAGE(G21:H21)</f>
        <v>#DIV/0!</v>
      </c>
      <c r="V24" s="18"/>
      <c r="W24" s="18"/>
      <c r="X24" s="18"/>
      <c r="Y24" s="18"/>
    </row>
    <row r="25" spans="1:25" x14ac:dyDescent="0.25">
      <c r="A25" s="6" t="s">
        <v>60</v>
      </c>
      <c r="B25" s="10"/>
      <c r="C25" s="10"/>
      <c r="D25" s="89"/>
      <c r="E25" s="89"/>
      <c r="F25" s="89"/>
      <c r="G25" s="89"/>
      <c r="H25" s="89"/>
      <c r="I25" s="89"/>
      <c r="J25" s="89"/>
      <c r="K25" s="89"/>
      <c r="L25" s="89"/>
      <c r="M25" s="11"/>
      <c r="N25" s="11"/>
      <c r="O25" s="42" t="s">
        <v>36</v>
      </c>
      <c r="P25" s="43"/>
      <c r="Q25" s="48" t="e">
        <f>Q23-Q24</f>
        <v>#DIV/0!</v>
      </c>
      <c r="R25" s="48" t="e">
        <f>R23-R24</f>
        <v>#DIV/0!</v>
      </c>
      <c r="S25" s="48" t="e">
        <f>S23-S24</f>
        <v>#DIV/0!</v>
      </c>
      <c r="T25" s="48" t="e">
        <f>T23-T24</f>
        <v>#DIV/0!</v>
      </c>
      <c r="U25" s="48" t="e">
        <f>U23-U24</f>
        <v>#DIV/0!</v>
      </c>
      <c r="V25" s="18"/>
      <c r="W25" s="18"/>
      <c r="X25" s="18"/>
      <c r="Y25" s="18"/>
    </row>
  </sheetData>
  <mergeCells count="1">
    <mergeCell ref="J1:L1"/>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Y25"/>
  <sheetViews>
    <sheetView topLeftCell="O10" workbookViewId="0">
      <selection activeCell="Z6" sqref="Z6"/>
    </sheetView>
  </sheetViews>
  <sheetFormatPr defaultRowHeight="15" x14ac:dyDescent="0.25"/>
  <cols>
    <col min="1" max="1" width="28.140625" customWidth="1"/>
    <col min="4" max="4" width="11.28515625" customWidth="1"/>
    <col min="5" max="5" width="11.42578125" customWidth="1"/>
    <col min="6" max="6" width="11.7109375" customWidth="1"/>
    <col min="7" max="7" width="10.42578125" customWidth="1"/>
    <col min="8" max="8" width="11.28515625" bestFit="1" customWidth="1"/>
    <col min="10" max="10" width="10.140625" bestFit="1" customWidth="1"/>
    <col min="15" max="15" width="28.7109375" customWidth="1"/>
    <col min="18" max="18" width="12.7109375" customWidth="1"/>
  </cols>
  <sheetData>
    <row r="1" spans="1:25" x14ac:dyDescent="0.25">
      <c r="J1" s="772" t="s">
        <v>119</v>
      </c>
      <c r="K1" s="772"/>
      <c r="L1" s="772"/>
    </row>
    <row r="2" spans="1:25" ht="45" x14ac:dyDescent="0.25">
      <c r="A2" s="3" t="s">
        <v>4</v>
      </c>
      <c r="B2" s="1" t="s">
        <v>43</v>
      </c>
      <c r="C2" s="1" t="s">
        <v>41</v>
      </c>
      <c r="D2" s="2" t="s">
        <v>44</v>
      </c>
      <c r="E2" s="2" t="s">
        <v>0</v>
      </c>
      <c r="F2" s="3" t="s">
        <v>42</v>
      </c>
      <c r="G2" s="3" t="s">
        <v>366</v>
      </c>
      <c r="H2" s="3" t="s">
        <v>556</v>
      </c>
      <c r="I2" s="3" t="s">
        <v>37</v>
      </c>
      <c r="J2" s="3" t="s">
        <v>38</v>
      </c>
      <c r="K2" s="3" t="s">
        <v>39</v>
      </c>
      <c r="L2" s="3" t="s">
        <v>40</v>
      </c>
      <c r="M2" s="11"/>
      <c r="N2" s="11"/>
      <c r="O2" s="40" t="s">
        <v>6</v>
      </c>
      <c r="P2" s="41" t="s">
        <v>7</v>
      </c>
      <c r="Q2" s="41" t="s">
        <v>8</v>
      </c>
      <c r="R2" s="41" t="s">
        <v>9</v>
      </c>
      <c r="S2" s="40" t="s">
        <v>90</v>
      </c>
      <c r="T2" s="41" t="s">
        <v>492</v>
      </c>
      <c r="U2" s="41" t="s">
        <v>623</v>
      </c>
      <c r="V2" s="40" t="s">
        <v>37</v>
      </c>
      <c r="W2" s="41" t="s">
        <v>38</v>
      </c>
      <c r="X2" s="41" t="s">
        <v>39</v>
      </c>
      <c r="Y2" s="41" t="s">
        <v>40</v>
      </c>
    </row>
    <row r="3" spans="1:25" x14ac:dyDescent="0.25">
      <c r="A3" s="3"/>
      <c r="B3" s="1" t="s">
        <v>46</v>
      </c>
      <c r="C3" s="4" t="s">
        <v>47</v>
      </c>
      <c r="D3" s="5" t="s">
        <v>47</v>
      </c>
      <c r="E3" s="5" t="s">
        <v>47</v>
      </c>
      <c r="F3" s="1" t="s">
        <v>46</v>
      </c>
      <c r="G3" s="1" t="s">
        <v>46</v>
      </c>
      <c r="H3" s="1" t="s">
        <v>46</v>
      </c>
      <c r="I3" s="1" t="s">
        <v>96</v>
      </c>
      <c r="J3" s="1"/>
      <c r="K3" s="1"/>
      <c r="L3" s="1"/>
      <c r="M3" s="11"/>
      <c r="N3" s="11"/>
      <c r="O3" s="42" t="s">
        <v>11</v>
      </c>
      <c r="P3" s="43"/>
      <c r="Q3" s="44" t="e">
        <f>D10/AVERAGE(C23:D23)</f>
        <v>#DIV/0!</v>
      </c>
      <c r="R3" s="44" t="e">
        <f>E10/AVERAGE(D23:E23)</f>
        <v>#DIV/0!</v>
      </c>
      <c r="S3" s="44">
        <f>F10/AVERAGE(E23:F23)</f>
        <v>5.6777703815730336E-2</v>
      </c>
      <c r="T3" s="44">
        <f>G10/AVERAGE(F23:G23)</f>
        <v>8.8920057729588192E-2</v>
      </c>
      <c r="U3" s="44">
        <f>H10/AVERAGE(G23:H23)</f>
        <v>8.7307449453799077E-2</v>
      </c>
      <c r="V3" s="18"/>
      <c r="W3" s="18"/>
      <c r="X3" s="18"/>
      <c r="Y3" s="18"/>
    </row>
    <row r="4" spans="1:25" x14ac:dyDescent="0.25">
      <c r="A4" s="3"/>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c r="Y4" s="18"/>
    </row>
    <row r="5" spans="1:25" x14ac:dyDescent="0.25">
      <c r="A5" s="6" t="s">
        <v>23</v>
      </c>
      <c r="B5" s="7"/>
      <c r="C5" s="8"/>
      <c r="F5" s="85">
        <v>14905.84</v>
      </c>
      <c r="G5" s="90">
        <v>60299.96</v>
      </c>
      <c r="H5" s="90">
        <v>143552.64000000001</v>
      </c>
      <c r="I5" s="85">
        <v>26064.17</v>
      </c>
      <c r="J5" s="85">
        <v>29831.29</v>
      </c>
      <c r="K5" s="85">
        <v>40082.76</v>
      </c>
      <c r="L5" s="85"/>
      <c r="M5" s="11"/>
      <c r="N5" s="11"/>
      <c r="O5" s="42" t="s">
        <v>13</v>
      </c>
      <c r="P5" s="46"/>
      <c r="Q5" s="47" t="e">
        <f>D21/D20</f>
        <v>#DIV/0!</v>
      </c>
      <c r="R5" s="47" t="e">
        <f>E21/E20</f>
        <v>#DIV/0!</v>
      </c>
      <c r="S5" s="47">
        <f>F21/F20</f>
        <v>1.0804783085473177</v>
      </c>
      <c r="T5" s="47">
        <f>G21/G20</f>
        <v>2.7898591491005722</v>
      </c>
      <c r="U5" s="47">
        <f>H21/H20</f>
        <v>2.6341669069383506</v>
      </c>
      <c r="V5" s="18"/>
      <c r="W5" s="18"/>
      <c r="X5" s="18"/>
      <c r="Y5" s="18"/>
    </row>
    <row r="6" spans="1:25" x14ac:dyDescent="0.25">
      <c r="A6" s="6" t="s">
        <v>50</v>
      </c>
      <c r="B6" s="7"/>
      <c r="C6" s="8"/>
      <c r="F6" s="85">
        <v>14257.42</v>
      </c>
      <c r="G6" s="85">
        <v>57597.58</v>
      </c>
      <c r="H6" s="85">
        <v>136019.35</v>
      </c>
      <c r="I6" s="85">
        <v>25113.83</v>
      </c>
      <c r="J6" s="85">
        <v>29017.07</v>
      </c>
      <c r="K6" s="85">
        <v>38711.51</v>
      </c>
      <c r="L6" s="85"/>
      <c r="M6" s="11"/>
      <c r="N6" s="11"/>
      <c r="O6" s="42" t="s">
        <v>14</v>
      </c>
      <c r="P6" s="43"/>
      <c r="Q6" s="43"/>
      <c r="R6" s="43"/>
      <c r="S6" s="43">
        <v>0.48599999999999999</v>
      </c>
      <c r="T6" s="48">
        <v>0.28070000000000001</v>
      </c>
      <c r="U6" s="48">
        <v>0.2797</v>
      </c>
      <c r="V6" s="48"/>
      <c r="W6" s="48">
        <v>0.2641</v>
      </c>
      <c r="X6" s="48">
        <v>0.2026</v>
      </c>
      <c r="Y6" s="18"/>
    </row>
    <row r="7" spans="1:25" x14ac:dyDescent="0.25">
      <c r="A7" s="6" t="s">
        <v>51</v>
      </c>
      <c r="B7" s="7"/>
      <c r="C7" s="8"/>
      <c r="D7" s="87"/>
      <c r="E7" s="85"/>
      <c r="F7" s="85">
        <v>0</v>
      </c>
      <c r="G7" s="85">
        <v>0</v>
      </c>
      <c r="H7" s="85"/>
      <c r="I7" s="85"/>
      <c r="J7" s="85"/>
      <c r="K7" s="85"/>
      <c r="L7" s="85"/>
      <c r="M7" s="11"/>
      <c r="N7" s="11"/>
      <c r="O7" s="42" t="s">
        <v>15</v>
      </c>
      <c r="P7" s="43"/>
      <c r="Q7" s="44" t="e">
        <f>D20/D23</f>
        <v>#DIV/0!</v>
      </c>
      <c r="R7" s="44" t="e">
        <f>E20/E23</f>
        <v>#DIV/0!</v>
      </c>
      <c r="S7" s="44">
        <f>F20/F23</f>
        <v>0.51780364384314148</v>
      </c>
      <c r="T7" s="44">
        <f>G20/G23</f>
        <v>0.29391258066506609</v>
      </c>
      <c r="U7" s="44">
        <f>H20/H23</f>
        <v>0.29370102558649863</v>
      </c>
      <c r="V7" s="18"/>
      <c r="W7" s="18"/>
      <c r="X7" s="18"/>
      <c r="Y7" s="18"/>
    </row>
    <row r="8" spans="1:25" x14ac:dyDescent="0.25">
      <c r="A8" s="6" t="s">
        <v>52</v>
      </c>
      <c r="B8" s="7"/>
      <c r="C8" s="8"/>
      <c r="D8" s="85">
        <f t="shared" ref="D8:L8" si="0">D5-D6-D7</f>
        <v>0</v>
      </c>
      <c r="E8" s="85">
        <f t="shared" si="0"/>
        <v>0</v>
      </c>
      <c r="F8" s="85">
        <f t="shared" si="0"/>
        <v>648.42000000000007</v>
      </c>
      <c r="G8" s="85">
        <f t="shared" si="0"/>
        <v>2702.3799999999974</v>
      </c>
      <c r="H8" s="85">
        <f t="shared" si="0"/>
        <v>7533.2900000000081</v>
      </c>
      <c r="I8" s="85">
        <f t="shared" si="0"/>
        <v>950.33999999999651</v>
      </c>
      <c r="J8" s="85">
        <f t="shared" si="0"/>
        <v>814.22000000000116</v>
      </c>
      <c r="K8" s="85">
        <f t="shared" si="0"/>
        <v>1371.25</v>
      </c>
      <c r="L8" s="85">
        <f t="shared" si="0"/>
        <v>0</v>
      </c>
      <c r="M8" s="11"/>
      <c r="N8" s="11"/>
      <c r="O8" s="40" t="s">
        <v>16</v>
      </c>
      <c r="P8" s="45"/>
      <c r="Q8" s="45"/>
      <c r="R8" s="45"/>
      <c r="S8" s="46" t="s">
        <v>5</v>
      </c>
      <c r="T8" s="18"/>
      <c r="U8" s="18"/>
      <c r="V8" s="18"/>
      <c r="W8" s="18"/>
      <c r="X8" s="18"/>
      <c r="Y8" s="18"/>
    </row>
    <row r="9" spans="1:25" ht="33.75" x14ac:dyDescent="0.25">
      <c r="A9" s="6" t="s">
        <v>24</v>
      </c>
      <c r="B9" s="7"/>
      <c r="C9" s="7"/>
      <c r="D9" s="88"/>
      <c r="E9" s="85"/>
      <c r="F9" s="85">
        <v>1885.3</v>
      </c>
      <c r="G9" s="85">
        <v>21300.44</v>
      </c>
      <c r="H9" s="85">
        <v>58265.1</v>
      </c>
      <c r="I9" s="85">
        <v>10780.38</v>
      </c>
      <c r="J9" s="85">
        <v>12725.06</v>
      </c>
      <c r="K9" s="85">
        <v>15888.27</v>
      </c>
      <c r="L9" s="85"/>
      <c r="M9" s="11"/>
      <c r="N9" s="11"/>
      <c r="O9" s="49" t="s">
        <v>93</v>
      </c>
      <c r="P9" s="45"/>
      <c r="Q9" s="93" t="e">
        <f>D14/(D11-D9)</f>
        <v>#DIV/0!</v>
      </c>
      <c r="R9" s="93" t="e">
        <f>E14/(E11-E9)</f>
        <v>#DIV/0!</v>
      </c>
      <c r="S9" s="93">
        <f>F14/(F11-F9)</f>
        <v>0.62139281473733032</v>
      </c>
      <c r="T9" s="93">
        <f>G14/(G11-G9)</f>
        <v>0.61635656028587016</v>
      </c>
      <c r="U9" s="93">
        <f>H14/(H11-H9)</f>
        <v>0.56964346726379944</v>
      </c>
      <c r="V9" s="18"/>
      <c r="W9" s="18"/>
      <c r="X9" s="18"/>
      <c r="Y9" s="18"/>
    </row>
    <row r="10" spans="1:25" ht="22.5" x14ac:dyDescent="0.25">
      <c r="A10" s="6" t="s">
        <v>53</v>
      </c>
      <c r="B10" s="10">
        <f t="shared" ref="B10:I10" si="1">B6-B9</f>
        <v>0</v>
      </c>
      <c r="C10" s="10">
        <f t="shared" si="1"/>
        <v>0</v>
      </c>
      <c r="D10" s="89">
        <f t="shared" si="1"/>
        <v>0</v>
      </c>
      <c r="E10" s="89">
        <f t="shared" si="1"/>
        <v>0</v>
      </c>
      <c r="F10" s="89">
        <f t="shared" si="1"/>
        <v>12372.12</v>
      </c>
      <c r="G10" s="89">
        <f t="shared" si="1"/>
        <v>36297.14</v>
      </c>
      <c r="H10" s="89">
        <f t="shared" ref="H10" si="2">H6-H9</f>
        <v>77754.25</v>
      </c>
      <c r="I10" s="89">
        <f t="shared" si="1"/>
        <v>14333.450000000003</v>
      </c>
      <c r="J10" s="89">
        <f>J6-J9</f>
        <v>16292.01</v>
      </c>
      <c r="K10" s="89">
        <f>K6-K9</f>
        <v>22823.24</v>
      </c>
      <c r="L10" s="89">
        <f>L6-L9</f>
        <v>0</v>
      </c>
      <c r="M10" s="11"/>
      <c r="N10" s="11"/>
      <c r="O10" s="42" t="s">
        <v>92</v>
      </c>
      <c r="P10" s="43"/>
      <c r="Q10" s="44" t="e">
        <f>D14/D11</f>
        <v>#DIV/0!</v>
      </c>
      <c r="R10" s="44" t="e">
        <f>E14/E11</f>
        <v>#DIV/0!</v>
      </c>
      <c r="S10" s="44">
        <f>F14/F11</f>
        <v>0.5427986614642315</v>
      </c>
      <c r="T10" s="44">
        <f>G14/G11</f>
        <v>0.39863392944207593</v>
      </c>
      <c r="U10" s="44">
        <f>H14/H11</f>
        <v>0.33843675741525886</v>
      </c>
      <c r="V10" s="18"/>
      <c r="W10" s="18"/>
      <c r="X10" s="18"/>
      <c r="Y10" s="18"/>
    </row>
    <row r="11" spans="1:25" ht="22.5" x14ac:dyDescent="0.25">
      <c r="A11" s="6" t="s">
        <v>1</v>
      </c>
      <c r="B11" s="10">
        <f>B5-B9</f>
        <v>0</v>
      </c>
      <c r="C11" s="10">
        <f t="shared" ref="C11:I11" si="3">SUM(C6:C8)</f>
        <v>0</v>
      </c>
      <c r="D11" s="89">
        <f t="shared" si="3"/>
        <v>0</v>
      </c>
      <c r="E11" s="89">
        <f t="shared" si="3"/>
        <v>0</v>
      </c>
      <c r="F11" s="89">
        <f>SUM(F6:F8)</f>
        <v>14905.84</v>
      </c>
      <c r="G11" s="89">
        <f>SUM(G6:G8)</f>
        <v>60299.96</v>
      </c>
      <c r="H11" s="89">
        <f>SUM(H6:H8)</f>
        <v>143552.64000000001</v>
      </c>
      <c r="I11" s="89">
        <f t="shared" si="3"/>
        <v>26064.17</v>
      </c>
      <c r="J11" s="89">
        <f>SUM(J6:J8)</f>
        <v>29831.29</v>
      </c>
      <c r="K11" s="89">
        <f>SUM(K6:K8)</f>
        <v>40082.76</v>
      </c>
      <c r="L11" s="89">
        <f>SUM(L6:L8)</f>
        <v>0</v>
      </c>
      <c r="M11" s="11"/>
      <c r="N11" s="11"/>
      <c r="O11" s="42" t="s">
        <v>17</v>
      </c>
      <c r="P11" s="43"/>
      <c r="Q11" s="44" t="e">
        <f>D14/AVERAGE(C22:D22)</f>
        <v>#DIV/0!</v>
      </c>
      <c r="R11" s="44" t="e">
        <f>E14/AVERAGE(D22:E22)</f>
        <v>#DIV/0!</v>
      </c>
      <c r="S11" s="44">
        <f>F14/AVERAGE(E22:F22)</f>
        <v>3.3954823034657307E-2</v>
      </c>
      <c r="T11" s="44">
        <f>G14/AVERAGE(F22:G22)</f>
        <v>5.2470943372602018E-2</v>
      </c>
      <c r="U11" s="44">
        <f>H14/AVERAGE(G22:H22)</f>
        <v>4.9489553152337017E-2</v>
      </c>
      <c r="V11" s="18"/>
      <c r="W11" s="18"/>
      <c r="X11" s="18"/>
      <c r="Y11" s="18"/>
    </row>
    <row r="12" spans="1:25" x14ac:dyDescent="0.25">
      <c r="A12" s="6" t="s">
        <v>91</v>
      </c>
      <c r="B12" s="10"/>
      <c r="C12" s="10"/>
      <c r="D12" s="89"/>
      <c r="E12" s="89"/>
      <c r="F12" s="89">
        <v>10.54</v>
      </c>
      <c r="G12" s="89">
        <v>51.79</v>
      </c>
      <c r="H12" s="89">
        <v>729.6</v>
      </c>
      <c r="I12" s="89">
        <v>15.09</v>
      </c>
      <c r="J12" s="89">
        <v>641.97</v>
      </c>
      <c r="K12" s="89">
        <v>15.71</v>
      </c>
      <c r="L12" s="89"/>
      <c r="M12" s="11"/>
      <c r="N12" s="11"/>
      <c r="O12" s="40" t="s">
        <v>18</v>
      </c>
      <c r="P12" s="45"/>
      <c r="Q12" s="45"/>
      <c r="R12" s="45"/>
      <c r="S12" s="46" t="s">
        <v>5</v>
      </c>
      <c r="T12" s="18"/>
      <c r="U12" s="18"/>
      <c r="V12" s="18"/>
      <c r="W12" s="18"/>
      <c r="X12" s="53"/>
      <c r="Y12" s="54"/>
    </row>
    <row r="13" spans="1:25" x14ac:dyDescent="0.25">
      <c r="A13" s="6" t="s">
        <v>25</v>
      </c>
      <c r="B13" s="7"/>
      <c r="C13" s="7"/>
      <c r="D13" s="88">
        <f t="shared" ref="D13:L13" si="4">D11+D12</f>
        <v>0</v>
      </c>
      <c r="E13" s="88">
        <f t="shared" si="4"/>
        <v>0</v>
      </c>
      <c r="F13" s="88">
        <f t="shared" si="4"/>
        <v>14916.380000000001</v>
      </c>
      <c r="G13" s="88">
        <f t="shared" si="4"/>
        <v>60351.75</v>
      </c>
      <c r="H13" s="88">
        <f t="shared" si="4"/>
        <v>144282.24000000002</v>
      </c>
      <c r="I13" s="88">
        <f t="shared" si="4"/>
        <v>26079.26</v>
      </c>
      <c r="J13" s="88">
        <f t="shared" si="4"/>
        <v>30473.260000000002</v>
      </c>
      <c r="K13" s="88">
        <f t="shared" si="4"/>
        <v>40098.47</v>
      </c>
      <c r="L13" s="88">
        <f t="shared" si="4"/>
        <v>0</v>
      </c>
      <c r="M13" s="11"/>
      <c r="N13" s="11"/>
      <c r="O13" s="42" t="s">
        <v>19</v>
      </c>
      <c r="P13" s="43"/>
      <c r="Q13" s="44" t="e">
        <f>D24/D23</f>
        <v>#DIV/0!</v>
      </c>
      <c r="R13" s="44" t="e">
        <f>E24/E23</f>
        <v>#DIV/0!</v>
      </c>
      <c r="S13" s="44">
        <f>F24/F23</f>
        <v>3.6539851967294858E-3</v>
      </c>
      <c r="T13" s="44">
        <f>G24/G23</f>
        <v>4.8240684050687623E-3</v>
      </c>
      <c r="U13" s="44">
        <f>H24/H23</f>
        <v>8.2612422497584381E-3</v>
      </c>
      <c r="V13" s="48"/>
      <c r="W13" s="48">
        <v>9.4000000000000004E-3</v>
      </c>
      <c r="X13" s="48">
        <v>1.0200000000000001E-2</v>
      </c>
      <c r="Y13" s="18"/>
    </row>
    <row r="14" spans="1:25" x14ac:dyDescent="0.25">
      <c r="A14" s="6" t="s">
        <v>26</v>
      </c>
      <c r="B14" s="7"/>
      <c r="C14" s="7"/>
      <c r="D14" s="85"/>
      <c r="E14" s="85"/>
      <c r="F14" s="85">
        <f>1300.66+5438.85+157.73+1193.63</f>
        <v>8090.87</v>
      </c>
      <c r="G14" s="85">
        <f>8430.17+11683.68+679.33+3244.43</f>
        <v>24037.61</v>
      </c>
      <c r="H14" s="85">
        <f>19324.47+20332.23+1176.27+7750.52</f>
        <v>48583.489999999991</v>
      </c>
      <c r="I14" s="85">
        <f>3057.58+4314.89+235.04+1273.21</f>
        <v>8880.7200000000012</v>
      </c>
      <c r="J14" s="85">
        <f>3237.18+4746.63+282.58+1711.78</f>
        <v>9978.17</v>
      </c>
      <c r="K14" s="85">
        <f>6130.06+5215.96+311.86+2201.55</f>
        <v>13859.43</v>
      </c>
      <c r="L14" s="85"/>
      <c r="M14" s="11"/>
      <c r="N14" s="11"/>
      <c r="O14" s="42" t="s">
        <v>20</v>
      </c>
      <c r="P14" s="43"/>
      <c r="Q14" s="44" t="e">
        <f>D25/D23</f>
        <v>#DIV/0!</v>
      </c>
      <c r="R14" s="44" t="e">
        <f>E25/E23</f>
        <v>#DIV/0!</v>
      </c>
      <c r="S14" s="44">
        <f>F25/F23</f>
        <v>3.2324703637441258E-3</v>
      </c>
      <c r="T14" s="44">
        <f>G25/G23</f>
        <v>4.3360608478439158E-3</v>
      </c>
      <c r="U14" s="44">
        <f>H25/H23</f>
        <v>4.7356108313873395E-3</v>
      </c>
      <c r="V14" s="48"/>
      <c r="W14" s="48">
        <v>6.1000000000000004E-3</v>
      </c>
      <c r="X14" s="48">
        <v>6.3E-3</v>
      </c>
      <c r="Y14" s="18"/>
    </row>
    <row r="15" spans="1:25" x14ac:dyDescent="0.25">
      <c r="A15" s="6" t="s">
        <v>54</v>
      </c>
      <c r="B15" s="10"/>
      <c r="C15" s="10"/>
      <c r="D15" s="89">
        <f t="shared" ref="D15:L15" si="5">D11-D14</f>
        <v>0</v>
      </c>
      <c r="E15" s="89">
        <f t="shared" si="5"/>
        <v>0</v>
      </c>
      <c r="F15" s="89">
        <f t="shared" si="5"/>
        <v>6814.97</v>
      </c>
      <c r="G15" s="89">
        <f t="shared" si="5"/>
        <v>36262.35</v>
      </c>
      <c r="H15" s="89">
        <f t="shared" ref="H15" si="6">H11-H14</f>
        <v>94969.150000000023</v>
      </c>
      <c r="I15" s="89">
        <f t="shared" si="5"/>
        <v>17183.449999999997</v>
      </c>
      <c r="J15" s="89">
        <f t="shared" si="5"/>
        <v>19853.120000000003</v>
      </c>
      <c r="K15" s="89">
        <f t="shared" si="5"/>
        <v>26223.33</v>
      </c>
      <c r="L15" s="89">
        <f t="shared" si="5"/>
        <v>0</v>
      </c>
      <c r="M15" s="11"/>
      <c r="N15" s="11"/>
      <c r="O15" s="42" t="s">
        <v>21</v>
      </c>
      <c r="P15" s="43"/>
      <c r="Q15" s="44" t="e">
        <f t="shared" ref="Q15:V15" si="7">(Q13-Q14)/Q13</f>
        <v>#DIV/0!</v>
      </c>
      <c r="R15" s="44" t="e">
        <f t="shared" si="7"/>
        <v>#DIV/0!</v>
      </c>
      <c r="S15" s="44">
        <f t="shared" si="7"/>
        <v>0.11535756449222577</v>
      </c>
      <c r="T15" s="44">
        <f t="shared" si="7"/>
        <v>0.10116099446518741</v>
      </c>
      <c r="U15" s="44">
        <f t="shared" si="7"/>
        <v>0.42676770778319562</v>
      </c>
      <c r="V15" s="44" t="e">
        <f t="shared" si="7"/>
        <v>#DIV/0!</v>
      </c>
      <c r="W15" s="18"/>
      <c r="X15" s="18"/>
      <c r="Y15" s="18"/>
    </row>
    <row r="16" spans="1:25" x14ac:dyDescent="0.25">
      <c r="A16" s="6" t="s">
        <v>94</v>
      </c>
      <c r="B16" s="10"/>
      <c r="C16" s="10"/>
      <c r="D16" s="89">
        <f t="shared" ref="D16:L16" si="8">D13-D14-D9</f>
        <v>0</v>
      </c>
      <c r="E16" s="89">
        <f t="shared" si="8"/>
        <v>0</v>
      </c>
      <c r="F16" s="89">
        <f t="shared" si="8"/>
        <v>4940.2100000000009</v>
      </c>
      <c r="G16" s="89">
        <f t="shared" si="8"/>
        <v>15013.7</v>
      </c>
      <c r="H16" s="89">
        <f t="shared" ref="H16" si="9">H13-H14-H9</f>
        <v>37433.650000000031</v>
      </c>
      <c r="I16" s="89">
        <f t="shared" si="8"/>
        <v>6418.159999999998</v>
      </c>
      <c r="J16" s="89">
        <f t="shared" si="8"/>
        <v>7770.0300000000043</v>
      </c>
      <c r="K16" s="89">
        <f t="shared" si="8"/>
        <v>10350.77</v>
      </c>
      <c r="L16" s="89">
        <f t="shared" si="8"/>
        <v>0</v>
      </c>
      <c r="M16" s="11"/>
      <c r="N16" s="11"/>
      <c r="O16" s="42" t="s">
        <v>22</v>
      </c>
      <c r="P16" s="43"/>
      <c r="Q16" s="44" t="e">
        <f>D17/AVERAGE(C23:D23)</f>
        <v>#DIV/0!</v>
      </c>
      <c r="R16" s="44" t="e">
        <f>E17/AVERAGE(D23:E23)</f>
        <v>#DIV/0!</v>
      </c>
      <c r="S16" s="44">
        <f>F17/AVERAGE(E23:F23)</f>
        <v>4.2057864326375937E-3</v>
      </c>
      <c r="T16" s="44">
        <f>G17/AVERAGE(F23:G23)</f>
        <v>1.0794349206879605E-2</v>
      </c>
      <c r="U16" s="44">
        <f>H17/AVERAGE(G23:H23)</f>
        <v>2.2313261790950816E-2</v>
      </c>
      <c r="V16" s="44"/>
      <c r="W16" s="44"/>
      <c r="X16" s="18"/>
      <c r="Y16" s="18"/>
    </row>
    <row r="17" spans="1:25" x14ac:dyDescent="0.25">
      <c r="A17" s="6" t="s">
        <v>27</v>
      </c>
      <c r="B17" s="7"/>
      <c r="C17" s="7"/>
      <c r="D17" s="88"/>
      <c r="E17" s="85"/>
      <c r="F17" s="85">
        <v>916.46</v>
      </c>
      <c r="G17" s="85">
        <v>4406.25</v>
      </c>
      <c r="H17" s="85">
        <v>19871.740000000002</v>
      </c>
      <c r="I17" s="85">
        <v>4015.49</v>
      </c>
      <c r="J17" s="85">
        <v>4214.3900000000003</v>
      </c>
      <c r="K17" s="85">
        <v>6161.45</v>
      </c>
      <c r="L17" s="85"/>
      <c r="M17" s="11"/>
      <c r="N17" s="11"/>
      <c r="O17" s="18"/>
      <c r="P17" s="18"/>
      <c r="Q17" s="18"/>
      <c r="R17" s="18"/>
      <c r="S17" s="18"/>
      <c r="T17" s="18"/>
      <c r="U17" s="18"/>
      <c r="V17" s="18"/>
      <c r="W17" s="18"/>
      <c r="X17" s="18"/>
      <c r="Y17" s="18"/>
    </row>
    <row r="18" spans="1:25" x14ac:dyDescent="0.25">
      <c r="A18" s="6" t="s">
        <v>55</v>
      </c>
      <c r="B18" s="7"/>
      <c r="C18" s="7"/>
      <c r="D18" s="88"/>
      <c r="E18" s="85"/>
      <c r="F18" s="89">
        <v>3026.74</v>
      </c>
      <c r="G18" s="89">
        <v>7926.89</v>
      </c>
      <c r="H18" s="89">
        <v>13047.4</v>
      </c>
      <c r="I18" s="89">
        <v>1789.07</v>
      </c>
      <c r="J18" s="89">
        <v>2639.19</v>
      </c>
      <c r="K18" s="89">
        <v>3103.13</v>
      </c>
      <c r="L18" s="89"/>
      <c r="M18" s="11"/>
      <c r="N18" s="11"/>
      <c r="O18" s="40" t="s">
        <v>30</v>
      </c>
      <c r="P18" s="45"/>
      <c r="Q18" s="45"/>
      <c r="R18" s="45"/>
      <c r="S18" s="46" t="s">
        <v>5</v>
      </c>
      <c r="T18" s="18"/>
      <c r="U18" s="18"/>
      <c r="V18" s="18"/>
      <c r="W18" s="18"/>
      <c r="X18" s="18"/>
      <c r="Y18" s="18"/>
    </row>
    <row r="19" spans="1:25" ht="22.5" x14ac:dyDescent="0.25">
      <c r="A19" s="6" t="s">
        <v>28</v>
      </c>
      <c r="B19" s="7"/>
      <c r="C19" s="7"/>
      <c r="D19" s="88"/>
      <c r="E19" s="85"/>
      <c r="F19" s="85">
        <v>112831.77</v>
      </c>
      <c r="G19" s="85">
        <v>175905.16</v>
      </c>
      <c r="H19" s="85">
        <f>350324.91-2654.69-320.37</f>
        <v>347349.85</v>
      </c>
      <c r="I19" s="85"/>
      <c r="J19" s="85">
        <f>220967.77-1733.22</f>
        <v>219234.55</v>
      </c>
      <c r="K19" s="85"/>
      <c r="L19" s="85"/>
      <c r="M19" s="11"/>
      <c r="N19" s="11"/>
      <c r="O19" s="46" t="s">
        <v>95</v>
      </c>
      <c r="P19" s="51"/>
      <c r="Q19" s="51"/>
      <c r="R19" s="52" t="e">
        <f>E16/AVERAGE(D22:E22)</f>
        <v>#DIV/0!</v>
      </c>
      <c r="S19" s="52">
        <f>F16/AVERAGE(E22:F22)</f>
        <v>2.0732499262013159E-2</v>
      </c>
      <c r="T19" s="52">
        <f>G16/AVERAGE(F22:G22)</f>
        <v>3.2772933852959381E-2</v>
      </c>
      <c r="U19" s="52">
        <f>H16/AVERAGE(G22:H22)</f>
        <v>3.81317729821588E-2</v>
      </c>
      <c r="V19" s="18"/>
      <c r="W19" s="18"/>
      <c r="X19" s="18"/>
      <c r="Y19" s="18"/>
    </row>
    <row r="20" spans="1:25" x14ac:dyDescent="0.25">
      <c r="A20" s="6" t="s">
        <v>56</v>
      </c>
      <c r="B20" s="7"/>
      <c r="C20" s="7"/>
      <c r="D20" s="88">
        <f t="shared" ref="D20:L20" si="10">D19-D71</f>
        <v>0</v>
      </c>
      <c r="E20" s="89">
        <f t="shared" si="10"/>
        <v>0</v>
      </c>
      <c r="F20" s="89">
        <f t="shared" si="10"/>
        <v>112831.77</v>
      </c>
      <c r="G20" s="89">
        <f t="shared" si="10"/>
        <v>175905.16</v>
      </c>
      <c r="H20" s="89">
        <f t="shared" si="10"/>
        <v>347349.85</v>
      </c>
      <c r="I20" s="89">
        <f t="shared" si="10"/>
        <v>0</v>
      </c>
      <c r="J20" s="89">
        <f t="shared" si="10"/>
        <v>219234.55</v>
      </c>
      <c r="K20" s="89">
        <f t="shared" si="10"/>
        <v>0</v>
      </c>
      <c r="L20" s="89">
        <f t="shared" si="10"/>
        <v>0</v>
      </c>
      <c r="M20" s="11"/>
      <c r="N20" s="11"/>
      <c r="O20" s="42" t="s">
        <v>31</v>
      </c>
      <c r="P20" s="43"/>
      <c r="Q20" s="43">
        <v>4.4699999999999997E-2</v>
      </c>
      <c r="R20" s="44" t="e">
        <f>E18/AVERAGE(D22:E22)</f>
        <v>#DIV/0!</v>
      </c>
      <c r="S20" s="44">
        <f>F18/AVERAGE(E22:F22)</f>
        <v>1.2702270716488911E-2</v>
      </c>
      <c r="T20" s="44">
        <f>G18/AVERAGE(F22:G22)</f>
        <v>1.7303359040721819E-2</v>
      </c>
      <c r="U20" s="44">
        <f>H18/AVERAGE(G22:H22)</f>
        <v>1.3290728924575038E-2</v>
      </c>
      <c r="V20" s="48"/>
      <c r="W20" s="18"/>
      <c r="X20" s="18"/>
      <c r="Y20" s="18"/>
    </row>
    <row r="21" spans="1:25" x14ac:dyDescent="0.25">
      <c r="A21" s="6" t="s">
        <v>57</v>
      </c>
      <c r="B21" s="9"/>
      <c r="C21" s="9"/>
      <c r="D21" s="85"/>
      <c r="E21" s="85"/>
      <c r="F21" s="85">
        <v>121912.28</v>
      </c>
      <c r="G21" s="85">
        <v>490750.62</v>
      </c>
      <c r="H21" s="85">
        <f>40760.49+874216.99</f>
        <v>914977.48</v>
      </c>
      <c r="I21" s="85"/>
      <c r="J21" s="85">
        <f>20104.48+639169.11</f>
        <v>659273.59</v>
      </c>
      <c r="K21" s="85"/>
      <c r="L21" s="85"/>
      <c r="M21" s="11"/>
      <c r="N21" s="11"/>
      <c r="O21" s="42" t="s">
        <v>32</v>
      </c>
      <c r="P21" s="43"/>
      <c r="Q21" s="44" t="e">
        <f>D18/AVERAGE(C19:D19)</f>
        <v>#DIV/0!</v>
      </c>
      <c r="R21" s="44" t="e">
        <f>E18/AVERAGE(D19:E19)</f>
        <v>#DIV/0!</v>
      </c>
      <c r="S21" s="44">
        <f>F18/AVERAGE(E19:F19)</f>
        <v>2.6825246116408522E-2</v>
      </c>
      <c r="T21" s="44">
        <f>G18/AVERAGE(F19:G19)</f>
        <v>5.4907351131010508E-2</v>
      </c>
      <c r="U21" s="44">
        <f>H18/AVERAGE(G19:H19)</f>
        <v>4.9870138844919989E-2</v>
      </c>
      <c r="V21" s="18"/>
      <c r="W21" s="18"/>
      <c r="X21" s="18"/>
      <c r="Y21" s="18"/>
    </row>
    <row r="22" spans="1:25" x14ac:dyDescent="0.25">
      <c r="A22" s="6" t="s">
        <v>29</v>
      </c>
      <c r="B22" s="7"/>
      <c r="C22" s="7"/>
      <c r="D22" s="88"/>
      <c r="E22" s="85"/>
      <c r="F22" s="85">
        <v>238283.38</v>
      </c>
      <c r="G22" s="85">
        <v>677942.19</v>
      </c>
      <c r="H22" s="85">
        <v>1285441.47</v>
      </c>
      <c r="I22" s="85"/>
      <c r="J22" s="85">
        <v>896136.03</v>
      </c>
      <c r="K22" s="85"/>
      <c r="L22" s="85"/>
      <c r="M22" s="11"/>
      <c r="N22" s="11"/>
      <c r="O22" s="40" t="s">
        <v>33</v>
      </c>
      <c r="P22" s="45"/>
      <c r="Q22" s="45"/>
      <c r="R22" s="45"/>
      <c r="S22" s="46" t="s">
        <v>5</v>
      </c>
      <c r="T22" s="18"/>
      <c r="U22" s="18"/>
      <c r="V22" s="18"/>
      <c r="W22" s="18"/>
      <c r="X22" s="18"/>
      <c r="Y22" s="18"/>
    </row>
    <row r="23" spans="1:25" x14ac:dyDescent="0.25">
      <c r="A23" s="6" t="s">
        <v>58</v>
      </c>
      <c r="B23" s="7"/>
      <c r="C23" s="7"/>
      <c r="D23" s="88"/>
      <c r="E23" s="85"/>
      <c r="F23" s="85">
        <v>217904.55</v>
      </c>
      <c r="G23" s="85">
        <v>598494.82999999996</v>
      </c>
      <c r="H23" s="85">
        <v>1182664.75</v>
      </c>
      <c r="I23" s="85"/>
      <c r="J23" s="85">
        <v>814732.38</v>
      </c>
      <c r="K23" s="85"/>
      <c r="L23" s="85"/>
      <c r="M23" s="11"/>
      <c r="N23" s="11"/>
      <c r="O23" s="42" t="s">
        <v>34</v>
      </c>
      <c r="P23" s="43"/>
      <c r="Q23" s="44" t="e">
        <f>D6/AVERAGE(C23:D23)</f>
        <v>#DIV/0!</v>
      </c>
      <c r="R23" s="44" t="e">
        <f>E6/AVERAGE(D23:E23)</f>
        <v>#DIV/0!</v>
      </c>
      <c r="S23" s="44">
        <f>F6/AVERAGE(E23:F23)</f>
        <v>6.542965715952237E-2</v>
      </c>
      <c r="T23" s="44">
        <f>G6/AVERAGE(F23:G23)</f>
        <v>0.14110147903346035</v>
      </c>
      <c r="U23" s="44">
        <f>H6/AVERAGE(G23:H23)</f>
        <v>0.15273123366071445</v>
      </c>
      <c r="V23" s="18"/>
      <c r="W23" s="18"/>
      <c r="X23" s="18"/>
      <c r="Y23" s="18"/>
    </row>
    <row r="24" spans="1:25" x14ac:dyDescent="0.25">
      <c r="A24" s="6" t="s">
        <v>59</v>
      </c>
      <c r="B24" s="10"/>
      <c r="C24" s="10"/>
      <c r="D24" s="89"/>
      <c r="E24" s="89"/>
      <c r="F24" s="89">
        <v>796.22</v>
      </c>
      <c r="G24" s="89">
        <v>2887.18</v>
      </c>
      <c r="H24" s="89">
        <v>9770.2800000000007</v>
      </c>
      <c r="I24" s="89"/>
      <c r="J24" s="89"/>
      <c r="K24" s="89"/>
      <c r="L24" s="89"/>
      <c r="M24" s="11"/>
      <c r="N24" s="11"/>
      <c r="O24" s="42" t="s">
        <v>35</v>
      </c>
      <c r="P24" s="43"/>
      <c r="Q24" s="44" t="e">
        <f>D9/AVERAGE(C21:D21)</f>
        <v>#DIV/0!</v>
      </c>
      <c r="R24" s="44" t="e">
        <f>E9/AVERAGE(D21:E21)</f>
        <v>#DIV/0!</v>
      </c>
      <c r="S24" s="44">
        <f>F9/AVERAGE(E21:F21)</f>
        <v>1.546439784408921E-2</v>
      </c>
      <c r="T24" s="44">
        <f>G9/AVERAGE(F21:G21)</f>
        <v>6.9533963946568328E-2</v>
      </c>
      <c r="U24" s="44">
        <f>H9/AVERAGE(G21:H21)</f>
        <v>8.2896685354728258E-2</v>
      </c>
      <c r="V24" s="18"/>
      <c r="W24" s="18"/>
      <c r="X24" s="18"/>
      <c r="Y24" s="18"/>
    </row>
    <row r="25" spans="1:25" x14ac:dyDescent="0.25">
      <c r="A25" s="6" t="s">
        <v>60</v>
      </c>
      <c r="B25" s="10"/>
      <c r="C25" s="10"/>
      <c r="D25" s="89"/>
      <c r="E25" s="89"/>
      <c r="F25" s="89">
        <v>704.37</v>
      </c>
      <c r="G25" s="89">
        <v>2595.11</v>
      </c>
      <c r="H25" s="89">
        <v>5600.64</v>
      </c>
      <c r="I25" s="89"/>
      <c r="J25" s="89"/>
      <c r="K25" s="89"/>
      <c r="L25" s="89"/>
      <c r="M25" s="11"/>
      <c r="N25" s="11"/>
      <c r="O25" s="42" t="s">
        <v>36</v>
      </c>
      <c r="P25" s="43"/>
      <c r="Q25" s="48" t="e">
        <f>Q23-Q24</f>
        <v>#DIV/0!</v>
      </c>
      <c r="R25" s="48" t="e">
        <f>R23-R24</f>
        <v>#DIV/0!</v>
      </c>
      <c r="S25" s="48">
        <f>S23-S24</f>
        <v>4.9965259315433164E-2</v>
      </c>
      <c r="T25" s="48">
        <f>T23-T24</f>
        <v>7.156751508689202E-2</v>
      </c>
      <c r="U25" s="48">
        <f>U23-U24</f>
        <v>6.9834548305986191E-2</v>
      </c>
      <c r="V25" s="18"/>
      <c r="W25" s="18"/>
      <c r="X25" s="18"/>
      <c r="Y25" s="18"/>
    </row>
  </sheetData>
  <mergeCells count="1">
    <mergeCell ref="J1:L1"/>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A25"/>
  <sheetViews>
    <sheetView workbookViewId="0">
      <selection activeCell="W16" sqref="W16"/>
    </sheetView>
  </sheetViews>
  <sheetFormatPr defaultRowHeight="15" x14ac:dyDescent="0.25"/>
  <cols>
    <col min="1" max="1" width="28.140625" customWidth="1"/>
    <col min="4" max="4" width="11.28515625" customWidth="1"/>
    <col min="5" max="5" width="11.42578125" customWidth="1"/>
    <col min="6" max="6" width="11.7109375" customWidth="1"/>
    <col min="7" max="9" width="10.42578125" customWidth="1"/>
    <col min="13" max="13" width="10.140625" bestFit="1" customWidth="1"/>
    <col min="16" max="16" width="28.7109375" customWidth="1"/>
    <col min="19" max="19" width="12.7109375" customWidth="1"/>
    <col min="21" max="21" width="10.85546875" customWidth="1"/>
    <col min="22" max="22" width="13.85546875" customWidth="1"/>
    <col min="23" max="23" width="16.7109375" customWidth="1"/>
  </cols>
  <sheetData>
    <row r="1" spans="1:27" x14ac:dyDescent="0.25">
      <c r="K1" s="772" t="s">
        <v>119</v>
      </c>
      <c r="L1" s="772"/>
      <c r="M1" s="772"/>
    </row>
    <row r="2" spans="1:27" ht="45" x14ac:dyDescent="0.25">
      <c r="A2" s="3" t="s">
        <v>4</v>
      </c>
      <c r="B2" s="1" t="s">
        <v>43</v>
      </c>
      <c r="C2" s="1" t="s">
        <v>41</v>
      </c>
      <c r="D2" s="2" t="s">
        <v>44</v>
      </c>
      <c r="E2" s="2" t="s">
        <v>0</v>
      </c>
      <c r="F2" s="3" t="s">
        <v>45</v>
      </c>
      <c r="G2" s="3" t="s">
        <v>42</v>
      </c>
      <c r="H2" s="3" t="s">
        <v>366</v>
      </c>
      <c r="I2" s="3" t="s">
        <v>367</v>
      </c>
      <c r="J2" s="3" t="s">
        <v>37</v>
      </c>
      <c r="K2" s="3" t="s">
        <v>38</v>
      </c>
      <c r="L2" s="3" t="s">
        <v>39</v>
      </c>
      <c r="M2" s="3" t="s">
        <v>40</v>
      </c>
      <c r="N2" s="11"/>
      <c r="O2" s="11"/>
      <c r="P2" s="40" t="s">
        <v>6</v>
      </c>
      <c r="Q2" s="41" t="s">
        <v>7</v>
      </c>
      <c r="R2" s="41" t="s">
        <v>8</v>
      </c>
      <c r="S2" s="41" t="s">
        <v>9</v>
      </c>
      <c r="T2" s="40" t="s">
        <v>10</v>
      </c>
      <c r="U2" s="41" t="s">
        <v>90</v>
      </c>
      <c r="V2" s="41" t="s">
        <v>492</v>
      </c>
      <c r="W2" s="41" t="s">
        <v>623</v>
      </c>
      <c r="X2" s="40" t="s">
        <v>37</v>
      </c>
      <c r="Y2" s="41" t="s">
        <v>38</v>
      </c>
      <c r="Z2" s="41" t="s">
        <v>39</v>
      </c>
      <c r="AA2" s="41" t="s">
        <v>40</v>
      </c>
    </row>
    <row r="3" spans="1:27" x14ac:dyDescent="0.25">
      <c r="A3" s="3"/>
      <c r="B3" s="1" t="s">
        <v>46</v>
      </c>
      <c r="C3" s="4" t="s">
        <v>47</v>
      </c>
      <c r="D3" s="5" t="s">
        <v>47</v>
      </c>
      <c r="E3" s="5" t="s">
        <v>47</v>
      </c>
      <c r="F3" s="1" t="s">
        <v>46</v>
      </c>
      <c r="G3" s="1" t="s">
        <v>46</v>
      </c>
      <c r="H3" s="1" t="s">
        <v>46</v>
      </c>
      <c r="I3" s="1" t="s">
        <v>46</v>
      </c>
      <c r="J3" s="1" t="s">
        <v>96</v>
      </c>
      <c r="K3" s="1"/>
      <c r="L3" s="1"/>
      <c r="M3" s="1"/>
      <c r="N3" s="11"/>
      <c r="O3" s="11"/>
      <c r="P3" s="42" t="s">
        <v>11</v>
      </c>
      <c r="Q3" s="43"/>
      <c r="R3" s="44" t="e">
        <f t="shared" ref="R3:W3" si="0">D10/AVERAGE(C23:D23)</f>
        <v>#DIV/0!</v>
      </c>
      <c r="S3" s="44" t="e">
        <f t="shared" si="0"/>
        <v>#DIV/0!</v>
      </c>
      <c r="T3" s="44">
        <f t="shared" si="0"/>
        <v>6.6403726771758487E-2</v>
      </c>
      <c r="U3" s="44">
        <f t="shared" si="0"/>
        <v>9.2861313093784842E-2</v>
      </c>
      <c r="V3" s="44">
        <f t="shared" si="0"/>
        <v>0.10801076801513725</v>
      </c>
      <c r="W3" s="44">
        <f t="shared" si="0"/>
        <v>9.5289956635799727E-2</v>
      </c>
      <c r="X3" s="18"/>
      <c r="Y3" s="18"/>
      <c r="Z3" s="18"/>
      <c r="AA3" s="18"/>
    </row>
    <row r="4" spans="1:27" x14ac:dyDescent="0.25">
      <c r="A4" s="3"/>
      <c r="B4" s="1" t="s">
        <v>48</v>
      </c>
      <c r="C4" s="1" t="s">
        <v>48</v>
      </c>
      <c r="D4" s="5" t="s">
        <v>49</v>
      </c>
      <c r="E4" s="5" t="s">
        <v>49</v>
      </c>
      <c r="F4" s="5" t="s">
        <v>49</v>
      </c>
      <c r="G4" s="5" t="s">
        <v>49</v>
      </c>
      <c r="H4" s="5" t="s">
        <v>49</v>
      </c>
      <c r="I4" s="5" t="s">
        <v>49</v>
      </c>
      <c r="J4" s="5"/>
      <c r="K4" s="5"/>
      <c r="L4" s="5"/>
      <c r="M4" s="5"/>
      <c r="N4" s="11"/>
      <c r="O4" s="11"/>
      <c r="P4" s="40" t="s">
        <v>12</v>
      </c>
      <c r="Q4" s="45"/>
      <c r="R4" s="45"/>
      <c r="S4" s="45"/>
      <c r="T4" s="46" t="s">
        <v>5</v>
      </c>
      <c r="U4" s="18"/>
      <c r="V4" s="18"/>
      <c r="W4" s="18"/>
      <c r="X4" s="18"/>
      <c r="Y4" s="18"/>
      <c r="Z4" s="18"/>
      <c r="AA4" s="18"/>
    </row>
    <row r="5" spans="1:27" x14ac:dyDescent="0.25">
      <c r="A5" s="6" t="s">
        <v>23</v>
      </c>
      <c r="B5" s="7"/>
      <c r="C5" s="8"/>
      <c r="F5" s="85">
        <v>9056.92</v>
      </c>
      <c r="G5" s="90">
        <v>10723.23</v>
      </c>
      <c r="H5" s="90">
        <v>15944.82</v>
      </c>
      <c r="I5" s="90">
        <v>24145.97</v>
      </c>
      <c r="J5" s="85">
        <v>3081.04</v>
      </c>
      <c r="K5" s="85">
        <v>3569.03</v>
      </c>
      <c r="L5" s="85">
        <v>3901.27</v>
      </c>
      <c r="M5" s="85">
        <v>5376.64</v>
      </c>
      <c r="N5" s="11"/>
      <c r="O5" s="11"/>
      <c r="P5" s="42" t="s">
        <v>13</v>
      </c>
      <c r="Q5" s="46"/>
      <c r="R5" s="47" t="e">
        <f t="shared" ref="R5:W5" si="1">D21/D20</f>
        <v>#DIV/0!</v>
      </c>
      <c r="S5" s="47" t="e">
        <f t="shared" si="1"/>
        <v>#DIV/0!</v>
      </c>
      <c r="T5" s="47">
        <f t="shared" si="1"/>
        <v>1.3050006207501588</v>
      </c>
      <c r="U5" s="47">
        <f t="shared" si="1"/>
        <v>0.60042580991017613</v>
      </c>
      <c r="V5" s="47">
        <f t="shared" si="1"/>
        <v>1.2067373898487905</v>
      </c>
      <c r="W5" s="47">
        <f t="shared" si="1"/>
        <v>1.4051877613097286</v>
      </c>
      <c r="X5" s="18"/>
      <c r="Y5" s="18"/>
      <c r="Z5" s="18"/>
      <c r="AA5" s="18"/>
    </row>
    <row r="6" spans="1:27" x14ac:dyDescent="0.25">
      <c r="A6" s="6" t="s">
        <v>50</v>
      </c>
      <c r="B6" s="7"/>
      <c r="C6" s="8"/>
      <c r="F6" s="85">
        <v>7266.15</v>
      </c>
      <c r="G6" s="85">
        <v>9078.94</v>
      </c>
      <c r="H6" s="85">
        <v>13367.55</v>
      </c>
      <c r="I6" s="85">
        <v>19178.16</v>
      </c>
      <c r="J6" s="85">
        <v>2874.24</v>
      </c>
      <c r="K6" s="85">
        <v>3286.9</v>
      </c>
      <c r="L6" s="85">
        <v>3629.35</v>
      </c>
      <c r="M6" s="85">
        <v>4069.61</v>
      </c>
      <c r="N6" s="11"/>
      <c r="O6" s="11"/>
      <c r="P6" s="42" t="s">
        <v>14</v>
      </c>
      <c r="Q6" s="43"/>
      <c r="R6" s="43"/>
      <c r="S6" s="43"/>
      <c r="T6" s="43">
        <v>0.66690000000000005</v>
      </c>
      <c r="U6" s="48">
        <v>0.99860000000000004</v>
      </c>
      <c r="V6" s="48">
        <v>0.7409</v>
      </c>
      <c r="W6" s="48">
        <v>0.63009999999999999</v>
      </c>
      <c r="X6" s="48"/>
      <c r="Y6" s="18"/>
      <c r="Z6" s="48">
        <v>0.75070000000000003</v>
      </c>
      <c r="AA6" s="48">
        <v>0.7409</v>
      </c>
    </row>
    <row r="7" spans="1:27" x14ac:dyDescent="0.25">
      <c r="A7" s="6" t="s">
        <v>51</v>
      </c>
      <c r="B7" s="7"/>
      <c r="C7" s="8"/>
      <c r="D7" s="87"/>
      <c r="E7" s="85"/>
      <c r="F7" s="85">
        <v>0</v>
      </c>
      <c r="G7" s="85">
        <v>0</v>
      </c>
      <c r="H7" s="85"/>
      <c r="I7" s="85"/>
      <c r="J7" s="85"/>
      <c r="K7" s="85"/>
      <c r="L7" s="85"/>
      <c r="M7" s="85"/>
      <c r="N7" s="11"/>
      <c r="O7" s="11"/>
      <c r="P7" s="42" t="s">
        <v>15</v>
      </c>
      <c r="Q7" s="43"/>
      <c r="R7" s="44" t="e">
        <f t="shared" ref="R7:W7" si="2">D20/D23</f>
        <v>#DIV/0!</v>
      </c>
      <c r="S7" s="44" t="e">
        <f t="shared" si="2"/>
        <v>#DIV/0!</v>
      </c>
      <c r="T7" s="44">
        <f t="shared" si="2"/>
        <v>0.52569490506795846</v>
      </c>
      <c r="U7" s="44">
        <f t="shared" si="2"/>
        <v>0.66513704653083272</v>
      </c>
      <c r="V7" s="44">
        <f t="shared" si="2"/>
        <v>0.48175821594970097</v>
      </c>
      <c r="W7" s="44">
        <f t="shared" si="2"/>
        <v>0.42837629068292871</v>
      </c>
      <c r="X7" s="18"/>
      <c r="Y7" s="18"/>
      <c r="Z7" s="18"/>
      <c r="AA7" s="18"/>
    </row>
    <row r="8" spans="1:27" x14ac:dyDescent="0.25">
      <c r="A8" s="6" t="s">
        <v>52</v>
      </c>
      <c r="B8" s="7"/>
      <c r="C8" s="8"/>
      <c r="D8" s="85">
        <f t="shared" ref="D8:M8" si="3">D5-D6-D7</f>
        <v>0</v>
      </c>
      <c r="E8" s="85">
        <f t="shared" si="3"/>
        <v>0</v>
      </c>
      <c r="F8" s="85">
        <f t="shared" si="3"/>
        <v>1790.7700000000004</v>
      </c>
      <c r="G8" s="85">
        <f t="shared" si="3"/>
        <v>1644.2899999999991</v>
      </c>
      <c r="H8" s="85">
        <f t="shared" si="3"/>
        <v>2577.2700000000004</v>
      </c>
      <c r="I8" s="85">
        <f t="shared" si="3"/>
        <v>4967.8100000000013</v>
      </c>
      <c r="J8" s="85">
        <f t="shared" si="3"/>
        <v>206.80000000000018</v>
      </c>
      <c r="K8" s="85">
        <f t="shared" si="3"/>
        <v>282.13000000000011</v>
      </c>
      <c r="L8" s="85">
        <f t="shared" si="3"/>
        <v>271.92000000000007</v>
      </c>
      <c r="M8" s="85">
        <f t="shared" si="3"/>
        <v>1307.0300000000002</v>
      </c>
      <c r="N8" s="11"/>
      <c r="O8" s="11"/>
      <c r="P8" s="40" t="s">
        <v>16</v>
      </c>
      <c r="Q8" s="45"/>
      <c r="R8" s="45"/>
      <c r="S8" s="45"/>
      <c r="T8" s="46" t="s">
        <v>5</v>
      </c>
      <c r="U8" s="18"/>
      <c r="V8" s="18"/>
      <c r="W8" s="18"/>
      <c r="X8" s="18"/>
      <c r="Y8" s="18"/>
      <c r="Z8" s="18"/>
      <c r="AA8" s="18"/>
    </row>
    <row r="9" spans="1:27" ht="33.75" x14ac:dyDescent="0.25">
      <c r="A9" s="6" t="s">
        <v>24</v>
      </c>
      <c r="B9" s="7"/>
      <c r="C9" s="7"/>
      <c r="D9" s="88"/>
      <c r="E9" s="85"/>
      <c r="F9" s="85">
        <v>3898.4</v>
      </c>
      <c r="G9" s="85">
        <v>3567.7</v>
      </c>
      <c r="H9" s="85">
        <v>4223.3599999999997</v>
      </c>
      <c r="I9" s="85">
        <v>7181.71</v>
      </c>
      <c r="J9" s="85">
        <v>749.28</v>
      </c>
      <c r="K9" s="85">
        <v>964.14</v>
      </c>
      <c r="L9" s="85">
        <v>1140.5</v>
      </c>
      <c r="M9" s="85">
        <v>1369.44</v>
      </c>
      <c r="N9" s="11"/>
      <c r="O9" s="11"/>
      <c r="P9" s="49" t="s">
        <v>93</v>
      </c>
      <c r="Q9" s="45"/>
      <c r="R9" s="93" t="e">
        <f t="shared" ref="R9:W9" si="4">D14/(D11-D9)</f>
        <v>#DIV/0!</v>
      </c>
      <c r="S9" s="93" t="e">
        <f t="shared" si="4"/>
        <v>#DIV/0!</v>
      </c>
      <c r="T9" s="93">
        <f t="shared" si="4"/>
        <v>0.68184479269247766</v>
      </c>
      <c r="U9" s="93">
        <f t="shared" si="4"/>
        <v>0.67620008580775981</v>
      </c>
      <c r="V9" s="93">
        <f t="shared" si="4"/>
        <v>0.62756943247684172</v>
      </c>
      <c r="W9" s="93">
        <f t="shared" si="4"/>
        <v>0.58222227200007537</v>
      </c>
      <c r="X9" s="18"/>
      <c r="Y9" s="18"/>
      <c r="Z9" s="18"/>
      <c r="AA9" s="18"/>
    </row>
    <row r="10" spans="1:27" ht="22.5" x14ac:dyDescent="0.25">
      <c r="A10" s="6" t="s">
        <v>53</v>
      </c>
      <c r="B10" s="10">
        <f t="shared" ref="B10:J10" si="5">B6-B9</f>
        <v>0</v>
      </c>
      <c r="C10" s="10">
        <f t="shared" si="5"/>
        <v>0</v>
      </c>
      <c r="D10" s="89">
        <f t="shared" si="5"/>
        <v>0</v>
      </c>
      <c r="E10" s="89">
        <f t="shared" si="5"/>
        <v>0</v>
      </c>
      <c r="F10" s="89">
        <f t="shared" si="5"/>
        <v>3367.7499999999995</v>
      </c>
      <c r="G10" s="89">
        <f t="shared" si="5"/>
        <v>5511.2400000000007</v>
      </c>
      <c r="H10" s="89">
        <f>H6-H9</f>
        <v>9144.1899999999987</v>
      </c>
      <c r="I10" s="89">
        <f>I6-I9</f>
        <v>11996.45</v>
      </c>
      <c r="J10" s="89">
        <f t="shared" si="5"/>
        <v>2124.96</v>
      </c>
      <c r="K10" s="89">
        <f>K6-K9</f>
        <v>2322.7600000000002</v>
      </c>
      <c r="L10" s="89">
        <f>L6-L9</f>
        <v>2488.85</v>
      </c>
      <c r="M10" s="89">
        <f>M6-M9</f>
        <v>2700.17</v>
      </c>
      <c r="N10" s="11"/>
      <c r="O10" s="11"/>
      <c r="P10" s="42" t="s">
        <v>92</v>
      </c>
      <c r="Q10" s="43"/>
      <c r="R10" s="44" t="e">
        <f t="shared" ref="R10:W10" si="6">D14/D11</f>
        <v>#DIV/0!</v>
      </c>
      <c r="S10" s="44" t="e">
        <f t="shared" si="6"/>
        <v>#DIV/0!</v>
      </c>
      <c r="T10" s="44">
        <f t="shared" si="6"/>
        <v>0.3883560857333398</v>
      </c>
      <c r="U10" s="44">
        <f t="shared" si="6"/>
        <v>0.45122318555136837</v>
      </c>
      <c r="V10" s="44">
        <f t="shared" si="6"/>
        <v>0.46134293143478577</v>
      </c>
      <c r="W10" s="44">
        <f t="shared" si="6"/>
        <v>0.40905252512116924</v>
      </c>
      <c r="X10" s="18"/>
      <c r="Y10" s="18"/>
      <c r="Z10" s="18"/>
      <c r="AA10" s="18"/>
    </row>
    <row r="11" spans="1:27" ht="22.5" x14ac:dyDescent="0.25">
      <c r="A11" s="6" t="s">
        <v>1</v>
      </c>
      <c r="B11" s="10">
        <f>B5-B9</f>
        <v>0</v>
      </c>
      <c r="C11" s="10">
        <f t="shared" ref="C11:J11" si="7">SUM(C6:C8)</f>
        <v>0</v>
      </c>
      <c r="D11" s="89">
        <f t="shared" si="7"/>
        <v>0</v>
      </c>
      <c r="E11" s="89">
        <f t="shared" si="7"/>
        <v>0</v>
      </c>
      <c r="F11" s="89">
        <f>SUM(F6:F8)</f>
        <v>9056.92</v>
      </c>
      <c r="G11" s="89">
        <f>SUM(G6:G8)</f>
        <v>10723.23</v>
      </c>
      <c r="H11" s="89">
        <f>SUM(H6:H8)</f>
        <v>15944.82</v>
      </c>
      <c r="I11" s="89">
        <f>SUM(I6:I8)</f>
        <v>24145.97</v>
      </c>
      <c r="J11" s="89">
        <f t="shared" si="7"/>
        <v>3081.04</v>
      </c>
      <c r="K11" s="89">
        <f>SUM(K6:K8)</f>
        <v>3569.03</v>
      </c>
      <c r="L11" s="89">
        <f>SUM(L6:L8)</f>
        <v>3901.27</v>
      </c>
      <c r="M11" s="89">
        <f>SUM(M6:M8)</f>
        <v>5376.64</v>
      </c>
      <c r="N11" s="11"/>
      <c r="O11" s="11"/>
      <c r="P11" s="42" t="s">
        <v>17</v>
      </c>
      <c r="Q11" s="43"/>
      <c r="R11" s="44" t="e">
        <f t="shared" ref="R11:W11" si="8">D14/AVERAGE(C22:D22)</f>
        <v>#DIV/0!</v>
      </c>
      <c r="S11" s="44" t="e">
        <f t="shared" si="8"/>
        <v>#DIV/0!</v>
      </c>
      <c r="T11" s="44">
        <f t="shared" si="8"/>
        <v>5.2409421420883874E-2</v>
      </c>
      <c r="U11" s="44">
        <f t="shared" si="8"/>
        <v>6.7217839885907057E-2</v>
      </c>
      <c r="V11" s="44">
        <f t="shared" si="8"/>
        <v>7.8401945502876477E-2</v>
      </c>
      <c r="W11" s="44">
        <f t="shared" si="8"/>
        <v>7.3047185504175757E-2</v>
      </c>
      <c r="X11" s="18"/>
      <c r="Y11" s="18"/>
      <c r="Z11" s="18"/>
      <c r="AA11" s="18"/>
    </row>
    <row r="12" spans="1:27" x14ac:dyDescent="0.25">
      <c r="A12" s="6" t="s">
        <v>91</v>
      </c>
      <c r="B12" s="10"/>
      <c r="C12" s="10"/>
      <c r="D12" s="89"/>
      <c r="E12" s="89"/>
      <c r="F12" s="89">
        <v>39.880000000000003</v>
      </c>
      <c r="G12" s="89">
        <v>182.85</v>
      </c>
      <c r="H12" s="89">
        <v>183.54</v>
      </c>
      <c r="I12" s="89">
        <v>124.23</v>
      </c>
      <c r="J12" s="89">
        <v>46.27</v>
      </c>
      <c r="K12" s="89">
        <v>25.37</v>
      </c>
      <c r="L12" s="89">
        <v>34.72</v>
      </c>
      <c r="M12" s="89">
        <v>77.180000000000007</v>
      </c>
      <c r="N12" s="11"/>
      <c r="O12" s="11"/>
      <c r="P12" s="40" t="s">
        <v>18</v>
      </c>
      <c r="Q12" s="45"/>
      <c r="R12" s="45"/>
      <c r="S12" s="45"/>
      <c r="T12" s="46" t="s">
        <v>5</v>
      </c>
      <c r="U12" s="18"/>
      <c r="V12" s="18"/>
      <c r="W12" s="18"/>
      <c r="X12" s="18"/>
      <c r="Y12" s="18"/>
      <c r="Z12" s="53"/>
      <c r="AA12" s="54"/>
    </row>
    <row r="13" spans="1:27" x14ac:dyDescent="0.25">
      <c r="A13" s="6" t="s">
        <v>25</v>
      </c>
      <c r="B13" s="7"/>
      <c r="C13" s="7"/>
      <c r="D13" s="88">
        <f t="shared" ref="D13:M13" si="9">D11+D12</f>
        <v>0</v>
      </c>
      <c r="E13" s="88">
        <f t="shared" si="9"/>
        <v>0</v>
      </c>
      <c r="F13" s="88">
        <f t="shared" si="9"/>
        <v>9096.7999999999993</v>
      </c>
      <c r="G13" s="88">
        <f t="shared" si="9"/>
        <v>10906.08</v>
      </c>
      <c r="H13" s="88">
        <f t="shared" si="9"/>
        <v>16128.36</v>
      </c>
      <c r="I13" s="88">
        <f t="shared" si="9"/>
        <v>24270.2</v>
      </c>
      <c r="J13" s="88">
        <f t="shared" si="9"/>
        <v>3127.31</v>
      </c>
      <c r="K13" s="88">
        <f t="shared" si="9"/>
        <v>3594.4</v>
      </c>
      <c r="L13" s="88">
        <f t="shared" si="9"/>
        <v>3935.99</v>
      </c>
      <c r="M13" s="88">
        <f t="shared" si="9"/>
        <v>5453.8200000000006</v>
      </c>
      <c r="N13" s="11"/>
      <c r="O13" s="11"/>
      <c r="P13" s="42" t="s">
        <v>19</v>
      </c>
      <c r="Q13" s="43"/>
      <c r="R13" s="44" t="e">
        <f t="shared" ref="R13:W13" si="10">D24/D23</f>
        <v>#DIV/0!</v>
      </c>
      <c r="S13" s="44" t="e">
        <f t="shared" si="10"/>
        <v>#DIV/0!</v>
      </c>
      <c r="T13" s="44">
        <f t="shared" si="10"/>
        <v>6.7433967948753344E-3</v>
      </c>
      <c r="U13" s="44">
        <f t="shared" si="10"/>
        <v>8.2963112893673936E-3</v>
      </c>
      <c r="V13" s="44">
        <f t="shared" si="10"/>
        <v>4.1050761338669271E-3</v>
      </c>
      <c r="W13" s="44">
        <f t="shared" si="10"/>
        <v>0</v>
      </c>
      <c r="X13" s="48"/>
      <c r="Y13" s="18"/>
      <c r="Z13" s="48">
        <v>5.7999999999999996E-3</v>
      </c>
      <c r="AA13" s="48">
        <v>4.1000000000000003E-3</v>
      </c>
    </row>
    <row r="14" spans="1:27" x14ac:dyDescent="0.25">
      <c r="A14" s="6" t="s">
        <v>26</v>
      </c>
      <c r="B14" s="7"/>
      <c r="C14" s="7"/>
      <c r="D14" s="85"/>
      <c r="E14" s="85"/>
      <c r="F14" s="85">
        <f>2536.25+237.15+743.91</f>
        <v>3517.31</v>
      </c>
      <c r="G14" s="85">
        <f>3518.19+264.27+1056.11</f>
        <v>4838.57</v>
      </c>
      <c r="H14" s="85">
        <f>5194.76+332.92+1828.35</f>
        <v>7356.0300000000007</v>
      </c>
      <c r="I14" s="85">
        <f>7141.61+358.84+2376.52</f>
        <v>9876.9699999999993</v>
      </c>
      <c r="J14" s="85">
        <f>1122.62+72.25+323.43</f>
        <v>1518.3</v>
      </c>
      <c r="K14" s="85">
        <f>1241.71+86.19+425.83</f>
        <v>1753.73</v>
      </c>
      <c r="L14" s="85">
        <f>1312.77+82.24+470.02</f>
        <v>1865.03</v>
      </c>
      <c r="M14" s="85">
        <f>1517.66+92.24+592.23</f>
        <v>2202.13</v>
      </c>
      <c r="N14" s="11"/>
      <c r="O14" s="11"/>
      <c r="P14" s="42" t="s">
        <v>20</v>
      </c>
      <c r="Q14" s="43"/>
      <c r="R14" s="44" t="e">
        <f t="shared" ref="R14:W14" si="11">D25/D23</f>
        <v>#DIV/0!</v>
      </c>
      <c r="S14" s="44" t="e">
        <f t="shared" si="11"/>
        <v>#DIV/0!</v>
      </c>
      <c r="T14" s="44">
        <f t="shared" si="11"/>
        <v>4.3378575873467065E-3</v>
      </c>
      <c r="U14" s="44">
        <f t="shared" si="11"/>
        <v>5.3543569314356944E-3</v>
      </c>
      <c r="V14" s="44">
        <f t="shared" si="11"/>
        <v>2.6643522984232462E-3</v>
      </c>
      <c r="W14" s="44">
        <f t="shared" si="11"/>
        <v>0</v>
      </c>
      <c r="X14" s="48"/>
      <c r="Y14" s="18"/>
      <c r="Z14" s="48">
        <v>3.7000000000000002E-3</v>
      </c>
      <c r="AA14" s="48">
        <v>2.7000000000000001E-3</v>
      </c>
    </row>
    <row r="15" spans="1:27" x14ac:dyDescent="0.25">
      <c r="A15" s="6" t="s">
        <v>54</v>
      </c>
      <c r="B15" s="10"/>
      <c r="C15" s="10"/>
      <c r="D15" s="89">
        <f t="shared" ref="D15:K15" si="12">D11-D14</f>
        <v>0</v>
      </c>
      <c r="E15" s="89">
        <f t="shared" si="12"/>
        <v>0</v>
      </c>
      <c r="F15" s="89">
        <f t="shared" si="12"/>
        <v>5539.6100000000006</v>
      </c>
      <c r="G15" s="89">
        <f t="shared" si="12"/>
        <v>5884.66</v>
      </c>
      <c r="H15" s="89">
        <f>H11-H14</f>
        <v>8588.7899999999991</v>
      </c>
      <c r="I15" s="89">
        <f>I11-I14</f>
        <v>14269.000000000002</v>
      </c>
      <c r="J15" s="89">
        <f t="shared" si="12"/>
        <v>1562.74</v>
      </c>
      <c r="K15" s="89">
        <f t="shared" si="12"/>
        <v>1815.3000000000002</v>
      </c>
      <c r="L15" s="89">
        <f>L11-L14</f>
        <v>2036.24</v>
      </c>
      <c r="M15" s="89">
        <f>M11-M14</f>
        <v>3174.51</v>
      </c>
      <c r="N15" s="11"/>
      <c r="O15" s="11"/>
      <c r="P15" s="42" t="s">
        <v>21</v>
      </c>
      <c r="Q15" s="43"/>
      <c r="R15" s="44" t="e">
        <f t="shared" ref="R15:X15" si="13">(R13-R14)/R13</f>
        <v>#DIV/0!</v>
      </c>
      <c r="S15" s="44" t="e">
        <f t="shared" si="13"/>
        <v>#DIV/0!</v>
      </c>
      <c r="T15" s="44">
        <f t="shared" si="13"/>
        <v>0.35672514619883039</v>
      </c>
      <c r="U15" s="44">
        <f t="shared" si="13"/>
        <v>0.35460992907801409</v>
      </c>
      <c r="V15" s="44">
        <f t="shared" si="13"/>
        <v>0.35096153846153838</v>
      </c>
      <c r="W15" s="44" t="e">
        <f t="shared" ref="W15" si="14">(W13-W14)/W13</f>
        <v>#DIV/0!</v>
      </c>
      <c r="X15" s="44" t="e">
        <f t="shared" si="13"/>
        <v>#DIV/0!</v>
      </c>
      <c r="Y15" s="18"/>
      <c r="Z15" s="18"/>
      <c r="AA15" s="18"/>
    </row>
    <row r="16" spans="1:27" x14ac:dyDescent="0.25">
      <c r="A16" s="6" t="s">
        <v>94</v>
      </c>
      <c r="B16" s="10"/>
      <c r="C16" s="10"/>
      <c r="D16" s="89">
        <f t="shared" ref="D16:K16" si="15">D13-D14-D9</f>
        <v>0</v>
      </c>
      <c r="E16" s="89">
        <f t="shared" si="15"/>
        <v>0</v>
      </c>
      <c r="F16" s="89">
        <f t="shared" si="15"/>
        <v>1681.0899999999997</v>
      </c>
      <c r="G16" s="89">
        <f t="shared" si="15"/>
        <v>2499.8100000000004</v>
      </c>
      <c r="H16" s="89">
        <f>H13-H14-H9</f>
        <v>4548.97</v>
      </c>
      <c r="I16" s="89">
        <f>I13-I14-I9</f>
        <v>7211.5200000000013</v>
      </c>
      <c r="J16" s="89">
        <f t="shared" si="15"/>
        <v>859.73</v>
      </c>
      <c r="K16" s="89">
        <f t="shared" si="15"/>
        <v>876.53000000000009</v>
      </c>
      <c r="L16" s="89">
        <f>L13-L14-L9</f>
        <v>930.46</v>
      </c>
      <c r="M16" s="89">
        <f>M13-M14-M9</f>
        <v>1882.2500000000005</v>
      </c>
      <c r="N16" s="11"/>
      <c r="O16" s="11"/>
      <c r="P16" s="42" t="s">
        <v>22</v>
      </c>
      <c r="Q16" s="43"/>
      <c r="R16" s="44" t="e">
        <f t="shared" ref="R16:W16" si="16">D17/AVERAGE(C23:D23)</f>
        <v>#DIV/0!</v>
      </c>
      <c r="S16" s="44" t="e">
        <f t="shared" si="16"/>
        <v>#DIV/0!</v>
      </c>
      <c r="T16" s="44">
        <f t="shared" si="16"/>
        <v>4.4179107773677411E-3</v>
      </c>
      <c r="U16" s="44">
        <f t="shared" si="16"/>
        <v>1.2702793553066893E-3</v>
      </c>
      <c r="V16" s="44">
        <f t="shared" si="16"/>
        <v>4.1282785485964829E-4</v>
      </c>
      <c r="W16" s="44">
        <f t="shared" si="16"/>
        <v>3.2683006687283449E-3</v>
      </c>
      <c r="X16" s="18"/>
      <c r="Y16" s="18"/>
      <c r="Z16" s="18"/>
      <c r="AA16" s="18"/>
    </row>
    <row r="17" spans="1:27" x14ac:dyDescent="0.25">
      <c r="A17" s="6" t="s">
        <v>27</v>
      </c>
      <c r="B17" s="7"/>
      <c r="C17" s="7"/>
      <c r="D17" s="88"/>
      <c r="E17" s="85"/>
      <c r="F17" s="85">
        <v>224.06</v>
      </c>
      <c r="G17" s="85">
        <v>75.39</v>
      </c>
      <c r="H17" s="85">
        <v>34.950000000000003</v>
      </c>
      <c r="I17" s="85">
        <v>411.46</v>
      </c>
      <c r="J17" s="85">
        <v>14.15</v>
      </c>
      <c r="K17" s="85">
        <v>-27.53</v>
      </c>
      <c r="L17" s="85">
        <v>11.71</v>
      </c>
      <c r="M17" s="85">
        <v>36.619999999999997</v>
      </c>
      <c r="N17" s="11"/>
      <c r="O17" s="11"/>
      <c r="P17" s="18"/>
      <c r="Q17" s="18"/>
      <c r="R17" s="18"/>
      <c r="S17" s="18"/>
      <c r="T17" s="18"/>
      <c r="U17" s="18"/>
      <c r="V17" s="18"/>
      <c r="W17" s="18"/>
      <c r="X17" s="18"/>
      <c r="Y17" s="18"/>
      <c r="Z17" s="18"/>
      <c r="AA17" s="18"/>
    </row>
    <row r="18" spans="1:27" x14ac:dyDescent="0.25">
      <c r="A18" s="6" t="s">
        <v>55</v>
      </c>
      <c r="B18" s="7"/>
      <c r="C18" s="7"/>
      <c r="D18" s="88"/>
      <c r="E18" s="85"/>
      <c r="F18" s="89">
        <v>1130.99</v>
      </c>
      <c r="G18" s="89">
        <v>1865.93</v>
      </c>
      <c r="H18" s="89">
        <v>3459.79</v>
      </c>
      <c r="I18" s="89">
        <v>5273.39</v>
      </c>
      <c r="J18" s="89">
        <v>613.83000000000004</v>
      </c>
      <c r="K18" s="89">
        <v>694.84</v>
      </c>
      <c r="L18" s="89">
        <v>689.38</v>
      </c>
      <c r="M18" s="89">
        <v>1461.78</v>
      </c>
      <c r="N18" s="66"/>
      <c r="O18" s="11"/>
      <c r="P18" s="40" t="s">
        <v>30</v>
      </c>
      <c r="Q18" s="45"/>
      <c r="R18" s="45"/>
      <c r="S18" s="45"/>
      <c r="T18" s="46" t="s">
        <v>5</v>
      </c>
      <c r="U18" s="18"/>
      <c r="V18" s="18"/>
      <c r="W18" s="18"/>
      <c r="X18" s="18"/>
      <c r="Y18" s="18"/>
      <c r="Z18" s="18"/>
      <c r="AA18" s="18"/>
    </row>
    <row r="19" spans="1:27" ht="22.5" x14ac:dyDescent="0.25">
      <c r="A19" s="6" t="s">
        <v>28</v>
      </c>
      <c r="B19" s="7"/>
      <c r="C19" s="7"/>
      <c r="D19" s="88"/>
      <c r="E19" s="85"/>
      <c r="F19" s="85">
        <v>26661.29</v>
      </c>
      <c r="G19" s="85">
        <v>45217.36</v>
      </c>
      <c r="H19" s="85">
        <v>48820.39</v>
      </c>
      <c r="I19" s="85">
        <f>64592.17-142.79</f>
        <v>64449.38</v>
      </c>
      <c r="J19" s="85"/>
      <c r="K19" s="85">
        <v>46549.78</v>
      </c>
      <c r="L19" s="85">
        <v>47276.85</v>
      </c>
      <c r="M19" s="85">
        <v>48820</v>
      </c>
      <c r="N19" s="11"/>
      <c r="O19" s="11"/>
      <c r="P19" s="46" t="s">
        <v>95</v>
      </c>
      <c r="Q19" s="51"/>
      <c r="R19" s="51"/>
      <c r="S19" s="52" t="e">
        <f>E16/AVERAGE(D22:E22)</f>
        <v>#DIV/0!</v>
      </c>
      <c r="T19" s="52">
        <f>F16/AVERAGE(E22:F22)</f>
        <v>2.5048959078509899E-2</v>
      </c>
      <c r="U19" s="52">
        <f>G16/AVERAGE(F22:G22)</f>
        <v>3.47275803233578E-2</v>
      </c>
      <c r="V19" s="52">
        <f>H16/AVERAGE(G22:H22)</f>
        <v>4.8483774268759099E-2</v>
      </c>
      <c r="W19" s="52">
        <f>I16/AVERAGE(H22:I22)</f>
        <v>5.3334295761460621E-2</v>
      </c>
      <c r="X19" s="18"/>
      <c r="Y19" s="18"/>
      <c r="Z19" s="18"/>
      <c r="AA19" s="18"/>
    </row>
    <row r="20" spans="1:27" x14ac:dyDescent="0.25">
      <c r="A20" s="6" t="s">
        <v>56</v>
      </c>
      <c r="B20" s="7"/>
      <c r="C20" s="7"/>
      <c r="D20" s="88">
        <f t="shared" ref="D20:L20" si="17">D19-D71</f>
        <v>0</v>
      </c>
      <c r="E20" s="89">
        <f t="shared" si="17"/>
        <v>0</v>
      </c>
      <c r="F20" s="89">
        <f t="shared" si="17"/>
        <v>26661.29</v>
      </c>
      <c r="G20" s="89">
        <f t="shared" si="17"/>
        <v>45217.36</v>
      </c>
      <c r="H20" s="89">
        <f t="shared" si="17"/>
        <v>48820.39</v>
      </c>
      <c r="I20" s="89">
        <f t="shared" si="17"/>
        <v>64449.38</v>
      </c>
      <c r="J20" s="89">
        <f t="shared" si="17"/>
        <v>0</v>
      </c>
      <c r="K20" s="89">
        <f t="shared" si="17"/>
        <v>46549.78</v>
      </c>
      <c r="L20" s="89">
        <f t="shared" si="17"/>
        <v>47276.85</v>
      </c>
      <c r="M20" s="89">
        <v>48820.39</v>
      </c>
      <c r="N20" s="11"/>
      <c r="O20" s="11"/>
      <c r="P20" s="42" t="s">
        <v>31</v>
      </c>
      <c r="Q20" s="43"/>
      <c r="R20" s="43">
        <v>4.4699999999999997E-2</v>
      </c>
      <c r="S20" s="44" t="e">
        <f>E18/AVERAGE(D22:E22)</f>
        <v>#DIV/0!</v>
      </c>
      <c r="T20" s="44">
        <f>F18/AVERAGE(E22:F22)</f>
        <v>1.685223410299503E-2</v>
      </c>
      <c r="U20" s="44">
        <f>G18/AVERAGE(F22:G22)</f>
        <v>2.5921663627540899E-2</v>
      </c>
      <c r="V20" s="44">
        <f>H18/AVERAGE(G22:H22)</f>
        <v>3.6875089828534817E-2</v>
      </c>
      <c r="W20" s="44">
        <f>I18/AVERAGE(H22:I22)</f>
        <v>3.9000452321497937E-2</v>
      </c>
      <c r="X20" s="48"/>
      <c r="Y20" s="18"/>
      <c r="Z20" s="18"/>
      <c r="AA20" s="18"/>
    </row>
    <row r="21" spans="1:27" x14ac:dyDescent="0.25">
      <c r="A21" s="6" t="s">
        <v>57</v>
      </c>
      <c r="B21" s="9"/>
      <c r="C21" s="9"/>
      <c r="D21" s="85"/>
      <c r="E21" s="85"/>
      <c r="F21" s="85">
        <f>7779.07+27013.93</f>
        <v>34793</v>
      </c>
      <c r="G21" s="85">
        <f>4452.34+22697.33</f>
        <v>27149.670000000002</v>
      </c>
      <c r="H21" s="85">
        <f>5536.01+53377.38</f>
        <v>58913.39</v>
      </c>
      <c r="I21" s="85">
        <f>5210.36+85353.12</f>
        <v>90563.48</v>
      </c>
      <c r="J21" s="85"/>
      <c r="K21" s="85">
        <v>50113</v>
      </c>
      <c r="L21" s="85"/>
      <c r="M21" s="85">
        <f>5536.01+53377.38</f>
        <v>58913.39</v>
      </c>
      <c r="N21" s="11"/>
      <c r="O21" s="11"/>
      <c r="P21" s="42" t="s">
        <v>32</v>
      </c>
      <c r="Q21" s="43"/>
      <c r="R21" s="44" t="e">
        <f t="shared" ref="R21:W21" si="18">D18/AVERAGE(C19:D19)</f>
        <v>#DIV/0!</v>
      </c>
      <c r="S21" s="44" t="e">
        <f t="shared" si="18"/>
        <v>#DIV/0!</v>
      </c>
      <c r="T21" s="44">
        <f t="shared" si="18"/>
        <v>4.2420678069215706E-2</v>
      </c>
      <c r="U21" s="44">
        <f t="shared" si="18"/>
        <v>5.1918893857911916E-2</v>
      </c>
      <c r="V21" s="44">
        <f t="shared" si="18"/>
        <v>7.3583002570776102E-2</v>
      </c>
      <c r="W21" s="44">
        <f t="shared" si="18"/>
        <v>9.3112045694098269E-2</v>
      </c>
      <c r="X21" s="18"/>
      <c r="Y21" s="18"/>
      <c r="Z21" s="18"/>
      <c r="AA21" s="18"/>
    </row>
    <row r="22" spans="1:27" x14ac:dyDescent="0.25">
      <c r="A22" s="6" t="s">
        <v>29</v>
      </c>
      <c r="B22" s="7"/>
      <c r="C22" s="7"/>
      <c r="D22" s="88"/>
      <c r="E22" s="85"/>
      <c r="F22" s="85">
        <v>67112.17</v>
      </c>
      <c r="G22" s="85">
        <v>76854.67</v>
      </c>
      <c r="H22" s="85">
        <v>110794.5</v>
      </c>
      <c r="I22" s="85">
        <v>159632.62</v>
      </c>
      <c r="J22" s="85"/>
      <c r="K22" s="85">
        <v>99554.95</v>
      </c>
      <c r="L22" s="85"/>
      <c r="M22" s="85">
        <v>110794.5</v>
      </c>
      <c r="N22" s="11"/>
      <c r="O22" s="11"/>
      <c r="P22" s="40" t="s">
        <v>33</v>
      </c>
      <c r="Q22" s="45"/>
      <c r="R22" s="45"/>
      <c r="S22" s="45"/>
      <c r="T22" s="46" t="s">
        <v>5</v>
      </c>
      <c r="U22" s="18"/>
      <c r="V22" s="18"/>
      <c r="W22" s="18"/>
      <c r="X22" s="18"/>
      <c r="Y22" s="18"/>
      <c r="Z22" s="18"/>
      <c r="AA22" s="18"/>
    </row>
    <row r="23" spans="1:27" x14ac:dyDescent="0.25">
      <c r="A23" s="6" t="s">
        <v>58</v>
      </c>
      <c r="B23" s="7"/>
      <c r="C23" s="7"/>
      <c r="D23" s="88"/>
      <c r="E23" s="85"/>
      <c r="F23" s="85">
        <v>50716.28</v>
      </c>
      <c r="G23" s="85">
        <v>67982.02</v>
      </c>
      <c r="H23" s="85">
        <v>101337.95</v>
      </c>
      <c r="I23" s="85">
        <v>150450.39000000001</v>
      </c>
      <c r="J23" s="85"/>
      <c r="K23" s="85">
        <v>84567.65</v>
      </c>
      <c r="L23" s="85"/>
      <c r="M23" s="85">
        <v>100791.98</v>
      </c>
      <c r="N23" s="11"/>
      <c r="O23" s="11"/>
      <c r="P23" s="42" t="s">
        <v>34</v>
      </c>
      <c r="Q23" s="43"/>
      <c r="R23" s="44" t="e">
        <f t="shared" ref="R23:W23" si="19">D6/AVERAGE(C23:D23)</f>
        <v>#DIV/0!</v>
      </c>
      <c r="S23" s="44" t="e">
        <f t="shared" si="19"/>
        <v>#DIV/0!</v>
      </c>
      <c r="T23" s="44">
        <f t="shared" si="19"/>
        <v>0.14327056321954212</v>
      </c>
      <c r="U23" s="44">
        <f t="shared" si="19"/>
        <v>0.15297506366982511</v>
      </c>
      <c r="V23" s="44">
        <f t="shared" si="19"/>
        <v>0.15789690962028874</v>
      </c>
      <c r="W23" s="44">
        <f t="shared" si="19"/>
        <v>0.15233556883531618</v>
      </c>
      <c r="X23" s="18"/>
      <c r="Y23" s="18"/>
      <c r="Z23" s="18"/>
      <c r="AA23" s="18"/>
    </row>
    <row r="24" spans="1:27" x14ac:dyDescent="0.25">
      <c r="A24" s="6" t="s">
        <v>59</v>
      </c>
      <c r="B24" s="10"/>
      <c r="C24" s="10"/>
      <c r="D24" s="89"/>
      <c r="E24" s="89"/>
      <c r="F24" s="89">
        <v>342</v>
      </c>
      <c r="G24" s="89">
        <v>564</v>
      </c>
      <c r="H24" s="89">
        <v>416</v>
      </c>
      <c r="I24" s="89"/>
      <c r="J24" s="89"/>
      <c r="K24" s="89"/>
      <c r="L24" s="89"/>
      <c r="M24" s="89"/>
      <c r="N24" s="11"/>
      <c r="O24" s="11"/>
      <c r="P24" s="42" t="s">
        <v>35</v>
      </c>
      <c r="Q24" s="43"/>
      <c r="R24" s="44" t="e">
        <f t="shared" ref="R24:W24" si="20">D9/AVERAGE(C21:D21)</f>
        <v>#DIV/0!</v>
      </c>
      <c r="S24" s="44" t="e">
        <f t="shared" si="20"/>
        <v>#DIV/0!</v>
      </c>
      <c r="T24" s="44">
        <f t="shared" si="20"/>
        <v>0.11204552639898831</v>
      </c>
      <c r="U24" s="44">
        <f t="shared" si="20"/>
        <v>0.11519361370764289</v>
      </c>
      <c r="V24" s="44">
        <f t="shared" si="20"/>
        <v>9.8145708507227133E-2</v>
      </c>
      <c r="W24" s="44">
        <f t="shared" si="20"/>
        <v>9.6091254787446387E-2</v>
      </c>
      <c r="X24" s="18"/>
      <c r="Y24" s="18"/>
      <c r="Z24" s="18"/>
      <c r="AA24" s="18"/>
    </row>
    <row r="25" spans="1:27" x14ac:dyDescent="0.25">
      <c r="A25" s="6" t="s">
        <v>60</v>
      </c>
      <c r="B25" s="10"/>
      <c r="C25" s="10"/>
      <c r="D25" s="89"/>
      <c r="E25" s="89"/>
      <c r="F25" s="89">
        <v>220</v>
      </c>
      <c r="G25" s="89">
        <v>364</v>
      </c>
      <c r="H25" s="89">
        <v>270</v>
      </c>
      <c r="I25" s="89"/>
      <c r="J25" s="89"/>
      <c r="K25" s="89"/>
      <c r="L25" s="89"/>
      <c r="M25" s="89"/>
      <c r="N25" s="11"/>
      <c r="O25" s="11"/>
      <c r="P25" s="42" t="s">
        <v>36</v>
      </c>
      <c r="Q25" s="43"/>
      <c r="R25" s="48" t="e">
        <f t="shared" ref="R25:W25" si="21">R23-R24</f>
        <v>#DIV/0!</v>
      </c>
      <c r="S25" s="48" t="e">
        <f t="shared" si="21"/>
        <v>#DIV/0!</v>
      </c>
      <c r="T25" s="48">
        <f t="shared" si="21"/>
        <v>3.1225036820553817E-2</v>
      </c>
      <c r="U25" s="48">
        <f t="shared" si="21"/>
        <v>3.7781449962182218E-2</v>
      </c>
      <c r="V25" s="48">
        <f t="shared" si="21"/>
        <v>5.9751201113061606E-2</v>
      </c>
      <c r="W25" s="48">
        <f t="shared" si="21"/>
        <v>5.6244314047869795E-2</v>
      </c>
      <c r="X25" s="18"/>
      <c r="Y25" s="18"/>
      <c r="Z25" s="18"/>
      <c r="AA25" s="18"/>
    </row>
  </sheetData>
  <mergeCells count="1">
    <mergeCell ref="K1:M1"/>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A40"/>
  <sheetViews>
    <sheetView workbookViewId="0">
      <selection activeCell="AG6" sqref="AG6"/>
    </sheetView>
  </sheetViews>
  <sheetFormatPr defaultColWidth="9" defaultRowHeight="15" x14ac:dyDescent="0.25"/>
  <cols>
    <col min="1" max="1" width="31.85546875" bestFit="1" customWidth="1"/>
    <col min="2" max="2" width="13.5703125" hidden="1" customWidth="1"/>
    <col min="3" max="3" width="12.5703125" hidden="1" customWidth="1"/>
    <col min="4" max="4" width="16.140625" customWidth="1"/>
    <col min="5" max="5" width="13.85546875" customWidth="1"/>
    <col min="6" max="6" width="13.140625" customWidth="1"/>
    <col min="7" max="7" width="11.42578125" bestFit="1" customWidth="1"/>
    <col min="8" max="9" width="10.5703125" hidden="1" customWidth="1"/>
    <col min="10" max="10" width="10.5703125" customWidth="1"/>
    <col min="11" max="11" width="11.5703125" bestFit="1" customWidth="1"/>
    <col min="12" max="13" width="11.42578125" customWidth="1"/>
    <col min="14" max="14" width="8" bestFit="1" customWidth="1"/>
    <col min="15" max="15" width="28.140625" bestFit="1" customWidth="1"/>
    <col min="16" max="17" width="9.28515625" hidden="1" customWidth="1"/>
    <col min="18" max="18" width="9" hidden="1" customWidth="1"/>
    <col min="19" max="20" width="9.140625" bestFit="1" customWidth="1"/>
    <col min="21" max="21" width="9.140625" customWidth="1"/>
    <col min="22" max="23" width="9.140625" hidden="1" customWidth="1"/>
    <col min="24" max="24" width="9.140625" customWidth="1"/>
    <col min="25" max="25" width="9.5703125" bestFit="1" customWidth="1"/>
    <col min="26" max="27" width="9.140625" bestFit="1" customWidth="1"/>
  </cols>
  <sheetData>
    <row r="1" spans="1:27" x14ac:dyDescent="0.25">
      <c r="G1" s="310"/>
      <c r="I1" s="310"/>
      <c r="J1" s="310"/>
    </row>
    <row r="2" spans="1:27" x14ac:dyDescent="0.25">
      <c r="G2" s="205"/>
    </row>
    <row r="3" spans="1:27" x14ac:dyDescent="0.25">
      <c r="A3" s="801" t="s">
        <v>4</v>
      </c>
      <c r="B3" s="1" t="s">
        <v>41</v>
      </c>
      <c r="C3" s="1" t="s">
        <v>215</v>
      </c>
      <c r="D3" s="1" t="s">
        <v>0</v>
      </c>
      <c r="E3" s="1" t="s">
        <v>216</v>
      </c>
      <c r="F3" s="1" t="s">
        <v>363</v>
      </c>
      <c r="G3" s="1" t="s">
        <v>495</v>
      </c>
      <c r="H3" s="1" t="s">
        <v>495</v>
      </c>
      <c r="I3" s="1" t="s">
        <v>555</v>
      </c>
      <c r="J3" s="1" t="s">
        <v>570</v>
      </c>
      <c r="K3" s="1" t="s">
        <v>556</v>
      </c>
      <c r="L3" s="1" t="s">
        <v>571</v>
      </c>
      <c r="M3" s="1" t="s">
        <v>572</v>
      </c>
      <c r="O3" s="303" t="s">
        <v>557</v>
      </c>
      <c r="P3" s="304" t="str">
        <f t="shared" ref="P3:V5" si="0">B3</f>
        <v>FY18</v>
      </c>
      <c r="Q3" s="304" t="str">
        <f t="shared" si="0"/>
        <v>FY19</v>
      </c>
      <c r="R3" s="304" t="str">
        <f t="shared" si="0"/>
        <v>FY20</v>
      </c>
      <c r="S3" s="304" t="str">
        <f t="shared" si="0"/>
        <v>FY21</v>
      </c>
      <c r="T3" s="304" t="str">
        <f t="shared" si="0"/>
        <v>FY22</v>
      </c>
      <c r="U3" s="304" t="str">
        <f t="shared" si="0"/>
        <v>FY23</v>
      </c>
      <c r="V3" s="304" t="str">
        <f t="shared" si="0"/>
        <v>FY23</v>
      </c>
      <c r="W3" s="1" t="s">
        <v>555</v>
      </c>
      <c r="X3" s="114" t="s">
        <v>570</v>
      </c>
      <c r="Y3" s="304" t="str">
        <f>K3</f>
        <v>FY24</v>
      </c>
      <c r="Z3" s="1" t="s">
        <v>571</v>
      </c>
      <c r="AA3" s="1" t="s">
        <v>572</v>
      </c>
    </row>
    <row r="4" spans="1:27" x14ac:dyDescent="0.25">
      <c r="A4" s="802"/>
      <c r="B4" s="1" t="s">
        <v>46</v>
      </c>
      <c r="C4" s="1" t="s">
        <v>46</v>
      </c>
      <c r="D4" s="4" t="s">
        <v>47</v>
      </c>
      <c r="E4" s="5" t="s">
        <v>47</v>
      </c>
      <c r="F4" s="5" t="s">
        <v>47</v>
      </c>
      <c r="G4" s="5" t="s">
        <v>47</v>
      </c>
      <c r="H4" s="1" t="s">
        <v>371</v>
      </c>
      <c r="I4" s="1" t="s">
        <v>558</v>
      </c>
      <c r="J4" s="1" t="s">
        <v>558</v>
      </c>
      <c r="K4" s="1" t="s">
        <v>371</v>
      </c>
      <c r="L4" s="1" t="s">
        <v>371</v>
      </c>
      <c r="M4" s="1" t="s">
        <v>371</v>
      </c>
      <c r="O4" s="351"/>
      <c r="P4" s="304" t="str">
        <f t="shared" si="0"/>
        <v>Aud</v>
      </c>
      <c r="Q4" s="304" t="str">
        <f t="shared" si="0"/>
        <v>Aud</v>
      </c>
      <c r="R4" s="304" t="str">
        <f t="shared" si="0"/>
        <v>Aud.</v>
      </c>
      <c r="S4" s="304" t="str">
        <f t="shared" si="0"/>
        <v>Aud.</v>
      </c>
      <c r="T4" s="304" t="str">
        <f t="shared" si="0"/>
        <v>Aud.</v>
      </c>
      <c r="U4" s="304" t="str">
        <f t="shared" si="0"/>
        <v>Aud.</v>
      </c>
      <c r="V4" s="304" t="str">
        <f t="shared" si="0"/>
        <v>Proj</v>
      </c>
      <c r="W4" s="1" t="s">
        <v>558</v>
      </c>
      <c r="X4" s="114" t="s">
        <v>558</v>
      </c>
      <c r="Y4" s="304" t="str">
        <f>K4</f>
        <v>Proj</v>
      </c>
      <c r="Z4" s="1" t="s">
        <v>371</v>
      </c>
      <c r="AA4" s="1" t="s">
        <v>371</v>
      </c>
    </row>
    <row r="5" spans="1:27" x14ac:dyDescent="0.25">
      <c r="A5" s="803"/>
      <c r="B5" s="1" t="s">
        <v>48</v>
      </c>
      <c r="C5" s="1" t="s">
        <v>48</v>
      </c>
      <c r="D5" s="1" t="s">
        <v>48</v>
      </c>
      <c r="E5" s="5" t="s">
        <v>49</v>
      </c>
      <c r="F5" s="5" t="s">
        <v>49</v>
      </c>
      <c r="G5" s="4" t="s">
        <v>49</v>
      </c>
      <c r="H5" s="4" t="s">
        <v>49</v>
      </c>
      <c r="I5" s="4" t="s">
        <v>49</v>
      </c>
      <c r="J5" s="4" t="s">
        <v>49</v>
      </c>
      <c r="K5" s="4" t="s">
        <v>49</v>
      </c>
      <c r="L5" s="4" t="s">
        <v>49</v>
      </c>
      <c r="M5" s="4" t="s">
        <v>49</v>
      </c>
      <c r="O5" s="351"/>
      <c r="P5" s="304" t="str">
        <f t="shared" si="0"/>
        <v>I GAAP</v>
      </c>
      <c r="Q5" s="304" t="str">
        <f t="shared" si="0"/>
        <v>I GAAP</v>
      </c>
      <c r="R5" s="304" t="str">
        <f t="shared" si="0"/>
        <v>I GAAP</v>
      </c>
      <c r="S5" s="304" t="str">
        <f t="shared" si="0"/>
        <v>Ind AS</v>
      </c>
      <c r="T5" s="304" t="str">
        <f t="shared" si="0"/>
        <v>Ind AS</v>
      </c>
      <c r="U5" s="304" t="str">
        <f t="shared" si="0"/>
        <v>Ind AS</v>
      </c>
      <c r="V5" s="304" t="str">
        <f t="shared" si="0"/>
        <v>Ind AS</v>
      </c>
      <c r="W5" s="4" t="s">
        <v>49</v>
      </c>
      <c r="X5" s="352" t="s">
        <v>49</v>
      </c>
      <c r="Y5" s="304" t="str">
        <f>K5</f>
        <v>Ind AS</v>
      </c>
      <c r="Z5" s="4" t="s">
        <v>49</v>
      </c>
      <c r="AA5" s="4" t="s">
        <v>49</v>
      </c>
    </row>
    <row r="6" spans="1:27" x14ac:dyDescent="0.25">
      <c r="A6" s="6" t="s">
        <v>23</v>
      </c>
      <c r="B6" s="353">
        <v>9.3023000000000007</v>
      </c>
      <c r="C6" s="353">
        <v>25.24117</v>
      </c>
      <c r="D6" s="354">
        <v>40.354299999999995</v>
      </c>
      <c r="E6" s="354">
        <v>33.911999999999999</v>
      </c>
      <c r="F6" s="354">
        <v>52.115569999999998</v>
      </c>
      <c r="G6" s="355">
        <v>108.5248</v>
      </c>
      <c r="H6" s="355">
        <v>115.49760000000001</v>
      </c>
      <c r="I6" s="355">
        <v>108.0522</v>
      </c>
      <c r="J6" s="355">
        <f>17614.94/100</f>
        <v>176.14939999999999</v>
      </c>
      <c r="K6" s="353">
        <v>259</v>
      </c>
      <c r="L6" s="353">
        <v>401</v>
      </c>
      <c r="M6" s="353">
        <v>620</v>
      </c>
      <c r="N6" s="356"/>
      <c r="O6" s="305" t="s">
        <v>6</v>
      </c>
      <c r="P6" s="357"/>
      <c r="Q6" s="357"/>
      <c r="R6" s="358"/>
      <c r="S6" s="358"/>
      <c r="T6" s="358"/>
      <c r="U6" s="357"/>
      <c r="V6" s="357"/>
      <c r="W6" s="357"/>
      <c r="X6" s="359"/>
      <c r="Y6" s="357"/>
      <c r="Z6" s="81"/>
      <c r="AA6" s="81"/>
    </row>
    <row r="7" spans="1:27" x14ac:dyDescent="0.25">
      <c r="A7" s="6" t="s">
        <v>50</v>
      </c>
      <c r="B7" s="353">
        <v>7.2084999999999999</v>
      </c>
      <c r="C7" s="353">
        <f>(2104.45)/100</f>
        <v>21.044499999999999</v>
      </c>
      <c r="D7" s="354">
        <v>33.006100000000004</v>
      </c>
      <c r="E7" s="354">
        <v>25.3505</v>
      </c>
      <c r="F7" s="354">
        <v>34.294400000000003</v>
      </c>
      <c r="G7" s="353">
        <v>72.841200000000001</v>
      </c>
      <c r="H7" s="353">
        <v>68.412599999999998</v>
      </c>
      <c r="I7" s="353">
        <v>79.765699999999995</v>
      </c>
      <c r="J7" s="353">
        <f>13462.85/100</f>
        <v>134.6285</v>
      </c>
      <c r="K7" s="353">
        <v>259</v>
      </c>
      <c r="L7" s="353">
        <v>401</v>
      </c>
      <c r="M7" s="353">
        <v>620</v>
      </c>
      <c r="O7" s="306"/>
      <c r="P7" s="360"/>
      <c r="Q7" s="360"/>
      <c r="R7" s="360"/>
      <c r="S7" s="360"/>
      <c r="T7" s="360"/>
      <c r="U7" s="360"/>
      <c r="V7" s="360"/>
      <c r="W7" s="360"/>
      <c r="X7" s="361"/>
      <c r="Y7" s="360"/>
      <c r="Z7" s="81"/>
      <c r="AA7" s="81"/>
    </row>
    <row r="8" spans="1:27" x14ac:dyDescent="0.25">
      <c r="A8" s="6" t="s">
        <v>24</v>
      </c>
      <c r="B8" s="353">
        <v>1.1403000000000001</v>
      </c>
      <c r="C8" s="353">
        <v>9.4294000000000011</v>
      </c>
      <c r="D8" s="354">
        <v>14.367599999999999</v>
      </c>
      <c r="E8" s="354">
        <v>11.453299999999999</v>
      </c>
      <c r="F8" s="354">
        <v>15.052774999999999</v>
      </c>
      <c r="G8" s="353">
        <v>15.4053</v>
      </c>
      <c r="H8" s="353">
        <v>14.1327</v>
      </c>
      <c r="I8" s="353">
        <v>26.370899999999999</v>
      </c>
      <c r="J8" s="353">
        <f>4524.03/100</f>
        <v>45.240299999999998</v>
      </c>
      <c r="K8" s="353">
        <v>65.41</v>
      </c>
      <c r="L8" s="353">
        <v>151</v>
      </c>
      <c r="M8" s="353">
        <v>185</v>
      </c>
      <c r="O8" s="306" t="s">
        <v>374</v>
      </c>
      <c r="P8" s="360">
        <f>B9/B20</f>
        <v>8.0275658690473067E-2</v>
      </c>
      <c r="Q8" s="360">
        <f>C9/AVERAGE(C20,B20)</f>
        <v>0.11655256437767862</v>
      </c>
      <c r="R8" s="360">
        <f>D9/AVERAGE(D20,C20)</f>
        <v>0.15042967512565403</v>
      </c>
      <c r="S8" s="360">
        <f>E9/AVERAGE(D20,E20)</f>
        <v>0.10044515565269621</v>
      </c>
      <c r="T8" s="360">
        <f>F9/AVERAGE(F20,E20)</f>
        <v>0.11067691219776873</v>
      </c>
      <c r="U8" s="360">
        <f>G9/AVERAGE(G20,F20)</f>
        <v>0.15004382512000705</v>
      </c>
      <c r="V8" s="360">
        <f>H9/AVERAGE(H20,G20)</f>
        <v>9.937721604688679E-2</v>
      </c>
      <c r="W8" s="360">
        <f>I9/AVERAGE(I20,H20)</f>
        <v>9.0134151754609329E-2</v>
      </c>
      <c r="X8" s="361">
        <f>J9/AVERAGE(J20,G20)*12/9</f>
        <v>0.17837471352324918</v>
      </c>
      <c r="Y8" s="360">
        <f>K9/AVERAGE(K20,G20)</f>
        <v>0.22373778241636458</v>
      </c>
      <c r="Z8" s="360">
        <f>L9/AVERAGE(L20,K20)</f>
        <v>0.16090104585679807</v>
      </c>
      <c r="AA8" s="360">
        <f>M9/AVERAGE(M20,L20)</f>
        <v>0.20080784766301213</v>
      </c>
    </row>
    <row r="9" spans="1:27" x14ac:dyDescent="0.25">
      <c r="A9" s="6" t="s">
        <v>53</v>
      </c>
      <c r="B9" s="353">
        <f t="shared" ref="B9:M9" si="1">B7-B8</f>
        <v>6.0682</v>
      </c>
      <c r="C9" s="353">
        <f t="shared" si="1"/>
        <v>11.615099999999998</v>
      </c>
      <c r="D9" s="353">
        <f t="shared" si="1"/>
        <v>18.638500000000004</v>
      </c>
      <c r="E9" s="353">
        <f t="shared" si="1"/>
        <v>13.897200000000002</v>
      </c>
      <c r="F9" s="353">
        <f t="shared" si="1"/>
        <v>19.241625000000006</v>
      </c>
      <c r="G9" s="353">
        <f t="shared" si="1"/>
        <v>57.435900000000004</v>
      </c>
      <c r="H9" s="353">
        <f t="shared" si="1"/>
        <v>54.279899999999998</v>
      </c>
      <c r="I9" s="353">
        <f t="shared" si="1"/>
        <v>53.394799999999996</v>
      </c>
      <c r="J9" s="353">
        <f t="shared" si="1"/>
        <v>89.388200000000012</v>
      </c>
      <c r="K9" s="353">
        <f t="shared" si="1"/>
        <v>193.59</v>
      </c>
      <c r="L9" s="353">
        <f t="shared" si="1"/>
        <v>250</v>
      </c>
      <c r="M9" s="353">
        <f t="shared" si="1"/>
        <v>435</v>
      </c>
      <c r="O9" s="305" t="s">
        <v>12</v>
      </c>
      <c r="P9" s="362"/>
      <c r="Q9" s="362"/>
      <c r="R9" s="363"/>
      <c r="S9" s="363"/>
      <c r="T9" s="363"/>
      <c r="U9" s="363"/>
      <c r="V9" s="363"/>
      <c r="W9" s="363"/>
      <c r="X9" s="364"/>
      <c r="Y9" s="363"/>
      <c r="Z9" s="81"/>
      <c r="AA9" s="81"/>
    </row>
    <row r="10" spans="1:27" x14ac:dyDescent="0.25">
      <c r="A10" s="6" t="s">
        <v>507</v>
      </c>
      <c r="B10" s="365">
        <f t="shared" ref="B10:M10" si="2">B6-B8</f>
        <v>8.1620000000000008</v>
      </c>
      <c r="C10" s="365">
        <f t="shared" si="2"/>
        <v>15.811769999999999</v>
      </c>
      <c r="D10" s="365">
        <f t="shared" si="2"/>
        <v>25.986699999999995</v>
      </c>
      <c r="E10" s="365">
        <f t="shared" si="2"/>
        <v>22.4587</v>
      </c>
      <c r="F10" s="365">
        <f t="shared" si="2"/>
        <v>37.062795000000001</v>
      </c>
      <c r="G10" s="365">
        <f t="shared" si="2"/>
        <v>93.119500000000002</v>
      </c>
      <c r="H10" s="365">
        <f t="shared" si="2"/>
        <v>101.36490000000001</v>
      </c>
      <c r="I10" s="365">
        <f t="shared" si="2"/>
        <v>81.681299999999993</v>
      </c>
      <c r="J10" s="365">
        <f t="shared" si="2"/>
        <v>130.9091</v>
      </c>
      <c r="K10" s="365">
        <f t="shared" si="2"/>
        <v>193.59</v>
      </c>
      <c r="L10" s="365">
        <f t="shared" si="2"/>
        <v>250</v>
      </c>
      <c r="M10" s="365">
        <f t="shared" si="2"/>
        <v>435</v>
      </c>
      <c r="O10" s="306" t="s">
        <v>375</v>
      </c>
      <c r="P10" s="366">
        <f t="shared" ref="P10:AA10" si="3">B18/B17</f>
        <v>75.014830947310415</v>
      </c>
      <c r="Q10" s="366">
        <f t="shared" si="3"/>
        <v>240.96374418334722</v>
      </c>
      <c r="R10" s="367">
        <f t="shared" si="3"/>
        <v>0.65382288735682403</v>
      </c>
      <c r="S10" s="367">
        <f t="shared" si="3"/>
        <v>1.5656521341463414</v>
      </c>
      <c r="T10" s="367">
        <f t="shared" si="3"/>
        <v>0.83521552610229077</v>
      </c>
      <c r="U10" s="367">
        <f t="shared" si="3"/>
        <v>1.5404261753804662</v>
      </c>
      <c r="V10" s="367">
        <f t="shared" si="3"/>
        <v>1.4022064844259867</v>
      </c>
      <c r="W10" s="367">
        <f t="shared" si="3"/>
        <v>2.1055603822762814</v>
      </c>
      <c r="X10" s="368">
        <f t="shared" si="3"/>
        <v>2.4546893947948534</v>
      </c>
      <c r="Y10" s="367">
        <f t="shared" si="3"/>
        <v>3.5426731078904989</v>
      </c>
      <c r="Z10" s="367">
        <f>L18/L17</f>
        <v>1.8942012032085562</v>
      </c>
      <c r="AA10" s="367">
        <f t="shared" si="3"/>
        <v>2.9429540094339623</v>
      </c>
    </row>
    <row r="11" spans="1:27" x14ac:dyDescent="0.25">
      <c r="A11" s="6" t="s">
        <v>25</v>
      </c>
      <c r="B11" s="353">
        <f t="shared" ref="B11:H11" si="4">+B6</f>
        <v>9.3023000000000007</v>
      </c>
      <c r="C11" s="353">
        <f t="shared" si="4"/>
        <v>25.24117</v>
      </c>
      <c r="D11" s="353">
        <f t="shared" si="4"/>
        <v>40.354299999999995</v>
      </c>
      <c r="E11" s="353">
        <f t="shared" si="4"/>
        <v>33.911999999999999</v>
      </c>
      <c r="F11" s="353">
        <f>+F6</f>
        <v>52.115569999999998</v>
      </c>
      <c r="G11" s="353">
        <v>109.73399999999999</v>
      </c>
      <c r="H11" s="353">
        <f t="shared" si="4"/>
        <v>115.49760000000001</v>
      </c>
      <c r="I11" s="353">
        <v>108.7063</v>
      </c>
      <c r="J11" s="353">
        <f>17913.42/100</f>
        <v>179.13419999999999</v>
      </c>
      <c r="K11" s="353">
        <v>259</v>
      </c>
      <c r="L11" s="353">
        <v>401</v>
      </c>
      <c r="M11" s="353">
        <v>620</v>
      </c>
      <c r="O11" s="306" t="s">
        <v>14</v>
      </c>
      <c r="P11" s="307"/>
      <c r="Q11" s="307"/>
      <c r="R11" s="308"/>
      <c r="S11" s="369">
        <v>0.45800000000000002</v>
      </c>
      <c r="T11" s="308">
        <v>0.54559999999999997</v>
      </c>
      <c r="U11" s="308">
        <v>0.42130000000000001</v>
      </c>
      <c r="V11" s="308"/>
      <c r="W11" s="308"/>
      <c r="X11" s="370">
        <v>0.61099999999999999</v>
      </c>
      <c r="Y11" s="371">
        <v>0.5</v>
      </c>
      <c r="Z11" s="372">
        <v>0.5</v>
      </c>
      <c r="AA11" s="372">
        <v>0.5</v>
      </c>
    </row>
    <row r="12" spans="1:27" x14ac:dyDescent="0.25">
      <c r="A12" s="6" t="s">
        <v>26</v>
      </c>
      <c r="B12" s="353">
        <f>(598.09+20.218+550.2)/100</f>
        <v>11.685080000000001</v>
      </c>
      <c r="C12" s="353">
        <f>(1285.21+102.3+1783.56)/100</f>
        <v>31.710699999999996</v>
      </c>
      <c r="D12" s="354">
        <f>(1235.388+266.13+1542.88)/100</f>
        <v>30.44398</v>
      </c>
      <c r="E12" s="354">
        <f>(1482.85+414.12+945.95)/100</f>
        <v>28.429200000000002</v>
      </c>
      <c r="F12" s="354">
        <v>43.240270000000002</v>
      </c>
      <c r="G12" s="353">
        <f>25.8904+7.9791+39.4669+19.0887</f>
        <v>92.4251</v>
      </c>
      <c r="H12" s="353">
        <v>68.050399999999996</v>
      </c>
      <c r="I12" s="353">
        <f>18.6182+18.6838+31.3463+5.6573</f>
        <v>74.305600000000013</v>
      </c>
      <c r="J12" s="353">
        <f>(2874.97+891.86+5096.95+2989.73)/100</f>
        <v>118.53509999999999</v>
      </c>
      <c r="K12" s="353">
        <v>173.59</v>
      </c>
      <c r="L12" s="353">
        <v>200</v>
      </c>
      <c r="M12" s="353">
        <v>355</v>
      </c>
      <c r="O12" s="306" t="s">
        <v>15</v>
      </c>
      <c r="P12" s="366">
        <f t="shared" ref="P12:AA12" si="5">B17/B20</f>
        <v>6.5783522416318239E-3</v>
      </c>
      <c r="Q12" s="366">
        <f t="shared" si="5"/>
        <v>3.0640750928112035E-3</v>
      </c>
      <c r="R12" s="366">
        <f t="shared" si="5"/>
        <v>0.45740647912794979</v>
      </c>
      <c r="S12" s="366">
        <f t="shared" si="5"/>
        <v>0.42980430800196029</v>
      </c>
      <c r="T12" s="366">
        <f t="shared" si="5"/>
        <v>0.60593523429978269</v>
      </c>
      <c r="U12" s="366">
        <f t="shared" si="5"/>
        <v>0.42193596267466232</v>
      </c>
      <c r="V12" s="366">
        <f t="shared" si="5"/>
        <v>0.44274252174869438</v>
      </c>
      <c r="W12" s="366">
        <f t="shared" si="5"/>
        <v>0.36428243105170877</v>
      </c>
      <c r="X12" s="373">
        <f t="shared" si="5"/>
        <v>0.31915730425108502</v>
      </c>
      <c r="Y12" s="366">
        <f t="shared" si="5"/>
        <v>0.21413793103448275</v>
      </c>
      <c r="Z12" s="366">
        <f t="shared" si="5"/>
        <v>0.30726572528883184</v>
      </c>
      <c r="AA12" s="366">
        <f t="shared" si="5"/>
        <v>0.28444444444444444</v>
      </c>
    </row>
    <row r="13" spans="1:27" x14ac:dyDescent="0.25">
      <c r="A13" s="6" t="s">
        <v>54</v>
      </c>
      <c r="B13" s="353">
        <f t="shared" ref="B13:M13" si="6">B10-B12</f>
        <v>-3.5230800000000002</v>
      </c>
      <c r="C13" s="353">
        <f t="shared" si="6"/>
        <v>-15.898929999999996</v>
      </c>
      <c r="D13" s="353">
        <f t="shared" si="6"/>
        <v>-4.4572800000000043</v>
      </c>
      <c r="E13" s="353">
        <f t="shared" si="6"/>
        <v>-5.9705000000000013</v>
      </c>
      <c r="F13" s="353">
        <f t="shared" si="6"/>
        <v>-6.1774750000000012</v>
      </c>
      <c r="G13" s="353">
        <f t="shared" si="6"/>
        <v>0.69440000000000168</v>
      </c>
      <c r="H13" s="353">
        <f t="shared" si="6"/>
        <v>33.31450000000001</v>
      </c>
      <c r="I13" s="353">
        <f t="shared" si="6"/>
        <v>7.3756999999999806</v>
      </c>
      <c r="J13" s="353">
        <f t="shared" si="6"/>
        <v>12.374000000000009</v>
      </c>
      <c r="K13" s="353">
        <f t="shared" si="6"/>
        <v>20</v>
      </c>
      <c r="L13" s="353">
        <f t="shared" si="6"/>
        <v>50</v>
      </c>
      <c r="M13" s="353">
        <f t="shared" si="6"/>
        <v>80</v>
      </c>
      <c r="O13" s="305" t="s">
        <v>18</v>
      </c>
      <c r="P13" s="362"/>
      <c r="Q13" s="362"/>
      <c r="R13" s="363"/>
      <c r="S13" s="363"/>
      <c r="T13" s="363"/>
      <c r="U13" s="363"/>
      <c r="V13" s="363"/>
      <c r="W13" s="363"/>
      <c r="X13" s="364"/>
      <c r="Y13" s="363"/>
      <c r="Z13" s="81"/>
      <c r="AA13" s="81"/>
    </row>
    <row r="14" spans="1:27" x14ac:dyDescent="0.25">
      <c r="A14" s="6" t="s">
        <v>27</v>
      </c>
      <c r="B14" s="353">
        <f>(8.78+34.323)/100</f>
        <v>0.43103000000000002</v>
      </c>
      <c r="C14" s="353">
        <f>(10.61+8.56)/100</f>
        <v>0.19170000000000001</v>
      </c>
      <c r="D14" s="353">
        <v>8.7294</v>
      </c>
      <c r="E14" s="374">
        <v>8.2852999999999994</v>
      </c>
      <c r="F14" s="375">
        <v>12.069179999999999</v>
      </c>
      <c r="G14" s="353">
        <v>17.4253</v>
      </c>
      <c r="H14" s="353">
        <v>17.1219</v>
      </c>
      <c r="I14" s="353">
        <v>16.348199999999999</v>
      </c>
      <c r="J14" s="353">
        <f>(36.09-4.2+64.28+312.98+1369.82+1159.63)/100</f>
        <v>29.386000000000003</v>
      </c>
      <c r="K14" s="353">
        <v>35.11</v>
      </c>
      <c r="L14" s="353">
        <v>66.22</v>
      </c>
      <c r="M14" s="353">
        <v>90.1</v>
      </c>
      <c r="O14" s="306" t="s">
        <v>559</v>
      </c>
      <c r="P14" s="307" t="s">
        <v>465</v>
      </c>
      <c r="Q14" s="307">
        <f t="shared" ref="Q14:W14" si="7">C10/AVERAGE(B19,C19)</f>
        <v>0.12914857652299236</v>
      </c>
      <c r="R14" s="307">
        <f t="shared" si="7"/>
        <v>0.15582760723578046</v>
      </c>
      <c r="S14" s="307">
        <f t="shared" si="7"/>
        <v>0.11486526053101206</v>
      </c>
      <c r="T14" s="307">
        <f t="shared" si="7"/>
        <v>0.15138535768688169</v>
      </c>
      <c r="U14" s="307">
        <f t="shared" si="7"/>
        <v>0.19179823481917446</v>
      </c>
      <c r="V14" s="307">
        <f t="shared" si="7"/>
        <v>0.14076625439395912</v>
      </c>
      <c r="W14" s="307">
        <f t="shared" si="7"/>
        <v>0.10133527068201285</v>
      </c>
      <c r="X14" s="376">
        <f>J10/AVERAGE(G19,J19)*12/9</f>
        <v>0.20931915562460957</v>
      </c>
      <c r="Y14" s="307">
        <f>K10/AVERAGE(G19,K19)</f>
        <v>0.27869693813428964</v>
      </c>
      <c r="Z14" s="307" t="e">
        <f>L10/AVERAGE(K19,L19)</f>
        <v>#DIV/0!</v>
      </c>
      <c r="AA14" s="307" t="e">
        <f>M10/AVERAGE(L19,M19)</f>
        <v>#DIV/0!</v>
      </c>
    </row>
    <row r="15" spans="1:27" x14ac:dyDescent="0.25">
      <c r="A15" s="6" t="s">
        <v>55</v>
      </c>
      <c r="B15" s="353">
        <v>-3.0210000000000004</v>
      </c>
      <c r="C15" s="353">
        <v>-11.8187</v>
      </c>
      <c r="D15" s="353">
        <v>-13.884</v>
      </c>
      <c r="E15" s="374">
        <v>-16.521704999999994</v>
      </c>
      <c r="F15" s="374">
        <v>-10.775119999999998</v>
      </c>
      <c r="G15" s="353">
        <v>6.6703999999999999</v>
      </c>
      <c r="H15" s="353">
        <v>-1.5847</v>
      </c>
      <c r="I15" s="353">
        <v>8.0297000000000001</v>
      </c>
      <c r="J15" s="353">
        <f>1535.88/100</f>
        <v>15.3588</v>
      </c>
      <c r="K15" s="353">
        <v>20</v>
      </c>
      <c r="L15" s="353">
        <v>50</v>
      </c>
      <c r="M15" s="353">
        <v>80</v>
      </c>
      <c r="O15" s="306" t="s">
        <v>560</v>
      </c>
      <c r="P15" s="307">
        <f t="shared" ref="P15:X15" si="8">B12/B10</f>
        <v>1.4316442048517519</v>
      </c>
      <c r="Q15" s="307">
        <f t="shared" si="8"/>
        <v>2.0055123493448233</v>
      </c>
      <c r="R15" s="307">
        <f t="shared" si="8"/>
        <v>1.1715215860420909</v>
      </c>
      <c r="S15" s="307">
        <f t="shared" si="8"/>
        <v>1.2658435261168279</v>
      </c>
      <c r="T15" s="307">
        <f t="shared" si="8"/>
        <v>1.1666759077398237</v>
      </c>
      <c r="U15" s="307">
        <f>G12/G10</f>
        <v>0.99254291528627192</v>
      </c>
      <c r="V15" s="307">
        <f t="shared" si="8"/>
        <v>0.67134086848603403</v>
      </c>
      <c r="W15" s="307">
        <f t="shared" si="8"/>
        <v>0.90970148614187119</v>
      </c>
      <c r="X15" s="376">
        <f t="shared" si="8"/>
        <v>0.90547639545302805</v>
      </c>
      <c r="Y15" s="307">
        <f>K12/K10</f>
        <v>0.89668887855777679</v>
      </c>
      <c r="Z15" s="307">
        <f>L12/L10</f>
        <v>0.8</v>
      </c>
      <c r="AA15" s="307">
        <f>M12/M10</f>
        <v>0.81609195402298851</v>
      </c>
    </row>
    <row r="16" spans="1:27" x14ac:dyDescent="0.25">
      <c r="A16" s="6" t="s">
        <v>28</v>
      </c>
      <c r="B16" s="365">
        <v>49.7271</v>
      </c>
      <c r="C16" s="365">
        <v>37.9084</v>
      </c>
      <c r="D16" s="377">
        <v>56.757100000000001</v>
      </c>
      <c r="E16" s="377">
        <v>65.599999999999994</v>
      </c>
      <c r="F16" s="377">
        <f>(15249.49-2273.57-137.15-1018.16)/100</f>
        <v>118.20610000000001</v>
      </c>
      <c r="G16" s="353">
        <f>290.759-14.9484-32.1224-2.9704</f>
        <v>240.71780000000001</v>
      </c>
      <c r="H16" s="353">
        <f>(27000-1925.78-807.25-1160.53)/100</f>
        <v>231.06440000000003</v>
      </c>
      <c r="I16" s="353">
        <f>299.4851-14.9484-26.9272-16.1297</f>
        <v>241.47980000000001</v>
      </c>
      <c r="J16" s="353">
        <f>(30681.42-3437.58-1307.04-1494.84)/100</f>
        <v>244.41959999999995</v>
      </c>
      <c r="K16" s="353">
        <v>248.4</v>
      </c>
      <c r="L16" s="353">
        <v>598.4</v>
      </c>
      <c r="M16" s="353">
        <v>678.4</v>
      </c>
      <c r="O16" s="305" t="s">
        <v>378</v>
      </c>
      <c r="P16" s="378"/>
      <c r="Q16" s="378"/>
      <c r="R16" s="379"/>
      <c r="S16" s="379"/>
      <c r="T16" s="379"/>
      <c r="U16" s="379"/>
      <c r="V16" s="379"/>
      <c r="W16" s="379"/>
      <c r="X16" s="380"/>
      <c r="Y16" s="379"/>
      <c r="Z16" s="81"/>
      <c r="AA16" s="81"/>
    </row>
    <row r="17" spans="1:27" x14ac:dyDescent="0.25">
      <c r="A17" s="6" t="s">
        <v>56</v>
      </c>
      <c r="B17" s="377">
        <f>(+B16)/100</f>
        <v>0.49727100000000002</v>
      </c>
      <c r="C17" s="377">
        <f>(+C16)/100</f>
        <v>0.37908399999999998</v>
      </c>
      <c r="D17" s="377">
        <f>(+D16)</f>
        <v>56.757100000000001</v>
      </c>
      <c r="E17" s="377">
        <f>(+E16)</f>
        <v>65.599999999999994</v>
      </c>
      <c r="F17" s="377">
        <f>(+F16)</f>
        <v>118.20610000000001</v>
      </c>
      <c r="G17" s="353">
        <f>G16</f>
        <v>240.71780000000001</v>
      </c>
      <c r="H17" s="353">
        <f>(27000-1925.78-807.25-1160.53)/100</f>
        <v>231.06440000000003</v>
      </c>
      <c r="I17" s="353">
        <f>I16</f>
        <v>241.47980000000001</v>
      </c>
      <c r="J17" s="353">
        <f>J16</f>
        <v>244.41959999999995</v>
      </c>
      <c r="K17" s="353">
        <v>248.4</v>
      </c>
      <c r="L17" s="353">
        <v>598.4</v>
      </c>
      <c r="M17" s="353">
        <v>678.4</v>
      </c>
      <c r="O17" s="381" t="s">
        <v>379</v>
      </c>
      <c r="P17" s="307">
        <f>B22/B20</f>
        <v>1.0530210658451693E-3</v>
      </c>
      <c r="Q17" s="307">
        <f>C22/C20</f>
        <v>1.16845526431289E-2</v>
      </c>
      <c r="R17" s="307">
        <f>D22/D20</f>
        <v>5.3935782522569274E-2</v>
      </c>
      <c r="S17" s="307">
        <f t="shared" ref="S17:X17" si="9">E22/E21</f>
        <v>3.904494976203067E-2</v>
      </c>
      <c r="T17" s="307">
        <f t="shared" si="9"/>
        <v>3.0354179200170976E-2</v>
      </c>
      <c r="U17" s="307">
        <f t="shared" si="9"/>
        <v>1.3699590444325732E-2</v>
      </c>
      <c r="V17" s="307" t="e">
        <f t="shared" si="9"/>
        <v>#DIV/0!</v>
      </c>
      <c r="W17" s="307" t="e">
        <f t="shared" si="9"/>
        <v>#DIV/0!</v>
      </c>
      <c r="X17" s="307">
        <f t="shared" si="9"/>
        <v>3.0977063096890051E-2</v>
      </c>
      <c r="Y17" s="307">
        <v>3.2000000000000001E-2</v>
      </c>
      <c r="Z17" s="307">
        <v>3.2000000000000001E-2</v>
      </c>
      <c r="AA17" s="307">
        <v>3.2000000000000001E-2</v>
      </c>
    </row>
    <row r="18" spans="1:27" x14ac:dyDescent="0.25">
      <c r="A18" s="6" t="s">
        <v>57</v>
      </c>
      <c r="B18" s="353">
        <f>(2700+815.71+214.56)/100</f>
        <v>37.302700000000002</v>
      </c>
      <c r="C18" s="353">
        <f>(5189.17+3730.82+214.56)/100</f>
        <v>91.345499999999987</v>
      </c>
      <c r="D18" s="354">
        <f>(3646.92+63.9891)/100</f>
        <v>37.109090999999999</v>
      </c>
      <c r="E18" s="354">
        <v>102.70677999999999</v>
      </c>
      <c r="F18" s="354">
        <v>98.72757</v>
      </c>
      <c r="G18" s="365">
        <f>133.9354+236.8726</f>
        <v>370.80799999999999</v>
      </c>
      <c r="H18" s="365">
        <v>324</v>
      </c>
      <c r="I18" s="365">
        <f>177.8609+330.5894</f>
        <v>508.45029999999997</v>
      </c>
      <c r="J18" s="365">
        <f>(16047.16+43950.26)/100</f>
        <v>599.9742</v>
      </c>
      <c r="K18" s="353">
        <v>880</v>
      </c>
      <c r="L18" s="353">
        <v>1133.49</v>
      </c>
      <c r="M18" s="353">
        <v>1996.5</v>
      </c>
      <c r="O18" s="381" t="s">
        <v>380</v>
      </c>
      <c r="P18" s="307">
        <f>B23/B20</f>
        <v>1.0530210658451693E-3</v>
      </c>
      <c r="Q18" s="307">
        <f>C23/C20</f>
        <v>8.7634144823466754E-3</v>
      </c>
      <c r="R18" s="307">
        <f>D23/D20</f>
        <v>2.9906209150853527E-2</v>
      </c>
      <c r="S18" s="307">
        <f t="shared" ref="S18:X18" si="10">E23/E21</f>
        <v>2.2534637757800107E-2</v>
      </c>
      <c r="T18" s="307">
        <f t="shared" si="10"/>
        <v>2.0466967648865977E-2</v>
      </c>
      <c r="U18" s="307">
        <f t="shared" si="10"/>
        <v>7.5840901209923055E-3</v>
      </c>
      <c r="V18" s="307" t="e">
        <f t="shared" si="10"/>
        <v>#DIV/0!</v>
      </c>
      <c r="W18" s="307" t="e">
        <f t="shared" si="10"/>
        <v>#DIV/0!</v>
      </c>
      <c r="X18" s="307">
        <f t="shared" si="10"/>
        <v>2.3977634478818056E-2</v>
      </c>
      <c r="Y18" s="307">
        <v>1.4999999999999999E-2</v>
      </c>
      <c r="Z18" s="307">
        <v>1.4999999999999999E-2</v>
      </c>
      <c r="AA18" s="307">
        <v>1.4999999999999999E-2</v>
      </c>
    </row>
    <row r="19" spans="1:27" x14ac:dyDescent="0.25">
      <c r="A19" s="6" t="s">
        <v>29</v>
      </c>
      <c r="B19" s="353">
        <v>89.115899999999996</v>
      </c>
      <c r="C19" s="353">
        <v>155.7458</v>
      </c>
      <c r="D19" s="354">
        <v>177.78560000000002</v>
      </c>
      <c r="E19" s="354">
        <v>213.25865299999998</v>
      </c>
      <c r="F19" s="354">
        <v>276.38969299999997</v>
      </c>
      <c r="G19" s="353">
        <v>694.62549999999999</v>
      </c>
      <c r="H19" s="353">
        <f>(+H20/0.7)</f>
        <v>745.5619999999999</v>
      </c>
      <c r="I19" s="353">
        <v>866.53809999999999</v>
      </c>
      <c r="J19" s="353">
        <f>97311.93/100</f>
        <v>973.11929999999995</v>
      </c>
      <c r="K19" s="353" t="s">
        <v>373</v>
      </c>
      <c r="L19" s="353" t="s">
        <v>373</v>
      </c>
      <c r="M19" s="353" t="s">
        <v>373</v>
      </c>
      <c r="O19" s="381" t="s">
        <v>381</v>
      </c>
      <c r="P19" s="308">
        <f t="shared" ref="P19:AA19" si="11">(P17-P18)/P17</f>
        <v>0</v>
      </c>
      <c r="Q19" s="308">
        <f t="shared" si="11"/>
        <v>0.24999999999999997</v>
      </c>
      <c r="R19" s="308">
        <f t="shared" si="11"/>
        <v>0.44552191973224159</v>
      </c>
      <c r="S19" s="308">
        <f t="shared" si="11"/>
        <v>0.42285396971584899</v>
      </c>
      <c r="T19" s="308">
        <f t="shared" si="11"/>
        <v>0.32572818016602162</v>
      </c>
      <c r="U19" s="308">
        <f t="shared" si="11"/>
        <v>0.44640022985989491</v>
      </c>
      <c r="V19" s="308" t="e">
        <f t="shared" si="11"/>
        <v>#DIV/0!</v>
      </c>
      <c r="W19" s="308" t="e">
        <f t="shared" si="11"/>
        <v>#DIV/0!</v>
      </c>
      <c r="X19" s="370">
        <f t="shared" si="11"/>
        <v>0.22595520421607379</v>
      </c>
      <c r="Y19" s="308">
        <f t="shared" si="11"/>
        <v>0.53125</v>
      </c>
      <c r="Z19" s="308">
        <f t="shared" si="11"/>
        <v>0.53125</v>
      </c>
      <c r="AA19" s="308">
        <f t="shared" si="11"/>
        <v>0.53125</v>
      </c>
    </row>
    <row r="20" spans="1:27" x14ac:dyDescent="0.25">
      <c r="A20" s="6" t="s">
        <v>383</v>
      </c>
      <c r="B20" s="353">
        <f>(5925.267+1648.646-14.71)/100</f>
        <v>75.592029999999994</v>
      </c>
      <c r="C20" s="353">
        <f>(11208.48+1221.18-57.77)/100</f>
        <v>123.71889999999999</v>
      </c>
      <c r="D20" s="354">
        <f>((10104.4+2387.21)-83.15)/100</f>
        <v>124.08460000000001</v>
      </c>
      <c r="E20" s="354">
        <v>152.6276</v>
      </c>
      <c r="F20" s="354">
        <v>195.08041999999998</v>
      </c>
      <c r="G20" s="365">
        <f>239.8808+332.5085-1.8814</f>
        <v>570.50790000000006</v>
      </c>
      <c r="H20" s="353">
        <v>521.89339999999993</v>
      </c>
      <c r="I20" s="353">
        <f>318.6257+347.757-3.491</f>
        <v>662.89170000000001</v>
      </c>
      <c r="J20" s="353">
        <f>(41137.88+35814.97-370.05)/100</f>
        <v>765.82799999999997</v>
      </c>
      <c r="K20" s="353">
        <v>1160</v>
      </c>
      <c r="L20" s="353">
        <v>1947.5</v>
      </c>
      <c r="M20" s="353">
        <v>2385</v>
      </c>
      <c r="O20" s="305" t="s">
        <v>30</v>
      </c>
      <c r="P20" s="362"/>
      <c r="Q20" s="362"/>
      <c r="R20" s="363"/>
      <c r="S20" s="363"/>
      <c r="T20" s="363"/>
      <c r="U20" s="363"/>
      <c r="V20" s="363"/>
      <c r="W20" s="363"/>
      <c r="X20" s="364"/>
      <c r="Y20" s="363"/>
      <c r="Z20" s="81"/>
      <c r="AA20" s="81"/>
    </row>
    <row r="21" spans="1:27" x14ac:dyDescent="0.25">
      <c r="A21" s="382" t="s">
        <v>3</v>
      </c>
      <c r="B21" s="353"/>
      <c r="C21" s="353"/>
      <c r="D21" s="354">
        <v>159.44</v>
      </c>
      <c r="E21" s="354">
        <v>189.1</v>
      </c>
      <c r="F21" s="354">
        <v>374.33</v>
      </c>
      <c r="G21" s="365">
        <v>1067.01</v>
      </c>
      <c r="H21" s="353"/>
      <c r="I21" s="353"/>
      <c r="J21" s="383">
        <v>1470.12</v>
      </c>
      <c r="K21" s="353">
        <v>2065</v>
      </c>
      <c r="L21" s="353">
        <v>3895</v>
      </c>
      <c r="M21" s="353">
        <v>5300</v>
      </c>
      <c r="O21" s="305"/>
      <c r="P21" s="362"/>
      <c r="Q21" s="362"/>
      <c r="R21" s="363"/>
      <c r="S21" s="363"/>
      <c r="T21" s="363"/>
      <c r="U21" s="363"/>
      <c r="V21" s="363"/>
      <c r="W21" s="363"/>
      <c r="X21" s="364"/>
      <c r="Y21" s="363"/>
      <c r="Z21" s="81"/>
      <c r="AA21" s="81"/>
    </row>
    <row r="22" spans="1:27" x14ac:dyDescent="0.25">
      <c r="A22" s="382" t="s">
        <v>561</v>
      </c>
      <c r="B22" s="384">
        <v>7.9600000000000004E-2</v>
      </c>
      <c r="C22" s="384">
        <v>1.4456</v>
      </c>
      <c r="D22" s="384">
        <v>6.6925999999999997</v>
      </c>
      <c r="E22" s="384">
        <v>7.3834</v>
      </c>
      <c r="F22" s="384">
        <v>11.3624799</v>
      </c>
      <c r="G22" s="385">
        <v>14.617599999999999</v>
      </c>
      <c r="H22" s="385">
        <v>0</v>
      </c>
      <c r="I22" s="385"/>
      <c r="J22" s="386">
        <v>45.54</v>
      </c>
      <c r="K22" s="384">
        <v>66.08</v>
      </c>
      <c r="L22" s="384">
        <v>124.64</v>
      </c>
      <c r="M22" s="384">
        <v>169.6</v>
      </c>
      <c r="O22" s="306" t="s">
        <v>562</v>
      </c>
      <c r="P22" s="378" t="s">
        <v>465</v>
      </c>
      <c r="Q22" s="378">
        <f>C15/AVERAGE(B19:C19)</f>
        <v>-9.6533675948504816E-2</v>
      </c>
      <c r="R22" s="378">
        <f>D15/AVERAGE(C19:D19)</f>
        <v>-8.3254530158180004E-2</v>
      </c>
      <c r="S22" s="378">
        <f>E15/AVERAGE(D19,E19)</f>
        <v>-8.4500436322740138E-2</v>
      </c>
      <c r="T22" s="378">
        <f>F15/AVERAGE(E19,F19)</f>
        <v>-4.4011667099555563E-2</v>
      </c>
      <c r="U22" s="378">
        <f>G15/AVERAGE(F19,G19)</f>
        <v>1.3739022927934764E-2</v>
      </c>
      <c r="V22" s="378">
        <f>H15/AVERAGE(G19:H19)</f>
        <v>-2.2006856746083409E-3</v>
      </c>
      <c r="W22" s="378">
        <f>I15/AVERAGE(H19:I19)</f>
        <v>9.9617883529689016E-3</v>
      </c>
      <c r="X22" s="387">
        <f>J15/AVERAGE(G19,J19)*12/9</f>
        <v>2.4558193795597507E-2</v>
      </c>
      <c r="Y22" s="378">
        <f>K15/AVERAGE(G19,K19)</f>
        <v>2.8792493221167378E-2</v>
      </c>
      <c r="Z22" s="378" t="e">
        <f>L15/AVERAGE(K19,L19)</f>
        <v>#DIV/0!</v>
      </c>
      <c r="AA22" s="378" t="e">
        <f>M15/AVERAGE(L19,M19)</f>
        <v>#DIV/0!</v>
      </c>
    </row>
    <row r="23" spans="1:27" x14ac:dyDescent="0.25">
      <c r="A23" s="382" t="s">
        <v>563</v>
      </c>
      <c r="B23" s="384">
        <v>7.9600000000000004E-2</v>
      </c>
      <c r="C23" s="384">
        <v>1.0842000000000001</v>
      </c>
      <c r="D23" s="384">
        <v>3.7108999999999996</v>
      </c>
      <c r="E23" s="384">
        <v>4.2613000000000003</v>
      </c>
      <c r="F23" s="384">
        <v>7.6614000000000004</v>
      </c>
      <c r="G23" s="385">
        <v>8.0922999999999998</v>
      </c>
      <c r="H23" s="385">
        <v>0</v>
      </c>
      <c r="I23" s="385"/>
      <c r="J23" s="386">
        <v>35.25</v>
      </c>
      <c r="K23" s="384">
        <v>30.98</v>
      </c>
      <c r="L23" s="384">
        <v>58.43</v>
      </c>
      <c r="M23" s="384">
        <v>79.5</v>
      </c>
      <c r="O23" s="306" t="s">
        <v>564</v>
      </c>
      <c r="P23" s="378" t="s">
        <v>465</v>
      </c>
      <c r="Q23" s="378">
        <f t="shared" ref="Q23:W23" si="12">C15/AVERAGE(B17,C17)</f>
        <v>-26.972402736334018</v>
      </c>
      <c r="R23" s="378">
        <f t="shared" si="12"/>
        <v>-0.485996754701014</v>
      </c>
      <c r="S23" s="378">
        <f t="shared" si="12"/>
        <v>-0.27005715238429145</v>
      </c>
      <c r="T23" s="378">
        <f t="shared" si="12"/>
        <v>-0.11724442224713975</v>
      </c>
      <c r="U23" s="378">
        <f t="shared" si="12"/>
        <v>3.7168881760172558E-2</v>
      </c>
      <c r="V23" s="378">
        <f t="shared" si="12"/>
        <v>-6.7179304348489611E-3</v>
      </c>
      <c r="W23" s="378">
        <f t="shared" si="12"/>
        <v>3.3984969025119764E-2</v>
      </c>
      <c r="X23" s="387">
        <f>J15/AVERAGE(G17,J17)*12/9</f>
        <v>8.4423093333970967E-2</v>
      </c>
      <c r="Y23" s="378">
        <f>K15/AVERAGE(G17,K17)</f>
        <v>8.1779890243209308E-2</v>
      </c>
      <c r="Z23" s="378">
        <f>L15/AVERAGE(K17,L17)</f>
        <v>0.11809163911195088</v>
      </c>
      <c r="AA23" s="378">
        <f>M15/AVERAGE(L17,M17)</f>
        <v>0.12531328320802004</v>
      </c>
    </row>
    <row r="24" spans="1:27" x14ac:dyDescent="0.25">
      <c r="A24" s="6" t="s">
        <v>61</v>
      </c>
      <c r="B24" s="388"/>
      <c r="C24" s="388"/>
      <c r="D24" s="388">
        <v>0</v>
      </c>
      <c r="E24" s="388"/>
      <c r="F24" s="388"/>
      <c r="G24" s="384">
        <v>7.0369000000000002</v>
      </c>
      <c r="H24" s="384"/>
      <c r="I24" s="384"/>
      <c r="J24" s="384"/>
      <c r="K24" s="384"/>
      <c r="L24" s="389"/>
      <c r="M24" s="389"/>
      <c r="O24" s="305" t="s">
        <v>33</v>
      </c>
      <c r="P24" s="362"/>
      <c r="Q24" s="362"/>
      <c r="R24" s="363"/>
      <c r="S24" s="363"/>
      <c r="T24" s="363"/>
      <c r="U24" s="363"/>
      <c r="V24" s="363"/>
      <c r="W24" s="363"/>
      <c r="X24" s="364"/>
      <c r="Y24" s="363"/>
      <c r="Z24" s="81"/>
      <c r="AA24" s="81"/>
    </row>
    <row r="25" spans="1:27" x14ac:dyDescent="0.25">
      <c r="F25" s="205">
        <f>+F20/F19</f>
        <v>0.70581655156004675</v>
      </c>
      <c r="O25" s="306" t="s">
        <v>386</v>
      </c>
      <c r="P25" s="390">
        <f>B7/B20</f>
        <v>9.5360582325940982E-2</v>
      </c>
      <c r="Q25" s="390">
        <f t="shared" ref="Q25:W25" si="13">C7/AVERAGE(B20,C20)</f>
        <v>0.21117256339128015</v>
      </c>
      <c r="R25" s="390">
        <f t="shared" si="13"/>
        <v>0.26638929635779968</v>
      </c>
      <c r="S25" s="390">
        <f t="shared" si="13"/>
        <v>0.18322647140241738</v>
      </c>
      <c r="T25" s="390">
        <f t="shared" si="13"/>
        <v>0.19725975834552223</v>
      </c>
      <c r="U25" s="390">
        <f t="shared" si="13"/>
        <v>0.19028816949558477</v>
      </c>
      <c r="V25" s="390">
        <f t="shared" si="13"/>
        <v>0.12525177331810206</v>
      </c>
      <c r="W25" s="390">
        <f t="shared" si="13"/>
        <v>0.13465007282755326</v>
      </c>
      <c r="X25" s="391">
        <f>J7/AVERAGE(G20,J20)*12/9</f>
        <v>0.26865201580929865</v>
      </c>
      <c r="Y25" s="390">
        <f>K7/AVERAGE(G20,K20)</f>
        <v>0.29933408567507841</v>
      </c>
      <c r="Z25" s="390">
        <f>L7/AVERAGE(K20,L20)</f>
        <v>0.2580852775543041</v>
      </c>
      <c r="AA25" s="390">
        <f>M7/AVERAGE(L20,M20)</f>
        <v>0.28620888632429314</v>
      </c>
    </row>
    <row r="26" spans="1:27" x14ac:dyDescent="0.25">
      <c r="A26" s="6" t="s">
        <v>565</v>
      </c>
      <c r="B26" s="81"/>
      <c r="C26" s="81"/>
      <c r="D26" s="81"/>
      <c r="E26" s="81"/>
      <c r="F26" s="81"/>
      <c r="G26" s="392"/>
      <c r="H26" s="392"/>
      <c r="I26" s="392"/>
      <c r="J26" s="392"/>
      <c r="K26" s="392"/>
      <c r="L26" s="393"/>
      <c r="M26" s="393"/>
      <c r="O26" s="306" t="s">
        <v>387</v>
      </c>
      <c r="P26" s="378">
        <v>0</v>
      </c>
      <c r="Q26" s="394">
        <f>C8/C18</f>
        <v>0.10322785468359144</v>
      </c>
      <c r="R26" s="394">
        <f>D8/D18</f>
        <v>0.387171973573807</v>
      </c>
      <c r="S26" s="394">
        <f>E8/AVERAGE(E18,D18)</f>
        <v>0.16383404713761002</v>
      </c>
      <c r="T26" s="394">
        <f>F8/AVERAGE(F18,E18)</f>
        <v>0.14945588972287993</v>
      </c>
      <c r="U26" s="394">
        <f>G8/AVERAGE(G18,F18)</f>
        <v>6.5619309736214451E-2</v>
      </c>
      <c r="V26" s="394">
        <f>H8/AVERAGE(H18,G18)</f>
        <v>4.0680878746358708E-2</v>
      </c>
      <c r="W26" s="394">
        <f>I8/AVERAGE(I18,H18)</f>
        <v>6.3357295925054027E-2</v>
      </c>
      <c r="X26" s="395">
        <f>J8/AVERAGE(J18,G18)*12/9</f>
        <v>0.1242717470509863</v>
      </c>
      <c r="Y26" s="394">
        <f>K8/AVERAGE(K18,G18)</f>
        <v>0.10458839406207827</v>
      </c>
      <c r="Z26" s="394">
        <f>L8/AVERAGE(L18,K18)</f>
        <v>0.14998832872276496</v>
      </c>
      <c r="AA26" s="394">
        <f>M8/AVERAGE(M18,L18)</f>
        <v>0.11821124029150254</v>
      </c>
    </row>
    <row r="27" spans="1:27" x14ac:dyDescent="0.25">
      <c r="A27" s="12" t="s">
        <v>566</v>
      </c>
      <c r="B27" s="396"/>
      <c r="C27" s="396"/>
      <c r="D27" s="396"/>
      <c r="E27" s="396">
        <v>597.9</v>
      </c>
      <c r="F27" s="396">
        <v>641.13</v>
      </c>
      <c r="G27" s="396"/>
      <c r="H27" s="396"/>
      <c r="I27" s="396"/>
      <c r="J27" s="396"/>
      <c r="K27" s="396" t="s">
        <v>567</v>
      </c>
      <c r="L27" s="396"/>
      <c r="M27" s="396"/>
      <c r="O27" s="306" t="s">
        <v>36</v>
      </c>
      <c r="P27" s="378">
        <f t="shared" ref="P27:AA27" si="14">P25-P26</f>
        <v>9.5360582325940982E-2</v>
      </c>
      <c r="Q27" s="378">
        <f t="shared" si="14"/>
        <v>0.10794470870768871</v>
      </c>
      <c r="R27" s="378">
        <f t="shared" si="14"/>
        <v>-0.12078267721600733</v>
      </c>
      <c r="S27" s="378">
        <f t="shared" si="14"/>
        <v>1.9392424264807362E-2</v>
      </c>
      <c r="T27" s="378">
        <f t="shared" si="14"/>
        <v>4.7803868622642298E-2</v>
      </c>
      <c r="U27" s="378">
        <f t="shared" si="14"/>
        <v>0.12466885975937032</v>
      </c>
      <c r="V27" s="378">
        <f t="shared" si="14"/>
        <v>8.4570894571743355E-2</v>
      </c>
      <c r="W27" s="378">
        <f t="shared" si="14"/>
        <v>7.129277690249923E-2</v>
      </c>
      <c r="X27" s="387">
        <f t="shared" si="14"/>
        <v>0.14438026875831234</v>
      </c>
      <c r="Y27" s="378">
        <f t="shared" si="14"/>
        <v>0.19474569161300015</v>
      </c>
      <c r="Z27" s="378">
        <f t="shared" si="14"/>
        <v>0.10809694883153914</v>
      </c>
      <c r="AA27" s="378">
        <f t="shared" si="14"/>
        <v>0.1679976460327906</v>
      </c>
    </row>
    <row r="28" spans="1:27" x14ac:dyDescent="0.25">
      <c r="A28" s="12" t="s">
        <v>568</v>
      </c>
      <c r="D28" s="397"/>
      <c r="E28" s="397">
        <v>70.55</v>
      </c>
      <c r="F28" s="397">
        <v>77.998000000000005</v>
      </c>
      <c r="K28" s="397"/>
      <c r="L28" s="397"/>
      <c r="M28" s="397"/>
      <c r="O28" s="398" t="s">
        <v>22</v>
      </c>
      <c r="P28" s="236">
        <f>+B14/B20</f>
        <v>5.7020561559201419E-3</v>
      </c>
      <c r="Q28" s="236">
        <f t="shared" ref="Q28:W28" si="15">+C14/AVERAGE(C20,B20)</f>
        <v>1.9236275702491582E-3</v>
      </c>
      <c r="R28" s="236">
        <f t="shared" si="15"/>
        <v>7.0454210695167746E-2</v>
      </c>
      <c r="S28" s="332">
        <f>+E14/AVERAGE(E21,D21)</f>
        <v>4.7542893211683021E-2</v>
      </c>
      <c r="T28" s="332">
        <f>+F14/AVERAGE(F21,E21)</f>
        <v>4.2841808210425429E-2</v>
      </c>
      <c r="U28" s="332">
        <f>+G14/AVERAGE(G21,F21)</f>
        <v>2.4179305368615317E-2</v>
      </c>
      <c r="V28" s="332">
        <f t="shared" si="15"/>
        <v>3.1347271373624329E-2</v>
      </c>
      <c r="W28" s="332">
        <f t="shared" si="15"/>
        <v>2.7596903438437903E-2</v>
      </c>
      <c r="X28" s="332">
        <f>+J14/AVERAGE(J21,G21)*12/9</f>
        <v>3.0886342704814759E-2</v>
      </c>
      <c r="Y28" s="83">
        <f>+K14/AVERAGE(K21,G21)</f>
        <v>2.24201072154942E-2</v>
      </c>
      <c r="Z28" s="83">
        <f>+L14/AVERAGE(L21,K21)</f>
        <v>2.2221476510067114E-2</v>
      </c>
      <c r="AA28" s="83">
        <f>+M14/AVERAGE(M21,L21)</f>
        <v>1.9597607395323544E-2</v>
      </c>
    </row>
    <row r="30" spans="1:27" x14ac:dyDescent="0.25">
      <c r="F30" s="205">
        <f>G16-F16</f>
        <v>122.5117</v>
      </c>
      <c r="K30" s="204">
        <f>(K7-G7)/G7</f>
        <v>2.5556800272373326</v>
      </c>
      <c r="L30" s="204">
        <f>(L7-K7)/K7</f>
        <v>0.54826254826254828</v>
      </c>
      <c r="M30" s="204">
        <f>(M7-L7)/L7</f>
        <v>0.54613466334164584</v>
      </c>
      <c r="S30" s="80">
        <f>S27/S8</f>
        <v>0.19306480376076574</v>
      </c>
      <c r="T30" s="80">
        <f>T27/T8</f>
        <v>0.43192268083176638</v>
      </c>
      <c r="U30" s="80">
        <f>U27/U8</f>
        <v>0.83088297475526574</v>
      </c>
    </row>
    <row r="31" spans="1:27" x14ac:dyDescent="0.25">
      <c r="G31" s="399"/>
      <c r="K31" s="204">
        <f>(K20-G20)/G20</f>
        <v>1.0332759634003312</v>
      </c>
      <c r="L31" s="204">
        <f>(L20-K20)/K20</f>
        <v>0.67887931034482762</v>
      </c>
      <c r="M31" s="204">
        <f>(M20-L20)/L20</f>
        <v>0.22464698331193839</v>
      </c>
    </row>
    <row r="32" spans="1:27" x14ac:dyDescent="0.25">
      <c r="A32" t="s">
        <v>3</v>
      </c>
      <c r="F32" s="400"/>
      <c r="G32" s="401"/>
      <c r="J32" s="401"/>
      <c r="K32" s="205"/>
    </row>
    <row r="33" spans="7:11" x14ac:dyDescent="0.25">
      <c r="G33" s="236"/>
      <c r="H33" s="236"/>
      <c r="I33" s="236"/>
      <c r="J33" s="236"/>
      <c r="K33" s="205"/>
    </row>
    <row r="34" spans="7:11" x14ac:dyDescent="0.25">
      <c r="G34" s="236"/>
      <c r="H34" s="236"/>
      <c r="I34" s="236"/>
      <c r="J34" s="236"/>
    </row>
    <row r="35" spans="7:11" x14ac:dyDescent="0.25">
      <c r="G35" s="308"/>
      <c r="J35" s="308"/>
    </row>
    <row r="40" spans="7:11" x14ac:dyDescent="0.25">
      <c r="J40">
        <f>(36.09+64.28+1369.82+1159.63)/100</f>
        <v>26.298200000000001</v>
      </c>
    </row>
  </sheetData>
  <mergeCells count="1">
    <mergeCell ref="A3:A5"/>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X25"/>
  <sheetViews>
    <sheetView workbookViewId="0">
      <selection activeCell="AG6" sqref="AG6"/>
    </sheetView>
  </sheetViews>
  <sheetFormatPr defaultRowHeight="15" x14ac:dyDescent="0.25"/>
  <cols>
    <col min="1" max="1" width="29" customWidth="1"/>
    <col min="3" max="3" width="11" customWidth="1"/>
    <col min="4" max="4" width="14.85546875" customWidth="1"/>
    <col min="5" max="5" width="13.5703125" customWidth="1"/>
    <col min="6" max="6" width="14.7109375" customWidth="1"/>
    <col min="7" max="8" width="12.42578125" customWidth="1"/>
    <col min="15" max="15" width="27.7109375" customWidth="1"/>
    <col min="16" max="16" width="13" customWidth="1"/>
    <col min="17" max="17" width="14.140625" customWidth="1"/>
    <col min="18" max="18" width="13.28515625" customWidth="1"/>
    <col min="19" max="19" width="13.42578125" customWidth="1"/>
    <col min="20" max="20" width="15.28515625" customWidth="1"/>
  </cols>
  <sheetData>
    <row r="1" spans="1:24" x14ac:dyDescent="0.25">
      <c r="H1" t="s">
        <v>498</v>
      </c>
      <c r="J1" s="772" t="s">
        <v>113</v>
      </c>
      <c r="K1" s="772"/>
      <c r="L1" s="772"/>
    </row>
    <row r="2" spans="1:24" ht="22.5" x14ac:dyDescent="0.25">
      <c r="A2" s="771" t="s">
        <v>4</v>
      </c>
      <c r="B2" s="1" t="s">
        <v>43</v>
      </c>
      <c r="C2" s="1" t="s">
        <v>41</v>
      </c>
      <c r="D2" s="2" t="s">
        <v>44</v>
      </c>
      <c r="E2" s="2" t="s">
        <v>0</v>
      </c>
      <c r="F2" s="3" t="s">
        <v>45</v>
      </c>
      <c r="G2" s="3" t="s">
        <v>42</v>
      </c>
      <c r="H2" s="3" t="s">
        <v>366</v>
      </c>
      <c r="I2" s="3" t="s">
        <v>37</v>
      </c>
      <c r="J2" s="3" t="s">
        <v>38</v>
      </c>
      <c r="K2" s="3" t="s">
        <v>39</v>
      </c>
      <c r="L2" s="3" t="s">
        <v>40</v>
      </c>
      <c r="M2" s="11"/>
      <c r="N2" s="11"/>
      <c r="O2" s="40" t="s">
        <v>6</v>
      </c>
      <c r="P2" s="41" t="s">
        <v>7</v>
      </c>
      <c r="Q2" s="41" t="s">
        <v>8</v>
      </c>
      <c r="R2" s="41" t="s">
        <v>9</v>
      </c>
      <c r="S2" s="40" t="s">
        <v>10</v>
      </c>
      <c r="T2" s="41" t="s">
        <v>90</v>
      </c>
      <c r="U2" s="40" t="s">
        <v>37</v>
      </c>
      <c r="V2" s="41" t="s">
        <v>38</v>
      </c>
      <c r="W2" s="41" t="s">
        <v>39</v>
      </c>
      <c r="X2" s="41" t="s">
        <v>40</v>
      </c>
    </row>
    <row r="3" spans="1:24" x14ac:dyDescent="0.25">
      <c r="A3" s="771"/>
      <c r="B3" s="1" t="s">
        <v>46</v>
      </c>
      <c r="C3" s="4" t="s">
        <v>47</v>
      </c>
      <c r="D3" s="5" t="s">
        <v>47</v>
      </c>
      <c r="E3" s="5" t="s">
        <v>47</v>
      </c>
      <c r="F3" s="1" t="s">
        <v>46</v>
      </c>
      <c r="G3" s="1" t="s">
        <v>46</v>
      </c>
      <c r="H3" s="1" t="s">
        <v>46</v>
      </c>
      <c r="I3" s="1" t="s">
        <v>96</v>
      </c>
      <c r="J3" s="1"/>
      <c r="K3" s="1"/>
      <c r="L3" s="1"/>
      <c r="M3" s="11"/>
      <c r="N3" s="11"/>
      <c r="O3" s="42" t="s">
        <v>11</v>
      </c>
      <c r="P3" s="43">
        <v>0.1046</v>
      </c>
      <c r="Q3" s="44">
        <f>D10/AVERAGE(C23:D23)</f>
        <v>0.51248129345986748</v>
      </c>
      <c r="R3" s="44">
        <f>E10/AVERAGE(D23:E23)</f>
        <v>0.82238234987327929</v>
      </c>
      <c r="S3" s="44">
        <f>F10/AVERAGE(E23:F23)</f>
        <v>0.54868738648782511</v>
      </c>
      <c r="T3" s="44">
        <f>G10/AVERAGE(F23:G23)</f>
        <v>0.33868213804315772</v>
      </c>
      <c r="U3" s="18"/>
      <c r="V3" s="18"/>
      <c r="W3" s="18"/>
      <c r="X3" s="18"/>
    </row>
    <row r="4" spans="1:24" x14ac:dyDescent="0.25">
      <c r="A4" s="771"/>
      <c r="B4" s="1" t="s">
        <v>48</v>
      </c>
      <c r="C4" s="1" t="s">
        <v>48</v>
      </c>
      <c r="D4" s="5" t="s">
        <v>49</v>
      </c>
      <c r="E4" s="5" t="s">
        <v>49</v>
      </c>
      <c r="F4" s="5" t="s">
        <v>49</v>
      </c>
      <c r="G4" s="5" t="s">
        <v>49</v>
      </c>
      <c r="H4" s="5" t="s">
        <v>49</v>
      </c>
      <c r="I4" s="5"/>
      <c r="J4" s="5"/>
      <c r="K4" s="5"/>
      <c r="L4" s="5"/>
      <c r="M4" s="11"/>
      <c r="N4" s="11"/>
      <c r="O4" s="40" t="s">
        <v>12</v>
      </c>
      <c r="P4" s="45"/>
      <c r="Q4" s="45"/>
      <c r="R4" s="45"/>
      <c r="S4" s="46" t="s">
        <v>5</v>
      </c>
      <c r="T4" s="18"/>
      <c r="U4" s="18"/>
      <c r="V4" s="18"/>
      <c r="W4" s="18"/>
      <c r="X4" s="18"/>
    </row>
    <row r="5" spans="1:24" x14ac:dyDescent="0.25">
      <c r="A5" s="6" t="s">
        <v>23</v>
      </c>
      <c r="B5" s="7"/>
      <c r="C5" s="8"/>
      <c r="D5">
        <v>28424.68</v>
      </c>
      <c r="E5">
        <v>28545.43</v>
      </c>
      <c r="F5" s="90">
        <v>40397.019999999997</v>
      </c>
      <c r="G5" s="85">
        <v>48078.89</v>
      </c>
      <c r="H5" s="85">
        <v>41951.82</v>
      </c>
      <c r="I5" s="85"/>
      <c r="J5" s="85"/>
      <c r="K5" s="85"/>
      <c r="L5" s="85"/>
      <c r="M5" s="11"/>
      <c r="N5" s="11"/>
      <c r="O5" s="42" t="s">
        <v>13</v>
      </c>
      <c r="P5" s="46">
        <v>4.2699999999999996</v>
      </c>
      <c r="Q5" s="47">
        <f>D21/D20</f>
        <v>5.1427333539087482E-2</v>
      </c>
      <c r="R5" s="47">
        <f>E21/E20</f>
        <v>6.0374034838722439E-2</v>
      </c>
      <c r="S5" s="47">
        <f>F21/F20</f>
        <v>7.7890162841224436E-2</v>
      </c>
      <c r="T5" s="47">
        <f>G21/G20</f>
        <v>0.13740042996193211</v>
      </c>
      <c r="U5" s="18"/>
      <c r="V5" s="18"/>
      <c r="W5" s="18"/>
      <c r="X5" s="18"/>
    </row>
    <row r="6" spans="1:24" x14ac:dyDescent="0.25">
      <c r="A6" s="6" t="s">
        <v>50</v>
      </c>
      <c r="B6" s="7"/>
      <c r="C6" s="8"/>
      <c r="D6" s="87">
        <v>3062.98</v>
      </c>
      <c r="E6" s="85">
        <v>3210.77</v>
      </c>
      <c r="F6" s="85">
        <v>3791.91</v>
      </c>
      <c r="G6" s="85">
        <v>6073.51</v>
      </c>
      <c r="H6" s="85">
        <v>7180</v>
      </c>
      <c r="I6" s="85"/>
      <c r="J6" s="85"/>
      <c r="K6" s="85"/>
      <c r="L6" s="85"/>
      <c r="M6" s="11"/>
      <c r="N6" s="11"/>
      <c r="O6" s="42" t="s">
        <v>14</v>
      </c>
      <c r="P6" s="43"/>
      <c r="Q6" s="43">
        <v>0.13980000000000001</v>
      </c>
      <c r="R6" s="43">
        <v>0.17979999999999999</v>
      </c>
      <c r="S6" s="43">
        <v>0.18729999999999999</v>
      </c>
      <c r="T6" s="48">
        <v>0.23400000000000001</v>
      </c>
      <c r="U6" s="48"/>
      <c r="V6" s="18"/>
      <c r="W6" s="18"/>
      <c r="X6" s="18"/>
    </row>
    <row r="7" spans="1:24" x14ac:dyDescent="0.25">
      <c r="A7" s="6" t="s">
        <v>51</v>
      </c>
      <c r="B7" s="7"/>
      <c r="C7" s="8"/>
      <c r="D7" s="87"/>
      <c r="E7" s="85"/>
      <c r="F7" s="85">
        <v>0</v>
      </c>
      <c r="G7" s="85">
        <v>0</v>
      </c>
      <c r="H7" s="85"/>
      <c r="I7" s="85"/>
      <c r="J7" s="85"/>
      <c r="K7" s="85"/>
      <c r="L7" s="85"/>
      <c r="M7" s="11"/>
      <c r="N7" s="11"/>
      <c r="O7" s="42" t="s">
        <v>15</v>
      </c>
      <c r="P7" s="43">
        <v>0.19719999999999999</v>
      </c>
      <c r="Q7" s="44">
        <f>D20/D23</f>
        <v>7.3848927250129544</v>
      </c>
      <c r="R7" s="44">
        <f>E20/E23</f>
        <v>23.747326780453115</v>
      </c>
      <c r="S7" s="44">
        <f>F20/F23</f>
        <v>4.1714749255654597</v>
      </c>
      <c r="T7" s="44">
        <f>G20/G23</f>
        <v>2.5947681000432716</v>
      </c>
      <c r="U7" s="18"/>
      <c r="V7" s="18"/>
      <c r="W7" s="18"/>
      <c r="X7" s="18"/>
    </row>
    <row r="8" spans="1:24" x14ac:dyDescent="0.25">
      <c r="A8" s="6" t="s">
        <v>52</v>
      </c>
      <c r="B8" s="7"/>
      <c r="C8" s="8"/>
      <c r="D8" s="85">
        <f t="shared" ref="D8:I8" si="0">D5-D6-D7</f>
        <v>25361.7</v>
      </c>
      <c r="E8" s="85">
        <f t="shared" si="0"/>
        <v>25334.66</v>
      </c>
      <c r="F8" s="85">
        <f t="shared" si="0"/>
        <v>36605.11</v>
      </c>
      <c r="G8" s="85">
        <f t="shared" si="0"/>
        <v>42005.38</v>
      </c>
      <c r="H8" s="85">
        <f t="shared" si="0"/>
        <v>34771.82</v>
      </c>
      <c r="I8" s="85">
        <f t="shared" si="0"/>
        <v>0</v>
      </c>
      <c r="J8" s="85"/>
      <c r="K8" s="85"/>
      <c r="L8" s="85"/>
      <c r="M8" s="11"/>
      <c r="N8" s="11"/>
      <c r="O8" s="40" t="s">
        <v>16</v>
      </c>
      <c r="P8" s="45"/>
      <c r="Q8" s="45"/>
      <c r="R8" s="45"/>
      <c r="S8" s="46" t="s">
        <v>5</v>
      </c>
      <c r="T8" s="18"/>
      <c r="U8" s="18"/>
      <c r="V8" s="18"/>
      <c r="W8" s="18"/>
      <c r="X8" s="18"/>
    </row>
    <row r="9" spans="1:24" ht="33.75" x14ac:dyDescent="0.25">
      <c r="A9" s="6" t="s">
        <v>24</v>
      </c>
      <c r="B9" s="7"/>
      <c r="C9" s="7"/>
      <c r="D9" s="88">
        <v>234.36</v>
      </c>
      <c r="E9" s="85">
        <v>293.64</v>
      </c>
      <c r="F9" s="85">
        <v>302.56</v>
      </c>
      <c r="G9" s="85">
        <v>515.55999999999995</v>
      </c>
      <c r="H9" s="85">
        <v>803.19</v>
      </c>
      <c r="I9" s="85"/>
      <c r="J9" s="85"/>
      <c r="K9" s="85"/>
      <c r="L9" s="85"/>
      <c r="M9" s="11"/>
      <c r="N9" s="11"/>
      <c r="O9" s="49" t="s">
        <v>93</v>
      </c>
      <c r="P9" s="45"/>
      <c r="Q9" s="45"/>
      <c r="R9" s="50">
        <f>D14/(D11-D9)</f>
        <v>0.81968136580216178</v>
      </c>
      <c r="S9" s="50">
        <f>E14/(E11-E9)</f>
        <v>0.78246546502009251</v>
      </c>
      <c r="T9" s="50">
        <f>F14/(F11-F9)</f>
        <v>0</v>
      </c>
      <c r="U9" s="18"/>
      <c r="V9" s="18"/>
      <c r="W9" s="18"/>
      <c r="X9" s="18"/>
    </row>
    <row r="10" spans="1:24" ht="22.5" x14ac:dyDescent="0.25">
      <c r="A10" s="6" t="s">
        <v>53</v>
      </c>
      <c r="B10" s="10">
        <f t="shared" ref="B10:I10" si="1">B6-B9</f>
        <v>0</v>
      </c>
      <c r="C10" s="10">
        <f t="shared" si="1"/>
        <v>0</v>
      </c>
      <c r="D10" s="89">
        <f t="shared" si="1"/>
        <v>2828.62</v>
      </c>
      <c r="E10" s="89">
        <f t="shared" si="1"/>
        <v>2917.13</v>
      </c>
      <c r="F10" s="89">
        <f t="shared" si="1"/>
        <v>3489.35</v>
      </c>
      <c r="G10" s="89">
        <f t="shared" si="1"/>
        <v>5557.9500000000007</v>
      </c>
      <c r="H10" s="89">
        <f>H6-H9</f>
        <v>6376.8099999999995</v>
      </c>
      <c r="I10" s="89">
        <f t="shared" si="1"/>
        <v>0</v>
      </c>
      <c r="J10" s="89"/>
      <c r="K10" s="89"/>
      <c r="L10" s="89"/>
      <c r="M10" s="11"/>
      <c r="N10" s="11"/>
      <c r="O10" s="42" t="s">
        <v>92</v>
      </c>
      <c r="P10" s="43">
        <v>0.39960000000000001</v>
      </c>
      <c r="Q10" s="44">
        <f>D14/D11</f>
        <v>0.81292313581014797</v>
      </c>
      <c r="R10" s="44">
        <f>E14/E11</f>
        <v>0.7744164302306884</v>
      </c>
      <c r="S10" s="44">
        <f>F14/F11</f>
        <v>0</v>
      </c>
      <c r="T10" s="44">
        <f>G14/G11</f>
        <v>0.591455626367414</v>
      </c>
      <c r="U10" s="18"/>
      <c r="V10" s="18"/>
      <c r="W10" s="18"/>
      <c r="X10" s="18"/>
    </row>
    <row r="11" spans="1:24" ht="22.5" x14ac:dyDescent="0.25">
      <c r="A11" s="6" t="s">
        <v>1</v>
      </c>
      <c r="B11" s="10">
        <f>B5-B9</f>
        <v>0</v>
      </c>
      <c r="C11" s="10">
        <f t="shared" ref="C11:I11" si="2">SUM(C6:C8)</f>
        <v>0</v>
      </c>
      <c r="D11" s="89">
        <f t="shared" si="2"/>
        <v>28424.68</v>
      </c>
      <c r="E11" s="89">
        <f t="shared" si="2"/>
        <v>28545.43</v>
      </c>
      <c r="F11" s="89">
        <f>SUM(F6:F8)</f>
        <v>40397.020000000004</v>
      </c>
      <c r="G11" s="89">
        <f>SUM(G6:G8)</f>
        <v>48078.89</v>
      </c>
      <c r="H11" s="89">
        <f>SUM(H6:H8)</f>
        <v>41951.82</v>
      </c>
      <c r="I11" s="89">
        <f t="shared" si="2"/>
        <v>0</v>
      </c>
      <c r="J11" s="89"/>
      <c r="K11" s="89"/>
      <c r="L11" s="89"/>
      <c r="M11" s="11"/>
      <c r="N11" s="11"/>
      <c r="O11" s="42" t="s">
        <v>17</v>
      </c>
      <c r="P11" s="43">
        <v>5.4600000000000003E-2</v>
      </c>
      <c r="Q11" s="44">
        <f>D14/AVERAGE(C22:D22)</f>
        <v>0.31986739675601567</v>
      </c>
      <c r="R11" s="44">
        <f>E14/AVERAGE(D22:E22)</f>
        <v>0.30838545388192878</v>
      </c>
      <c r="S11" s="44">
        <f>F14/AVERAGE(E22:F22)</f>
        <v>0</v>
      </c>
      <c r="T11" s="44">
        <f>G14/AVERAGE(F22:G22)</f>
        <v>0.26139093214841264</v>
      </c>
      <c r="U11" s="18"/>
      <c r="V11" s="18"/>
      <c r="W11" s="18"/>
      <c r="X11" s="18"/>
    </row>
    <row r="12" spans="1:24" x14ac:dyDescent="0.25">
      <c r="A12" s="6" t="s">
        <v>91</v>
      </c>
      <c r="B12" s="10"/>
      <c r="C12" s="10"/>
      <c r="D12" s="89">
        <v>117.3</v>
      </c>
      <c r="E12" s="89">
        <v>142.19</v>
      </c>
      <c r="F12" s="89">
        <v>210.78</v>
      </c>
      <c r="G12" s="89">
        <v>175.63</v>
      </c>
      <c r="H12" s="89">
        <v>827.32</v>
      </c>
      <c r="I12" s="89"/>
      <c r="J12" s="89"/>
      <c r="K12" s="89"/>
      <c r="L12" s="89"/>
      <c r="M12" s="11"/>
      <c r="N12" s="11"/>
      <c r="O12" s="40" t="s">
        <v>18</v>
      </c>
      <c r="P12" s="45"/>
      <c r="Q12" s="45"/>
      <c r="R12" s="45"/>
      <c r="S12" s="46" t="s">
        <v>5</v>
      </c>
      <c r="T12" s="18"/>
      <c r="U12" s="18"/>
      <c r="V12" s="18"/>
      <c r="W12" s="53"/>
      <c r="X12" s="54"/>
    </row>
    <row r="13" spans="1:24" x14ac:dyDescent="0.25">
      <c r="A13" s="6" t="s">
        <v>25</v>
      </c>
      <c r="B13" s="7"/>
      <c r="C13" s="7"/>
      <c r="D13" s="88">
        <f t="shared" ref="D13:I13" si="3">D11+D12</f>
        <v>28541.98</v>
      </c>
      <c r="E13" s="88">
        <f t="shared" si="3"/>
        <v>28687.62</v>
      </c>
      <c r="F13" s="88">
        <f t="shared" si="3"/>
        <v>40607.800000000003</v>
      </c>
      <c r="G13" s="88">
        <f t="shared" si="3"/>
        <v>48254.52</v>
      </c>
      <c r="H13" s="88">
        <f t="shared" si="3"/>
        <v>42779.14</v>
      </c>
      <c r="I13" s="88">
        <f t="shared" si="3"/>
        <v>0</v>
      </c>
      <c r="J13" s="88"/>
      <c r="K13" s="88"/>
      <c r="L13" s="88"/>
      <c r="M13" s="11"/>
      <c r="N13" s="11"/>
      <c r="O13" s="42" t="s">
        <v>19</v>
      </c>
      <c r="P13" s="43">
        <v>1.52E-2</v>
      </c>
      <c r="Q13" s="44">
        <f>D24/D23</f>
        <v>0</v>
      </c>
      <c r="R13" s="44">
        <f>E24/E23</f>
        <v>0</v>
      </c>
      <c r="S13" s="44">
        <f>F24/F23</f>
        <v>0</v>
      </c>
      <c r="T13" s="44">
        <f>G24/G23</f>
        <v>0</v>
      </c>
      <c r="U13" s="48"/>
      <c r="V13" s="18"/>
      <c r="W13" s="18"/>
      <c r="X13" s="18"/>
    </row>
    <row r="14" spans="1:24" x14ac:dyDescent="0.25">
      <c r="A14" s="6" t="s">
        <v>26</v>
      </c>
      <c r="B14" s="7"/>
      <c r="C14" s="7"/>
      <c r="D14" s="85">
        <f>4974.66+10542.46+1955.37+5634.59</f>
        <v>23107.079999999998</v>
      </c>
      <c r="E14" s="85">
        <f>4612.99+10131.05+2367.48+4994.53</f>
        <v>22106.05</v>
      </c>
      <c r="F14" s="85">
        <f>'Geojit Financial services'!A39</f>
        <v>0</v>
      </c>
      <c r="G14" s="85">
        <f>7827.78+12887.82+2361.02+5359.91</f>
        <v>28436.53</v>
      </c>
      <c r="H14" s="85">
        <f>6256.4+14743.85+2769.87+6871.16</f>
        <v>30641.279999999999</v>
      </c>
      <c r="I14" s="85"/>
      <c r="J14" s="85"/>
      <c r="K14" s="85"/>
      <c r="L14" s="85"/>
      <c r="M14" s="11"/>
      <c r="N14" s="11"/>
      <c r="O14" s="42" t="s">
        <v>20</v>
      </c>
      <c r="P14" s="43">
        <v>4.7000000000000002E-3</v>
      </c>
      <c r="Q14" s="44">
        <f>D25/D23</f>
        <v>0</v>
      </c>
      <c r="R14" s="44">
        <f>E25/E23</f>
        <v>0</v>
      </c>
      <c r="S14" s="44">
        <f>F25/F23</f>
        <v>0</v>
      </c>
      <c r="T14" s="44">
        <f>G25/G23</f>
        <v>0</v>
      </c>
      <c r="U14" s="48"/>
      <c r="V14" s="18"/>
      <c r="W14" s="18"/>
      <c r="X14" s="18"/>
    </row>
    <row r="15" spans="1:24" x14ac:dyDescent="0.25">
      <c r="A15" s="6" t="s">
        <v>54</v>
      </c>
      <c r="B15" s="10"/>
      <c r="C15" s="10"/>
      <c r="D15" s="89">
        <f t="shared" ref="D15:I15" si="4">D11-D14</f>
        <v>5317.6000000000022</v>
      </c>
      <c r="E15" s="89">
        <f t="shared" si="4"/>
        <v>6439.380000000001</v>
      </c>
      <c r="F15" s="89">
        <f t="shared" si="4"/>
        <v>40397.020000000004</v>
      </c>
      <c r="G15" s="89">
        <f t="shared" si="4"/>
        <v>19642.36</v>
      </c>
      <c r="H15" s="89">
        <f t="shared" si="4"/>
        <v>11310.54</v>
      </c>
      <c r="I15" s="89">
        <f t="shared" si="4"/>
        <v>0</v>
      </c>
      <c r="J15" s="89"/>
      <c r="K15" s="89"/>
      <c r="L15" s="89"/>
      <c r="M15" s="11"/>
      <c r="N15" s="11"/>
      <c r="O15" s="42" t="s">
        <v>21</v>
      </c>
      <c r="P15" s="43">
        <v>0.69650000000000001</v>
      </c>
      <c r="Q15" s="44" t="e">
        <f>(Q13-Q14)/Q13</f>
        <v>#DIV/0!</v>
      </c>
      <c r="R15" s="44" t="e">
        <f>(R13-R14)/R13</f>
        <v>#DIV/0!</v>
      </c>
      <c r="S15" s="44" t="e">
        <f>(S13-S14)/S13</f>
        <v>#DIV/0!</v>
      </c>
      <c r="T15" s="44" t="e">
        <f>(T13-T14)/T13</f>
        <v>#DIV/0!</v>
      </c>
      <c r="U15" s="44" t="e">
        <f>(U13-U14)/U13</f>
        <v>#DIV/0!</v>
      </c>
      <c r="V15" s="18"/>
      <c r="W15" s="18"/>
      <c r="X15" s="18"/>
    </row>
    <row r="16" spans="1:24" x14ac:dyDescent="0.25">
      <c r="A16" s="6" t="s">
        <v>94</v>
      </c>
      <c r="B16" s="10"/>
      <c r="C16" s="10"/>
      <c r="D16" s="89">
        <f t="shared" ref="D16:I16" si="5">D13-D14-D9</f>
        <v>5200.5400000000018</v>
      </c>
      <c r="E16" s="89">
        <f t="shared" si="5"/>
        <v>6287.9299999999994</v>
      </c>
      <c r="F16" s="89">
        <f t="shared" si="5"/>
        <v>40305.240000000005</v>
      </c>
      <c r="G16" s="89">
        <f t="shared" si="5"/>
        <v>19302.429999999997</v>
      </c>
      <c r="H16" s="89">
        <f t="shared" si="5"/>
        <v>11334.67</v>
      </c>
      <c r="I16" s="89">
        <f t="shared" si="5"/>
        <v>0</v>
      </c>
      <c r="J16" s="89"/>
      <c r="K16" s="89"/>
      <c r="L16" s="89"/>
      <c r="M16" s="11"/>
      <c r="N16" s="11"/>
      <c r="O16" s="42" t="s">
        <v>22</v>
      </c>
      <c r="P16" s="43">
        <v>1.5699999999999999E-2</v>
      </c>
      <c r="Q16" s="44">
        <f>D17/AVERAGE(C23:D23)</f>
        <v>2.8841589575791835E-2</v>
      </c>
      <c r="R16" s="44">
        <f>E17/AVERAGE(D23:E23)</f>
        <v>1.6286222537966886E-2</v>
      </c>
      <c r="S16" s="44">
        <f>F17/AVERAGE(E23:F23)</f>
        <v>3.092091297203374E-2</v>
      </c>
      <c r="T16" s="44">
        <f>G17/AVERAGE(F23:G23)</f>
        <v>1.1681531115406457E-2</v>
      </c>
      <c r="U16" s="18"/>
      <c r="V16" s="18"/>
      <c r="W16" s="18"/>
      <c r="X16" s="18"/>
    </row>
    <row r="17" spans="1:24" x14ac:dyDescent="0.25">
      <c r="A17" s="6" t="s">
        <v>27</v>
      </c>
      <c r="B17" s="7"/>
      <c r="C17" s="7"/>
      <c r="D17" s="88">
        <v>159.19</v>
      </c>
      <c r="E17" s="85">
        <v>57.77</v>
      </c>
      <c r="F17" s="85">
        <v>196.64</v>
      </c>
      <c r="G17" s="85">
        <v>191.7</v>
      </c>
      <c r="H17" s="85">
        <v>256.17</v>
      </c>
      <c r="I17" s="85"/>
      <c r="J17" s="85"/>
      <c r="K17" s="85"/>
      <c r="L17" s="85"/>
      <c r="M17" s="11"/>
      <c r="N17" s="11"/>
      <c r="O17" s="18"/>
      <c r="P17" s="18"/>
      <c r="Q17" s="18"/>
      <c r="R17" s="18"/>
      <c r="S17" s="18"/>
      <c r="T17" s="18"/>
      <c r="U17" s="18"/>
      <c r="V17" s="18"/>
      <c r="W17" s="18"/>
      <c r="X17" s="18"/>
    </row>
    <row r="18" spans="1:24" x14ac:dyDescent="0.25">
      <c r="A18" s="6" t="s">
        <v>55</v>
      </c>
      <c r="B18" s="7"/>
      <c r="C18" s="7"/>
      <c r="D18" s="88">
        <v>2454.6799999999998</v>
      </c>
      <c r="E18" s="85">
        <v>3774.18</v>
      </c>
      <c r="F18" s="89">
        <v>11411.68</v>
      </c>
      <c r="G18" s="89">
        <v>14298.27</v>
      </c>
      <c r="H18" s="89">
        <v>8955.9500000000007</v>
      </c>
      <c r="I18" s="89"/>
      <c r="J18" s="89"/>
      <c r="K18" s="89"/>
      <c r="L18" s="89"/>
      <c r="M18" s="11"/>
      <c r="N18" s="11"/>
      <c r="O18" s="40" t="s">
        <v>30</v>
      </c>
      <c r="P18" s="45"/>
      <c r="Q18" s="45"/>
      <c r="R18" s="45"/>
      <c r="S18" s="46" t="s">
        <v>5</v>
      </c>
      <c r="T18" s="18"/>
      <c r="U18" s="18"/>
      <c r="V18" s="18"/>
      <c r="W18" s="18"/>
      <c r="X18" s="18"/>
    </row>
    <row r="19" spans="1:24" ht="22.5" x14ac:dyDescent="0.25">
      <c r="A19" s="6" t="s">
        <v>28</v>
      </c>
      <c r="B19" s="7"/>
      <c r="C19" s="7"/>
      <c r="D19" s="88">
        <v>40760.620000000003</v>
      </c>
      <c r="E19" s="85">
        <v>37399.19</v>
      </c>
      <c r="F19" s="85">
        <v>46487</v>
      </c>
      <c r="G19" s="85">
        <v>56246.84</v>
      </c>
      <c r="H19" s="85">
        <v>58062.14</v>
      </c>
      <c r="I19" s="85"/>
      <c r="J19" s="85"/>
      <c r="K19" s="85"/>
      <c r="L19" s="85"/>
      <c r="M19" s="11"/>
      <c r="N19" s="11"/>
      <c r="O19" s="46" t="s">
        <v>95</v>
      </c>
      <c r="P19" s="51"/>
      <c r="Q19" s="51"/>
      <c r="R19" s="52">
        <f>E16/AVERAGE(D22:E22)</f>
        <v>8.7718346200601038E-2</v>
      </c>
      <c r="S19" s="52">
        <f>F16/AVERAGE(E22:F22)</f>
        <v>0.47930059275710429</v>
      </c>
      <c r="T19" s="52">
        <f>G16/AVERAGE(F22:G22)</f>
        <v>0.177429530622389</v>
      </c>
      <c r="U19" s="18"/>
      <c r="V19" s="18"/>
      <c r="W19" s="18"/>
      <c r="X19" s="18"/>
    </row>
    <row r="20" spans="1:24" x14ac:dyDescent="0.25">
      <c r="A20" s="6" t="s">
        <v>56</v>
      </c>
      <c r="B20" s="7"/>
      <c r="C20" s="7"/>
      <c r="D20" s="88">
        <f t="shared" ref="D20:I20" si="6">D19-D71</f>
        <v>40760.620000000003</v>
      </c>
      <c r="E20" s="89">
        <f t="shared" si="6"/>
        <v>37399.19</v>
      </c>
      <c r="F20" s="89">
        <f t="shared" si="6"/>
        <v>46487</v>
      </c>
      <c r="G20" s="89">
        <f t="shared" si="6"/>
        <v>56246.84</v>
      </c>
      <c r="H20" s="89">
        <f t="shared" si="6"/>
        <v>58062.14</v>
      </c>
      <c r="I20" s="89">
        <f t="shared" si="6"/>
        <v>0</v>
      </c>
      <c r="J20" s="89"/>
      <c r="K20" s="89"/>
      <c r="L20" s="89"/>
      <c r="M20" s="11"/>
      <c r="N20" s="11"/>
      <c r="O20" s="42" t="s">
        <v>31</v>
      </c>
      <c r="P20" s="43">
        <v>4.1799999999999997E-2</v>
      </c>
      <c r="Q20" s="43">
        <v>4.4699999999999997E-2</v>
      </c>
      <c r="R20" s="44">
        <f>E18/AVERAGE(D22:E22)</f>
        <v>5.2650845009945151E-2</v>
      </c>
      <c r="S20" s="44">
        <f>F18/AVERAGE(E22:F22)</f>
        <v>0.13570505940057401</v>
      </c>
      <c r="T20" s="44">
        <f>G18/AVERAGE(F22:G22)</f>
        <v>0.1314308786412999</v>
      </c>
      <c r="U20" s="48"/>
      <c r="V20" s="18"/>
      <c r="W20" s="18"/>
      <c r="X20" s="18"/>
    </row>
    <row r="21" spans="1:24" x14ac:dyDescent="0.25">
      <c r="A21" s="6" t="s">
        <v>57</v>
      </c>
      <c r="B21" s="9"/>
      <c r="C21" s="9"/>
      <c r="D21" s="85">
        <v>2096.21</v>
      </c>
      <c r="E21" s="85">
        <v>2257.94</v>
      </c>
      <c r="F21" s="85">
        <f>1500+2120.88</f>
        <v>3620.88</v>
      </c>
      <c r="G21" s="85">
        <f>4825.23+2903.11</f>
        <v>7728.34</v>
      </c>
      <c r="H21" s="85">
        <f>7751.62+3490.12</f>
        <v>11241.74</v>
      </c>
      <c r="I21" s="85"/>
      <c r="J21" s="85"/>
      <c r="K21" s="85"/>
      <c r="L21" s="85"/>
      <c r="M21" s="11"/>
      <c r="N21" s="11"/>
      <c r="O21" s="42" t="s">
        <v>32</v>
      </c>
      <c r="P21" s="43">
        <v>0.21279999999999999</v>
      </c>
      <c r="Q21" s="44">
        <f>D18/AVERAGE(C19:D19)</f>
        <v>6.0221851384988735E-2</v>
      </c>
      <c r="R21" s="44">
        <f>E18/AVERAGE(D19:E19)</f>
        <v>9.657597683515351E-2</v>
      </c>
      <c r="S21" s="44">
        <f>F18/AVERAGE(E19:F19)</f>
        <v>0.27207529630324134</v>
      </c>
      <c r="T21" s="44">
        <f>G18/AVERAGE(F19:G19)</f>
        <v>0.2783556031780765</v>
      </c>
      <c r="U21" s="18"/>
      <c r="V21" s="18"/>
      <c r="W21" s="18"/>
      <c r="X21" s="18"/>
    </row>
    <row r="22" spans="1:24" x14ac:dyDescent="0.25">
      <c r="A22" s="6" t="s">
        <v>29</v>
      </c>
      <c r="B22" s="7"/>
      <c r="C22" s="7"/>
      <c r="D22" s="88">
        <v>72239.56</v>
      </c>
      <c r="E22" s="85">
        <v>71126.8</v>
      </c>
      <c r="F22" s="85">
        <v>97056.76</v>
      </c>
      <c r="G22" s="85">
        <v>120521.79</v>
      </c>
      <c r="H22" s="85">
        <v>109921.43</v>
      </c>
      <c r="I22" s="85"/>
      <c r="J22" s="85"/>
      <c r="K22" s="85"/>
      <c r="L22" s="85"/>
      <c r="M22" s="11"/>
      <c r="N22" s="11"/>
      <c r="O22" s="40" t="s">
        <v>33</v>
      </c>
      <c r="P22" s="45"/>
      <c r="Q22" s="45"/>
      <c r="R22" s="45"/>
      <c r="S22" s="46" t="s">
        <v>5</v>
      </c>
      <c r="T22" s="18"/>
      <c r="U22" s="18"/>
      <c r="V22" s="18"/>
      <c r="W22" s="18"/>
      <c r="X22" s="18"/>
    </row>
    <row r="23" spans="1:24" x14ac:dyDescent="0.25">
      <c r="A23" s="6" t="s">
        <v>58</v>
      </c>
      <c r="B23" s="7"/>
      <c r="C23" s="7"/>
      <c r="D23" s="88">
        <v>5519.46</v>
      </c>
      <c r="E23" s="85">
        <v>1574.88</v>
      </c>
      <c r="F23" s="85">
        <v>11144.02</v>
      </c>
      <c r="G23" s="85">
        <v>21677.02</v>
      </c>
      <c r="H23" s="85">
        <v>24749.25</v>
      </c>
      <c r="I23" s="85"/>
      <c r="J23" s="85"/>
      <c r="K23" s="85"/>
      <c r="L23" s="85"/>
      <c r="M23" s="11"/>
      <c r="N23" s="11"/>
      <c r="O23" s="42" t="s">
        <v>34</v>
      </c>
      <c r="P23" s="43">
        <v>0.17430000000000001</v>
      </c>
      <c r="Q23" s="44">
        <f>D6/AVERAGE(C23:D23)</f>
        <v>0.55494196896073167</v>
      </c>
      <c r="R23" s="44">
        <f>E6/AVERAGE(D23:E23)</f>
        <v>0.90516383483171092</v>
      </c>
      <c r="S23" s="44">
        <f>F6/AVERAGE(E23:F23)</f>
        <v>0.5962638278467477</v>
      </c>
      <c r="T23" s="44">
        <f>G6/AVERAGE(F23:G23)</f>
        <v>0.37009857091670467</v>
      </c>
      <c r="U23" s="18"/>
      <c r="V23" s="18"/>
      <c r="W23" s="18"/>
      <c r="X23" s="18"/>
    </row>
    <row r="24" spans="1:24" x14ac:dyDescent="0.25">
      <c r="A24" s="6" t="s">
        <v>59</v>
      </c>
      <c r="B24" s="10"/>
      <c r="C24" s="10"/>
      <c r="D24" s="89"/>
      <c r="E24" s="89"/>
      <c r="F24" s="89"/>
      <c r="G24" s="89"/>
      <c r="H24" s="89"/>
      <c r="I24" s="89"/>
      <c r="J24" s="89"/>
      <c r="K24" s="89"/>
      <c r="L24" s="89"/>
      <c r="M24" s="11"/>
      <c r="N24" s="11"/>
      <c r="O24" s="42" t="s">
        <v>35</v>
      </c>
      <c r="P24" s="43">
        <v>7.9799999999999996E-2</v>
      </c>
      <c r="Q24" s="44">
        <f>D9/AVERAGE(C21:D21)</f>
        <v>0.11180177558546138</v>
      </c>
      <c r="R24" s="44">
        <f>E9/AVERAGE(D21:E21)</f>
        <v>0.13487821962954882</v>
      </c>
      <c r="S24" s="44">
        <f>F9/AVERAGE(E21:F21)</f>
        <v>0.10293222109198785</v>
      </c>
      <c r="T24" s="44">
        <f>G9/AVERAGE(F21:G21)</f>
        <v>9.0853820791208545E-2</v>
      </c>
      <c r="U24" s="18"/>
      <c r="V24" s="18"/>
      <c r="W24" s="18"/>
      <c r="X24" s="18"/>
    </row>
    <row r="25" spans="1:24" x14ac:dyDescent="0.25">
      <c r="A25" s="6" t="s">
        <v>60</v>
      </c>
      <c r="B25" s="10"/>
      <c r="C25" s="10"/>
      <c r="D25" s="89"/>
      <c r="E25" s="89"/>
      <c r="F25" s="89"/>
      <c r="G25" s="89"/>
      <c r="H25" s="89"/>
      <c r="I25" s="89"/>
      <c r="J25" s="89"/>
      <c r="K25" s="89"/>
      <c r="L25" s="89"/>
      <c r="M25" s="11"/>
      <c r="N25" s="11"/>
      <c r="O25" s="42" t="s">
        <v>36</v>
      </c>
      <c r="P25" s="43">
        <v>9.4600000000000004E-2</v>
      </c>
      <c r="Q25" s="48">
        <f>Q23-Q24</f>
        <v>0.44314019337527027</v>
      </c>
      <c r="R25" s="48">
        <f>R23-R24</f>
        <v>0.7702856152021621</v>
      </c>
      <c r="S25" s="48">
        <f>S23-S24</f>
        <v>0.49333160675475984</v>
      </c>
      <c r="T25" s="48">
        <f>T23-T24</f>
        <v>0.2792447501254961</v>
      </c>
      <c r="U25" s="18"/>
      <c r="V25" s="18"/>
      <c r="W25" s="18"/>
      <c r="X25" s="18"/>
    </row>
  </sheetData>
  <mergeCells count="2">
    <mergeCell ref="A2:A4"/>
    <mergeCell ref="J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119</vt:i4>
      </vt:variant>
    </vt:vector>
  </HeadingPairs>
  <TitlesOfParts>
    <vt:vector size="119" baseType="lpstr">
      <vt:lpstr>NBFC-Vehicle Finance</vt:lpstr>
      <vt:lpstr>NBFC-Educational Loans</vt:lpstr>
      <vt:lpstr>NBFC-Gold Loan</vt:lpstr>
      <vt:lpstr>NBFC-LC</vt:lpstr>
      <vt:lpstr>NBFC-Wholesale</vt:lpstr>
      <vt:lpstr>NBFC-AFC</vt:lpstr>
      <vt:lpstr>NBFC-IFC</vt:lpstr>
      <vt:lpstr>NBFC-HFC</vt:lpstr>
      <vt:lpstr>EdGro Finance</vt:lpstr>
      <vt:lpstr>Hdfc Credila</vt:lpstr>
      <vt:lpstr>Auxilo Finserve </vt:lpstr>
      <vt:lpstr>Avanse Financial</vt:lpstr>
      <vt:lpstr>Kosamattam Finance</vt:lpstr>
      <vt:lpstr>Muthoot MCred</vt:lpstr>
      <vt:lpstr>Muthoot Fincorp</vt:lpstr>
      <vt:lpstr>Muthoot Finance</vt:lpstr>
      <vt:lpstr>Manappuram Finance</vt:lpstr>
      <vt:lpstr>Indostar Capital </vt:lpstr>
      <vt:lpstr>IKF Finance</vt:lpstr>
      <vt:lpstr>Cholamandalam Inv &amp; Fin</vt:lpstr>
      <vt:lpstr>SK Finance</vt:lpstr>
      <vt:lpstr>Shriram Finance</vt:lpstr>
      <vt:lpstr>Veritas Finance</vt:lpstr>
      <vt:lpstr>Oxyzo Financial</vt:lpstr>
      <vt:lpstr>Visage Holdings</vt:lpstr>
      <vt:lpstr>Tata Motors Finance</vt:lpstr>
      <vt:lpstr>M&amp;M financial ser</vt:lpstr>
      <vt:lpstr>MAS Financial Ser</vt:lpstr>
      <vt:lpstr>PNB Housing </vt:lpstr>
      <vt:lpstr>Aavas Financiers</vt:lpstr>
      <vt:lpstr>Repco Home Finance</vt:lpstr>
      <vt:lpstr>Ugro Capital</vt:lpstr>
      <vt:lpstr>Ambit Finvest</vt:lpstr>
      <vt:lpstr>arka fincap</vt:lpstr>
      <vt:lpstr>Aptus Value Housing</vt:lpstr>
      <vt:lpstr>HDFC Ltd</vt:lpstr>
      <vt:lpstr>L&amp;T Finance Hold.</vt:lpstr>
      <vt:lpstr>Capsave Financial</vt:lpstr>
      <vt:lpstr>REC</vt:lpstr>
      <vt:lpstr>Indiabulls Housing</vt:lpstr>
      <vt:lpstr>Vastu Housing</vt:lpstr>
      <vt:lpstr>TVS Credit</vt:lpstr>
      <vt:lpstr>Capital India</vt:lpstr>
      <vt:lpstr>Svatantra Micro Housing</vt:lpstr>
      <vt:lpstr>Ifci</vt:lpstr>
      <vt:lpstr>Muthoot Capital Services</vt:lpstr>
      <vt:lpstr>Sundaram Home fin</vt:lpstr>
      <vt:lpstr>Fedfina</vt:lpstr>
      <vt:lpstr>finova capital</vt:lpstr>
      <vt:lpstr>five star</vt:lpstr>
      <vt:lpstr>Shubham Housing </vt:lpstr>
      <vt:lpstr>Vivriti Capital</vt:lpstr>
      <vt:lpstr>Vistaar Finance</vt:lpstr>
      <vt:lpstr>Power Finance Corporation </vt:lpstr>
      <vt:lpstr>Lic Housing Finance</vt:lpstr>
      <vt:lpstr>PTC India</vt:lpstr>
      <vt:lpstr>irfc</vt:lpstr>
      <vt:lpstr>Northern Arc</vt:lpstr>
      <vt:lpstr>Aptus Finance</vt:lpstr>
      <vt:lpstr>Home Credit</vt:lpstr>
      <vt:lpstr>avendus finance pvt </vt:lpstr>
      <vt:lpstr>Muthoot homefin </vt:lpstr>
      <vt:lpstr>India Infra fin</vt:lpstr>
      <vt:lpstr>Kogta</vt:lpstr>
      <vt:lpstr>Daimler Financial Services</vt:lpstr>
      <vt:lpstr>Hdb Financial</vt:lpstr>
      <vt:lpstr>IFFCO kisan</vt:lpstr>
      <vt:lpstr>IKF Home Finance</vt:lpstr>
      <vt:lpstr>IREDA</vt:lpstr>
      <vt:lpstr>Tata Cleantech</vt:lpstr>
      <vt:lpstr>Tata capital financial srv</vt:lpstr>
      <vt:lpstr>APAC</vt:lpstr>
      <vt:lpstr>shriram housing finance</vt:lpstr>
      <vt:lpstr>profectus capital</vt:lpstr>
      <vt:lpstr>KKR India Asset finance</vt:lpstr>
      <vt:lpstr>Motilal Oswal Home Loans</vt:lpstr>
      <vt:lpstr>India Shelter Home</vt:lpstr>
      <vt:lpstr>Indiabulls Commercial Credit</vt:lpstr>
      <vt:lpstr>PHL finvest</vt:lpstr>
      <vt:lpstr>indostar home finance</vt:lpstr>
      <vt:lpstr>SBFC Finance</vt:lpstr>
      <vt:lpstr>Incred Financial</vt:lpstr>
      <vt:lpstr>Aditya Birla Finance Ltd</vt:lpstr>
      <vt:lpstr>shapoorji pallonji finance</vt:lpstr>
      <vt:lpstr>JM Finance Credit Solutions</vt:lpstr>
      <vt:lpstr>Barclays Investment &amp; Loans</vt:lpstr>
      <vt:lpstr>Aseem Infra</vt:lpstr>
      <vt:lpstr>Bajaj Housing Finance</vt:lpstr>
      <vt:lpstr>Dhani Loans &amp; Adva</vt:lpstr>
      <vt:lpstr>Bajaj Finance (Financials)</vt:lpstr>
      <vt:lpstr>Tata Motors Finance Solutions</vt:lpstr>
      <vt:lpstr> Tata Motors Finance (New)</vt:lpstr>
      <vt:lpstr>Sheet2</vt:lpstr>
      <vt:lpstr>HSBC Investdirect</vt:lpstr>
      <vt:lpstr>Capfloat</vt:lpstr>
      <vt:lpstr>Aviom India Housing</vt:lpstr>
      <vt:lpstr>Mintifi Finserve</vt:lpstr>
      <vt:lpstr>Growth Source (Protium)</vt:lpstr>
      <vt:lpstr>DMI Finance</vt:lpstr>
      <vt:lpstr>Riviera Investors</vt:lpstr>
      <vt:lpstr>LendingKart Finance</vt:lpstr>
      <vt:lpstr>AYE Finance</vt:lpstr>
      <vt:lpstr>NeoGrowth</vt:lpstr>
      <vt:lpstr>Navi Finserv</vt:lpstr>
      <vt:lpstr>Krazybee</vt:lpstr>
      <vt:lpstr>Shriram Transport Finance </vt:lpstr>
      <vt:lpstr>Shriram city Union Finance</vt:lpstr>
      <vt:lpstr>Sundaram Finance</vt:lpstr>
      <vt:lpstr>Piramal Enterprises Limited</vt:lpstr>
      <vt:lpstr>Aditya Birla Housing Finance</vt:lpstr>
      <vt:lpstr>Piramal Capital &amp; Housing</vt:lpstr>
      <vt:lpstr>Home First</vt:lpstr>
      <vt:lpstr>CSL Finance </vt:lpstr>
      <vt:lpstr>Sheet3</vt:lpstr>
      <vt:lpstr>SG Finserve</vt:lpstr>
      <vt:lpstr>Credit Saison</vt:lpstr>
      <vt:lpstr>Ummeed Housing</vt:lpstr>
      <vt:lpstr>Epimoney</vt:lpstr>
      <vt:lpstr>Geojit Financial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Alva</dc:creator>
  <cp:lastModifiedBy>Niravkumar Kukadiya</cp:lastModifiedBy>
  <dcterms:created xsi:type="dcterms:W3CDTF">2022-08-01T04:35:10Z</dcterms:created>
  <dcterms:modified xsi:type="dcterms:W3CDTF">2026-10-01T05:29:15Z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IBL\ibl129646</vt:lpwstr>
  </property>
  <property fmtid="{D5CDD505-2E9C-101B-9397-08002B2CF9AE}" pid="4" name="DLPManualFileClassificationLastModificationDate">
    <vt:lpwstr>1742389518</vt:lpwstr>
  </property>
  <property fmtid="{D5CDD505-2E9C-101B-9397-08002B2CF9AE}" pid="5" name="DLPManualFileClassificationVersion">
    <vt:lpwstr>11.10.100.17</vt:lpwstr>
  </property>
</Properties>
</file>