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gent_agg_cust_spreadsheets\"/>
    </mc:Choice>
  </mc:AlternateContent>
  <bookViews>
    <workbookView xWindow="0" yWindow="0" windowWidth="28800" windowHeight="12300" activeTab="1"/>
  </bookViews>
  <sheets>
    <sheet name="Introduction" sheetId="5" r:id="rId1"/>
    <sheet name="operating costs " sheetId="3" r:id="rId2"/>
    <sheet name="Capital costs" sheetId="4" r:id="rId3"/>
  </sheets>
  <calcPr calcId="162913" calcMode="autoNoTable"/>
</workbook>
</file>

<file path=xl/calcChain.xml><?xml version="1.0" encoding="utf-8"?>
<calcChain xmlns="http://schemas.openxmlformats.org/spreadsheetml/2006/main">
  <c r="AL20" i="4" l="1"/>
  <c r="AJ20" i="4"/>
  <c r="AJ18" i="4"/>
  <c r="AJ17" i="4"/>
  <c r="AJ16" i="4"/>
  <c r="AL15" i="4"/>
  <c r="AJ14" i="4"/>
  <c r="AJ13" i="4"/>
  <c r="AJ12" i="4"/>
  <c r="AJ11" i="4"/>
  <c r="AJ10" i="4"/>
  <c r="W2" i="3" l="1"/>
  <c r="C14" i="3" s="1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Q25" i="3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24" i="3"/>
  <c r="O25" i="3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24" i="3"/>
  <c r="L23" i="3"/>
  <c r="E11" i="4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M54" i="3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53" i="3"/>
  <c r="M52" i="3"/>
  <c r="M51" i="3"/>
  <c r="M50" i="3"/>
  <c r="M49" i="3"/>
  <c r="C16" i="3" l="1"/>
  <c r="C33" i="3"/>
  <c r="O67" i="3"/>
  <c r="F9" i="4" l="1"/>
  <c r="T13" i="4"/>
  <c r="C19" i="3" l="1"/>
  <c r="F19" i="3"/>
  <c r="K6" i="4"/>
  <c r="G78" i="3"/>
  <c r="G79" i="3" s="1"/>
  <c r="G80" i="3" s="1"/>
  <c r="G81" i="3" s="1"/>
  <c r="C47" i="3"/>
  <c r="C15" i="3"/>
  <c r="E16" i="4"/>
  <c r="C28" i="3" s="1"/>
  <c r="C40" i="3"/>
  <c r="E14" i="4"/>
  <c r="G14" i="4" s="1"/>
  <c r="E13" i="4"/>
  <c r="G13" i="4" s="1"/>
  <c r="E18" i="4"/>
  <c r="G18" i="4" s="1"/>
  <c r="E17" i="4"/>
  <c r="G17" i="4" s="1"/>
  <c r="G11" i="4"/>
  <c r="E33" i="4" l="1"/>
  <c r="E30" i="4"/>
  <c r="E24" i="4"/>
  <c r="E12" i="4"/>
  <c r="G12" i="4" s="1"/>
  <c r="E25" i="4"/>
  <c r="E28" i="4"/>
  <c r="E34" i="4"/>
  <c r="E31" i="4"/>
  <c r="E29" i="4"/>
  <c r="E26" i="4"/>
  <c r="E27" i="4"/>
  <c r="C25" i="3"/>
  <c r="E9" i="4"/>
  <c r="C26" i="3"/>
  <c r="C29" i="3"/>
  <c r="C30" i="3"/>
  <c r="G16" i="4"/>
  <c r="C23" i="3"/>
  <c r="D77" i="3"/>
  <c r="C46" i="3" s="1"/>
  <c r="C24" i="3" l="1"/>
  <c r="T9" i="4"/>
  <c r="F39" i="4"/>
  <c r="C41" i="3"/>
  <c r="C37" i="3"/>
  <c r="C32" i="3"/>
  <c r="C42" i="3"/>
  <c r="C36" i="3"/>
  <c r="C35" i="3"/>
  <c r="C39" i="3"/>
  <c r="C38" i="3"/>
  <c r="C34" i="3"/>
  <c r="E39" i="4"/>
  <c r="O46" i="3" l="1"/>
  <c r="F41" i="4"/>
  <c r="D52" i="3"/>
  <c r="R19" i="3" s="1"/>
  <c r="C52" i="3"/>
  <c r="M42" i="3"/>
  <c r="E41" i="4"/>
</calcChain>
</file>

<file path=xl/comments1.xml><?xml version="1.0" encoding="utf-8"?>
<comments xmlns="http://schemas.openxmlformats.org/spreadsheetml/2006/main">
  <authors>
    <author>Gary Howorth</author>
  </authors>
  <commentList>
    <comment ref="C33" authorId="0" shapeId="0">
      <text>
        <r>
          <rPr>
            <b/>
            <sz val="9"/>
            <color indexed="81"/>
            <rFont val="Tahoma"/>
            <family val="2"/>
          </rPr>
          <t>Gary Howorth:</t>
        </r>
        <r>
          <rPr>
            <sz val="9"/>
            <color indexed="81"/>
            <rFont val="Tahoma"/>
            <family val="2"/>
          </rPr>
          <t xml:space="preserve">
lap top depr  sinking fund - more desktops</t>
        </r>
      </text>
    </comment>
  </commentList>
</comments>
</file>

<file path=xl/comments2.xml><?xml version="1.0" encoding="utf-8"?>
<comments xmlns="http://schemas.openxmlformats.org/spreadsheetml/2006/main">
  <authors>
    <author>Gary Howorth</author>
  </authors>
  <commentList>
    <comment ref="AF18" authorId="0" shapeId="0">
      <text>
        <r>
          <rPr>
            <b/>
            <sz val="9"/>
            <color indexed="81"/>
            <rFont val="Tahoma"/>
            <family val="2"/>
          </rPr>
          <t>Gary Howorth:</t>
        </r>
        <r>
          <rPr>
            <sz val="9"/>
            <color indexed="81"/>
            <rFont val="Tahoma"/>
            <family val="2"/>
          </rPr>
          <t xml:space="preserve">
lap top depr  sinking fund - more desktops</t>
        </r>
      </text>
    </comment>
  </commentList>
</comments>
</file>

<file path=xl/sharedStrings.xml><?xml version="1.0" encoding="utf-8"?>
<sst xmlns="http://schemas.openxmlformats.org/spreadsheetml/2006/main" count="201" uniqueCount="138">
  <si>
    <t>Laptops</t>
  </si>
  <si>
    <t>Server</t>
  </si>
  <si>
    <t xml:space="preserve">Optimizer – multi dimensional – MILP NILP LP and genetic evolvers </t>
  </si>
  <si>
    <t>Neural net pattern software - £3000 per licence + maint - 600 per year</t>
  </si>
  <si>
    <t xml:space="preserve">Office Software </t>
  </si>
  <si>
    <t>Adobe</t>
  </si>
  <si>
    <t xml:space="preserve">SAS </t>
  </si>
  <si>
    <t xml:space="preserve">Data sets </t>
  </si>
  <si>
    <t>man hours alone for the basic plumbing is worth 2 million</t>
  </si>
  <si>
    <t>So y estimate of % with specila mods is probably not fsr from the truth</t>
  </si>
  <si>
    <t xml:space="preserve"> Licence for being an aggreagtor</t>
  </si>
  <si>
    <t>Global View  Gas prices /elec prices Futures</t>
  </si>
  <si>
    <t>Accountant</t>
  </si>
  <si>
    <t>One more thought</t>
  </si>
  <si>
    <t>COMMENTS</t>
  </si>
  <si>
    <t>Comparable software   - $5 Million</t>
  </si>
  <si>
    <t xml:space="preserve">But this includes for risk management , accounting and calculations which are essentiall agrregations of portfolios.  This was a commercial price with I year of maintenance included.  This was for a 20 man outfit doing about 100 million in Revenue.  </t>
  </si>
  <si>
    <t xml:space="preserve">they are unlikley to have purchased software anything like what we are developing - but might be useful </t>
  </si>
  <si>
    <t>There has been some research on the acquisition costs of new customers in the power and gas markets - retail.  Bascially it costs around £300 to acquire and service a customer.  So on one of my nodes I have like 300,000 PV devices -  essentially homes I guesse</t>
  </si>
  <si>
    <t xml:space="preserve">So lets assumes that this equates to 300,00/2 customers - then the acquisition servicing costs are like 45 million.  Let us assume that we can spread these costs out over 5 years - ps in the UK retail market </t>
  </si>
  <si>
    <t>some of these companies are only keeping customers for two years) then this equates to £9m per year</t>
  </si>
  <si>
    <t xml:space="preserve">Traders -  thety have 289 traders for a buisness size - of course its not linear  ie probably need 5 staff (trader and admin) to cover a tiny business.  </t>
  </si>
  <si>
    <t>The traders are there to essntially hedge their portfolio of supply business - they are in effect an aggregator business</t>
  </si>
  <si>
    <t>Operating costs of a real aggreagtor could be large.  The hardest part to judge is how many people one requires to run such a business</t>
  </si>
  <si>
    <t xml:space="preserve">Eg Essentially say a NEST controller + home Automation plus phone comms </t>
  </si>
  <si>
    <t>or maybe like a super smart meter - which I believe are currently around £400 (inckludes installation).  BG's Hive is like £200 - but that way too simple for thjis application</t>
  </si>
  <si>
    <t>Acquisition cost of customers for the aggreagator - An alternative Estimate of the Costs</t>
  </si>
  <si>
    <t>So for an aggreagtor with 100,000 customers say -  I could imagine that the cost of the software - to</t>
  </si>
  <si>
    <t>This software will require to be developed inhouse or bought from commetrcial suppliers</t>
  </si>
  <si>
    <t>Centrica (https://www.statista.com/statistics/225146/number-of-centrica-employees-by-segment/) employs about 29,000 people to service around 27 million customers (https://www.centrica.com/sites/default/files/aras/centrica_annual_report_and_accounts_2016.pdf)</t>
  </si>
  <si>
    <t>The issue really is how many staff do in  need for the number of customers I've got.  This is difficult to estimate - but I've used numbers from centrica to estimate this.</t>
  </si>
  <si>
    <t>So for our large aggreagtor of 150,000 customers we might need  160 people and maybe 10 trading and back offic estaff to hedge positions - based on Centrica</t>
  </si>
  <si>
    <t xml:space="preserve">I have estimated what this might be -  </t>
  </si>
  <si>
    <t xml:space="preserve">Note some simpler aggreragtors may not do any of this </t>
  </si>
  <si>
    <t>Operating costs per year for a large aggreagtor could be way mnopre than the cost of software.</t>
  </si>
  <si>
    <t>Where aggreagtion is automated , one would need to install electronic and communications equipment to automiatically bid and switch said equipment.  Costs for this could be in the region of £400-600/ciustomer</t>
  </si>
  <si>
    <t xml:space="preserve">In the past I bought for a large comapnty an enterprise risk management piece of software - which actually would be similar in scope to the software that a large aggreagtor would require.  The cost of this software with approriate modifications was $5 million dollars </t>
  </si>
  <si>
    <t>In the past I have also quoted and built sofware of similarly complexity  - and have charged or quoted costs in the region of $1-2 million dollars</t>
  </si>
  <si>
    <t>Based on experience of Gary Howorth - and on a recent Business Venture to set up was essentailly the first step to an aggreagtor business</t>
  </si>
  <si>
    <t>Although we have developed a piece of software for an aggreagtor - it is relatively simple in what it does.  A real commercial aggreator would need accounting systems, risk management systems, price forecasting including weather prediction systems</t>
  </si>
  <si>
    <t>We will probably need a view on congestion associated with our nodes and potentailly some machine learning software of our customers.  Eg who bids reliably</t>
  </si>
  <si>
    <t>I would say maintenace costs have been around 20% of the initial costs</t>
  </si>
  <si>
    <t xml:space="preserve">Data provision to these models - were of the order of say 10% of the costs say  200k in years 1 and then 5% therafter  - but that will be dependent on what one needs - </t>
  </si>
  <si>
    <t>Could do same for Europena aggreagtors - but probably less open than the UK</t>
  </si>
  <si>
    <t>Costs per Year</t>
  </si>
  <si>
    <t>Software and Hardware</t>
  </si>
  <si>
    <t>Home Automation and Harware Control and comms equip</t>
  </si>
  <si>
    <t>CGCL package</t>
  </si>
  <si>
    <t xml:space="preserve">There are simple aggreagtor businesses in the UK -  - we should be able to get hold of their accounts from company house and analyse their costs -  Might be a useful exercisse.  Note however </t>
  </si>
  <si>
    <t>Time Estimates</t>
  </si>
  <si>
    <t>In man days of effort   -  (Note man months = mandays/20)  .  Man day rates reflect costs of consultant utilisation and holidays</t>
  </si>
  <si>
    <t>Congestion model DX</t>
  </si>
  <si>
    <t>Weather forecasting</t>
  </si>
  <si>
    <t>Accounting package bids and balancing</t>
  </si>
  <si>
    <t>5% of total load</t>
  </si>
  <si>
    <t>2 hrs per day</t>
  </si>
  <si>
    <t>pwer year turnover</t>
  </si>
  <si>
    <t>2.5% of profit.  Lets say aggreagtor makes 5%</t>
  </si>
  <si>
    <t>The purpose of this spread sheet is to provide a high level cost and process time estimate for a CGCL aggreagtor of some complexity</t>
  </si>
  <si>
    <t>Essentially my quick estimate odf what I think it would cost to build peters clearing model again - We would need a view on prices and might do this say using pattern recognition - or some simplified version of peters model - but if I were an aggreagtor i would need to know how the network is going to behave and what the prices look like.  might be able to do this for 200k if simple system</t>
  </si>
  <si>
    <t>Need to really understand how Congestion might affect me as a bidder - especially if im responsible for the rebididiing and taking additional costs on congestion</t>
  </si>
  <si>
    <t>Clearing Pricing model/OPF</t>
  </si>
  <si>
    <t>might be able to buy this on an annual basis and pay like 50k/year  - that’s the equiv of about 450k capitalised.  Assume 1.5 people for 12 months including all testing and debugging..  Utilidex accounting softare - cpauitalised comes out around 400k</t>
  </si>
  <si>
    <t>SAP core ERP finace software  captilised - costs 150 per user/month - plus add ons say 20 users</t>
  </si>
  <si>
    <t>Risk management add on</t>
  </si>
  <si>
    <t>Based on experience of developing actual risk management system</t>
  </si>
  <si>
    <t>Description</t>
  </si>
  <si>
    <t>Cost £</t>
  </si>
  <si>
    <t>Man months</t>
  </si>
  <si>
    <t>Comments</t>
  </si>
  <si>
    <t>Accounting package Finance salries payroll accounting SAP</t>
  </si>
  <si>
    <t>Total &gt;&gt;&gt;&gt;&gt;&gt;&gt;&gt;&gt;&gt;&gt;&gt;&gt;&gt;&gt;</t>
  </si>
  <si>
    <t>Will depend on how complex this is - probably 4 months - to 15 months of work and testing</t>
  </si>
  <si>
    <t>Salaries</t>
  </si>
  <si>
    <t>Salaries - circa 160+10 people</t>
  </si>
  <si>
    <t>"@Risk" software or equiv</t>
  </si>
  <si>
    <t>Cost</t>
  </si>
  <si>
    <t>IT servers and software</t>
  </si>
  <si>
    <t>Server Maint</t>
  </si>
  <si>
    <t>IT  hardware</t>
  </si>
  <si>
    <t>telephones</t>
  </si>
  <si>
    <t>Comms phones etc</t>
  </si>
  <si>
    <t>Cables ~Screens etc etc  sinking fund</t>
  </si>
  <si>
    <t>CRM - Sales software maint</t>
  </si>
  <si>
    <t>Support</t>
  </si>
  <si>
    <t>External Accounts</t>
  </si>
  <si>
    <t>External legal advice</t>
  </si>
  <si>
    <t>Side Calcs</t>
  </si>
  <si>
    <t>TOTAL &gt;&gt;&gt;&gt;&gt;</t>
  </si>
  <si>
    <t>General software</t>
  </si>
  <si>
    <t xml:space="preserve">One off charges </t>
  </si>
  <si>
    <t>""</t>
  </si>
  <si>
    <t>IT servers and software Maint</t>
  </si>
  <si>
    <t>Sinking fund 3 years - for new laptop relacements</t>
  </si>
  <si>
    <t>Assumed 20% of CPX</t>
  </si>
  <si>
    <t>Rent for space</t>
  </si>
  <si>
    <t>includes NI and pensions - see comment on front page</t>
  </si>
  <si>
    <t>May be able to spread costs over a number of years have assumed one year hit</t>
  </si>
  <si>
    <t>Total without automation  Hardware &gt;&gt;</t>
  </si>
  <si>
    <t>On or Off/Ratio</t>
  </si>
  <si>
    <t>CPX</t>
  </si>
  <si>
    <t>General Infrastructure</t>
  </si>
  <si>
    <t>Op cost&gt;&gt;</t>
  </si>
  <si>
    <t>Costs based on 150k customers factor for adjusting for diff number</t>
  </si>
  <si>
    <t>On off</t>
  </si>
  <si>
    <t>Opx mill</t>
  </si>
  <si>
    <t>so cost of smart meter and contyrol - I p[ay for it and then throw it away</t>
  </si>
  <si>
    <t>or develop an app</t>
  </si>
  <si>
    <t>No of cust</t>
  </si>
  <si>
    <t>Accounting -bids and balancing</t>
  </si>
  <si>
    <t>Accounting SAP</t>
  </si>
  <si>
    <t>CRM Software</t>
  </si>
  <si>
    <t>Laptops/Desktops</t>
  </si>
  <si>
    <t>times 3 as factor on 150  356 people for 50k</t>
  </si>
  <si>
    <t>Based on glasgow rent - which would be cheap - need ~ 100 sq foot per employee  http://www.mdinteriorsdevon.com/how-much-office-space-per-person/     fully serviced 220/month per person</t>
  </si>
  <si>
    <t>OPS</t>
  </si>
  <si>
    <t>Software/Dataset Maintenance</t>
  </si>
  <si>
    <t>Aggregator Licence fee</t>
  </si>
  <si>
    <t>IT  hardware maint</t>
  </si>
  <si>
    <t>Accounting -bids and balancing/Payroll</t>
  </si>
  <si>
    <t>Estimate of Operating costs for Customer Aggregator</t>
  </si>
  <si>
    <t xml:space="preserve">Version 3   </t>
  </si>
  <si>
    <t>Note one of the nodes for the CGCL aggreagtor has like 300,000 devices - small and large -  We are assuming this realtes to 150,000 customers - and show estimates for this number but adjust for number of customers</t>
  </si>
  <si>
    <t>Inputs</t>
  </si>
  <si>
    <t>Cell linked to input cell</t>
  </si>
  <si>
    <t>Results eg OPX CPX</t>
  </si>
  <si>
    <t xml:space="preserve"> number of customers &gt;&gt;&gt;&gt;</t>
  </si>
  <si>
    <t>50,000 for UK supply licence - used that figure - could be more.  New route to entry in 2021  allows entrants to function as a Virtual lead part at a much lower cost - circa £2000</t>
  </si>
  <si>
    <t>OPF Clearing software SmartNet/etc  basic stuff</t>
  </si>
  <si>
    <t>&gt;&gt; Inputs</t>
  </si>
  <si>
    <t>&gt;&gt;Result</t>
  </si>
  <si>
    <t>Costs have been provid</t>
  </si>
  <si>
    <t>Input factors are used to change the overal costs of running an aggregator business.  The values entered in this spreadsheet represent those associated with a "simple" aggregator, so</t>
  </si>
  <si>
    <t>some are set to zero.  More sophisticated business models associated with aggregation would result in additional costs.</t>
  </si>
  <si>
    <t>Input cell.  Many of these are factors used to multiply the base cost</t>
  </si>
  <si>
    <t>Factor used to adjust costs</t>
  </si>
  <si>
    <t>SAS statistical software</t>
  </si>
  <si>
    <t>This is spreadhseet of the costs of setting up an Aggregator Business  and includes for software  and operationg costs including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</si>
</sst>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&quot;£&quot;* #,##0.000_-;\-&quot;£&quot;* #,##0.000_-;_-&quot;£&quot;* &quot;-&quot;??_-;_-@_-"/>
    <numFmt numFmtId="166" formatCode="&quot;£&quot;#,##0.00"/>
    <numFmt numFmtId="167" formatCode="_-* #,##0_-;\-* #,##0_-;_-* &quot;-&quot;??_-;_-@_-"/>
    <numFmt numFmtId="171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1">
    <xf numFmtId="0" fontId="0" fillId="0" borderId="0" xfId="0"/>
    <xf numFmtId="14" fontId="0" fillId="0" borderId="0" xfId="0" applyNumberFormat="1"/>
    <xf numFmtId="9" fontId="0" fillId="0" borderId="0" xfId="2" applyFont="1"/>
    <xf numFmtId="44" fontId="0" fillId="0" borderId="0" xfId="1" applyFont="1"/>
    <xf numFmtId="164" fontId="0" fillId="0" borderId="0" xfId="1" applyNumberFormat="1" applyFont="1"/>
    <xf numFmtId="0" fontId="0" fillId="0" borderId="0" xfId="0" applyFill="1"/>
    <xf numFmtId="4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5" fontId="0" fillId="0" borderId="0" xfId="1" applyNumberFormat="1" applyFont="1"/>
    <xf numFmtId="0" fontId="0" fillId="0" borderId="0" xfId="1" applyNumberFormat="1" applyFont="1"/>
    <xf numFmtId="0" fontId="0" fillId="0" borderId="0" xfId="0" applyNumberFormat="1"/>
    <xf numFmtId="2" fontId="0" fillId="0" borderId="0" xfId="1" applyNumberFormat="1" applyFont="1"/>
    <xf numFmtId="166" fontId="0" fillId="0" borderId="0" xfId="1" applyNumberFormat="1" applyFont="1"/>
    <xf numFmtId="44" fontId="3" fillId="0" borderId="0" xfId="1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14" fontId="6" fillId="0" borderId="0" xfId="0" applyNumberFormat="1" applyFont="1"/>
    <xf numFmtId="0" fontId="0" fillId="0" borderId="0" xfId="0" applyAlignment="1">
      <alignment wrapText="1"/>
    </xf>
    <xf numFmtId="167" fontId="0" fillId="0" borderId="0" xfId="3" applyNumberFormat="1" applyFont="1"/>
    <xf numFmtId="10" fontId="0" fillId="0" borderId="0" xfId="0" applyNumberForma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167" fontId="0" fillId="0" borderId="0" xfId="0" applyNumberFormat="1"/>
    <xf numFmtId="0" fontId="8" fillId="0" borderId="0" xfId="0" applyFont="1"/>
    <xf numFmtId="14" fontId="0" fillId="2" borderId="0" xfId="0" applyNumberFormat="1" applyFill="1"/>
    <xf numFmtId="0" fontId="0" fillId="2" borderId="0" xfId="0" applyFill="1"/>
    <xf numFmtId="44" fontId="0" fillId="2" borderId="0" xfId="1" applyFont="1" applyFill="1"/>
    <xf numFmtId="14" fontId="8" fillId="0" borderId="0" xfId="0" applyNumberFormat="1" applyFont="1"/>
    <xf numFmtId="44" fontId="9" fillId="0" borderId="0" xfId="1" applyFont="1"/>
    <xf numFmtId="0" fontId="2" fillId="0" borderId="0" xfId="0" applyFont="1" applyAlignment="1">
      <alignment wrapText="1"/>
    </xf>
    <xf numFmtId="167" fontId="2" fillId="0" borderId="0" xfId="3" applyNumberFormat="1" applyFont="1"/>
    <xf numFmtId="0" fontId="0" fillId="3" borderId="0" xfId="0" applyFill="1"/>
    <xf numFmtId="0" fontId="0" fillId="4" borderId="0" xfId="0" applyFill="1"/>
    <xf numFmtId="44" fontId="0" fillId="0" borderId="0" xfId="0" applyNumberFormat="1"/>
    <xf numFmtId="171" fontId="0" fillId="0" borderId="0" xfId="0" applyNumberFormat="1"/>
    <xf numFmtId="0" fontId="0" fillId="0" borderId="0" xfId="0" quotePrefix="1" applyAlignment="1">
      <alignment horizontal="left"/>
    </xf>
    <xf numFmtId="43" fontId="0" fillId="0" borderId="0" xfId="3" applyFont="1"/>
    <xf numFmtId="14" fontId="0" fillId="0" borderId="0" xfId="0" quotePrefix="1" applyNumberFormat="1" applyAlignment="1">
      <alignment horizontal="left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wrapText="1"/>
    </xf>
    <xf numFmtId="0" fontId="0" fillId="5" borderId="0" xfId="0" applyFill="1"/>
    <xf numFmtId="0" fontId="0" fillId="3" borderId="0" xfId="1" applyNumberFormat="1" applyFont="1" applyFill="1"/>
    <xf numFmtId="164" fontId="9" fillId="0" borderId="0" xfId="1" applyNumberFormat="1" applyFont="1"/>
    <xf numFmtId="164" fontId="9" fillId="6" borderId="0" xfId="1" applyNumberFormat="1" applyFont="1" applyFill="1"/>
    <xf numFmtId="0" fontId="0" fillId="6" borderId="0" xfId="0" applyFill="1"/>
    <xf numFmtId="167" fontId="0" fillId="3" borderId="0" xfId="3" applyNumberFormat="1" applyFont="1" applyFill="1"/>
    <xf numFmtId="44" fontId="0" fillId="3" borderId="0" xfId="1" applyFont="1" applyFill="1"/>
    <xf numFmtId="44" fontId="0" fillId="7" borderId="0" xfId="1" applyFont="1" applyFill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Operating Costs of Aggregator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'operating costs '!$R$19</c:f>
              <c:strCache>
                <c:ptCount val="1"/>
                <c:pt idx="0">
                  <c:v> £0.28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661548556430447"/>
                  <c:y val="3.66203703703703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'operating costs '!$Q$20:$Q$39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8000</c:v>
                </c:pt>
                <c:pt idx="5">
                  <c:v>12000</c:v>
                </c:pt>
                <c:pt idx="6">
                  <c:v>16000</c:v>
                </c:pt>
                <c:pt idx="7">
                  <c:v>20000</c:v>
                </c:pt>
                <c:pt idx="8">
                  <c:v>24000</c:v>
                </c:pt>
                <c:pt idx="9">
                  <c:v>28000</c:v>
                </c:pt>
                <c:pt idx="10">
                  <c:v>32000</c:v>
                </c:pt>
                <c:pt idx="11">
                  <c:v>36000</c:v>
                </c:pt>
                <c:pt idx="12">
                  <c:v>40000</c:v>
                </c:pt>
                <c:pt idx="13">
                  <c:v>44000</c:v>
                </c:pt>
                <c:pt idx="14">
                  <c:v>48000</c:v>
                </c:pt>
                <c:pt idx="15">
                  <c:v>52000</c:v>
                </c:pt>
                <c:pt idx="16">
                  <c:v>56000</c:v>
                </c:pt>
                <c:pt idx="17">
                  <c:v>60000</c:v>
                </c:pt>
                <c:pt idx="18">
                  <c:v>64000</c:v>
                </c:pt>
                <c:pt idx="19">
                  <c:v>68000</c:v>
                </c:pt>
              </c:numCache>
            </c:numRef>
          </c:xVal>
          <c:yVal>
            <c:numRef>
              <c:f>'operating costs '!$R$20:$R$39</c:f>
              <c:numCache>
                <c:formatCode>0.000</c:formatCode>
                <c:ptCount val="20"/>
                <c:pt idx="0">
                  <c:v>0.17598948952380952</c:v>
                </c:pt>
                <c:pt idx="1">
                  <c:v>0.18444183619047619</c:v>
                </c:pt>
                <c:pt idx="2">
                  <c:v>0.19489418285714286</c:v>
                </c:pt>
                <c:pt idx="3">
                  <c:v>0.20631319619047619</c:v>
                </c:pt>
                <c:pt idx="4">
                  <c:v>0.25568524952380955</c:v>
                </c:pt>
                <c:pt idx="5">
                  <c:v>0.30560930285714288</c:v>
                </c:pt>
                <c:pt idx="6">
                  <c:v>0.35580002285714291</c:v>
                </c:pt>
                <c:pt idx="7">
                  <c:v>0.41878693333333328</c:v>
                </c:pt>
                <c:pt idx="8">
                  <c:v>0.47246832</c:v>
                </c:pt>
                <c:pt idx="9">
                  <c:v>0.55041637333333326</c:v>
                </c:pt>
                <c:pt idx="10">
                  <c:v>0.60756442666666666</c:v>
                </c:pt>
                <c:pt idx="11">
                  <c:v>0.68655248000000002</c:v>
                </c:pt>
                <c:pt idx="12">
                  <c:v>0.74612719999999999</c:v>
                </c:pt>
                <c:pt idx="13">
                  <c:v>0.80570192000000018</c:v>
                </c:pt>
                <c:pt idx="14">
                  <c:v>0.86527664000000004</c:v>
                </c:pt>
                <c:pt idx="15">
                  <c:v>1.0014646933333333</c:v>
                </c:pt>
                <c:pt idx="16">
                  <c:v>1.0669327466666665</c:v>
                </c:pt>
                <c:pt idx="17">
                  <c:v>1.1324008000000001</c:v>
                </c:pt>
                <c:pt idx="18">
                  <c:v>1.1978688533333333</c:v>
                </c:pt>
                <c:pt idx="19">
                  <c:v>1.3045902399999998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8D-4B47-B43B-B91B57A7E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427720"/>
        <c:axId val="732428376"/>
      </c:scatterChart>
      <c:valAx>
        <c:axId val="73242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Customers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28376"/>
        <c:crosses val="autoZero"/>
        <c:crossBetween val="midCat"/>
      </c:valAx>
      <c:valAx>
        <c:axId val="73242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£ Millions/Year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27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'operating costs '!$O$46</c:f>
              <c:strCache>
                <c:ptCount val="1"/>
                <c:pt idx="0">
                  <c:v>0.730668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'operating costs '!$N$47:$N$66</c:f>
              <c:numCache>
                <c:formatCode>General</c:formatCode>
                <c:ptCount val="20"/>
                <c:pt idx="0">
                  <c:v>200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10000</c:v>
                </c:pt>
                <c:pt idx="5">
                  <c:v>14000</c:v>
                </c:pt>
                <c:pt idx="6">
                  <c:v>18000</c:v>
                </c:pt>
                <c:pt idx="7">
                  <c:v>22000</c:v>
                </c:pt>
                <c:pt idx="8">
                  <c:v>26000</c:v>
                </c:pt>
                <c:pt idx="9">
                  <c:v>30000</c:v>
                </c:pt>
                <c:pt idx="10">
                  <c:v>34000</c:v>
                </c:pt>
                <c:pt idx="11">
                  <c:v>38000</c:v>
                </c:pt>
                <c:pt idx="12">
                  <c:v>42000</c:v>
                </c:pt>
                <c:pt idx="13">
                  <c:v>46000</c:v>
                </c:pt>
                <c:pt idx="14">
                  <c:v>50000</c:v>
                </c:pt>
                <c:pt idx="15">
                  <c:v>54000</c:v>
                </c:pt>
                <c:pt idx="16">
                  <c:v>58000</c:v>
                </c:pt>
                <c:pt idx="17">
                  <c:v>62000</c:v>
                </c:pt>
                <c:pt idx="18">
                  <c:v>66000</c:v>
                </c:pt>
                <c:pt idx="19">
                  <c:v>70000</c:v>
                </c:pt>
              </c:numCache>
            </c:numRef>
          </c:xVal>
          <c:yVal>
            <c:numRef>
              <c:f>'operating costs '!$O$47:$O$66</c:f>
              <c:numCache>
                <c:formatCode>General</c:formatCode>
                <c:ptCount val="20"/>
                <c:pt idx="0">
                  <c:v>0.40485536</c:v>
                </c:pt>
                <c:pt idx="1">
                  <c:v>0.46385359999999998</c:v>
                </c:pt>
                <c:pt idx="2">
                  <c:v>0.52972719999999995</c:v>
                </c:pt>
                <c:pt idx="3">
                  <c:v>0.59584080000000006</c:v>
                </c:pt>
                <c:pt idx="4">
                  <c:v>0.73066799999999998</c:v>
                </c:pt>
                <c:pt idx="5">
                  <c:v>0.86733519999999997</c:v>
                </c:pt>
                <c:pt idx="6">
                  <c:v>1.0040024000000001</c:v>
                </c:pt>
                <c:pt idx="7">
                  <c:v>1.1410696</c:v>
                </c:pt>
                <c:pt idx="8">
                  <c:v>1.2785368000000001</c:v>
                </c:pt>
                <c:pt idx="9">
                  <c:v>1.416104</c:v>
                </c:pt>
                <c:pt idx="10">
                  <c:v>1.5542511999999999</c:v>
                </c:pt>
                <c:pt idx="11">
                  <c:v>1.6923984000000001</c:v>
                </c:pt>
                <c:pt idx="12">
                  <c:v>1.8305456000000002</c:v>
                </c:pt>
                <c:pt idx="13">
                  <c:v>1.9686928000000001</c:v>
                </c:pt>
                <c:pt idx="14">
                  <c:v>2.10684</c:v>
                </c:pt>
                <c:pt idx="15">
                  <c:v>2.2449872000000002</c:v>
                </c:pt>
                <c:pt idx="16">
                  <c:v>2.3831343999999999</c:v>
                </c:pt>
                <c:pt idx="17">
                  <c:v>2.5212816</c:v>
                </c:pt>
                <c:pt idx="18">
                  <c:v>2.6594287999999997</c:v>
                </c:pt>
                <c:pt idx="19">
                  <c:v>2.7975759999999998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DE-4643-A3E7-8ABA65A8A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499688"/>
        <c:axId val="802491160"/>
      </c:scatterChart>
      <c:valAx>
        <c:axId val="802499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91160"/>
        <c:crosses val="autoZero"/>
        <c:crossBetween val="midCat"/>
      </c:valAx>
      <c:valAx>
        <c:axId val="80249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99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219816272965872E-2"/>
          <c:y val="0.16708333333333336"/>
          <c:w val="0.8648912948381452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'operating costs '!$N$47:$N$66</c:f>
              <c:numCache>
                <c:formatCode>General</c:formatCode>
                <c:ptCount val="20"/>
                <c:pt idx="0">
                  <c:v>200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10000</c:v>
                </c:pt>
                <c:pt idx="5">
                  <c:v>14000</c:v>
                </c:pt>
                <c:pt idx="6">
                  <c:v>18000</c:v>
                </c:pt>
                <c:pt idx="7">
                  <c:v>22000</c:v>
                </c:pt>
                <c:pt idx="8">
                  <c:v>26000</c:v>
                </c:pt>
                <c:pt idx="9">
                  <c:v>30000</c:v>
                </c:pt>
                <c:pt idx="10">
                  <c:v>34000</c:v>
                </c:pt>
                <c:pt idx="11">
                  <c:v>38000</c:v>
                </c:pt>
                <c:pt idx="12">
                  <c:v>42000</c:v>
                </c:pt>
                <c:pt idx="13">
                  <c:v>46000</c:v>
                </c:pt>
                <c:pt idx="14">
                  <c:v>50000</c:v>
                </c:pt>
                <c:pt idx="15">
                  <c:v>54000</c:v>
                </c:pt>
                <c:pt idx="16">
                  <c:v>58000</c:v>
                </c:pt>
                <c:pt idx="17">
                  <c:v>62000</c:v>
                </c:pt>
                <c:pt idx="18">
                  <c:v>66000</c:v>
                </c:pt>
                <c:pt idx="19">
                  <c:v>70000</c:v>
                </c:pt>
              </c:numCache>
            </c:numRef>
          </c:xVal>
          <c:yVal>
            <c:numRef>
              <c:f>'operating costs '!$O$47:$O$66</c:f>
              <c:numCache>
                <c:formatCode>General</c:formatCode>
                <c:ptCount val="20"/>
                <c:pt idx="0">
                  <c:v>0.40485536</c:v>
                </c:pt>
                <c:pt idx="1">
                  <c:v>0.46385359999999998</c:v>
                </c:pt>
                <c:pt idx="2">
                  <c:v>0.52972719999999995</c:v>
                </c:pt>
                <c:pt idx="3">
                  <c:v>0.59584080000000006</c:v>
                </c:pt>
                <c:pt idx="4">
                  <c:v>0.73066799999999998</c:v>
                </c:pt>
                <c:pt idx="5">
                  <c:v>0.86733519999999997</c:v>
                </c:pt>
                <c:pt idx="6">
                  <c:v>1.0040024000000001</c:v>
                </c:pt>
                <c:pt idx="7">
                  <c:v>1.1410696</c:v>
                </c:pt>
                <c:pt idx="8">
                  <c:v>1.2785368000000001</c:v>
                </c:pt>
                <c:pt idx="9">
                  <c:v>1.416104</c:v>
                </c:pt>
                <c:pt idx="10">
                  <c:v>1.5542511999999999</c:v>
                </c:pt>
                <c:pt idx="11">
                  <c:v>1.6923984000000001</c:v>
                </c:pt>
                <c:pt idx="12">
                  <c:v>1.8305456000000002</c:v>
                </c:pt>
                <c:pt idx="13">
                  <c:v>1.9686928000000001</c:v>
                </c:pt>
                <c:pt idx="14">
                  <c:v>2.10684</c:v>
                </c:pt>
                <c:pt idx="15">
                  <c:v>2.2449872000000002</c:v>
                </c:pt>
                <c:pt idx="16">
                  <c:v>2.3831343999999999</c:v>
                </c:pt>
                <c:pt idx="17">
                  <c:v>2.5212816</c:v>
                </c:pt>
                <c:pt idx="18">
                  <c:v>2.6594287999999997</c:v>
                </c:pt>
                <c:pt idx="19">
                  <c:v>2.7975759999999998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6F-4A09-BF6E-E064F8778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661920"/>
        <c:axId val="1135658312"/>
      </c:scatterChart>
      <c:valAx>
        <c:axId val="113566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658312"/>
        <c:crosses val="autoZero"/>
        <c:crossBetween val="midCat"/>
      </c:valAx>
      <c:valAx>
        <c:axId val="113565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66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Capital Costs of Aggregator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'operating costs '!$O$46</c:f>
              <c:strCache>
                <c:ptCount val="1"/>
                <c:pt idx="0">
                  <c:v>0.730668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98753280839895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'operating costs '!$N$47:$N$66</c:f>
              <c:numCache>
                <c:formatCode>General</c:formatCode>
                <c:ptCount val="20"/>
                <c:pt idx="0">
                  <c:v>200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10000</c:v>
                </c:pt>
                <c:pt idx="5">
                  <c:v>14000</c:v>
                </c:pt>
                <c:pt idx="6">
                  <c:v>18000</c:v>
                </c:pt>
                <c:pt idx="7">
                  <c:v>22000</c:v>
                </c:pt>
                <c:pt idx="8">
                  <c:v>26000</c:v>
                </c:pt>
                <c:pt idx="9">
                  <c:v>30000</c:v>
                </c:pt>
                <c:pt idx="10">
                  <c:v>34000</c:v>
                </c:pt>
                <c:pt idx="11">
                  <c:v>38000</c:v>
                </c:pt>
                <c:pt idx="12">
                  <c:v>42000</c:v>
                </c:pt>
                <c:pt idx="13">
                  <c:v>46000</c:v>
                </c:pt>
                <c:pt idx="14">
                  <c:v>50000</c:v>
                </c:pt>
                <c:pt idx="15">
                  <c:v>54000</c:v>
                </c:pt>
                <c:pt idx="16">
                  <c:v>58000</c:v>
                </c:pt>
                <c:pt idx="17">
                  <c:v>62000</c:v>
                </c:pt>
                <c:pt idx="18">
                  <c:v>66000</c:v>
                </c:pt>
                <c:pt idx="19">
                  <c:v>70000</c:v>
                </c:pt>
              </c:numCache>
            </c:numRef>
          </c:xVal>
          <c:yVal>
            <c:numRef>
              <c:f>'operating costs '!$O$47:$O$66</c:f>
              <c:numCache>
                <c:formatCode>General</c:formatCode>
                <c:ptCount val="20"/>
                <c:pt idx="0">
                  <c:v>0.40485536</c:v>
                </c:pt>
                <c:pt idx="1">
                  <c:v>0.46385359999999998</c:v>
                </c:pt>
                <c:pt idx="2">
                  <c:v>0.52972719999999995</c:v>
                </c:pt>
                <c:pt idx="3">
                  <c:v>0.59584080000000006</c:v>
                </c:pt>
                <c:pt idx="4">
                  <c:v>0.73066799999999998</c:v>
                </c:pt>
                <c:pt idx="5">
                  <c:v>0.86733519999999997</c:v>
                </c:pt>
                <c:pt idx="6">
                  <c:v>1.0040024000000001</c:v>
                </c:pt>
                <c:pt idx="7">
                  <c:v>1.1410696</c:v>
                </c:pt>
                <c:pt idx="8">
                  <c:v>1.2785368000000001</c:v>
                </c:pt>
                <c:pt idx="9">
                  <c:v>1.416104</c:v>
                </c:pt>
                <c:pt idx="10">
                  <c:v>1.5542511999999999</c:v>
                </c:pt>
                <c:pt idx="11">
                  <c:v>1.6923984000000001</c:v>
                </c:pt>
                <c:pt idx="12">
                  <c:v>1.8305456000000002</c:v>
                </c:pt>
                <c:pt idx="13">
                  <c:v>1.9686928000000001</c:v>
                </c:pt>
                <c:pt idx="14">
                  <c:v>2.10684</c:v>
                </c:pt>
                <c:pt idx="15">
                  <c:v>2.2449872000000002</c:v>
                </c:pt>
                <c:pt idx="16">
                  <c:v>2.3831343999999999</c:v>
                </c:pt>
                <c:pt idx="17">
                  <c:v>2.5212816</c:v>
                </c:pt>
                <c:pt idx="18">
                  <c:v>2.6594287999999997</c:v>
                </c:pt>
                <c:pt idx="19">
                  <c:v>2.7975759999999998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2A-4D79-9802-47E889F0F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427720"/>
        <c:axId val="732428376"/>
      </c:scatterChart>
      <c:valAx>
        <c:axId val="73242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Customers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28376"/>
        <c:crosses val="autoZero"/>
        <c:crossBetween val="midCat"/>
      </c:valAx>
      <c:valAx>
        <c:axId val="73242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£ Millions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27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Capital Cost</a:t>
            </a:r>
            <a:r>
              <a:rPr lang="en-GB" baseline="0"/>
              <a:t> Breakdown - Simple Aggreagtor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B8D-477C-819D-205BD878BF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B8D-477C-819D-205BD878BF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B8D-477C-819D-205BD878BF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B8D-477C-819D-205BD878BF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B8D-477C-819D-205BD878BF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EB8D-477C-819D-205BD878BF3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EB8D-477C-819D-205BD878BF34}"/>
              </c:ext>
            </c:extLst>
          </c:dPt>
          <c:cat>
            <c:strRef>
              <c:f>'Capital costs'!$S$9:$S$15</c:f>
              <c:strCache>
                <c:ptCount val="7"/>
                <c:pt idx="0">
                  <c:v>Home Automation and Harware Control and comms equip</c:v>
                </c:pt>
                <c:pt idx="1">
                  <c:v>Accounting -bids and balancing</c:v>
                </c:pt>
                <c:pt idx="2">
                  <c:v>Accounting SAP</c:v>
                </c:pt>
                <c:pt idx="3">
                  <c:v>Laptops</c:v>
                </c:pt>
                <c:pt idx="4">
                  <c:v>Office Software </c:v>
                </c:pt>
                <c:pt idx="5">
                  <c:v>Data sets </c:v>
                </c:pt>
                <c:pt idx="6">
                  <c:v>CRM Software</c:v>
                </c:pt>
              </c:strCache>
            </c:strRef>
          </c:cat>
          <c:val>
            <c:numRef>
              <c:f>'Capital costs'!$T$9:$T$15</c:f>
              <c:numCache>
                <c:formatCode>_-* #,##0_-;\-* #,##0_-;_-* "-"??_-;_-@_-</c:formatCode>
                <c:ptCount val="7"/>
                <c:pt idx="0">
                  <c:v>300000</c:v>
                </c:pt>
                <c:pt idx="1">
                  <c:v>360000</c:v>
                </c:pt>
                <c:pt idx="2">
                  <c:v>416520</c:v>
                </c:pt>
                <c:pt idx="3">
                  <c:v>43999.999999999993</c:v>
                </c:pt>
                <c:pt idx="4">
                  <c:v>53333.333333333401</c:v>
                </c:pt>
                <c:pt idx="5">
                  <c:v>20000</c:v>
                </c:pt>
                <c:pt idx="6">
                  <c:v>13333.333333333332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B-472D-94C0-A60786160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Operating Cost</a:t>
            </a:r>
            <a:r>
              <a:rPr lang="en-GB" baseline="0"/>
              <a:t> Breakdown - Simple Aggreagtor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009-4FEB-932B-CE1683B2D1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009-4FEB-932B-CE1683B2D1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009-4FEB-932B-CE1683B2D1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009-4FEB-932B-CE1683B2D1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009-4FEB-932B-CE1683B2D1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009-4FEB-932B-CE1683B2D1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009-4FEB-932B-CE1683B2D1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E6EA-4194-AB1D-1B6A953805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E6EA-4194-AB1D-1B6A953805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E6EA-4194-AB1D-1B6A953805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E6EA-4194-AB1D-1B6A95380559}"/>
              </c:ext>
            </c:extLst>
          </c:dPt>
          <c:cat>
            <c:strRef>
              <c:f>'Capital costs'!$AI$10:$AI$20</c:f>
              <c:strCache>
                <c:ptCount val="11"/>
                <c:pt idx="0">
                  <c:v>Aggregator Licence fee</c:v>
                </c:pt>
                <c:pt idx="1">
                  <c:v>Rent for space</c:v>
                </c:pt>
                <c:pt idx="2">
                  <c:v>IT  hardware maint</c:v>
                </c:pt>
                <c:pt idx="3">
                  <c:v>Comms phones etc</c:v>
                </c:pt>
                <c:pt idx="4">
                  <c:v>Salaries - circa 160+10 people</c:v>
                </c:pt>
                <c:pt idx="5">
                  <c:v>Accounting -bids and balancing/Payroll</c:v>
                </c:pt>
                <c:pt idx="6">
                  <c:v>Risk management add on</c:v>
                </c:pt>
                <c:pt idx="7">
                  <c:v>Server Maint</c:v>
                </c:pt>
                <c:pt idx="8">
                  <c:v>Laptops/Desktops</c:v>
                </c:pt>
                <c:pt idx="9">
                  <c:v>Software/Dataset Maintenance</c:v>
                </c:pt>
                <c:pt idx="10">
                  <c:v>External legal advice</c:v>
                </c:pt>
              </c:strCache>
            </c:strRef>
          </c:cat>
          <c:val>
            <c:numRef>
              <c:f>'Capital costs'!$AJ$10:$AJ$20</c:f>
              <c:numCache>
                <c:formatCode>_("£"* #,##0.00_);_("£"* \(#,##0.00\);_("£"* "-"??_);_(@_)</c:formatCode>
                <c:ptCount val="11"/>
                <c:pt idx="0">
                  <c:v>50000</c:v>
                </c:pt>
                <c:pt idx="1">
                  <c:v>36960</c:v>
                </c:pt>
                <c:pt idx="2">
                  <c:v>12000</c:v>
                </c:pt>
                <c:pt idx="3">
                  <c:v>3857.1428571428573</c:v>
                </c:pt>
                <c:pt idx="4">
                  <c:v>63266.666666666672</c:v>
                </c:pt>
                <c:pt idx="5">
                  <c:v>38776.800000000003</c:v>
                </c:pt>
                <c:pt idx="6">
                  <c:v>14400</c:v>
                </c:pt>
                <c:pt idx="7">
                  <c:v>1000</c:v>
                </c:pt>
                <c:pt idx="8">
                  <c:v>27500</c:v>
                </c:pt>
                <c:pt idx="9">
                  <c:v>6120</c:v>
                </c:pt>
                <c:pt idx="10">
                  <c:v>26666.666666666668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009-4FEB-932B-CE1683B2D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352425</xdr:colOff>
      <xdr:row>17</xdr:row>
      <xdr:rowOff>180975</xdr:rowOff>
    </xdr:from>
    <xdr:to>
      <xdr:col>27</xdr:col>
      <xdr:colOff>47625</xdr:colOff>
      <xdr:row>32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238125</xdr:colOff>
      <xdr:row>33</xdr:row>
      <xdr:rowOff>95250</xdr:rowOff>
    </xdr:from>
    <xdr:to>
      <xdr:col>27</xdr:col>
      <xdr:colOff>542925</xdr:colOff>
      <xdr:row>47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352425</xdr:colOff>
      <xdr:row>43</xdr:row>
      <xdr:rowOff>114300</xdr:rowOff>
    </xdr:from>
    <xdr:to>
      <xdr:col>9</xdr:col>
      <xdr:colOff>142875</xdr:colOff>
      <xdr:row>57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0</xdr:colOff>
      <xdr:row>18</xdr:row>
      <xdr:rowOff>0</xdr:rowOff>
    </xdr:from>
    <xdr:to>
      <xdr:col>36</xdr:col>
      <xdr:colOff>590550</xdr:colOff>
      <xdr:row>32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352424</xdr:colOff>
      <xdr:row>15</xdr:row>
      <xdr:rowOff>400050</xdr:rowOff>
    </xdr:from>
    <xdr:to>
      <xdr:col>22</xdr:col>
      <xdr:colOff>361949</xdr:colOff>
      <xdr:row>32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0</xdr:colOff>
      <xdr:row>10</xdr:row>
      <xdr:rowOff>0</xdr:rowOff>
    </xdr:from>
    <xdr:to>
      <xdr:col>50</xdr:col>
      <xdr:colOff>104775</xdr:colOff>
      <xdr:row>16</xdr:row>
      <xdr:rowOff>238125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0"/>
  <sheetViews>
    <sheetView showGridLines="0" workbookViewId="0">
      <selection activeCell="C5" sqref="C5"/>
    </sheetView>
  </sheetViews>
  <sheetFormatPr defaultRowHeight="14.4" x14ac:dyDescent="0.3"/>
  <sheetData>
    <row r="2" spans="3:8" ht="25.8" x14ac:dyDescent="0.5">
      <c r="C2" s="18" t="s">
        <v>14</v>
      </c>
      <c r="H2" s="8" t="s">
        <v>121</v>
      </c>
    </row>
    <row r="4" spans="3:8" x14ac:dyDescent="0.3">
      <c r="C4" t="s">
        <v>137</v>
      </c>
    </row>
    <row r="5" spans="3:8" x14ac:dyDescent="0.3">
      <c r="C5" t="s">
        <v>38</v>
      </c>
    </row>
    <row r="6" spans="3:8" x14ac:dyDescent="0.3">
      <c r="C6" t="s">
        <v>132</v>
      </c>
    </row>
    <row r="7" spans="3:8" x14ac:dyDescent="0.3">
      <c r="C7" t="s">
        <v>133</v>
      </c>
    </row>
    <row r="9" spans="3:8" x14ac:dyDescent="0.3">
      <c r="C9" t="s">
        <v>122</v>
      </c>
    </row>
    <row r="11" spans="3:8" x14ac:dyDescent="0.3">
      <c r="C11" t="s">
        <v>23</v>
      </c>
    </row>
    <row r="13" spans="3:8" x14ac:dyDescent="0.3">
      <c r="C13" t="s">
        <v>30</v>
      </c>
    </row>
    <row r="14" spans="3:8" x14ac:dyDescent="0.3">
      <c r="C14" t="s">
        <v>29</v>
      </c>
    </row>
    <row r="15" spans="3:8" x14ac:dyDescent="0.3">
      <c r="C15" t="s">
        <v>21</v>
      </c>
    </row>
    <row r="16" spans="3:8" x14ac:dyDescent="0.3">
      <c r="C16" t="s">
        <v>22</v>
      </c>
    </row>
    <row r="17" spans="3:3" x14ac:dyDescent="0.3">
      <c r="C17" t="s">
        <v>31</v>
      </c>
    </row>
    <row r="19" spans="3:3" x14ac:dyDescent="0.3">
      <c r="C19" t="s">
        <v>39</v>
      </c>
    </row>
    <row r="20" spans="3:3" x14ac:dyDescent="0.3">
      <c r="C20" t="s">
        <v>40</v>
      </c>
    </row>
    <row r="21" spans="3:3" x14ac:dyDescent="0.3">
      <c r="C21" t="s">
        <v>28</v>
      </c>
    </row>
    <row r="22" spans="3:3" x14ac:dyDescent="0.3">
      <c r="C22" t="s">
        <v>32</v>
      </c>
    </row>
    <row r="23" spans="3:3" x14ac:dyDescent="0.3">
      <c r="C23" t="s">
        <v>33</v>
      </c>
    </row>
    <row r="26" spans="3:3" x14ac:dyDescent="0.3">
      <c r="C26" s="17" t="s">
        <v>15</v>
      </c>
    </row>
    <row r="27" spans="3:3" x14ac:dyDescent="0.3">
      <c r="C27" t="s">
        <v>36</v>
      </c>
    </row>
    <row r="28" spans="3:3" x14ac:dyDescent="0.3">
      <c r="C28" t="s">
        <v>16</v>
      </c>
    </row>
    <row r="29" spans="3:3" x14ac:dyDescent="0.3">
      <c r="C29" t="s">
        <v>27</v>
      </c>
    </row>
    <row r="31" spans="3:3" x14ac:dyDescent="0.3">
      <c r="C31" t="s">
        <v>37</v>
      </c>
    </row>
    <row r="32" spans="3:3" x14ac:dyDescent="0.3">
      <c r="C32" t="s">
        <v>41</v>
      </c>
    </row>
    <row r="33" spans="3:3" x14ac:dyDescent="0.3">
      <c r="C33" t="s">
        <v>42</v>
      </c>
    </row>
    <row r="35" spans="3:3" x14ac:dyDescent="0.3">
      <c r="C35" s="17" t="s">
        <v>26</v>
      </c>
    </row>
    <row r="36" spans="3:3" x14ac:dyDescent="0.3">
      <c r="C36" t="s">
        <v>18</v>
      </c>
    </row>
    <row r="37" spans="3:3" x14ac:dyDescent="0.3">
      <c r="C37" t="s">
        <v>19</v>
      </c>
    </row>
    <row r="38" spans="3:3" x14ac:dyDescent="0.3">
      <c r="C38" t="s">
        <v>20</v>
      </c>
    </row>
    <row r="39" spans="3:3" x14ac:dyDescent="0.3">
      <c r="C39" t="s">
        <v>34</v>
      </c>
    </row>
    <row r="41" spans="3:3" x14ac:dyDescent="0.3">
      <c r="C41" t="s">
        <v>35</v>
      </c>
    </row>
    <row r="42" spans="3:3" x14ac:dyDescent="0.3">
      <c r="C42" t="s">
        <v>24</v>
      </c>
    </row>
    <row r="43" spans="3:3" x14ac:dyDescent="0.3">
      <c r="C43" t="s">
        <v>25</v>
      </c>
    </row>
    <row r="45" spans="3:3" x14ac:dyDescent="0.3">
      <c r="C45" s="17" t="s">
        <v>13</v>
      </c>
    </row>
    <row r="46" spans="3:3" x14ac:dyDescent="0.3">
      <c r="C46" t="s">
        <v>48</v>
      </c>
    </row>
    <row r="47" spans="3:3" x14ac:dyDescent="0.3">
      <c r="C47" t="s">
        <v>17</v>
      </c>
    </row>
    <row r="48" spans="3:3" x14ac:dyDescent="0.3">
      <c r="C48" t="s">
        <v>43</v>
      </c>
    </row>
    <row r="51" spans="3:4" x14ac:dyDescent="0.3">
      <c r="C51" s="17" t="s">
        <v>49</v>
      </c>
    </row>
    <row r="52" spans="3:4" x14ac:dyDescent="0.3">
      <c r="C52" t="s">
        <v>50</v>
      </c>
    </row>
    <row r="55" spans="3:4" x14ac:dyDescent="0.3">
      <c r="C55" s="17" t="s">
        <v>123</v>
      </c>
    </row>
    <row r="56" spans="3:4" x14ac:dyDescent="0.3">
      <c r="C56" s="34"/>
      <c r="D56" t="s">
        <v>134</v>
      </c>
    </row>
    <row r="57" spans="3:4" x14ac:dyDescent="0.3">
      <c r="C57" s="43"/>
      <c r="D57" t="s">
        <v>124</v>
      </c>
    </row>
    <row r="58" spans="3:4" x14ac:dyDescent="0.3">
      <c r="C58" s="47"/>
      <c r="D58" t="s">
        <v>125</v>
      </c>
    </row>
    <row r="60" spans="3:4" x14ac:dyDescent="0.3">
      <c r="C60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L451"/>
  <sheetViews>
    <sheetView tabSelected="1" workbookViewId="0">
      <selection activeCell="G28" sqref="G28"/>
    </sheetView>
  </sheetViews>
  <sheetFormatPr defaultRowHeight="14.4" x14ac:dyDescent="0.3"/>
  <cols>
    <col min="1" max="1" width="55.6640625" style="1" customWidth="1"/>
    <col min="2" max="2" width="10.6640625" bestFit="1" customWidth="1"/>
    <col min="3" max="3" width="15.33203125" bestFit="1" customWidth="1"/>
    <col min="4" max="4" width="14.33203125" bestFit="1" customWidth="1"/>
    <col min="5" max="5" width="10.6640625" customWidth="1"/>
    <col min="6" max="6" width="14.44140625" customWidth="1"/>
    <col min="7" max="7" width="19.44140625" bestFit="1" customWidth="1"/>
    <col min="8" max="8" width="15.33203125" bestFit="1" customWidth="1"/>
    <col min="9" max="9" width="12.5546875" bestFit="1" customWidth="1"/>
    <col min="18" max="18" width="14.33203125" bestFit="1" customWidth="1"/>
    <col min="36" max="36" width="14" customWidth="1"/>
  </cols>
  <sheetData>
    <row r="2" spans="1:23" ht="30.6" x14ac:dyDescent="0.45">
      <c r="A2" s="19" t="s">
        <v>120</v>
      </c>
      <c r="B2" s="8"/>
      <c r="F2" s="20" t="s">
        <v>126</v>
      </c>
      <c r="G2" s="34">
        <v>10000</v>
      </c>
      <c r="V2" t="s">
        <v>135</v>
      </c>
      <c r="W2">
        <f>G2/150000</f>
        <v>6.6666666666666666E-2</v>
      </c>
    </row>
    <row r="3" spans="1:23" x14ac:dyDescent="0.3">
      <c r="B3" s="7"/>
    </row>
    <row r="4" spans="1:23" x14ac:dyDescent="0.3">
      <c r="D4" s="34"/>
      <c r="E4" t="s">
        <v>129</v>
      </c>
    </row>
    <row r="5" spans="1:23" x14ac:dyDescent="0.3">
      <c r="D5" s="47"/>
      <c r="E5" t="s">
        <v>130</v>
      </c>
    </row>
    <row r="7" spans="1:23" x14ac:dyDescent="0.3">
      <c r="A7" s="7" t="s">
        <v>44</v>
      </c>
      <c r="D7" s="1"/>
      <c r="E7" s="1"/>
    </row>
    <row r="9" spans="1:23" x14ac:dyDescent="0.3">
      <c r="A9" s="1" t="s">
        <v>58</v>
      </c>
      <c r="I9" s="2"/>
    </row>
    <row r="11" spans="1:23" x14ac:dyDescent="0.3">
      <c r="A11" s="7" t="s">
        <v>101</v>
      </c>
      <c r="C11" t="s">
        <v>76</v>
      </c>
      <c r="D11" t="s">
        <v>99</v>
      </c>
      <c r="H11" t="s">
        <v>69</v>
      </c>
    </row>
    <row r="12" spans="1:23" x14ac:dyDescent="0.3">
      <c r="C12" s="14"/>
      <c r="D12" s="10"/>
      <c r="E12" s="10"/>
      <c r="F12" s="6"/>
      <c r="G12" s="6"/>
      <c r="H12" s="5"/>
    </row>
    <row r="13" spans="1:23" x14ac:dyDescent="0.3">
      <c r="A13" s="1" t="s">
        <v>10</v>
      </c>
      <c r="C13" s="49">
        <v>50000</v>
      </c>
      <c r="D13" s="44">
        <v>1</v>
      </c>
      <c r="E13" s="10"/>
      <c r="F13" s="6"/>
      <c r="G13" s="6"/>
      <c r="H13" t="s">
        <v>127</v>
      </c>
    </row>
    <row r="14" spans="1:23" x14ac:dyDescent="0.3">
      <c r="A14" s="1" t="s">
        <v>95</v>
      </c>
      <c r="C14" s="50">
        <f>1000/6*(MAX(5,200*W2)*12*0.5)*0+ (35*3*W2+7)*220*12</f>
        <v>36960</v>
      </c>
      <c r="D14" s="44">
        <v>1</v>
      </c>
      <c r="E14" s="10"/>
      <c r="F14" s="6"/>
      <c r="G14" s="6"/>
      <c r="H14" s="38" t="s">
        <v>114</v>
      </c>
    </row>
    <row r="15" spans="1:23" x14ac:dyDescent="0.3">
      <c r="A15" s="1" t="s">
        <v>79</v>
      </c>
      <c r="C15" s="50">
        <f>200*(MAX(5,200*W2)*12*0.5)*1.5/2</f>
        <v>12000</v>
      </c>
      <c r="D15" s="44">
        <v>1</v>
      </c>
      <c r="E15" s="10"/>
      <c r="F15" s="6"/>
      <c r="G15" s="6"/>
      <c r="H15" s="5" t="s">
        <v>82</v>
      </c>
      <c r="I15" s="4"/>
    </row>
    <row r="16" spans="1:23" x14ac:dyDescent="0.3">
      <c r="A16" s="1" t="s">
        <v>81</v>
      </c>
      <c r="C16" s="50">
        <f>(40*30*12+15*100*12)*MAX(5,W2*42)/42</f>
        <v>3857.1428571428573</v>
      </c>
      <c r="D16" s="44">
        <v>1</v>
      </c>
      <c r="E16" s="10"/>
      <c r="F16" s="6"/>
      <c r="G16" s="6"/>
      <c r="H16" s="5" t="s">
        <v>80</v>
      </c>
      <c r="I16" s="4"/>
    </row>
    <row r="17" spans="1:19" x14ac:dyDescent="0.3">
      <c r="C17" s="3"/>
      <c r="D17" s="10"/>
      <c r="E17" s="10"/>
      <c r="F17" s="6"/>
      <c r="G17" s="6"/>
      <c r="H17" s="5"/>
      <c r="I17" s="4"/>
    </row>
    <row r="18" spans="1:19" x14ac:dyDescent="0.3">
      <c r="A18" s="7" t="s">
        <v>73</v>
      </c>
      <c r="D18" s="11"/>
      <c r="E18" s="10"/>
      <c r="G18" s="3"/>
      <c r="H18" s="3"/>
      <c r="I18" s="6"/>
      <c r="J18" s="6"/>
      <c r="K18" s="5"/>
      <c r="L18" s="4"/>
      <c r="R18" t="s">
        <v>105</v>
      </c>
    </row>
    <row r="19" spans="1:19" x14ac:dyDescent="0.3">
      <c r="A19" s="16" t="s">
        <v>74</v>
      </c>
      <c r="C19" s="50">
        <f>(35*W2*16000+(ROUNDUP(2*G2/50000,0)*100000+ROUNDUP(3*G2/50000,0)*70000)*W2)*1.3</f>
        <v>63266.666666666672</v>
      </c>
      <c r="D19" s="44">
        <v>1</v>
      </c>
      <c r="E19" s="11"/>
      <c r="F19" s="39">
        <f>(130*20000+10*100000+30*55000)*1.3*MAX(5,W2*170)/170</f>
        <v>455000</v>
      </c>
      <c r="G19" s="3"/>
      <c r="H19" s="3" t="s">
        <v>96</v>
      </c>
      <c r="I19" s="6"/>
      <c r="J19" s="6"/>
      <c r="K19" s="5"/>
      <c r="L19" s="4"/>
      <c r="R19" s="36">
        <f>D52/1000000</f>
        <v>0.2805472761904762</v>
      </c>
    </row>
    <row r="20" spans="1:19" x14ac:dyDescent="0.3">
      <c r="D20" s="11"/>
      <c r="E20" s="11"/>
      <c r="G20" s="3"/>
      <c r="H20" s="3"/>
      <c r="I20" s="6"/>
      <c r="J20" s="6"/>
      <c r="K20" s="5"/>
      <c r="L20" s="4"/>
      <c r="O20">
        <v>1000</v>
      </c>
      <c r="Q20">
        <v>1000</v>
      </c>
      <c r="R20" s="37">
        <f t="dataTable" ref="R20:R39" dt2D="0" dtr="0" r1="G2" ca="1"/>
        <v>0.17598948952380952</v>
      </c>
      <c r="S20">
        <f>0.00000000008*Q20^2+0.0000115*Q20+0.159</f>
        <v>0.17058000000000001</v>
      </c>
    </row>
    <row r="21" spans="1:19" x14ac:dyDescent="0.3">
      <c r="D21" s="11"/>
      <c r="E21" s="11"/>
      <c r="G21" s="3"/>
      <c r="H21" s="3"/>
      <c r="I21" s="6"/>
      <c r="J21" s="6"/>
      <c r="K21" s="5"/>
      <c r="L21" s="4"/>
      <c r="O21">
        <v>2000</v>
      </c>
      <c r="P21" t="s">
        <v>108</v>
      </c>
      <c r="Q21">
        <v>2000</v>
      </c>
      <c r="R21" s="37">
        <v>0.18444183619047619</v>
      </c>
      <c r="S21">
        <f t="shared" ref="S21:S39" si="0">0.00000000008*Q21^2+0.0000115*Q21+0.159</f>
        <v>0.18232000000000001</v>
      </c>
    </row>
    <row r="22" spans="1:19" x14ac:dyDescent="0.3">
      <c r="A22" s="7" t="s">
        <v>92</v>
      </c>
      <c r="C22" s="3"/>
      <c r="D22" s="10"/>
      <c r="E22" s="10"/>
      <c r="F22" s="6"/>
      <c r="G22" s="6"/>
      <c r="H22" s="5"/>
      <c r="I22" s="4"/>
      <c r="O22">
        <v>3000</v>
      </c>
      <c r="Q22">
        <v>3000</v>
      </c>
      <c r="R22" s="37">
        <v>0.19489418285714286</v>
      </c>
      <c r="S22">
        <f t="shared" si="0"/>
        <v>0.19422</v>
      </c>
    </row>
    <row r="23" spans="1:19" x14ac:dyDescent="0.3">
      <c r="A23" s="20" t="s">
        <v>53</v>
      </c>
      <c r="C23" s="50">
        <f>'Capital costs'!E11*0.2</f>
        <v>72000</v>
      </c>
      <c r="D23" s="44">
        <v>0.5</v>
      </c>
      <c r="E23" s="10"/>
      <c r="F23" s="6"/>
      <c r="G23" s="6"/>
      <c r="H23" s="3" t="s">
        <v>94</v>
      </c>
      <c r="I23" s="4"/>
      <c r="L23">
        <f>220*(42)*12</f>
        <v>110880</v>
      </c>
      <c r="O23">
        <v>4000</v>
      </c>
      <c r="Q23">
        <v>4000</v>
      </c>
      <c r="R23" s="37">
        <v>0.20631319619047619</v>
      </c>
      <c r="S23">
        <f t="shared" si="0"/>
        <v>0.20628000000000002</v>
      </c>
    </row>
    <row r="24" spans="1:19" x14ac:dyDescent="0.3">
      <c r="A24" s="20" t="s">
        <v>70</v>
      </c>
      <c r="C24" s="50">
        <f>'Capital costs'!E12*0.2</f>
        <v>5553.6</v>
      </c>
      <c r="D24" s="44">
        <v>0.5</v>
      </c>
      <c r="E24" s="10"/>
      <c r="F24" s="6"/>
      <c r="G24" s="6"/>
      <c r="H24" s="3" t="s">
        <v>94</v>
      </c>
      <c r="I24" s="4"/>
      <c r="O24">
        <f>O23+4000</f>
        <v>8000</v>
      </c>
      <c r="Q24">
        <f>Q23+4000</f>
        <v>8000</v>
      </c>
      <c r="R24" s="37">
        <v>0.25568524952380955</v>
      </c>
      <c r="S24">
        <f t="shared" si="0"/>
        <v>0.25612000000000001</v>
      </c>
    </row>
    <row r="25" spans="1:19" x14ac:dyDescent="0.3">
      <c r="A25" s="20" t="s">
        <v>47</v>
      </c>
      <c r="C25" s="50">
        <f>'Capital costs'!E13*0.2</f>
        <v>90000</v>
      </c>
      <c r="D25" s="44">
        <v>0</v>
      </c>
      <c r="E25" s="10"/>
      <c r="F25" s="6"/>
      <c r="G25" s="6"/>
      <c r="H25" s="3" t="s">
        <v>94</v>
      </c>
      <c r="I25" s="4"/>
      <c r="O25">
        <f t="shared" ref="O25:Q39" si="1">O24+4000</f>
        <v>12000</v>
      </c>
      <c r="Q25">
        <f t="shared" si="1"/>
        <v>12000</v>
      </c>
      <c r="R25" s="37">
        <v>0.30560930285714288</v>
      </c>
      <c r="S25">
        <f t="shared" si="0"/>
        <v>0.30852000000000002</v>
      </c>
    </row>
    <row r="26" spans="1:19" x14ac:dyDescent="0.3">
      <c r="A26" s="20" t="s">
        <v>64</v>
      </c>
      <c r="C26" s="50">
        <f>'Capital costs'!E14*0.2</f>
        <v>144000</v>
      </c>
      <c r="D26" s="44">
        <v>0.1</v>
      </c>
      <c r="E26" s="10"/>
      <c r="F26" s="6"/>
      <c r="G26" s="6"/>
      <c r="H26" s="3" t="s">
        <v>94</v>
      </c>
      <c r="I26" s="4"/>
      <c r="O26">
        <f t="shared" si="1"/>
        <v>16000</v>
      </c>
      <c r="Q26">
        <f t="shared" si="1"/>
        <v>16000</v>
      </c>
      <c r="R26" s="37">
        <v>0.35580002285714291</v>
      </c>
      <c r="S26">
        <f t="shared" si="0"/>
        <v>0.36348000000000003</v>
      </c>
    </row>
    <row r="27" spans="1:19" x14ac:dyDescent="0.3">
      <c r="A27" s="20"/>
      <c r="C27" s="3"/>
      <c r="D27" s="10"/>
      <c r="E27" s="10"/>
      <c r="F27" s="6"/>
      <c r="G27" s="6"/>
      <c r="H27" s="3" t="s">
        <v>94</v>
      </c>
      <c r="I27" s="4"/>
      <c r="O27">
        <f t="shared" si="1"/>
        <v>20000</v>
      </c>
      <c r="Q27">
        <f t="shared" si="1"/>
        <v>20000</v>
      </c>
      <c r="R27" s="37">
        <v>0.41878693333333328</v>
      </c>
      <c r="S27">
        <f t="shared" si="0"/>
        <v>0.42100000000000004</v>
      </c>
    </row>
    <row r="28" spans="1:19" x14ac:dyDescent="0.3">
      <c r="A28" s="20" t="s">
        <v>61</v>
      </c>
      <c r="C28" s="50">
        <f>'Capital costs'!E16*0.2</f>
        <v>420000</v>
      </c>
      <c r="D28" s="44">
        <v>0</v>
      </c>
      <c r="E28" s="10"/>
      <c r="F28" s="6"/>
      <c r="G28" s="6"/>
      <c r="H28" s="3" t="s">
        <v>94</v>
      </c>
      <c r="I28" s="4"/>
      <c r="O28">
        <f t="shared" si="1"/>
        <v>24000</v>
      </c>
      <c r="Q28">
        <f t="shared" si="1"/>
        <v>24000</v>
      </c>
      <c r="R28" s="37">
        <v>0.47246832</v>
      </c>
      <c r="S28">
        <f t="shared" si="0"/>
        <v>0.48108000000000006</v>
      </c>
    </row>
    <row r="29" spans="1:19" x14ac:dyDescent="0.3">
      <c r="A29" s="20" t="s">
        <v>51</v>
      </c>
      <c r="C29" s="50">
        <f>'Capital costs'!E17*0.2</f>
        <v>48000</v>
      </c>
      <c r="D29" s="44">
        <v>0</v>
      </c>
      <c r="E29" s="10"/>
      <c r="F29" s="6"/>
      <c r="G29" s="6"/>
      <c r="H29" s="3" t="s">
        <v>94</v>
      </c>
      <c r="I29" s="4"/>
      <c r="O29">
        <f t="shared" si="1"/>
        <v>28000</v>
      </c>
      <c r="Q29">
        <f t="shared" si="1"/>
        <v>28000</v>
      </c>
      <c r="R29" s="37">
        <v>0.55041637333333326</v>
      </c>
      <c r="S29">
        <f t="shared" si="0"/>
        <v>0.54371999999999998</v>
      </c>
    </row>
    <row r="30" spans="1:19" x14ac:dyDescent="0.3">
      <c r="A30" s="20" t="s">
        <v>52</v>
      </c>
      <c r="C30" s="50">
        <f>'Capital costs'!E18*0.2</f>
        <v>48000</v>
      </c>
      <c r="D30" s="44">
        <v>0</v>
      </c>
      <c r="E30" s="10"/>
      <c r="F30" s="6"/>
      <c r="G30" s="6"/>
      <c r="H30" s="3" t="s">
        <v>94</v>
      </c>
      <c r="I30" s="4"/>
      <c r="O30">
        <f t="shared" si="1"/>
        <v>32000</v>
      </c>
      <c r="Q30">
        <f t="shared" si="1"/>
        <v>32000</v>
      </c>
      <c r="R30" s="37">
        <v>0.60756442666666666</v>
      </c>
      <c r="S30">
        <f t="shared" si="0"/>
        <v>0.60892000000000002</v>
      </c>
    </row>
    <row r="31" spans="1:19" x14ac:dyDescent="0.3">
      <c r="A31" s="7"/>
      <c r="C31" s="3"/>
      <c r="D31" s="10"/>
      <c r="E31" s="10"/>
      <c r="F31" s="6"/>
      <c r="G31" s="6"/>
      <c r="H31" s="5"/>
      <c r="I31" s="4"/>
      <c r="O31">
        <f t="shared" si="1"/>
        <v>36000</v>
      </c>
      <c r="Q31">
        <f t="shared" si="1"/>
        <v>36000</v>
      </c>
      <c r="R31" s="37">
        <v>0.68655248000000002</v>
      </c>
      <c r="S31">
        <f t="shared" si="0"/>
        <v>0.67667999999999995</v>
      </c>
    </row>
    <row r="32" spans="1:19" x14ac:dyDescent="0.3">
      <c r="A32" s="1" t="s">
        <v>78</v>
      </c>
      <c r="C32" s="50">
        <f>'Capital costs'!E24*0.2</f>
        <v>1000</v>
      </c>
      <c r="D32" s="44">
        <v>1</v>
      </c>
      <c r="E32" s="10"/>
      <c r="F32" s="3"/>
      <c r="G32" s="3"/>
      <c r="H32" s="3"/>
      <c r="O32">
        <f t="shared" si="1"/>
        <v>40000</v>
      </c>
      <c r="Q32">
        <f t="shared" si="1"/>
        <v>40000</v>
      </c>
      <c r="R32" s="37">
        <v>0.74612719999999999</v>
      </c>
      <c r="S32">
        <f t="shared" si="0"/>
        <v>0.74700000000000011</v>
      </c>
    </row>
    <row r="33" spans="1:19" x14ac:dyDescent="0.3">
      <c r="A33" s="40" t="s">
        <v>112</v>
      </c>
      <c r="C33" s="50">
        <f>(2000*5+35*500)/5*MAX(5,W2)</f>
        <v>27500</v>
      </c>
      <c r="D33" s="44">
        <v>1</v>
      </c>
      <c r="E33" s="10"/>
      <c r="F33" s="3"/>
      <c r="G33" s="3"/>
      <c r="H33" s="3" t="s">
        <v>93</v>
      </c>
      <c r="O33">
        <f t="shared" si="1"/>
        <v>44000</v>
      </c>
      <c r="Q33">
        <f t="shared" si="1"/>
        <v>44000</v>
      </c>
      <c r="R33" s="37">
        <v>0.80570192000000018</v>
      </c>
      <c r="S33">
        <f t="shared" si="0"/>
        <v>0.81988000000000005</v>
      </c>
    </row>
    <row r="34" spans="1:19" x14ac:dyDescent="0.3">
      <c r="A34" s="15" t="s">
        <v>2</v>
      </c>
      <c r="C34" s="50">
        <f>'Capital costs'!E26*0.2</f>
        <v>1000</v>
      </c>
      <c r="D34" s="44">
        <v>0</v>
      </c>
      <c r="E34" s="10"/>
      <c r="F34" s="3"/>
      <c r="G34" s="3"/>
      <c r="H34" s="3" t="s">
        <v>94</v>
      </c>
      <c r="O34">
        <f t="shared" si="1"/>
        <v>48000</v>
      </c>
      <c r="Q34">
        <f t="shared" si="1"/>
        <v>48000</v>
      </c>
      <c r="R34" s="37">
        <v>0.86527664000000004</v>
      </c>
      <c r="S34">
        <f t="shared" si="0"/>
        <v>0.89532000000000012</v>
      </c>
    </row>
    <row r="35" spans="1:19" x14ac:dyDescent="0.3">
      <c r="A35" s="16" t="s">
        <v>4</v>
      </c>
      <c r="C35" s="50">
        <f>'Capital costs'!E27*0.2</f>
        <v>560</v>
      </c>
      <c r="D35" s="44">
        <v>1</v>
      </c>
      <c r="E35" s="10"/>
      <c r="F35" s="3"/>
      <c r="G35" s="3"/>
      <c r="H35" s="3" t="s">
        <v>94</v>
      </c>
      <c r="O35">
        <f t="shared" si="1"/>
        <v>52000</v>
      </c>
      <c r="Q35">
        <f t="shared" si="1"/>
        <v>52000</v>
      </c>
      <c r="R35" s="37">
        <v>1.0014646933333333</v>
      </c>
      <c r="S35">
        <f t="shared" si="0"/>
        <v>0.97331999999999996</v>
      </c>
    </row>
    <row r="36" spans="1:19" x14ac:dyDescent="0.3">
      <c r="A36" s="16" t="s">
        <v>5</v>
      </c>
      <c r="C36" s="50">
        <f>'Capital costs'!E28*0.2</f>
        <v>560</v>
      </c>
      <c r="D36" s="44">
        <v>1</v>
      </c>
      <c r="E36" s="10"/>
      <c r="F36" s="3"/>
      <c r="G36" s="3"/>
      <c r="H36" s="3" t="s">
        <v>94</v>
      </c>
      <c r="O36">
        <f t="shared" si="1"/>
        <v>56000</v>
      </c>
      <c r="Q36">
        <f t="shared" si="1"/>
        <v>56000</v>
      </c>
      <c r="R36" s="37">
        <v>1.0669327466666665</v>
      </c>
      <c r="S36">
        <f t="shared" si="0"/>
        <v>1.0538799999999999</v>
      </c>
    </row>
    <row r="37" spans="1:19" x14ac:dyDescent="0.3">
      <c r="A37" s="16" t="s">
        <v>3</v>
      </c>
      <c r="C37" s="50">
        <f>'Capital costs'!E29*0.2</f>
        <v>1200</v>
      </c>
      <c r="D37" s="44">
        <v>0</v>
      </c>
      <c r="E37" s="10"/>
      <c r="F37" s="3"/>
      <c r="G37" s="3"/>
      <c r="H37" s="3" t="s">
        <v>94</v>
      </c>
      <c r="O37">
        <f t="shared" si="1"/>
        <v>60000</v>
      </c>
      <c r="Q37">
        <f t="shared" si="1"/>
        <v>60000</v>
      </c>
      <c r="R37" s="37">
        <v>1.1324008000000001</v>
      </c>
      <c r="S37">
        <f t="shared" si="0"/>
        <v>1.137</v>
      </c>
    </row>
    <row r="38" spans="1:19" x14ac:dyDescent="0.3">
      <c r="A38" s="16" t="s">
        <v>75</v>
      </c>
      <c r="C38" s="50">
        <f>'Capital costs'!E30*0.2</f>
        <v>800</v>
      </c>
      <c r="D38" s="44">
        <v>0</v>
      </c>
      <c r="E38" s="10"/>
      <c r="F38" s="3"/>
      <c r="G38" s="3"/>
      <c r="H38" s="3" t="s">
        <v>94</v>
      </c>
      <c r="O38">
        <f t="shared" si="1"/>
        <v>64000</v>
      </c>
      <c r="Q38">
        <f t="shared" si="1"/>
        <v>64000</v>
      </c>
      <c r="R38" s="37">
        <v>1.1978688533333333</v>
      </c>
      <c r="S38">
        <f t="shared" si="0"/>
        <v>1.22268</v>
      </c>
    </row>
    <row r="39" spans="1:19" x14ac:dyDescent="0.3">
      <c r="A39" s="16" t="s">
        <v>6</v>
      </c>
      <c r="C39" s="50">
        <f>'Capital costs'!E31*0.2</f>
        <v>1000</v>
      </c>
      <c r="D39" s="44">
        <v>1</v>
      </c>
      <c r="E39" s="10"/>
      <c r="F39" s="3"/>
      <c r="G39" s="3"/>
      <c r="H39" s="3" t="s">
        <v>94</v>
      </c>
      <c r="O39">
        <f t="shared" si="1"/>
        <v>68000</v>
      </c>
      <c r="Q39">
        <f t="shared" si="1"/>
        <v>68000</v>
      </c>
      <c r="R39" s="37">
        <v>1.3045902399999998</v>
      </c>
      <c r="S39">
        <f t="shared" si="0"/>
        <v>1.3109200000000001</v>
      </c>
    </row>
    <row r="40" spans="1:19" x14ac:dyDescent="0.3">
      <c r="A40" s="16" t="s">
        <v>7</v>
      </c>
      <c r="C40" s="50">
        <f>'Capital costs'!E32*0.2</f>
        <v>40000</v>
      </c>
      <c r="D40" s="44">
        <v>0.1</v>
      </c>
      <c r="E40" s="10"/>
      <c r="F40" s="3"/>
      <c r="G40" s="3"/>
      <c r="H40" s="3" t="s">
        <v>94</v>
      </c>
    </row>
    <row r="41" spans="1:19" x14ac:dyDescent="0.3">
      <c r="A41" s="16" t="s">
        <v>11</v>
      </c>
      <c r="C41" s="50">
        <f>'Capital costs'!E33*0.2</f>
        <v>800</v>
      </c>
      <c r="D41" s="44">
        <v>0</v>
      </c>
      <c r="E41" s="10"/>
      <c r="F41" s="3"/>
      <c r="G41" s="3"/>
      <c r="H41" s="3" t="s">
        <v>94</v>
      </c>
    </row>
    <row r="42" spans="1:19" x14ac:dyDescent="0.3">
      <c r="A42" s="16" t="s">
        <v>83</v>
      </c>
      <c r="C42" s="50">
        <f>'Capital costs'!E34*0.2</f>
        <v>560</v>
      </c>
      <c r="D42" s="44">
        <v>0</v>
      </c>
      <c r="E42" s="10"/>
      <c r="F42" s="3"/>
      <c r="G42" s="3"/>
      <c r="H42" s="3" t="s">
        <v>94</v>
      </c>
      <c r="M42">
        <f>'Capital costs'!F39</f>
        <v>730668</v>
      </c>
    </row>
    <row r="43" spans="1:19" x14ac:dyDescent="0.3">
      <c r="E43" s="10"/>
      <c r="F43" s="3"/>
      <c r="G43" s="3"/>
    </row>
    <row r="44" spans="1:19" x14ac:dyDescent="0.3">
      <c r="A44" s="16"/>
      <c r="C44" s="3"/>
      <c r="D44" s="10"/>
      <c r="E44" s="10"/>
      <c r="F44" s="3"/>
      <c r="G44" s="3"/>
      <c r="H44" s="3"/>
    </row>
    <row r="45" spans="1:19" x14ac:dyDescent="0.3">
      <c r="A45" s="1" t="s">
        <v>84</v>
      </c>
      <c r="C45" s="3"/>
      <c r="D45" s="10"/>
      <c r="E45" s="10"/>
      <c r="F45" s="3"/>
      <c r="G45" s="3"/>
      <c r="O45" t="s">
        <v>100</v>
      </c>
    </row>
    <row r="46" spans="1:19" x14ac:dyDescent="0.3">
      <c r="A46" s="1" t="s">
        <v>85</v>
      </c>
      <c r="C46" s="3">
        <f>D77</f>
        <v>9125</v>
      </c>
      <c r="D46" s="44">
        <v>0</v>
      </c>
      <c r="E46" s="10"/>
      <c r="F46" s="3"/>
      <c r="G46" s="3"/>
      <c r="O46">
        <f>'Capital costs'!F39/1000000</f>
        <v>0.73066799999999998</v>
      </c>
    </row>
    <row r="47" spans="1:19" x14ac:dyDescent="0.3">
      <c r="A47" s="1" t="s">
        <v>86</v>
      </c>
      <c r="C47" s="49">
        <f>4*20*2*2500*MAX(0.015,W2)</f>
        <v>26666.666666666668</v>
      </c>
      <c r="D47" s="44">
        <v>1</v>
      </c>
      <c r="E47" s="10"/>
      <c r="F47" s="3"/>
      <c r="G47" s="3"/>
      <c r="M47">
        <v>200</v>
      </c>
      <c r="N47">
        <f>M47</f>
        <v>200</v>
      </c>
      <c r="O47">
        <f t="dataTable" ref="O47:O66" dt2D="0" dtr="0" r1="G2" ca="1"/>
        <v>0.40485536</v>
      </c>
      <c r="P47">
        <v>0.81332000000000004</v>
      </c>
    </row>
    <row r="48" spans="1:19" x14ac:dyDescent="0.3">
      <c r="C48" s="3"/>
      <c r="D48" s="10"/>
      <c r="E48" s="10"/>
      <c r="F48" s="3"/>
      <c r="G48" s="3"/>
      <c r="M48">
        <v>2000</v>
      </c>
      <c r="N48">
        <f t="shared" ref="N48:N67" si="2">M48</f>
        <v>2000</v>
      </c>
      <c r="O48">
        <v>0.46385359999999998</v>
      </c>
      <c r="P48">
        <v>0.81332000000000004</v>
      </c>
    </row>
    <row r="49" spans="1:38" x14ac:dyDescent="0.3">
      <c r="C49" s="3"/>
      <c r="D49" s="10"/>
      <c r="E49" s="10"/>
      <c r="F49" s="3"/>
      <c r="G49" s="3"/>
      <c r="M49">
        <f>M48+2000</f>
        <v>4000</v>
      </c>
      <c r="N49">
        <f t="shared" si="2"/>
        <v>4000</v>
      </c>
      <c r="O49">
        <v>0.52972719999999995</v>
      </c>
      <c r="P49">
        <v>0.81332000000000004</v>
      </c>
    </row>
    <row r="50" spans="1:38" x14ac:dyDescent="0.3">
      <c r="C50" s="3"/>
      <c r="D50" s="10"/>
      <c r="E50" s="10"/>
      <c r="F50" s="3"/>
      <c r="G50" s="3"/>
      <c r="M50">
        <f t="shared" ref="M50" si="3">M49+2000</f>
        <v>6000</v>
      </c>
      <c r="N50">
        <f t="shared" si="2"/>
        <v>6000</v>
      </c>
      <c r="O50">
        <v>0.59584080000000006</v>
      </c>
      <c r="P50">
        <v>0.81385333333333332</v>
      </c>
    </row>
    <row r="51" spans="1:38" x14ac:dyDescent="0.3">
      <c r="C51" s="3"/>
      <c r="D51" s="3"/>
      <c r="E51" s="3"/>
      <c r="F51" s="3"/>
      <c r="G51" s="3"/>
      <c r="M51">
        <f>M50+4000</f>
        <v>10000</v>
      </c>
      <c r="N51">
        <f t="shared" si="2"/>
        <v>10000</v>
      </c>
      <c r="O51">
        <v>0.73066799999999998</v>
      </c>
      <c r="P51">
        <v>0.81518666666666662</v>
      </c>
    </row>
    <row r="52" spans="1:38" ht="16.2" x14ac:dyDescent="0.45">
      <c r="A52" s="30" t="s">
        <v>88</v>
      </c>
      <c r="C52" s="45">
        <f>SUM(C13:C50)</f>
        <v>1104409.0761904763</v>
      </c>
      <c r="D52" s="46">
        <f>SUMPRODUCT(D13:D47,C13:C47)</f>
        <v>280547.2761904762</v>
      </c>
      <c r="E52" s="12"/>
      <c r="F52" s="9"/>
      <c r="G52" s="3"/>
      <c r="M52">
        <f t="shared" ref="M52:M67" si="4">M51+4000</f>
        <v>14000</v>
      </c>
      <c r="N52">
        <f t="shared" si="2"/>
        <v>14000</v>
      </c>
      <c r="O52">
        <v>0.86733519999999997</v>
      </c>
      <c r="P52">
        <v>0.81652000000000002</v>
      </c>
    </row>
    <row r="53" spans="1:38" x14ac:dyDescent="0.3">
      <c r="C53" s="3"/>
      <c r="D53" s="3"/>
      <c r="E53" s="13"/>
      <c r="F53" s="3"/>
      <c r="G53" s="3"/>
      <c r="M53">
        <f t="shared" si="4"/>
        <v>18000</v>
      </c>
      <c r="N53">
        <f t="shared" si="2"/>
        <v>18000</v>
      </c>
      <c r="O53">
        <v>1.0040024000000001</v>
      </c>
      <c r="P53">
        <v>0.81785333333333332</v>
      </c>
    </row>
    <row r="54" spans="1:38" x14ac:dyDescent="0.3">
      <c r="C54" s="3"/>
      <c r="D54" s="3"/>
      <c r="E54" s="3"/>
      <c r="F54" s="3"/>
      <c r="G54" s="3"/>
      <c r="M54">
        <f t="shared" si="4"/>
        <v>22000</v>
      </c>
      <c r="N54">
        <f t="shared" si="2"/>
        <v>22000</v>
      </c>
      <c r="O54">
        <v>1.1410696</v>
      </c>
      <c r="P54">
        <v>0.81918666666666662</v>
      </c>
    </row>
    <row r="55" spans="1:38" x14ac:dyDescent="0.3">
      <c r="C55" s="3"/>
      <c r="D55" s="3"/>
      <c r="E55" s="3"/>
      <c r="F55" s="3"/>
      <c r="G55" s="3"/>
      <c r="M55">
        <f t="shared" si="4"/>
        <v>26000</v>
      </c>
      <c r="N55">
        <f t="shared" si="2"/>
        <v>26000</v>
      </c>
      <c r="O55">
        <v>1.2785368000000001</v>
      </c>
      <c r="P55">
        <v>0.82052000000000003</v>
      </c>
    </row>
    <row r="56" spans="1:38" x14ac:dyDescent="0.3">
      <c r="C56" s="3"/>
      <c r="D56" s="3"/>
      <c r="E56" s="3"/>
      <c r="F56" s="3"/>
      <c r="G56" s="3"/>
      <c r="M56">
        <f t="shared" si="4"/>
        <v>30000</v>
      </c>
      <c r="N56">
        <f t="shared" si="2"/>
        <v>30000</v>
      </c>
      <c r="O56">
        <v>1.416104</v>
      </c>
      <c r="P56">
        <v>0.82185333333333332</v>
      </c>
    </row>
    <row r="57" spans="1:38" s="28" customFormat="1" x14ac:dyDescent="0.3">
      <c r="A57" s="27"/>
      <c r="C57" s="29"/>
      <c r="D57" s="29"/>
      <c r="E57" s="29"/>
      <c r="F57" s="29"/>
      <c r="G57" s="29"/>
      <c r="M57">
        <f t="shared" si="4"/>
        <v>34000</v>
      </c>
      <c r="N57">
        <f t="shared" si="2"/>
        <v>34000</v>
      </c>
      <c r="O57" s="28">
        <v>1.5542511999999999</v>
      </c>
      <c r="P57" s="28">
        <v>0.82318666666666662</v>
      </c>
    </row>
    <row r="58" spans="1:38" x14ac:dyDescent="0.3">
      <c r="C58" s="3"/>
      <c r="D58" s="3"/>
      <c r="E58" s="3"/>
      <c r="F58" s="3"/>
      <c r="G58" s="3"/>
      <c r="M58">
        <f t="shared" si="4"/>
        <v>38000</v>
      </c>
      <c r="N58">
        <f t="shared" si="2"/>
        <v>38000</v>
      </c>
      <c r="O58">
        <v>1.6923984000000001</v>
      </c>
      <c r="P58">
        <v>0.82452000000000003</v>
      </c>
    </row>
    <row r="59" spans="1:38" x14ac:dyDescent="0.3">
      <c r="C59" s="3"/>
      <c r="D59" s="3"/>
      <c r="E59" s="3"/>
      <c r="F59" s="3"/>
      <c r="G59" s="3"/>
      <c r="M59">
        <f t="shared" si="4"/>
        <v>42000</v>
      </c>
      <c r="N59">
        <f t="shared" si="2"/>
        <v>42000</v>
      </c>
      <c r="O59">
        <v>1.8305456000000002</v>
      </c>
      <c r="P59">
        <v>0.82585333333333333</v>
      </c>
    </row>
    <row r="60" spans="1:38" x14ac:dyDescent="0.3">
      <c r="C60" s="3"/>
      <c r="D60" s="3"/>
      <c r="E60" s="3"/>
      <c r="F60" s="3"/>
      <c r="G60" s="3"/>
      <c r="M60">
        <f t="shared" si="4"/>
        <v>46000</v>
      </c>
      <c r="N60">
        <f t="shared" si="2"/>
        <v>46000</v>
      </c>
      <c r="O60">
        <v>1.9686928000000001</v>
      </c>
      <c r="P60">
        <v>0.82750666666666661</v>
      </c>
    </row>
    <row r="61" spans="1:38" x14ac:dyDescent="0.3">
      <c r="C61" s="3"/>
      <c r="D61" s="3"/>
      <c r="E61" s="3"/>
      <c r="F61" s="3">
        <v>2.34</v>
      </c>
      <c r="G61" s="3"/>
      <c r="M61">
        <f t="shared" si="4"/>
        <v>50000</v>
      </c>
      <c r="N61">
        <f t="shared" si="2"/>
        <v>50000</v>
      </c>
      <c r="O61">
        <v>2.10684</v>
      </c>
      <c r="P61">
        <v>0.82972000000000001</v>
      </c>
      <c r="AI61" s="1"/>
      <c r="AJ61" s="36"/>
      <c r="AK61" s="3"/>
      <c r="AL61" s="10"/>
    </row>
    <row r="62" spans="1:38" x14ac:dyDescent="0.3">
      <c r="A62" s="1" t="s">
        <v>87</v>
      </c>
      <c r="C62" s="3"/>
      <c r="D62" s="3"/>
      <c r="E62" s="3"/>
      <c r="F62" s="3"/>
      <c r="G62" s="3"/>
      <c r="M62">
        <f t="shared" si="4"/>
        <v>54000</v>
      </c>
      <c r="N62">
        <f t="shared" si="2"/>
        <v>54000</v>
      </c>
      <c r="O62">
        <v>2.2449872000000002</v>
      </c>
      <c r="P62">
        <v>0.83193333333333341</v>
      </c>
      <c r="AI62" s="1"/>
      <c r="AJ62" s="36"/>
      <c r="AK62" s="3"/>
      <c r="AL62" s="10"/>
    </row>
    <row r="63" spans="1:38" x14ac:dyDescent="0.3">
      <c r="C63" s="3"/>
      <c r="D63" s="3"/>
      <c r="E63" s="3"/>
      <c r="F63" s="3"/>
      <c r="G63" s="3"/>
      <c r="M63">
        <f t="shared" si="4"/>
        <v>58000</v>
      </c>
      <c r="N63">
        <f t="shared" si="2"/>
        <v>58000</v>
      </c>
      <c r="O63">
        <v>2.3831343999999999</v>
      </c>
      <c r="P63">
        <v>0.83414666666666659</v>
      </c>
      <c r="AI63" s="1"/>
      <c r="AJ63" s="36"/>
      <c r="AK63" s="3"/>
      <c r="AL63" s="10"/>
    </row>
    <row r="64" spans="1:38" x14ac:dyDescent="0.3">
      <c r="C64" s="3"/>
      <c r="D64" s="3"/>
      <c r="E64" s="3"/>
      <c r="F64" s="3"/>
      <c r="G64" s="3"/>
      <c r="M64">
        <f t="shared" si="4"/>
        <v>62000</v>
      </c>
      <c r="N64">
        <f t="shared" si="2"/>
        <v>62000</v>
      </c>
      <c r="O64">
        <v>2.5212816</v>
      </c>
      <c r="P64">
        <v>0.83635999999999999</v>
      </c>
      <c r="AI64" s="1"/>
      <c r="AJ64" s="36"/>
      <c r="AK64" s="3"/>
      <c r="AL64" s="10"/>
    </row>
    <row r="65" spans="1:38" x14ac:dyDescent="0.3">
      <c r="C65" s="3"/>
      <c r="D65" s="3"/>
      <c r="E65" s="3"/>
      <c r="F65" s="3"/>
      <c r="G65" s="3"/>
      <c r="M65">
        <f t="shared" si="4"/>
        <v>66000</v>
      </c>
      <c r="N65">
        <f t="shared" si="2"/>
        <v>66000</v>
      </c>
      <c r="O65">
        <v>2.6594287999999997</v>
      </c>
      <c r="P65">
        <v>0.83857333333333339</v>
      </c>
      <c r="AI65" s="1"/>
      <c r="AJ65" s="36"/>
      <c r="AK65" s="3"/>
      <c r="AL65" s="10"/>
    </row>
    <row r="66" spans="1:38" x14ac:dyDescent="0.3">
      <c r="C66" s="3"/>
      <c r="D66" s="3"/>
      <c r="E66" s="3"/>
      <c r="F66" s="3"/>
      <c r="G66" s="3"/>
      <c r="M66">
        <f t="shared" si="4"/>
        <v>70000</v>
      </c>
      <c r="N66">
        <f t="shared" si="2"/>
        <v>70000</v>
      </c>
      <c r="O66">
        <v>2.7975759999999998</v>
      </c>
      <c r="P66">
        <v>0.84078666666666668</v>
      </c>
      <c r="AI66" s="7"/>
      <c r="AJ66" s="36"/>
      <c r="AL66" s="11"/>
    </row>
    <row r="67" spans="1:38" x14ac:dyDescent="0.3">
      <c r="C67" s="3"/>
      <c r="D67" s="3"/>
      <c r="E67" s="3"/>
      <c r="F67" s="3"/>
      <c r="G67" s="3"/>
      <c r="M67">
        <f t="shared" si="4"/>
        <v>74000</v>
      </c>
      <c r="N67">
        <f t="shared" si="2"/>
        <v>74000</v>
      </c>
      <c r="O67">
        <f>M67/(20000-600)*(O66-O47)+0.819</f>
        <v>9.9458725443298981</v>
      </c>
      <c r="AI67" s="16"/>
      <c r="AJ67" s="36"/>
      <c r="AK67" s="3"/>
      <c r="AL67" s="10"/>
    </row>
    <row r="68" spans="1:38" x14ac:dyDescent="0.3">
      <c r="C68" s="3"/>
      <c r="D68" s="3"/>
      <c r="E68" s="3"/>
      <c r="F68" s="3"/>
      <c r="G68" s="3"/>
      <c r="AI68" s="1"/>
      <c r="AJ68" s="36"/>
      <c r="AL68" s="11"/>
    </row>
    <row r="69" spans="1:38" x14ac:dyDescent="0.3">
      <c r="A69" s="1" t="s">
        <v>128</v>
      </c>
      <c r="C69" s="3"/>
      <c r="E69" s="3"/>
      <c r="F69" s="3"/>
      <c r="G69" s="3" t="s">
        <v>8</v>
      </c>
      <c r="AI69" s="1"/>
      <c r="AJ69" s="36"/>
      <c r="AL69" s="11"/>
    </row>
    <row r="70" spans="1:38" x14ac:dyDescent="0.3">
      <c r="C70" s="3"/>
      <c r="D70" s="3"/>
      <c r="E70" s="3"/>
      <c r="F70" s="3"/>
      <c r="G70" s="3" t="s">
        <v>9</v>
      </c>
      <c r="AI70" s="7"/>
      <c r="AJ70" s="36"/>
      <c r="AK70" s="3"/>
      <c r="AL70" s="10"/>
    </row>
    <row r="71" spans="1:38" x14ac:dyDescent="0.3">
      <c r="C71" s="3"/>
      <c r="D71" s="3"/>
      <c r="E71" s="3"/>
      <c r="F71" s="3"/>
      <c r="G71" s="3"/>
      <c r="AI71" s="20"/>
      <c r="AJ71" s="36"/>
      <c r="AK71" s="3"/>
      <c r="AL71" s="10"/>
    </row>
    <row r="72" spans="1:38" x14ac:dyDescent="0.3">
      <c r="C72" s="3"/>
      <c r="D72" s="3"/>
      <c r="E72" s="3"/>
      <c r="F72" s="3"/>
      <c r="G72" s="3"/>
      <c r="AI72" s="20"/>
      <c r="AJ72" s="36"/>
      <c r="AK72" s="3"/>
      <c r="AL72" s="10"/>
    </row>
    <row r="73" spans="1:38" x14ac:dyDescent="0.3">
      <c r="C73" s="3"/>
      <c r="D73" s="3"/>
      <c r="E73" s="3"/>
      <c r="F73" s="3"/>
      <c r="G73" s="3"/>
      <c r="AI73" s="20"/>
      <c r="AJ73" s="36"/>
      <c r="AK73" s="3"/>
      <c r="AL73" s="10"/>
    </row>
    <row r="74" spans="1:38" x14ac:dyDescent="0.3">
      <c r="C74" s="3"/>
      <c r="D74" s="3"/>
      <c r="E74" s="3"/>
      <c r="F74" s="3"/>
      <c r="G74" s="3"/>
      <c r="AI74" s="20"/>
      <c r="AJ74" s="36"/>
      <c r="AK74" s="3"/>
      <c r="AL74" s="10"/>
    </row>
    <row r="75" spans="1:38" x14ac:dyDescent="0.3">
      <c r="C75" s="3"/>
      <c r="D75" s="3"/>
      <c r="E75" s="3"/>
      <c r="F75" s="3"/>
      <c r="G75" s="3"/>
      <c r="AI75" s="20"/>
      <c r="AJ75" s="36"/>
      <c r="AK75" s="3"/>
      <c r="AL75" s="10"/>
    </row>
    <row r="76" spans="1:38" x14ac:dyDescent="0.3">
      <c r="C76" s="3"/>
      <c r="E76" s="3"/>
      <c r="F76" s="3"/>
      <c r="G76" s="3"/>
      <c r="AI76" s="20"/>
      <c r="AJ76" s="36"/>
      <c r="AK76" s="3"/>
      <c r="AL76" s="10"/>
    </row>
    <row r="77" spans="1:38" x14ac:dyDescent="0.3">
      <c r="A77" s="1" t="s">
        <v>12</v>
      </c>
      <c r="C77" s="3"/>
      <c r="D77" s="3">
        <f>MAX(2000,G81)</f>
        <v>9125</v>
      </c>
      <c r="E77" s="3"/>
      <c r="F77" s="3"/>
      <c r="G77" s="3" t="s">
        <v>57</v>
      </c>
      <c r="AI77" s="20"/>
      <c r="AJ77" s="36"/>
      <c r="AK77" s="3"/>
      <c r="AL77" s="10"/>
    </row>
    <row r="78" spans="1:38" x14ac:dyDescent="0.3">
      <c r="C78" s="3"/>
      <c r="D78" s="3"/>
      <c r="E78" s="3"/>
      <c r="F78" s="3"/>
      <c r="G78" s="3">
        <f>300000*0.1*0.05*100*W2</f>
        <v>10000</v>
      </c>
      <c r="H78" t="s">
        <v>54</v>
      </c>
      <c r="AI78" s="20"/>
      <c r="AJ78" s="36"/>
      <c r="AK78" s="3"/>
      <c r="AL78" s="10"/>
    </row>
    <row r="79" spans="1:38" x14ac:dyDescent="0.3">
      <c r="C79" s="3"/>
      <c r="D79" s="3"/>
      <c r="E79" s="3"/>
      <c r="F79" s="3"/>
      <c r="G79" s="3">
        <f>G78*2</f>
        <v>20000</v>
      </c>
      <c r="H79" t="s">
        <v>55</v>
      </c>
      <c r="AI79" s="7"/>
      <c r="AJ79" s="36"/>
      <c r="AK79" s="3"/>
      <c r="AL79" s="10"/>
    </row>
    <row r="80" spans="1:38" x14ac:dyDescent="0.3">
      <c r="C80" s="3"/>
      <c r="D80" s="3"/>
      <c r="E80" s="3"/>
      <c r="F80" s="3"/>
      <c r="G80" s="4">
        <f>G79*365</f>
        <v>7300000</v>
      </c>
      <c r="H80" t="s">
        <v>56</v>
      </c>
      <c r="AI80" s="1"/>
      <c r="AJ80" s="36"/>
      <c r="AK80" s="3"/>
      <c r="AL80" s="10"/>
    </row>
    <row r="81" spans="3:38" x14ac:dyDescent="0.3">
      <c r="C81" s="3"/>
      <c r="D81" s="3"/>
      <c r="E81" s="3"/>
      <c r="F81" s="3"/>
      <c r="G81" s="3">
        <f>G80*0.025*0.05</f>
        <v>9125</v>
      </c>
      <c r="H81" s="22">
        <v>2.5000000000000001E-2</v>
      </c>
      <c r="AI81" s="1"/>
      <c r="AJ81" s="36"/>
      <c r="AK81" s="3"/>
      <c r="AL81" s="10"/>
    </row>
    <row r="82" spans="3:38" x14ac:dyDescent="0.3">
      <c r="C82" s="3"/>
      <c r="D82" s="3"/>
      <c r="E82" s="3"/>
      <c r="F82" s="3"/>
      <c r="G82" s="3"/>
      <c r="AI82" s="15"/>
      <c r="AJ82" s="36"/>
      <c r="AK82" s="3"/>
      <c r="AL82" s="10"/>
    </row>
    <row r="83" spans="3:38" x14ac:dyDescent="0.3">
      <c r="C83" s="3"/>
      <c r="D83" s="3"/>
      <c r="E83" s="4"/>
      <c r="F83" s="3"/>
      <c r="G83" s="3"/>
      <c r="AI83" s="16"/>
      <c r="AJ83" s="36"/>
      <c r="AK83" s="3"/>
      <c r="AL83" s="10"/>
    </row>
    <row r="84" spans="3:38" x14ac:dyDescent="0.3">
      <c r="C84" s="3"/>
      <c r="D84" s="3"/>
      <c r="E84" s="3"/>
      <c r="F84" s="3"/>
      <c r="G84" s="3"/>
      <c r="AI84" s="16"/>
      <c r="AJ84" s="36"/>
      <c r="AK84" s="3"/>
      <c r="AL84" s="10"/>
    </row>
    <row r="85" spans="3:38" x14ac:dyDescent="0.3">
      <c r="C85" s="3"/>
      <c r="D85" s="3"/>
      <c r="E85" s="4"/>
      <c r="F85" s="3"/>
      <c r="G85" s="3"/>
      <c r="AI85" s="16"/>
      <c r="AJ85" s="36"/>
      <c r="AK85" s="3"/>
      <c r="AL85" s="10"/>
    </row>
    <row r="86" spans="3:38" x14ac:dyDescent="0.3">
      <c r="C86" s="3"/>
      <c r="D86" s="3"/>
      <c r="E86" s="3"/>
      <c r="F86" s="3"/>
      <c r="G86" s="3"/>
      <c r="AI86" s="16"/>
      <c r="AJ86" s="36"/>
      <c r="AK86" s="3"/>
      <c r="AL86" s="10"/>
    </row>
    <row r="87" spans="3:38" x14ac:dyDescent="0.3">
      <c r="C87" s="3"/>
      <c r="D87" s="3"/>
      <c r="E87" s="3"/>
      <c r="F87" s="3"/>
      <c r="G87" s="3"/>
      <c r="AI87" s="16"/>
      <c r="AJ87" s="36"/>
      <c r="AK87" s="3"/>
      <c r="AL87" s="10"/>
    </row>
    <row r="88" spans="3:38" x14ac:dyDescent="0.3">
      <c r="C88" s="3"/>
      <c r="D88" s="3"/>
      <c r="E88" s="3"/>
      <c r="F88" s="3"/>
      <c r="G88" s="3"/>
      <c r="AI88" s="16"/>
      <c r="AJ88" s="36"/>
      <c r="AK88" s="3"/>
      <c r="AL88" s="10"/>
    </row>
    <row r="89" spans="3:38" x14ac:dyDescent="0.3">
      <c r="C89" s="3"/>
      <c r="D89" s="3"/>
      <c r="E89" s="3"/>
      <c r="F89" s="3"/>
      <c r="G89" s="3"/>
      <c r="AI89" s="16"/>
      <c r="AJ89" s="36"/>
      <c r="AK89" s="3"/>
      <c r="AL89" s="10"/>
    </row>
    <row r="90" spans="3:38" x14ac:dyDescent="0.3">
      <c r="C90" s="3"/>
      <c r="D90" s="3"/>
      <c r="E90" s="3"/>
      <c r="F90" s="3"/>
      <c r="G90" s="3"/>
      <c r="AI90" s="16"/>
      <c r="AJ90" s="36"/>
      <c r="AK90" s="3"/>
      <c r="AL90" s="10"/>
    </row>
    <row r="91" spans="3:38" x14ac:dyDescent="0.3">
      <c r="C91" s="3"/>
      <c r="D91" s="3"/>
      <c r="E91" s="3"/>
      <c r="F91" s="3"/>
      <c r="G91" s="3"/>
      <c r="AI91" s="1"/>
      <c r="AJ91" s="36"/>
    </row>
    <row r="92" spans="3:38" x14ac:dyDescent="0.3">
      <c r="C92" s="3"/>
      <c r="D92" s="3"/>
      <c r="E92" s="3"/>
      <c r="F92" s="3"/>
      <c r="G92" s="3"/>
      <c r="AI92" s="16"/>
      <c r="AJ92" s="36"/>
      <c r="AK92" s="3"/>
      <c r="AL92" s="10"/>
    </row>
    <row r="93" spans="3:38" x14ac:dyDescent="0.3">
      <c r="C93" s="3"/>
      <c r="D93" s="3"/>
      <c r="E93" s="3"/>
      <c r="F93" s="3"/>
      <c r="G93" s="3"/>
      <c r="AI93" s="1"/>
      <c r="AJ93" s="36"/>
      <c r="AK93" s="3"/>
      <c r="AL93" s="10"/>
    </row>
    <row r="94" spans="3:38" x14ac:dyDescent="0.3">
      <c r="C94" s="3"/>
      <c r="D94" s="3"/>
      <c r="E94" s="3"/>
      <c r="F94" s="3"/>
      <c r="G94" s="3"/>
      <c r="AI94" s="1"/>
      <c r="AJ94" s="36"/>
      <c r="AK94" s="3"/>
      <c r="AL94" s="10"/>
    </row>
    <row r="95" spans="3:38" x14ac:dyDescent="0.3">
      <c r="C95" s="3"/>
      <c r="D95" s="3"/>
      <c r="E95" s="3"/>
      <c r="F95" s="3"/>
      <c r="G95" s="3"/>
      <c r="AI95" s="1"/>
      <c r="AJ95" s="36"/>
      <c r="AK95" s="3"/>
      <c r="AL95" s="10"/>
    </row>
    <row r="96" spans="3:38" x14ac:dyDescent="0.3">
      <c r="C96" s="3"/>
      <c r="D96" s="3"/>
      <c r="E96" s="3"/>
      <c r="F96" s="3"/>
      <c r="G96" s="3"/>
      <c r="AI96" s="1"/>
      <c r="AK96" s="3"/>
      <c r="AL96" s="10"/>
    </row>
    <row r="97" spans="3:38" x14ac:dyDescent="0.3">
      <c r="C97" s="3"/>
      <c r="D97" s="3"/>
      <c r="E97" s="3"/>
      <c r="F97" s="3"/>
      <c r="G97" s="3"/>
      <c r="AI97" s="1"/>
      <c r="AK97" s="3"/>
      <c r="AL97" s="10"/>
    </row>
    <row r="98" spans="3:38" x14ac:dyDescent="0.3">
      <c r="C98" s="3"/>
      <c r="D98" s="3"/>
      <c r="E98" s="3"/>
      <c r="F98" s="3"/>
      <c r="G98" s="3"/>
      <c r="AI98" s="1"/>
      <c r="AK98" s="3"/>
      <c r="AL98" s="10"/>
    </row>
    <row r="99" spans="3:38" x14ac:dyDescent="0.3">
      <c r="C99" s="3"/>
      <c r="D99" s="3"/>
      <c r="E99" s="3"/>
      <c r="F99" s="3"/>
      <c r="G99" s="3"/>
      <c r="AI99" s="1"/>
      <c r="AK99" s="3"/>
      <c r="AL99" s="3"/>
    </row>
    <row r="100" spans="3:38" ht="16.2" x14ac:dyDescent="0.45">
      <c r="C100" s="3"/>
      <c r="D100" s="3"/>
      <c r="E100" s="3"/>
      <c r="F100" s="3"/>
      <c r="G100" s="3"/>
      <c r="AI100" s="30"/>
      <c r="AK100" s="31"/>
      <c r="AL100" s="12"/>
    </row>
    <row r="101" spans="3:38" x14ac:dyDescent="0.3">
      <c r="C101" s="3"/>
      <c r="D101" s="3"/>
      <c r="E101" s="3"/>
      <c r="F101" s="3"/>
      <c r="G101" s="3"/>
      <c r="AI101" s="1"/>
      <c r="AK101" s="3"/>
      <c r="AL101" s="3"/>
    </row>
    <row r="102" spans="3:38" x14ac:dyDescent="0.3">
      <c r="C102" s="3"/>
      <c r="D102" s="3"/>
      <c r="E102" s="3"/>
      <c r="F102" s="3"/>
      <c r="G102" s="3"/>
      <c r="AI102" s="1"/>
      <c r="AK102" s="3"/>
      <c r="AL102" s="3"/>
    </row>
    <row r="103" spans="3:38" x14ac:dyDescent="0.3">
      <c r="C103" s="3"/>
      <c r="D103" s="3"/>
      <c r="E103" s="3"/>
      <c r="F103" s="3"/>
      <c r="G103" s="3"/>
      <c r="AI103" s="1"/>
      <c r="AK103" s="3"/>
      <c r="AL103" s="3"/>
    </row>
    <row r="104" spans="3:38" x14ac:dyDescent="0.3">
      <c r="C104" s="3"/>
      <c r="D104" s="3"/>
      <c r="E104" s="3"/>
      <c r="F104" s="3"/>
      <c r="G104" s="3"/>
      <c r="AI104" s="1"/>
      <c r="AK104" s="3"/>
      <c r="AL104" s="3"/>
    </row>
    <row r="105" spans="3:38" x14ac:dyDescent="0.3">
      <c r="C105" s="3"/>
      <c r="D105" s="3"/>
      <c r="E105" s="3"/>
      <c r="F105" s="3"/>
      <c r="G105" s="3"/>
      <c r="AI105" s="27"/>
      <c r="AJ105" s="28"/>
      <c r="AK105" s="29"/>
      <c r="AL105" s="29"/>
    </row>
    <row r="106" spans="3:38" x14ac:dyDescent="0.3">
      <c r="C106" s="3"/>
      <c r="D106" s="3"/>
      <c r="E106" s="3"/>
      <c r="F106" s="3"/>
      <c r="G106" s="3"/>
      <c r="AI106" s="1"/>
      <c r="AK106" s="3"/>
      <c r="AL106" s="3"/>
    </row>
    <row r="107" spans="3:38" x14ac:dyDescent="0.3">
      <c r="C107" s="3"/>
      <c r="D107" s="3"/>
      <c r="E107" s="3"/>
      <c r="F107" s="3"/>
      <c r="G107" s="3"/>
      <c r="AI107" s="1"/>
      <c r="AK107" s="3"/>
      <c r="AL107" s="3"/>
    </row>
    <row r="108" spans="3:38" x14ac:dyDescent="0.3">
      <c r="C108" s="3"/>
      <c r="D108" s="3"/>
      <c r="E108" s="3"/>
      <c r="F108" s="3"/>
      <c r="G108" s="3"/>
      <c r="AI108" s="1"/>
      <c r="AK108" s="3"/>
      <c r="AL108" s="3"/>
    </row>
    <row r="109" spans="3:38" x14ac:dyDescent="0.3">
      <c r="C109" s="3"/>
      <c r="D109" s="3"/>
      <c r="E109" s="3"/>
      <c r="F109" s="3"/>
      <c r="G109" s="3"/>
      <c r="AI109" s="1"/>
      <c r="AK109" s="3"/>
      <c r="AL109" s="3"/>
    </row>
    <row r="110" spans="3:38" x14ac:dyDescent="0.3">
      <c r="C110" s="3"/>
      <c r="D110" s="3"/>
      <c r="E110" s="3"/>
      <c r="F110" s="3"/>
      <c r="G110" s="3"/>
      <c r="AI110" s="1"/>
      <c r="AK110" s="3"/>
      <c r="AL110" s="3"/>
    </row>
    <row r="111" spans="3:38" x14ac:dyDescent="0.3">
      <c r="C111" s="3"/>
      <c r="D111" s="3"/>
      <c r="E111" s="3"/>
      <c r="F111" s="3"/>
      <c r="G111" s="3"/>
      <c r="AI111" s="1"/>
      <c r="AK111" s="3"/>
      <c r="AL111" s="3"/>
    </row>
    <row r="112" spans="3:38" x14ac:dyDescent="0.3">
      <c r="C112" s="3"/>
      <c r="D112" s="3"/>
      <c r="E112" s="3"/>
      <c r="F112" s="3"/>
      <c r="G112" s="3"/>
      <c r="AI112" s="1"/>
      <c r="AK112" s="3"/>
      <c r="AL112" s="3"/>
    </row>
    <row r="113" spans="3:38" x14ac:dyDescent="0.3">
      <c r="C113" s="3"/>
      <c r="D113" s="3"/>
      <c r="E113" s="3"/>
      <c r="F113" s="3"/>
      <c r="G113" s="3"/>
      <c r="AI113" s="1"/>
      <c r="AK113" s="3"/>
      <c r="AL113" s="3"/>
    </row>
    <row r="114" spans="3:38" x14ac:dyDescent="0.3">
      <c r="C114" s="3"/>
      <c r="D114" s="3"/>
      <c r="E114" s="3"/>
      <c r="F114" s="3"/>
      <c r="G114" s="3"/>
      <c r="AI114" s="1"/>
      <c r="AK114" s="3"/>
      <c r="AL114" s="3"/>
    </row>
    <row r="115" spans="3:38" x14ac:dyDescent="0.3">
      <c r="C115" s="3"/>
      <c r="D115" s="3"/>
      <c r="E115" s="3"/>
      <c r="F115" s="3"/>
      <c r="G115" s="3"/>
      <c r="AI115" s="1"/>
      <c r="AK115" s="3"/>
      <c r="AL115" s="3"/>
    </row>
    <row r="116" spans="3:38" x14ac:dyDescent="0.3">
      <c r="C116" s="3"/>
      <c r="D116" s="3"/>
      <c r="E116" s="3"/>
      <c r="F116" s="3"/>
      <c r="G116" s="3"/>
      <c r="AI116" s="1"/>
      <c r="AK116" s="3"/>
      <c r="AL116" s="3"/>
    </row>
    <row r="117" spans="3:38" x14ac:dyDescent="0.3">
      <c r="C117" s="3"/>
      <c r="D117" s="3"/>
      <c r="E117" s="3"/>
      <c r="F117" s="3"/>
      <c r="G117" s="3"/>
      <c r="AI117" s="1"/>
      <c r="AK117" s="3"/>
    </row>
    <row r="118" spans="3:38" x14ac:dyDescent="0.3">
      <c r="C118" s="3"/>
      <c r="D118" s="3"/>
      <c r="E118" s="3"/>
      <c r="F118" s="3"/>
      <c r="G118" s="3"/>
      <c r="AI118" s="1"/>
      <c r="AK118" s="3"/>
      <c r="AL118" s="3"/>
    </row>
    <row r="119" spans="3:38" x14ac:dyDescent="0.3">
      <c r="C119" s="3"/>
      <c r="D119" s="3"/>
      <c r="E119" s="3"/>
      <c r="F119" s="3"/>
      <c r="G119" s="3"/>
      <c r="AI119" s="1"/>
      <c r="AK119" s="3"/>
      <c r="AL119" s="3"/>
    </row>
    <row r="120" spans="3:38" x14ac:dyDescent="0.3">
      <c r="C120" s="3"/>
      <c r="D120" s="3"/>
      <c r="E120" s="3"/>
      <c r="F120" s="3"/>
      <c r="G120" s="3"/>
      <c r="AI120" s="1"/>
      <c r="AK120" s="3"/>
      <c r="AL120" s="3"/>
    </row>
    <row r="121" spans="3:38" x14ac:dyDescent="0.3">
      <c r="C121" s="3"/>
      <c r="D121" s="3"/>
      <c r="E121" s="3"/>
      <c r="F121" s="3"/>
      <c r="G121" s="3"/>
      <c r="AI121" s="1"/>
      <c r="AK121" s="3"/>
      <c r="AL121" s="3"/>
    </row>
    <row r="122" spans="3:38" x14ac:dyDescent="0.3">
      <c r="C122" s="3"/>
      <c r="D122" s="3"/>
      <c r="E122" s="3"/>
      <c r="F122" s="3"/>
      <c r="G122" s="3"/>
      <c r="AI122" s="1"/>
      <c r="AK122" s="3"/>
      <c r="AL122" s="3"/>
    </row>
    <row r="123" spans="3:38" x14ac:dyDescent="0.3">
      <c r="C123" s="3"/>
      <c r="D123" s="3"/>
      <c r="E123" s="3"/>
      <c r="F123" s="3"/>
      <c r="G123" s="3"/>
      <c r="AI123" s="1"/>
      <c r="AK123" s="3"/>
      <c r="AL123" s="3"/>
    </row>
    <row r="124" spans="3:38" x14ac:dyDescent="0.3">
      <c r="C124" s="3"/>
      <c r="D124" s="3"/>
      <c r="E124" s="3"/>
      <c r="F124" s="3"/>
      <c r="G124" s="3"/>
      <c r="AI124" s="1"/>
      <c r="AK124" s="3"/>
    </row>
    <row r="125" spans="3:38" x14ac:dyDescent="0.3">
      <c r="C125" s="3"/>
      <c r="D125" s="3"/>
      <c r="E125" s="3"/>
      <c r="F125" s="3"/>
      <c r="G125" s="3"/>
      <c r="AI125" s="1"/>
      <c r="AK125" s="3"/>
      <c r="AL125" s="3"/>
    </row>
    <row r="126" spans="3:38" x14ac:dyDescent="0.3">
      <c r="C126" s="3"/>
      <c r="D126" s="3"/>
      <c r="E126" s="3"/>
      <c r="F126" s="3"/>
      <c r="G126" s="3"/>
      <c r="AI126" s="1"/>
      <c r="AK126" s="3"/>
      <c r="AL126" s="3"/>
    </row>
    <row r="127" spans="3:38" x14ac:dyDescent="0.3">
      <c r="C127" s="3"/>
      <c r="D127" s="3"/>
      <c r="E127" s="3"/>
      <c r="F127" s="3"/>
      <c r="G127" s="3"/>
      <c r="AI127" s="1"/>
      <c r="AK127" s="3"/>
      <c r="AL127" s="3"/>
    </row>
    <row r="128" spans="3:38" x14ac:dyDescent="0.3">
      <c r="C128" s="3"/>
      <c r="D128" s="3"/>
      <c r="E128" s="3"/>
      <c r="F128" s="3"/>
      <c r="G128" s="3"/>
      <c r="AI128" s="1"/>
      <c r="AK128" s="3"/>
      <c r="AL128" s="3"/>
    </row>
    <row r="129" spans="3:38" x14ac:dyDescent="0.3">
      <c r="C129" s="3"/>
      <c r="D129" s="3"/>
      <c r="E129" s="3"/>
      <c r="F129" s="3"/>
      <c r="G129" s="3"/>
      <c r="AI129" s="1"/>
      <c r="AK129" s="3"/>
      <c r="AL129" s="3"/>
    </row>
    <row r="130" spans="3:38" x14ac:dyDescent="0.3">
      <c r="C130" s="3"/>
      <c r="D130" s="3"/>
      <c r="E130" s="3"/>
      <c r="F130" s="3"/>
      <c r="G130" s="3"/>
      <c r="AI130" s="1"/>
      <c r="AK130" s="3"/>
      <c r="AL130" s="3"/>
    </row>
    <row r="131" spans="3:38" x14ac:dyDescent="0.3">
      <c r="C131" s="3"/>
      <c r="D131" s="3"/>
      <c r="E131" s="3"/>
      <c r="F131" s="3"/>
      <c r="G131" s="3"/>
      <c r="AI131" s="1"/>
      <c r="AK131" s="3"/>
      <c r="AL131" s="3"/>
    </row>
    <row r="132" spans="3:38" x14ac:dyDescent="0.3">
      <c r="C132" s="3"/>
      <c r="D132" s="3"/>
      <c r="E132" s="3"/>
      <c r="F132" s="3"/>
      <c r="G132" s="3"/>
      <c r="AI132" s="1"/>
      <c r="AK132" s="3"/>
      <c r="AL132" s="3"/>
    </row>
    <row r="133" spans="3:38" x14ac:dyDescent="0.3">
      <c r="C133" s="3"/>
      <c r="D133" s="3"/>
      <c r="E133" s="3"/>
      <c r="F133" s="3"/>
      <c r="G133" s="3"/>
      <c r="AI133" s="1"/>
      <c r="AK133" s="3"/>
      <c r="AL133" s="3"/>
    </row>
    <row r="134" spans="3:38" x14ac:dyDescent="0.3">
      <c r="C134" s="3"/>
      <c r="D134" s="3"/>
      <c r="E134" s="3"/>
      <c r="F134" s="3"/>
      <c r="G134" s="3"/>
      <c r="AI134" s="1"/>
      <c r="AK134" s="3"/>
      <c r="AL134" s="3"/>
    </row>
    <row r="135" spans="3:38" x14ac:dyDescent="0.3">
      <c r="C135" s="3"/>
      <c r="D135" s="3"/>
      <c r="E135" s="3"/>
      <c r="F135" s="3"/>
      <c r="G135" s="3"/>
      <c r="AI135" s="1"/>
      <c r="AK135" s="3"/>
      <c r="AL135" s="3"/>
    </row>
    <row r="136" spans="3:38" x14ac:dyDescent="0.3">
      <c r="C136" s="3"/>
      <c r="D136" s="3"/>
      <c r="E136" s="3"/>
      <c r="F136" s="3"/>
      <c r="G136" s="3"/>
      <c r="AI136" s="1"/>
      <c r="AK136" s="3"/>
      <c r="AL136" s="3"/>
    </row>
    <row r="137" spans="3:38" x14ac:dyDescent="0.3">
      <c r="C137" s="3"/>
      <c r="D137" s="3"/>
      <c r="E137" s="3"/>
      <c r="F137" s="3"/>
      <c r="G137" s="3"/>
      <c r="AI137" s="1"/>
      <c r="AK137" s="3"/>
      <c r="AL137" s="3"/>
    </row>
    <row r="138" spans="3:38" x14ac:dyDescent="0.3">
      <c r="C138" s="3"/>
      <c r="D138" s="3"/>
      <c r="E138" s="3"/>
      <c r="F138" s="3"/>
      <c r="G138" s="3"/>
      <c r="AI138" s="1"/>
      <c r="AK138" s="3"/>
      <c r="AL138" s="3"/>
    </row>
    <row r="139" spans="3:38" x14ac:dyDescent="0.3">
      <c r="C139" s="3"/>
      <c r="D139" s="3"/>
      <c r="E139" s="3"/>
      <c r="F139" s="3"/>
      <c r="G139" s="3"/>
      <c r="AI139" s="1"/>
      <c r="AK139" s="3"/>
      <c r="AL139" s="3"/>
    </row>
    <row r="140" spans="3:38" x14ac:dyDescent="0.3">
      <c r="C140" s="3"/>
      <c r="D140" s="3"/>
      <c r="E140" s="3"/>
      <c r="F140" s="3"/>
      <c r="G140" s="3"/>
      <c r="AI140" s="1"/>
      <c r="AK140" s="3"/>
      <c r="AL140" s="3"/>
    </row>
    <row r="141" spans="3:38" x14ac:dyDescent="0.3">
      <c r="C141" s="3"/>
      <c r="D141" s="3"/>
      <c r="E141" s="3"/>
      <c r="F141" s="3"/>
      <c r="G141" s="3"/>
      <c r="AI141" s="1"/>
      <c r="AK141" s="3"/>
      <c r="AL141" s="3"/>
    </row>
    <row r="142" spans="3:38" x14ac:dyDescent="0.3">
      <c r="C142" s="3"/>
      <c r="D142" s="3"/>
      <c r="E142" s="3"/>
      <c r="F142" s="3"/>
      <c r="G142" s="3"/>
      <c r="AI142" s="1"/>
      <c r="AK142" s="3"/>
      <c r="AL142" s="3"/>
    </row>
    <row r="143" spans="3:38" x14ac:dyDescent="0.3">
      <c r="C143" s="3"/>
      <c r="D143" s="3"/>
      <c r="E143" s="3"/>
      <c r="F143" s="3"/>
      <c r="G143" s="3"/>
      <c r="AI143" s="1"/>
      <c r="AK143" s="3"/>
      <c r="AL143" s="3"/>
    </row>
    <row r="144" spans="3:38" x14ac:dyDescent="0.3">
      <c r="C144" s="3"/>
      <c r="D144" s="3"/>
      <c r="E144" s="3"/>
      <c r="F144" s="3"/>
      <c r="G144" s="3"/>
      <c r="AI144" s="1"/>
      <c r="AK144" s="3"/>
      <c r="AL144" s="3"/>
    </row>
    <row r="145" spans="3:38" x14ac:dyDescent="0.3">
      <c r="C145" s="3"/>
      <c r="D145" s="3"/>
      <c r="E145" s="3"/>
      <c r="F145" s="3"/>
      <c r="G145" s="3"/>
      <c r="AI145" s="1"/>
      <c r="AK145" s="3"/>
      <c r="AL145" s="3"/>
    </row>
    <row r="146" spans="3:38" x14ac:dyDescent="0.3">
      <c r="C146" s="3"/>
      <c r="D146" s="3"/>
      <c r="E146" s="3"/>
      <c r="F146" s="3"/>
      <c r="G146" s="3"/>
      <c r="AI146" s="1"/>
      <c r="AK146" s="3"/>
      <c r="AL146" s="3"/>
    </row>
    <row r="147" spans="3:38" x14ac:dyDescent="0.3">
      <c r="C147" s="3"/>
      <c r="D147" s="3"/>
      <c r="E147" s="3"/>
      <c r="F147" s="3"/>
      <c r="G147" s="3"/>
      <c r="AI147" s="1"/>
      <c r="AK147" s="3"/>
      <c r="AL147" s="3"/>
    </row>
    <row r="148" spans="3:38" x14ac:dyDescent="0.3">
      <c r="C148" s="3"/>
      <c r="D148" s="3"/>
      <c r="E148" s="3"/>
      <c r="F148" s="3"/>
      <c r="G148" s="3"/>
      <c r="AI148" s="1"/>
      <c r="AK148" s="3"/>
      <c r="AL148" s="3"/>
    </row>
    <row r="149" spans="3:38" x14ac:dyDescent="0.3">
      <c r="C149" s="3"/>
      <c r="D149" s="3"/>
      <c r="E149" s="3"/>
      <c r="F149" s="3"/>
      <c r="G149" s="3"/>
      <c r="AI149" s="1"/>
      <c r="AK149" s="3"/>
      <c r="AL149" s="3"/>
    </row>
    <row r="150" spans="3:38" x14ac:dyDescent="0.3">
      <c r="C150" s="3"/>
      <c r="D150" s="3"/>
      <c r="E150" s="3"/>
      <c r="F150" s="3"/>
      <c r="G150" s="3"/>
      <c r="AI150" s="1"/>
      <c r="AK150" s="3"/>
      <c r="AL150" s="3"/>
    </row>
    <row r="151" spans="3:38" x14ac:dyDescent="0.3">
      <c r="C151" s="3"/>
      <c r="D151" s="3"/>
      <c r="E151" s="3"/>
      <c r="F151" s="3"/>
      <c r="G151" s="3"/>
      <c r="AI151" s="1"/>
      <c r="AK151" s="3"/>
      <c r="AL151" s="3"/>
    </row>
    <row r="152" spans="3:38" x14ac:dyDescent="0.3">
      <c r="C152" s="3"/>
      <c r="D152" s="3"/>
      <c r="E152" s="3"/>
      <c r="F152" s="3"/>
      <c r="G152" s="3"/>
      <c r="AI152" s="1"/>
      <c r="AK152" s="3"/>
      <c r="AL152" s="3"/>
    </row>
    <row r="153" spans="3:38" x14ac:dyDescent="0.3">
      <c r="C153" s="3"/>
      <c r="D153" s="3"/>
      <c r="E153" s="3"/>
      <c r="F153" s="3"/>
      <c r="G153" s="3"/>
      <c r="AI153" s="1"/>
      <c r="AK153" s="3"/>
      <c r="AL153" s="3"/>
    </row>
    <row r="154" spans="3:38" x14ac:dyDescent="0.3">
      <c r="C154" s="3"/>
      <c r="D154" s="3"/>
      <c r="E154" s="3"/>
      <c r="F154" s="3"/>
      <c r="G154" s="3"/>
      <c r="AI154" s="1"/>
      <c r="AK154" s="3"/>
      <c r="AL154" s="3"/>
    </row>
    <row r="155" spans="3:38" x14ac:dyDescent="0.3">
      <c r="C155" s="3"/>
      <c r="D155" s="3"/>
      <c r="E155" s="3"/>
      <c r="F155" s="3"/>
      <c r="G155" s="3"/>
      <c r="AI155" s="1"/>
      <c r="AK155" s="3"/>
      <c r="AL155" s="3"/>
    </row>
    <row r="156" spans="3:38" x14ac:dyDescent="0.3">
      <c r="C156" s="3"/>
      <c r="D156" s="3"/>
      <c r="E156" s="3"/>
      <c r="F156" s="3"/>
      <c r="G156" s="3"/>
      <c r="AI156" s="1"/>
      <c r="AK156" s="3"/>
      <c r="AL156" s="3"/>
    </row>
    <row r="157" spans="3:38" x14ac:dyDescent="0.3">
      <c r="C157" s="3"/>
      <c r="D157" s="3"/>
      <c r="E157" s="3"/>
      <c r="F157" s="3"/>
      <c r="G157" s="3"/>
      <c r="AI157" s="1"/>
      <c r="AK157" s="3"/>
      <c r="AL157" s="3"/>
    </row>
    <row r="158" spans="3:38" x14ac:dyDescent="0.3">
      <c r="C158" s="3"/>
      <c r="D158" s="3"/>
      <c r="E158" s="3"/>
      <c r="F158" s="3"/>
      <c r="G158" s="3"/>
      <c r="AI158" s="1"/>
      <c r="AK158" s="3"/>
      <c r="AL158" s="3"/>
    </row>
    <row r="159" spans="3:38" x14ac:dyDescent="0.3">
      <c r="C159" s="3"/>
      <c r="D159" s="3"/>
      <c r="E159" s="3"/>
      <c r="F159" s="3"/>
      <c r="G159" s="3"/>
      <c r="AI159" s="1"/>
      <c r="AK159" s="3"/>
      <c r="AL159" s="3"/>
    </row>
    <row r="160" spans="3:38" x14ac:dyDescent="0.3">
      <c r="C160" s="3"/>
      <c r="D160" s="3"/>
      <c r="E160" s="3"/>
      <c r="F160" s="3"/>
      <c r="G160" s="3"/>
      <c r="AI160" s="1"/>
      <c r="AK160" s="3"/>
      <c r="AL160" s="3"/>
    </row>
    <row r="161" spans="3:38" x14ac:dyDescent="0.3">
      <c r="C161" s="3"/>
      <c r="D161" s="3"/>
      <c r="E161" s="3"/>
      <c r="F161" s="3"/>
      <c r="G161" s="3"/>
      <c r="AI161" s="1"/>
      <c r="AK161" s="3"/>
      <c r="AL161" s="3"/>
    </row>
    <row r="162" spans="3:38" x14ac:dyDescent="0.3">
      <c r="C162" s="3"/>
      <c r="D162" s="3"/>
      <c r="E162" s="3"/>
      <c r="F162" s="3"/>
      <c r="G162" s="3"/>
      <c r="AI162" s="1"/>
      <c r="AK162" s="3"/>
      <c r="AL162" s="3"/>
    </row>
    <row r="163" spans="3:38" x14ac:dyDescent="0.3">
      <c r="C163" s="3"/>
      <c r="D163" s="3"/>
      <c r="E163" s="3"/>
      <c r="F163" s="3"/>
      <c r="G163" s="3"/>
      <c r="AI163" s="1"/>
      <c r="AK163" s="3"/>
      <c r="AL163" s="3"/>
    </row>
    <row r="164" spans="3:38" x14ac:dyDescent="0.3">
      <c r="C164" s="3"/>
      <c r="D164" s="3"/>
      <c r="E164" s="3"/>
      <c r="F164" s="3"/>
      <c r="G164" s="3"/>
      <c r="AI164" s="1"/>
      <c r="AK164" s="3"/>
      <c r="AL164" s="3"/>
    </row>
    <row r="165" spans="3:38" x14ac:dyDescent="0.3">
      <c r="C165" s="3"/>
      <c r="D165" s="3"/>
      <c r="E165" s="3"/>
      <c r="F165" s="3"/>
      <c r="G165" s="3"/>
      <c r="AI165" s="1"/>
      <c r="AK165" s="3"/>
      <c r="AL165" s="3"/>
    </row>
    <row r="166" spans="3:38" x14ac:dyDescent="0.3">
      <c r="C166" s="3"/>
      <c r="D166" s="3"/>
      <c r="E166" s="3"/>
      <c r="F166" s="3"/>
      <c r="G166" s="3"/>
      <c r="AI166" s="1"/>
      <c r="AK166" s="3"/>
      <c r="AL166" s="3"/>
    </row>
    <row r="167" spans="3:38" x14ac:dyDescent="0.3">
      <c r="C167" s="3"/>
      <c r="D167" s="3"/>
      <c r="E167" s="3"/>
      <c r="F167" s="3"/>
      <c r="G167" s="3"/>
      <c r="AI167" s="1"/>
      <c r="AK167" s="3"/>
      <c r="AL167" s="3"/>
    </row>
    <row r="168" spans="3:38" x14ac:dyDescent="0.3">
      <c r="C168" s="3"/>
      <c r="D168" s="3"/>
      <c r="E168" s="3"/>
      <c r="F168" s="3"/>
      <c r="G168" s="3"/>
      <c r="AI168" s="1"/>
      <c r="AK168" s="3"/>
      <c r="AL168" s="3"/>
    </row>
    <row r="169" spans="3:38" x14ac:dyDescent="0.3">
      <c r="C169" s="3"/>
      <c r="D169" s="3"/>
      <c r="E169" s="3"/>
      <c r="F169" s="3"/>
      <c r="G169" s="3"/>
      <c r="AI169" s="1"/>
      <c r="AK169" s="3"/>
      <c r="AL169" s="3"/>
    </row>
    <row r="170" spans="3:38" x14ac:dyDescent="0.3">
      <c r="C170" s="3"/>
      <c r="D170" s="3"/>
      <c r="E170" s="3"/>
      <c r="F170" s="3"/>
      <c r="G170" s="3"/>
      <c r="AI170" s="1"/>
      <c r="AK170" s="3"/>
      <c r="AL170" s="3"/>
    </row>
    <row r="171" spans="3:38" x14ac:dyDescent="0.3">
      <c r="C171" s="3"/>
      <c r="D171" s="3"/>
      <c r="E171" s="3"/>
      <c r="F171" s="3"/>
      <c r="G171" s="3"/>
      <c r="AI171" s="1"/>
      <c r="AK171" s="3"/>
      <c r="AL171" s="3"/>
    </row>
    <row r="172" spans="3:38" x14ac:dyDescent="0.3">
      <c r="C172" s="3"/>
      <c r="D172" s="3"/>
      <c r="E172" s="3"/>
      <c r="F172" s="3"/>
      <c r="G172" s="3"/>
      <c r="AI172" s="1"/>
      <c r="AK172" s="3"/>
      <c r="AL172" s="3"/>
    </row>
    <row r="173" spans="3:38" x14ac:dyDescent="0.3">
      <c r="C173" s="3"/>
      <c r="D173" s="3"/>
      <c r="E173" s="3"/>
      <c r="F173" s="3"/>
      <c r="G173" s="3"/>
      <c r="AI173" s="1"/>
      <c r="AK173" s="3"/>
      <c r="AL173" s="3"/>
    </row>
    <row r="174" spans="3:38" x14ac:dyDescent="0.3">
      <c r="C174" s="3"/>
      <c r="D174" s="3"/>
      <c r="E174" s="3"/>
      <c r="F174" s="3"/>
      <c r="G174" s="3"/>
      <c r="AI174" s="1"/>
      <c r="AK174" s="3"/>
      <c r="AL174" s="3"/>
    </row>
    <row r="175" spans="3:38" x14ac:dyDescent="0.3">
      <c r="C175" s="3"/>
      <c r="D175" s="3"/>
      <c r="E175" s="3"/>
      <c r="F175" s="3"/>
      <c r="G175" s="3"/>
      <c r="AI175" s="1"/>
      <c r="AK175" s="3"/>
      <c r="AL175" s="3"/>
    </row>
    <row r="176" spans="3:38" x14ac:dyDescent="0.3">
      <c r="C176" s="3"/>
      <c r="D176" s="3"/>
      <c r="E176" s="3"/>
      <c r="F176" s="3"/>
      <c r="G176" s="3"/>
      <c r="AI176" s="1"/>
      <c r="AK176" s="3"/>
      <c r="AL176" s="3"/>
    </row>
    <row r="177" spans="3:38" x14ac:dyDescent="0.3">
      <c r="C177" s="3"/>
      <c r="D177" s="3"/>
      <c r="E177" s="3"/>
      <c r="F177" s="3"/>
      <c r="G177" s="3"/>
      <c r="AI177" s="1"/>
      <c r="AK177" s="3"/>
      <c r="AL177" s="3"/>
    </row>
    <row r="178" spans="3:38" x14ac:dyDescent="0.3">
      <c r="C178" s="3"/>
      <c r="D178" s="3"/>
      <c r="E178" s="3"/>
      <c r="F178" s="3"/>
      <c r="G178" s="3"/>
      <c r="AI178" s="1"/>
      <c r="AK178" s="3"/>
      <c r="AL178" s="3"/>
    </row>
    <row r="179" spans="3:38" x14ac:dyDescent="0.3">
      <c r="C179" s="3"/>
      <c r="D179" s="3"/>
      <c r="E179" s="3"/>
      <c r="F179" s="3"/>
      <c r="G179" s="3"/>
      <c r="AI179" s="1"/>
      <c r="AK179" s="3"/>
      <c r="AL179" s="3"/>
    </row>
    <row r="180" spans="3:38" x14ac:dyDescent="0.3">
      <c r="C180" s="3"/>
      <c r="D180" s="3"/>
      <c r="E180" s="3"/>
      <c r="F180" s="3"/>
      <c r="G180" s="3"/>
      <c r="AI180" s="1"/>
      <c r="AK180" s="3"/>
      <c r="AL180" s="3"/>
    </row>
    <row r="181" spans="3:38" x14ac:dyDescent="0.3">
      <c r="C181" s="3"/>
      <c r="D181" s="3"/>
      <c r="E181" s="3"/>
      <c r="F181" s="3"/>
      <c r="G181" s="3"/>
      <c r="AI181" s="1"/>
      <c r="AK181" s="3"/>
      <c r="AL181" s="3"/>
    </row>
    <row r="182" spans="3:38" x14ac:dyDescent="0.3">
      <c r="C182" s="3"/>
      <c r="D182" s="3"/>
      <c r="E182" s="3"/>
      <c r="F182" s="3"/>
      <c r="G182" s="3"/>
      <c r="AI182" s="1"/>
      <c r="AK182" s="3"/>
      <c r="AL182" s="3"/>
    </row>
    <row r="183" spans="3:38" x14ac:dyDescent="0.3">
      <c r="C183" s="3"/>
      <c r="D183" s="3"/>
      <c r="E183" s="3"/>
      <c r="F183" s="3"/>
      <c r="G183" s="3"/>
      <c r="AI183" s="1"/>
      <c r="AK183" s="3"/>
      <c r="AL183" s="3"/>
    </row>
    <row r="184" spans="3:38" x14ac:dyDescent="0.3">
      <c r="C184" s="3"/>
      <c r="D184" s="3"/>
      <c r="E184" s="3"/>
      <c r="F184" s="3"/>
      <c r="G184" s="3"/>
      <c r="AI184" s="1"/>
      <c r="AK184" s="3"/>
      <c r="AL184" s="3"/>
    </row>
    <row r="185" spans="3:38" x14ac:dyDescent="0.3">
      <c r="C185" s="3"/>
      <c r="D185" s="3"/>
      <c r="E185" s="3"/>
      <c r="F185" s="3"/>
      <c r="G185" s="3"/>
      <c r="AI185" s="1"/>
      <c r="AK185" s="3"/>
      <c r="AL185" s="3"/>
    </row>
    <row r="186" spans="3:38" x14ac:dyDescent="0.3">
      <c r="C186" s="3"/>
      <c r="D186" s="3"/>
      <c r="E186" s="3"/>
      <c r="F186" s="3"/>
      <c r="G186" s="3"/>
      <c r="AI186" s="1"/>
      <c r="AK186" s="3"/>
      <c r="AL186" s="3"/>
    </row>
    <row r="187" spans="3:38" x14ac:dyDescent="0.3">
      <c r="C187" s="3"/>
      <c r="D187" s="3"/>
      <c r="E187" s="3"/>
      <c r="F187" s="3"/>
      <c r="G187" s="3"/>
      <c r="AI187" s="1"/>
      <c r="AK187" s="3"/>
      <c r="AL187" s="3"/>
    </row>
    <row r="188" spans="3:38" x14ac:dyDescent="0.3">
      <c r="C188" s="3"/>
      <c r="D188" s="3"/>
      <c r="E188" s="3"/>
      <c r="F188" s="3"/>
      <c r="G188" s="3"/>
    </row>
    <row r="189" spans="3:38" x14ac:dyDescent="0.3">
      <c r="C189" s="3"/>
      <c r="D189" s="3"/>
      <c r="E189" s="3"/>
      <c r="F189" s="3"/>
      <c r="G189" s="3"/>
    </row>
    <row r="190" spans="3:38" x14ac:dyDescent="0.3">
      <c r="C190" s="3"/>
      <c r="D190" s="3"/>
      <c r="E190" s="3"/>
      <c r="F190" s="3"/>
      <c r="G190" s="3"/>
    </row>
    <row r="191" spans="3:38" x14ac:dyDescent="0.3">
      <c r="C191" s="3"/>
      <c r="D191" s="3"/>
      <c r="E191" s="3"/>
      <c r="F191" s="3"/>
      <c r="G191" s="3"/>
    </row>
    <row r="192" spans="3:38" x14ac:dyDescent="0.3">
      <c r="C192" s="3"/>
      <c r="D192" s="3"/>
      <c r="E192" s="3"/>
      <c r="F192" s="3"/>
      <c r="G192" s="3"/>
    </row>
    <row r="193" spans="3:7" x14ac:dyDescent="0.3">
      <c r="C193" s="3"/>
      <c r="D193" s="3"/>
      <c r="E193" s="3"/>
      <c r="F193" s="3"/>
      <c r="G193" s="3"/>
    </row>
    <row r="194" spans="3:7" x14ac:dyDescent="0.3">
      <c r="C194" s="3"/>
      <c r="D194" s="3"/>
      <c r="E194" s="3"/>
      <c r="F194" s="3"/>
      <c r="G194" s="3"/>
    </row>
    <row r="195" spans="3:7" x14ac:dyDescent="0.3">
      <c r="C195" s="3"/>
      <c r="D195" s="3"/>
      <c r="E195" s="3"/>
      <c r="F195" s="3"/>
      <c r="G195" s="3"/>
    </row>
    <row r="196" spans="3:7" x14ac:dyDescent="0.3">
      <c r="C196" s="3"/>
      <c r="D196" s="3"/>
      <c r="E196" s="3"/>
      <c r="F196" s="3"/>
      <c r="G196" s="3"/>
    </row>
    <row r="197" spans="3:7" x14ac:dyDescent="0.3">
      <c r="C197" s="3"/>
      <c r="D197" s="3"/>
      <c r="E197" s="3"/>
      <c r="F197" s="3"/>
      <c r="G197" s="3"/>
    </row>
    <row r="198" spans="3:7" x14ac:dyDescent="0.3">
      <c r="C198" s="3"/>
      <c r="D198" s="3"/>
      <c r="E198" s="3"/>
      <c r="F198" s="3"/>
      <c r="G198" s="3"/>
    </row>
    <row r="199" spans="3:7" x14ac:dyDescent="0.3">
      <c r="C199" s="3"/>
      <c r="D199" s="3"/>
      <c r="E199" s="3"/>
      <c r="F199" s="3"/>
      <c r="G199" s="3"/>
    </row>
    <row r="200" spans="3:7" x14ac:dyDescent="0.3">
      <c r="C200" s="3"/>
      <c r="D200" s="3"/>
      <c r="E200" s="3"/>
      <c r="F200" s="3"/>
      <c r="G200" s="3"/>
    </row>
    <row r="201" spans="3:7" x14ac:dyDescent="0.3">
      <c r="C201" s="3"/>
      <c r="D201" s="3"/>
      <c r="E201" s="3"/>
      <c r="F201" s="3"/>
      <c r="G201" s="3"/>
    </row>
    <row r="202" spans="3:7" x14ac:dyDescent="0.3">
      <c r="C202" s="3"/>
      <c r="D202" s="3"/>
      <c r="E202" s="3"/>
      <c r="F202" s="3"/>
      <c r="G202" s="3"/>
    </row>
    <row r="203" spans="3:7" x14ac:dyDescent="0.3">
      <c r="C203" s="3"/>
      <c r="D203" s="3"/>
      <c r="E203" s="3"/>
      <c r="F203" s="3"/>
      <c r="G203" s="3"/>
    </row>
    <row r="204" spans="3:7" x14ac:dyDescent="0.3">
      <c r="C204" s="3"/>
      <c r="D204" s="3"/>
      <c r="E204" s="3"/>
      <c r="F204" s="3"/>
      <c r="G204" s="3"/>
    </row>
    <row r="205" spans="3:7" x14ac:dyDescent="0.3">
      <c r="C205" s="3"/>
      <c r="D205" s="3"/>
      <c r="E205" s="3"/>
      <c r="F205" s="3"/>
      <c r="G205" s="3"/>
    </row>
    <row r="206" spans="3:7" x14ac:dyDescent="0.3">
      <c r="C206" s="3"/>
      <c r="D206" s="3"/>
      <c r="E206" s="3"/>
      <c r="F206" s="3"/>
      <c r="G206" s="3"/>
    </row>
    <row r="207" spans="3:7" x14ac:dyDescent="0.3">
      <c r="C207" s="3"/>
      <c r="D207" s="3"/>
      <c r="E207" s="3"/>
      <c r="F207" s="3"/>
      <c r="G207" s="3"/>
    </row>
    <row r="208" spans="3:7" x14ac:dyDescent="0.3">
      <c r="C208" s="3"/>
      <c r="D208" s="3"/>
      <c r="E208" s="3"/>
      <c r="F208" s="3"/>
      <c r="G208" s="3"/>
    </row>
    <row r="209" spans="3:7" x14ac:dyDescent="0.3">
      <c r="C209" s="3"/>
      <c r="D209" s="3"/>
      <c r="E209" s="3"/>
      <c r="F209" s="3"/>
      <c r="G209" s="3"/>
    </row>
    <row r="210" spans="3:7" x14ac:dyDescent="0.3">
      <c r="C210" s="3"/>
      <c r="D210" s="3"/>
      <c r="E210" s="3"/>
      <c r="F210" s="3"/>
      <c r="G210" s="3"/>
    </row>
    <row r="211" spans="3:7" x14ac:dyDescent="0.3">
      <c r="C211" s="3"/>
      <c r="D211" s="3"/>
      <c r="E211" s="3"/>
      <c r="F211" s="3"/>
      <c r="G211" s="3"/>
    </row>
    <row r="212" spans="3:7" x14ac:dyDescent="0.3">
      <c r="C212" s="3"/>
      <c r="D212" s="3"/>
      <c r="E212" s="3"/>
      <c r="F212" s="3"/>
      <c r="G212" s="3"/>
    </row>
    <row r="213" spans="3:7" x14ac:dyDescent="0.3">
      <c r="C213" s="3"/>
      <c r="D213" s="3"/>
      <c r="E213" s="3"/>
      <c r="F213" s="3"/>
      <c r="G213" s="3"/>
    </row>
    <row r="214" spans="3:7" x14ac:dyDescent="0.3">
      <c r="C214" s="3"/>
      <c r="D214" s="3"/>
      <c r="E214" s="3"/>
      <c r="F214" s="3"/>
      <c r="G214" s="3"/>
    </row>
    <row r="215" spans="3:7" x14ac:dyDescent="0.3">
      <c r="C215" s="3"/>
      <c r="D215" s="3"/>
      <c r="E215" s="3"/>
      <c r="F215" s="3"/>
      <c r="G215" s="3"/>
    </row>
    <row r="216" spans="3:7" x14ac:dyDescent="0.3">
      <c r="C216" s="3"/>
      <c r="D216" s="3"/>
      <c r="E216" s="3"/>
      <c r="F216" s="3"/>
      <c r="G216" s="3"/>
    </row>
    <row r="217" spans="3:7" x14ac:dyDescent="0.3">
      <c r="C217" s="3"/>
      <c r="D217" s="3"/>
      <c r="E217" s="3"/>
      <c r="F217" s="3"/>
      <c r="G217" s="3"/>
    </row>
    <row r="218" spans="3:7" x14ac:dyDescent="0.3">
      <c r="C218" s="3"/>
      <c r="D218" s="3"/>
      <c r="E218" s="3"/>
      <c r="F218" s="3"/>
      <c r="G218" s="3"/>
    </row>
    <row r="219" spans="3:7" x14ac:dyDescent="0.3">
      <c r="C219" s="3"/>
      <c r="D219" s="3"/>
      <c r="E219" s="3"/>
      <c r="F219" s="3"/>
      <c r="G219" s="3"/>
    </row>
    <row r="220" spans="3:7" x14ac:dyDescent="0.3">
      <c r="C220" s="3"/>
      <c r="D220" s="3"/>
      <c r="E220" s="3"/>
      <c r="F220" s="3"/>
      <c r="G220" s="3"/>
    </row>
    <row r="221" spans="3:7" x14ac:dyDescent="0.3">
      <c r="C221" s="3"/>
      <c r="D221" s="3"/>
      <c r="E221" s="3"/>
      <c r="F221" s="3"/>
      <c r="G221" s="3"/>
    </row>
    <row r="222" spans="3:7" x14ac:dyDescent="0.3">
      <c r="C222" s="3"/>
      <c r="D222" s="3"/>
      <c r="E222" s="3"/>
      <c r="F222" s="3"/>
      <c r="G222" s="3"/>
    </row>
    <row r="223" spans="3:7" x14ac:dyDescent="0.3">
      <c r="C223" s="3"/>
      <c r="D223" s="3"/>
      <c r="E223" s="3"/>
      <c r="F223" s="3"/>
      <c r="G223" s="3"/>
    </row>
    <row r="224" spans="3:7" x14ac:dyDescent="0.3">
      <c r="C224" s="3"/>
      <c r="D224" s="3"/>
      <c r="E224" s="3"/>
      <c r="F224" s="3"/>
      <c r="G224" s="3"/>
    </row>
    <row r="225" spans="3:7" x14ac:dyDescent="0.3">
      <c r="C225" s="3"/>
      <c r="D225" s="3"/>
      <c r="E225" s="3"/>
      <c r="F225" s="3"/>
      <c r="G225" s="3"/>
    </row>
    <row r="226" spans="3:7" x14ac:dyDescent="0.3">
      <c r="C226" s="3"/>
      <c r="D226" s="3"/>
      <c r="E226" s="3"/>
      <c r="F226" s="3"/>
      <c r="G226" s="3"/>
    </row>
    <row r="227" spans="3:7" x14ac:dyDescent="0.3">
      <c r="C227" s="3"/>
      <c r="D227" s="3"/>
      <c r="E227" s="3"/>
      <c r="F227" s="3"/>
      <c r="G227" s="3"/>
    </row>
    <row r="228" spans="3:7" x14ac:dyDescent="0.3">
      <c r="C228" s="3"/>
      <c r="D228" s="3"/>
      <c r="E228" s="3"/>
      <c r="F228" s="3"/>
      <c r="G228" s="3"/>
    </row>
    <row r="229" spans="3:7" x14ac:dyDescent="0.3">
      <c r="C229" s="3"/>
      <c r="D229" s="3"/>
      <c r="E229" s="3"/>
      <c r="F229" s="3"/>
      <c r="G229" s="3"/>
    </row>
    <row r="230" spans="3:7" x14ac:dyDescent="0.3">
      <c r="C230" s="3"/>
      <c r="D230" s="3"/>
      <c r="E230" s="3"/>
      <c r="F230" s="3"/>
      <c r="G230" s="3"/>
    </row>
    <row r="231" spans="3:7" x14ac:dyDescent="0.3">
      <c r="C231" s="3"/>
      <c r="D231" s="3"/>
      <c r="E231" s="3"/>
      <c r="F231" s="3"/>
      <c r="G231" s="3"/>
    </row>
    <row r="232" spans="3:7" x14ac:dyDescent="0.3">
      <c r="C232" s="3"/>
      <c r="D232" s="3"/>
      <c r="E232" s="3"/>
      <c r="F232" s="3"/>
      <c r="G232" s="3"/>
    </row>
    <row r="233" spans="3:7" x14ac:dyDescent="0.3">
      <c r="C233" s="3"/>
      <c r="D233" s="3"/>
      <c r="E233" s="3"/>
      <c r="F233" s="3"/>
      <c r="G233" s="3"/>
    </row>
    <row r="234" spans="3:7" x14ac:dyDescent="0.3">
      <c r="C234" s="3"/>
      <c r="D234" s="3"/>
      <c r="E234" s="3"/>
      <c r="F234" s="3"/>
      <c r="G234" s="3"/>
    </row>
    <row r="235" spans="3:7" x14ac:dyDescent="0.3">
      <c r="C235" s="3"/>
      <c r="D235" s="3"/>
      <c r="E235" s="3"/>
      <c r="F235" s="3"/>
      <c r="G235" s="3"/>
    </row>
    <row r="236" spans="3:7" x14ac:dyDescent="0.3">
      <c r="C236" s="3"/>
      <c r="D236" s="3"/>
      <c r="E236" s="3"/>
      <c r="F236" s="3"/>
      <c r="G236" s="3"/>
    </row>
    <row r="237" spans="3:7" x14ac:dyDescent="0.3">
      <c r="C237" s="3"/>
      <c r="D237" s="3"/>
      <c r="E237" s="3"/>
      <c r="F237" s="3"/>
      <c r="G237" s="3"/>
    </row>
    <row r="238" spans="3:7" x14ac:dyDescent="0.3">
      <c r="C238" s="3"/>
      <c r="D238" s="3"/>
      <c r="E238" s="3"/>
      <c r="F238" s="3"/>
      <c r="G238" s="3"/>
    </row>
    <row r="239" spans="3:7" x14ac:dyDescent="0.3">
      <c r="C239" s="3"/>
      <c r="D239" s="3"/>
      <c r="E239" s="3"/>
      <c r="F239" s="3"/>
      <c r="G239" s="3"/>
    </row>
    <row r="240" spans="3:7" x14ac:dyDescent="0.3">
      <c r="C240" s="3"/>
      <c r="D240" s="3"/>
      <c r="E240" s="3"/>
      <c r="F240" s="3"/>
      <c r="G240" s="3"/>
    </row>
    <row r="241" spans="3:7" x14ac:dyDescent="0.3">
      <c r="C241" s="3"/>
      <c r="D241" s="3"/>
      <c r="E241" s="3"/>
      <c r="F241" s="3"/>
      <c r="G241" s="3"/>
    </row>
    <row r="242" spans="3:7" x14ac:dyDescent="0.3">
      <c r="C242" s="3"/>
      <c r="D242" s="3"/>
      <c r="E242" s="3"/>
      <c r="F242" s="3"/>
      <c r="G242" s="3"/>
    </row>
    <row r="243" spans="3:7" x14ac:dyDescent="0.3">
      <c r="C243" s="3"/>
      <c r="D243" s="3"/>
      <c r="E243" s="3"/>
      <c r="F243" s="3"/>
      <c r="G243" s="3"/>
    </row>
    <row r="244" spans="3:7" x14ac:dyDescent="0.3">
      <c r="C244" s="3"/>
      <c r="D244" s="3"/>
      <c r="E244" s="3"/>
      <c r="F244" s="3"/>
      <c r="G244" s="3"/>
    </row>
    <row r="245" spans="3:7" x14ac:dyDescent="0.3">
      <c r="C245" s="3"/>
      <c r="D245" s="3"/>
      <c r="E245" s="3"/>
      <c r="F245" s="3"/>
      <c r="G245" s="3"/>
    </row>
    <row r="246" spans="3:7" x14ac:dyDescent="0.3">
      <c r="C246" s="3"/>
      <c r="D246" s="3"/>
      <c r="E246" s="3"/>
      <c r="F246" s="3"/>
      <c r="G246" s="3"/>
    </row>
    <row r="247" spans="3:7" x14ac:dyDescent="0.3">
      <c r="C247" s="3"/>
      <c r="D247" s="3"/>
      <c r="E247" s="3"/>
      <c r="F247" s="3"/>
      <c r="G247" s="3"/>
    </row>
    <row r="248" spans="3:7" x14ac:dyDescent="0.3">
      <c r="C248" s="3"/>
      <c r="D248" s="3"/>
      <c r="E248" s="3"/>
      <c r="F248" s="3"/>
      <c r="G248" s="3"/>
    </row>
    <row r="249" spans="3:7" x14ac:dyDescent="0.3">
      <c r="C249" s="3"/>
      <c r="D249" s="3"/>
      <c r="E249" s="3"/>
      <c r="F249" s="3"/>
      <c r="G249" s="3"/>
    </row>
    <row r="250" spans="3:7" x14ac:dyDescent="0.3">
      <c r="C250" s="3"/>
      <c r="D250" s="3"/>
      <c r="E250" s="3"/>
      <c r="F250" s="3"/>
      <c r="G250" s="3"/>
    </row>
    <row r="251" spans="3:7" x14ac:dyDescent="0.3">
      <c r="C251" s="3"/>
      <c r="D251" s="3"/>
      <c r="E251" s="3"/>
      <c r="F251" s="3"/>
      <c r="G251" s="3"/>
    </row>
    <row r="252" spans="3:7" x14ac:dyDescent="0.3">
      <c r="C252" s="3"/>
      <c r="D252" s="3"/>
      <c r="E252" s="3"/>
      <c r="F252" s="3"/>
      <c r="G252" s="3"/>
    </row>
    <row r="253" spans="3:7" x14ac:dyDescent="0.3">
      <c r="C253" s="3"/>
      <c r="D253" s="3"/>
      <c r="E253" s="3"/>
      <c r="F253" s="3"/>
      <c r="G253" s="3"/>
    </row>
    <row r="254" spans="3:7" x14ac:dyDescent="0.3">
      <c r="C254" s="3"/>
      <c r="D254" s="3"/>
      <c r="E254" s="3"/>
      <c r="F254" s="3"/>
      <c r="G254" s="3"/>
    </row>
    <row r="255" spans="3:7" x14ac:dyDescent="0.3">
      <c r="C255" s="3"/>
      <c r="D255" s="3"/>
      <c r="E255" s="3"/>
      <c r="F255" s="3"/>
      <c r="G255" s="3"/>
    </row>
    <row r="256" spans="3:7" x14ac:dyDescent="0.3">
      <c r="C256" s="3"/>
      <c r="D256" s="3"/>
      <c r="E256" s="3"/>
      <c r="F256" s="3"/>
      <c r="G256" s="3"/>
    </row>
    <row r="257" spans="3:7" x14ac:dyDescent="0.3">
      <c r="C257" s="3"/>
      <c r="D257" s="3"/>
      <c r="E257" s="3"/>
      <c r="F257" s="3"/>
      <c r="G257" s="3"/>
    </row>
    <row r="258" spans="3:7" x14ac:dyDescent="0.3">
      <c r="C258" s="3"/>
      <c r="D258" s="3"/>
      <c r="E258" s="3"/>
      <c r="F258" s="3"/>
      <c r="G258" s="3"/>
    </row>
    <row r="259" spans="3:7" x14ac:dyDescent="0.3">
      <c r="C259" s="3"/>
      <c r="D259" s="3"/>
      <c r="E259" s="3"/>
      <c r="F259" s="3"/>
      <c r="G259" s="3"/>
    </row>
    <row r="260" spans="3:7" x14ac:dyDescent="0.3">
      <c r="C260" s="3"/>
      <c r="D260" s="3"/>
      <c r="E260" s="3"/>
      <c r="F260" s="3"/>
      <c r="G260" s="3"/>
    </row>
    <row r="261" spans="3:7" x14ac:dyDescent="0.3">
      <c r="C261" s="3"/>
      <c r="D261" s="3"/>
      <c r="E261" s="3"/>
      <c r="F261" s="3"/>
      <c r="G261" s="3"/>
    </row>
    <row r="262" spans="3:7" x14ac:dyDescent="0.3">
      <c r="C262" s="3"/>
      <c r="D262" s="3"/>
      <c r="E262" s="3"/>
      <c r="F262" s="3"/>
      <c r="G262" s="3"/>
    </row>
    <row r="263" spans="3:7" x14ac:dyDescent="0.3">
      <c r="C263" s="3"/>
      <c r="D263" s="3"/>
      <c r="E263" s="3"/>
      <c r="F263" s="3"/>
      <c r="G263" s="3"/>
    </row>
    <row r="264" spans="3:7" x14ac:dyDescent="0.3">
      <c r="C264" s="3"/>
      <c r="D264" s="3"/>
      <c r="E264" s="3"/>
      <c r="F264" s="3"/>
      <c r="G264" s="3"/>
    </row>
    <row r="265" spans="3:7" x14ac:dyDescent="0.3">
      <c r="C265" s="3"/>
      <c r="D265" s="3"/>
      <c r="E265" s="3"/>
      <c r="F265" s="3"/>
      <c r="G265" s="3"/>
    </row>
    <row r="266" spans="3:7" x14ac:dyDescent="0.3">
      <c r="C266" s="3"/>
      <c r="D266" s="3"/>
      <c r="E266" s="3"/>
      <c r="F266" s="3"/>
      <c r="G266" s="3"/>
    </row>
    <row r="267" spans="3:7" x14ac:dyDescent="0.3">
      <c r="C267" s="3"/>
      <c r="D267" s="3"/>
      <c r="E267" s="3"/>
      <c r="F267" s="3"/>
      <c r="G267" s="3"/>
    </row>
    <row r="268" spans="3:7" x14ac:dyDescent="0.3">
      <c r="C268" s="3"/>
      <c r="D268" s="3"/>
      <c r="E268" s="3"/>
      <c r="F268" s="3"/>
      <c r="G268" s="3"/>
    </row>
    <row r="269" spans="3:7" x14ac:dyDescent="0.3">
      <c r="C269" s="3"/>
      <c r="D269" s="3"/>
      <c r="E269" s="3"/>
      <c r="F269" s="3"/>
      <c r="G269" s="3"/>
    </row>
    <row r="270" spans="3:7" x14ac:dyDescent="0.3">
      <c r="C270" s="3"/>
      <c r="D270" s="3"/>
      <c r="E270" s="3"/>
      <c r="F270" s="3"/>
      <c r="G270" s="3"/>
    </row>
    <row r="271" spans="3:7" x14ac:dyDescent="0.3">
      <c r="C271" s="3"/>
      <c r="D271" s="3"/>
      <c r="E271" s="3"/>
      <c r="F271" s="3"/>
      <c r="G271" s="3"/>
    </row>
    <row r="272" spans="3:7" x14ac:dyDescent="0.3">
      <c r="C272" s="3"/>
      <c r="D272" s="3"/>
      <c r="E272" s="3"/>
      <c r="F272" s="3"/>
      <c r="G272" s="3"/>
    </row>
    <row r="273" spans="3:7" x14ac:dyDescent="0.3">
      <c r="C273" s="3"/>
      <c r="D273" s="3"/>
      <c r="E273" s="3"/>
      <c r="F273" s="3"/>
      <c r="G273" s="3"/>
    </row>
    <row r="274" spans="3:7" x14ac:dyDescent="0.3">
      <c r="C274" s="3"/>
      <c r="D274" s="3"/>
      <c r="E274" s="3"/>
      <c r="F274" s="3"/>
      <c r="G274" s="3"/>
    </row>
    <row r="275" spans="3:7" x14ac:dyDescent="0.3">
      <c r="C275" s="3"/>
      <c r="D275" s="3"/>
      <c r="E275" s="3"/>
      <c r="F275" s="3"/>
      <c r="G275" s="3"/>
    </row>
    <row r="276" spans="3:7" x14ac:dyDescent="0.3">
      <c r="C276" s="3"/>
      <c r="D276" s="3"/>
      <c r="E276" s="3"/>
      <c r="F276" s="3"/>
      <c r="G276" s="3"/>
    </row>
    <row r="277" spans="3:7" x14ac:dyDescent="0.3">
      <c r="C277" s="3"/>
      <c r="D277" s="3"/>
      <c r="E277" s="3"/>
      <c r="F277" s="3"/>
      <c r="G277" s="3"/>
    </row>
    <row r="278" spans="3:7" x14ac:dyDescent="0.3">
      <c r="C278" s="3"/>
      <c r="D278" s="3"/>
      <c r="E278" s="3"/>
      <c r="F278" s="3"/>
      <c r="G278" s="3"/>
    </row>
    <row r="279" spans="3:7" x14ac:dyDescent="0.3">
      <c r="C279" s="3"/>
      <c r="D279" s="3"/>
      <c r="E279" s="3"/>
      <c r="F279" s="3"/>
      <c r="G279" s="3"/>
    </row>
    <row r="280" spans="3:7" x14ac:dyDescent="0.3">
      <c r="C280" s="3"/>
      <c r="D280" s="3"/>
      <c r="E280" s="3"/>
      <c r="F280" s="3"/>
      <c r="G280" s="3"/>
    </row>
    <row r="281" spans="3:7" x14ac:dyDescent="0.3">
      <c r="C281" s="3"/>
      <c r="D281" s="3"/>
      <c r="E281" s="3"/>
      <c r="F281" s="3"/>
      <c r="G281" s="3"/>
    </row>
    <row r="282" spans="3:7" x14ac:dyDescent="0.3">
      <c r="C282" s="3"/>
      <c r="D282" s="3"/>
      <c r="E282" s="3"/>
      <c r="F282" s="3"/>
      <c r="G282" s="3"/>
    </row>
    <row r="283" spans="3:7" x14ac:dyDescent="0.3">
      <c r="C283" s="3"/>
      <c r="D283" s="3"/>
      <c r="E283" s="3"/>
      <c r="F283" s="3"/>
      <c r="G283" s="3"/>
    </row>
    <row r="284" spans="3:7" x14ac:dyDescent="0.3">
      <c r="C284" s="3"/>
      <c r="D284" s="3"/>
      <c r="E284" s="3"/>
      <c r="F284" s="3"/>
      <c r="G284" s="3"/>
    </row>
    <row r="285" spans="3:7" x14ac:dyDescent="0.3">
      <c r="C285" s="3"/>
      <c r="D285" s="3"/>
      <c r="E285" s="3"/>
      <c r="F285" s="3"/>
      <c r="G285" s="3"/>
    </row>
    <row r="286" spans="3:7" x14ac:dyDescent="0.3">
      <c r="C286" s="3"/>
      <c r="D286" s="3"/>
      <c r="E286" s="3"/>
      <c r="F286" s="3"/>
      <c r="G286" s="3"/>
    </row>
    <row r="287" spans="3:7" x14ac:dyDescent="0.3">
      <c r="C287" s="3"/>
      <c r="D287" s="3"/>
      <c r="E287" s="3"/>
      <c r="F287" s="3"/>
      <c r="G287" s="3"/>
    </row>
    <row r="288" spans="3:7" x14ac:dyDescent="0.3">
      <c r="C288" s="3"/>
      <c r="D288" s="3"/>
      <c r="E288" s="3"/>
      <c r="F288" s="3"/>
      <c r="G288" s="3"/>
    </row>
    <row r="289" spans="3:7" x14ac:dyDescent="0.3">
      <c r="C289" s="3"/>
      <c r="D289" s="3"/>
      <c r="E289" s="3"/>
      <c r="F289" s="3"/>
      <c r="G289" s="3"/>
    </row>
    <row r="290" spans="3:7" x14ac:dyDescent="0.3">
      <c r="C290" s="3"/>
      <c r="D290" s="3"/>
      <c r="E290" s="3"/>
      <c r="F290" s="3"/>
      <c r="G290" s="3"/>
    </row>
    <row r="291" spans="3:7" x14ac:dyDescent="0.3">
      <c r="C291" s="3"/>
      <c r="D291" s="3"/>
      <c r="E291" s="3"/>
      <c r="F291" s="3"/>
      <c r="G291" s="3"/>
    </row>
    <row r="292" spans="3:7" x14ac:dyDescent="0.3">
      <c r="C292" s="3"/>
      <c r="D292" s="3"/>
      <c r="E292" s="3"/>
      <c r="F292" s="3"/>
      <c r="G292" s="3"/>
    </row>
    <row r="293" spans="3:7" x14ac:dyDescent="0.3">
      <c r="C293" s="3"/>
      <c r="D293" s="3"/>
      <c r="E293" s="3"/>
      <c r="F293" s="3"/>
      <c r="G293" s="3"/>
    </row>
    <row r="294" spans="3:7" x14ac:dyDescent="0.3">
      <c r="C294" s="3"/>
      <c r="D294" s="3"/>
      <c r="E294" s="3"/>
      <c r="F294" s="3"/>
      <c r="G294" s="3"/>
    </row>
    <row r="295" spans="3:7" x14ac:dyDescent="0.3">
      <c r="C295" s="3"/>
      <c r="D295" s="3"/>
      <c r="E295" s="3"/>
      <c r="F295" s="3"/>
      <c r="G295" s="3"/>
    </row>
    <row r="296" spans="3:7" x14ac:dyDescent="0.3">
      <c r="C296" s="3"/>
      <c r="D296" s="3"/>
      <c r="E296" s="3"/>
      <c r="F296" s="3"/>
      <c r="G296" s="3"/>
    </row>
    <row r="297" spans="3:7" x14ac:dyDescent="0.3">
      <c r="C297" s="3"/>
      <c r="D297" s="3"/>
      <c r="E297" s="3"/>
      <c r="F297" s="3"/>
      <c r="G297" s="3"/>
    </row>
    <row r="298" spans="3:7" x14ac:dyDescent="0.3">
      <c r="C298" s="3"/>
      <c r="D298" s="3"/>
      <c r="E298" s="3"/>
      <c r="F298" s="3"/>
      <c r="G298" s="3"/>
    </row>
    <row r="299" spans="3:7" x14ac:dyDescent="0.3">
      <c r="C299" s="3"/>
      <c r="D299" s="3"/>
      <c r="E299" s="3"/>
      <c r="F299" s="3"/>
      <c r="G299" s="3"/>
    </row>
    <row r="300" spans="3:7" x14ac:dyDescent="0.3">
      <c r="C300" s="3"/>
      <c r="D300" s="3"/>
      <c r="E300" s="3"/>
      <c r="F300" s="3"/>
      <c r="G300" s="3"/>
    </row>
    <row r="301" spans="3:7" x14ac:dyDescent="0.3">
      <c r="C301" s="3"/>
      <c r="D301" s="3"/>
      <c r="E301" s="3"/>
      <c r="F301" s="3"/>
      <c r="G301" s="3"/>
    </row>
    <row r="302" spans="3:7" x14ac:dyDescent="0.3">
      <c r="C302" s="3"/>
      <c r="D302" s="3"/>
      <c r="E302" s="3"/>
      <c r="F302" s="3"/>
      <c r="G302" s="3"/>
    </row>
    <row r="303" spans="3:7" x14ac:dyDescent="0.3">
      <c r="C303" s="3"/>
      <c r="D303" s="3"/>
      <c r="E303" s="3"/>
      <c r="F303" s="3"/>
      <c r="G303" s="3"/>
    </row>
    <row r="304" spans="3:7" x14ac:dyDescent="0.3">
      <c r="C304" s="3"/>
      <c r="D304" s="3"/>
      <c r="E304" s="3"/>
      <c r="F304" s="3"/>
      <c r="G304" s="3"/>
    </row>
    <row r="305" spans="3:7" x14ac:dyDescent="0.3">
      <c r="C305" s="3"/>
      <c r="D305" s="3"/>
      <c r="E305" s="3"/>
      <c r="F305" s="3"/>
      <c r="G305" s="3"/>
    </row>
    <row r="306" spans="3:7" x14ac:dyDescent="0.3">
      <c r="C306" s="3"/>
      <c r="D306" s="3"/>
      <c r="E306" s="3"/>
      <c r="F306" s="3"/>
      <c r="G306" s="3"/>
    </row>
    <row r="307" spans="3:7" x14ac:dyDescent="0.3">
      <c r="C307" s="3"/>
      <c r="D307" s="3"/>
      <c r="E307" s="3"/>
      <c r="F307" s="3"/>
      <c r="G307" s="3"/>
    </row>
    <row r="308" spans="3:7" x14ac:dyDescent="0.3">
      <c r="C308" s="3"/>
      <c r="D308" s="3"/>
      <c r="E308" s="3"/>
      <c r="F308" s="3"/>
      <c r="G308" s="3"/>
    </row>
    <row r="309" spans="3:7" x14ac:dyDescent="0.3">
      <c r="C309" s="3"/>
      <c r="D309" s="3"/>
      <c r="E309" s="3"/>
      <c r="F309" s="3"/>
      <c r="G309" s="3"/>
    </row>
    <row r="310" spans="3:7" x14ac:dyDescent="0.3">
      <c r="C310" s="3"/>
      <c r="D310" s="3"/>
      <c r="E310" s="3"/>
      <c r="F310" s="3"/>
      <c r="G310" s="3"/>
    </row>
    <row r="311" spans="3:7" x14ac:dyDescent="0.3">
      <c r="C311" s="3"/>
      <c r="D311" s="3"/>
      <c r="E311" s="3"/>
      <c r="F311" s="3"/>
      <c r="G311" s="3"/>
    </row>
    <row r="312" spans="3:7" x14ac:dyDescent="0.3">
      <c r="C312" s="3"/>
      <c r="D312" s="3"/>
      <c r="E312" s="3"/>
      <c r="F312" s="3"/>
      <c r="G312" s="3"/>
    </row>
    <row r="313" spans="3:7" x14ac:dyDescent="0.3">
      <c r="C313" s="3"/>
      <c r="D313" s="3"/>
      <c r="E313" s="3"/>
      <c r="F313" s="3"/>
      <c r="G313" s="3"/>
    </row>
    <row r="314" spans="3:7" x14ac:dyDescent="0.3">
      <c r="C314" s="3"/>
      <c r="D314" s="3"/>
      <c r="E314" s="3"/>
      <c r="F314" s="3"/>
      <c r="G314" s="3"/>
    </row>
    <row r="315" spans="3:7" x14ac:dyDescent="0.3">
      <c r="C315" s="3"/>
      <c r="D315" s="3"/>
      <c r="E315" s="3"/>
      <c r="F315" s="3"/>
      <c r="G315" s="3"/>
    </row>
    <row r="316" spans="3:7" x14ac:dyDescent="0.3">
      <c r="C316" s="3"/>
      <c r="D316" s="3"/>
      <c r="E316" s="3"/>
      <c r="F316" s="3"/>
      <c r="G316" s="3"/>
    </row>
    <row r="317" spans="3:7" x14ac:dyDescent="0.3">
      <c r="C317" s="3"/>
      <c r="D317" s="3"/>
      <c r="E317" s="3"/>
      <c r="F317" s="3"/>
      <c r="G317" s="3"/>
    </row>
    <row r="318" spans="3:7" x14ac:dyDescent="0.3">
      <c r="C318" s="3"/>
      <c r="D318" s="3"/>
      <c r="E318" s="3"/>
      <c r="F318" s="3"/>
      <c r="G318" s="3"/>
    </row>
    <row r="319" spans="3:7" x14ac:dyDescent="0.3">
      <c r="C319" s="3"/>
      <c r="D319" s="3"/>
      <c r="E319" s="3"/>
      <c r="F319" s="3"/>
      <c r="G319" s="3"/>
    </row>
    <row r="320" spans="3:7" x14ac:dyDescent="0.3">
      <c r="C320" s="3"/>
      <c r="D320" s="3"/>
      <c r="E320" s="3"/>
      <c r="F320" s="3"/>
      <c r="G320" s="3"/>
    </row>
    <row r="321" spans="3:7" x14ac:dyDescent="0.3">
      <c r="C321" s="3"/>
      <c r="D321" s="3"/>
      <c r="E321" s="3"/>
      <c r="F321" s="3"/>
      <c r="G321" s="3"/>
    </row>
    <row r="322" spans="3:7" x14ac:dyDescent="0.3">
      <c r="C322" s="3"/>
      <c r="D322" s="3"/>
      <c r="E322" s="3"/>
      <c r="F322" s="3"/>
      <c r="G322" s="3"/>
    </row>
    <row r="323" spans="3:7" x14ac:dyDescent="0.3">
      <c r="C323" s="3"/>
      <c r="D323" s="3"/>
      <c r="E323" s="3"/>
      <c r="F323" s="3"/>
      <c r="G323" s="3"/>
    </row>
    <row r="324" spans="3:7" x14ac:dyDescent="0.3">
      <c r="C324" s="3"/>
      <c r="D324" s="3"/>
      <c r="E324" s="3"/>
      <c r="F324" s="3"/>
      <c r="G324" s="3"/>
    </row>
    <row r="325" spans="3:7" x14ac:dyDescent="0.3">
      <c r="C325" s="3"/>
      <c r="D325" s="3"/>
      <c r="E325" s="3"/>
      <c r="F325" s="3"/>
      <c r="G325" s="3"/>
    </row>
    <row r="326" spans="3:7" x14ac:dyDescent="0.3">
      <c r="C326" s="3"/>
      <c r="D326" s="3"/>
      <c r="E326" s="3"/>
      <c r="F326" s="3"/>
      <c r="G326" s="3"/>
    </row>
    <row r="327" spans="3:7" x14ac:dyDescent="0.3">
      <c r="C327" s="3"/>
      <c r="D327" s="3"/>
      <c r="E327" s="3"/>
      <c r="F327" s="3"/>
      <c r="G327" s="3"/>
    </row>
    <row r="328" spans="3:7" x14ac:dyDescent="0.3">
      <c r="C328" s="3"/>
      <c r="D328" s="3"/>
      <c r="E328" s="3"/>
      <c r="F328" s="3"/>
      <c r="G328" s="3"/>
    </row>
    <row r="329" spans="3:7" x14ac:dyDescent="0.3">
      <c r="C329" s="3"/>
      <c r="D329" s="3"/>
      <c r="E329" s="3"/>
      <c r="F329" s="3"/>
      <c r="G329" s="3"/>
    </row>
    <row r="330" spans="3:7" x14ac:dyDescent="0.3">
      <c r="C330" s="3"/>
      <c r="D330" s="3"/>
      <c r="E330" s="3"/>
      <c r="F330" s="3"/>
      <c r="G330" s="3"/>
    </row>
    <row r="331" spans="3:7" x14ac:dyDescent="0.3">
      <c r="C331" s="3"/>
      <c r="D331" s="3"/>
      <c r="E331" s="3"/>
      <c r="F331" s="3"/>
      <c r="G331" s="3"/>
    </row>
    <row r="332" spans="3:7" x14ac:dyDescent="0.3">
      <c r="C332" s="3"/>
      <c r="D332" s="3"/>
      <c r="E332" s="3"/>
      <c r="F332" s="3"/>
      <c r="G332" s="3"/>
    </row>
    <row r="333" spans="3:7" x14ac:dyDescent="0.3">
      <c r="C333" s="3"/>
      <c r="D333" s="3"/>
      <c r="E333" s="3"/>
      <c r="F333" s="3"/>
      <c r="G333" s="3"/>
    </row>
    <row r="334" spans="3:7" x14ac:dyDescent="0.3">
      <c r="C334" s="3"/>
      <c r="D334" s="3"/>
      <c r="E334" s="3"/>
      <c r="F334" s="3"/>
      <c r="G334" s="3"/>
    </row>
    <row r="335" spans="3:7" x14ac:dyDescent="0.3">
      <c r="C335" s="3"/>
      <c r="D335" s="3"/>
      <c r="E335" s="3"/>
      <c r="F335" s="3"/>
      <c r="G335" s="3"/>
    </row>
    <row r="336" spans="3:7" x14ac:dyDescent="0.3">
      <c r="C336" s="3"/>
      <c r="D336" s="3"/>
      <c r="E336" s="3"/>
      <c r="F336" s="3"/>
      <c r="G336" s="3"/>
    </row>
    <row r="337" spans="3:7" x14ac:dyDescent="0.3">
      <c r="C337" s="3"/>
      <c r="D337" s="3"/>
      <c r="E337" s="3"/>
      <c r="F337" s="3"/>
      <c r="G337" s="3"/>
    </row>
    <row r="338" spans="3:7" x14ac:dyDescent="0.3">
      <c r="C338" s="3"/>
      <c r="D338" s="3"/>
      <c r="E338" s="3"/>
      <c r="F338" s="3"/>
      <c r="G338" s="3"/>
    </row>
    <row r="339" spans="3:7" x14ac:dyDescent="0.3">
      <c r="C339" s="3"/>
      <c r="D339" s="3"/>
      <c r="E339" s="3"/>
      <c r="F339" s="3"/>
      <c r="G339" s="3"/>
    </row>
    <row r="340" spans="3:7" x14ac:dyDescent="0.3">
      <c r="C340" s="3"/>
      <c r="D340" s="3"/>
      <c r="E340" s="3"/>
      <c r="F340" s="3"/>
      <c r="G340" s="3"/>
    </row>
    <row r="341" spans="3:7" x14ac:dyDescent="0.3">
      <c r="C341" s="3"/>
      <c r="D341" s="3"/>
      <c r="E341" s="3"/>
      <c r="F341" s="3"/>
      <c r="G341" s="3"/>
    </row>
    <row r="342" spans="3:7" x14ac:dyDescent="0.3">
      <c r="C342" s="3"/>
      <c r="D342" s="3"/>
      <c r="E342" s="3"/>
      <c r="F342" s="3"/>
      <c r="G342" s="3"/>
    </row>
    <row r="343" spans="3:7" x14ac:dyDescent="0.3">
      <c r="C343" s="3"/>
      <c r="D343" s="3"/>
      <c r="E343" s="3"/>
      <c r="F343" s="3"/>
      <c r="G343" s="3"/>
    </row>
    <row r="344" spans="3:7" x14ac:dyDescent="0.3">
      <c r="C344" s="3"/>
      <c r="D344" s="3"/>
      <c r="E344" s="3"/>
      <c r="F344" s="3"/>
      <c r="G344" s="3"/>
    </row>
    <row r="345" spans="3:7" x14ac:dyDescent="0.3">
      <c r="C345" s="3"/>
      <c r="D345" s="3"/>
      <c r="E345" s="3"/>
      <c r="F345" s="3"/>
      <c r="G345" s="3"/>
    </row>
    <row r="346" spans="3:7" x14ac:dyDescent="0.3">
      <c r="C346" s="3"/>
      <c r="D346" s="3"/>
      <c r="E346" s="3"/>
      <c r="F346" s="3"/>
      <c r="G346" s="3"/>
    </row>
    <row r="347" spans="3:7" x14ac:dyDescent="0.3">
      <c r="C347" s="3"/>
      <c r="D347" s="3"/>
      <c r="E347" s="3"/>
      <c r="F347" s="3"/>
      <c r="G347" s="3"/>
    </row>
    <row r="348" spans="3:7" x14ac:dyDescent="0.3">
      <c r="C348" s="3"/>
      <c r="D348" s="3"/>
      <c r="E348" s="3"/>
      <c r="F348" s="3"/>
      <c r="G348" s="3"/>
    </row>
    <row r="349" spans="3:7" x14ac:dyDescent="0.3">
      <c r="C349" s="3"/>
      <c r="D349" s="3"/>
      <c r="E349" s="3"/>
      <c r="F349" s="3"/>
      <c r="G349" s="3"/>
    </row>
    <row r="350" spans="3:7" x14ac:dyDescent="0.3">
      <c r="C350" s="3"/>
      <c r="D350" s="3"/>
      <c r="E350" s="3"/>
      <c r="F350" s="3"/>
      <c r="G350" s="3"/>
    </row>
    <row r="351" spans="3:7" x14ac:dyDescent="0.3">
      <c r="C351" s="3"/>
      <c r="D351" s="3"/>
      <c r="E351" s="3"/>
      <c r="F351" s="3"/>
      <c r="G351" s="3"/>
    </row>
    <row r="352" spans="3:7" x14ac:dyDescent="0.3">
      <c r="C352" s="3"/>
      <c r="D352" s="3"/>
      <c r="E352" s="3"/>
      <c r="F352" s="3"/>
      <c r="G352" s="3"/>
    </row>
    <row r="353" spans="3:7" x14ac:dyDescent="0.3">
      <c r="C353" s="3"/>
      <c r="D353" s="3"/>
      <c r="E353" s="3"/>
      <c r="F353" s="3"/>
      <c r="G353" s="3"/>
    </row>
    <row r="354" spans="3:7" x14ac:dyDescent="0.3">
      <c r="C354" s="3"/>
      <c r="D354" s="3"/>
      <c r="E354" s="3"/>
      <c r="F354" s="3"/>
      <c r="G354" s="3"/>
    </row>
    <row r="355" spans="3:7" x14ac:dyDescent="0.3">
      <c r="C355" s="3"/>
      <c r="D355" s="3"/>
      <c r="E355" s="3"/>
      <c r="F355" s="3"/>
      <c r="G355" s="3"/>
    </row>
    <row r="356" spans="3:7" x14ac:dyDescent="0.3">
      <c r="C356" s="3"/>
      <c r="D356" s="3"/>
      <c r="E356" s="3"/>
      <c r="F356" s="3"/>
      <c r="G356" s="3"/>
    </row>
    <row r="357" spans="3:7" x14ac:dyDescent="0.3">
      <c r="C357" s="3"/>
      <c r="D357" s="3"/>
      <c r="E357" s="3"/>
      <c r="F357" s="3"/>
      <c r="G357" s="3"/>
    </row>
    <row r="358" spans="3:7" x14ac:dyDescent="0.3">
      <c r="C358" s="3"/>
      <c r="D358" s="3"/>
      <c r="E358" s="3"/>
      <c r="F358" s="3"/>
      <c r="G358" s="3"/>
    </row>
    <row r="359" spans="3:7" x14ac:dyDescent="0.3">
      <c r="C359" s="3"/>
      <c r="D359" s="3"/>
      <c r="E359" s="3"/>
      <c r="F359" s="3"/>
      <c r="G359" s="3"/>
    </row>
    <row r="360" spans="3:7" x14ac:dyDescent="0.3">
      <c r="C360" s="3"/>
      <c r="D360" s="3"/>
      <c r="E360" s="3"/>
      <c r="F360" s="3"/>
      <c r="G360" s="3"/>
    </row>
    <row r="361" spans="3:7" x14ac:dyDescent="0.3">
      <c r="C361" s="3"/>
      <c r="D361" s="3"/>
      <c r="E361" s="3"/>
      <c r="F361" s="3"/>
      <c r="G361" s="3"/>
    </row>
    <row r="362" spans="3:7" x14ac:dyDescent="0.3">
      <c r="C362" s="3"/>
      <c r="D362" s="3"/>
      <c r="E362" s="3"/>
      <c r="F362" s="3"/>
      <c r="G362" s="3"/>
    </row>
    <row r="363" spans="3:7" x14ac:dyDescent="0.3">
      <c r="C363" s="3"/>
      <c r="D363" s="3"/>
      <c r="E363" s="3"/>
      <c r="F363" s="3"/>
      <c r="G363" s="3"/>
    </row>
    <row r="364" spans="3:7" x14ac:dyDescent="0.3">
      <c r="C364" s="3"/>
      <c r="D364" s="3"/>
      <c r="E364" s="3"/>
      <c r="F364" s="3"/>
      <c r="G364" s="3"/>
    </row>
    <row r="365" spans="3:7" x14ac:dyDescent="0.3">
      <c r="C365" s="3"/>
      <c r="D365" s="3"/>
      <c r="E365" s="3"/>
      <c r="F365" s="3"/>
      <c r="G365" s="3"/>
    </row>
    <row r="366" spans="3:7" x14ac:dyDescent="0.3">
      <c r="C366" s="3"/>
      <c r="D366" s="3"/>
      <c r="E366" s="3"/>
      <c r="F366" s="3"/>
      <c r="G366" s="3"/>
    </row>
    <row r="367" spans="3:7" x14ac:dyDescent="0.3">
      <c r="C367" s="3"/>
      <c r="D367" s="3"/>
      <c r="E367" s="3"/>
      <c r="F367" s="3"/>
      <c r="G367" s="3"/>
    </row>
    <row r="368" spans="3:7" x14ac:dyDescent="0.3">
      <c r="C368" s="3"/>
      <c r="D368" s="3"/>
      <c r="E368" s="3"/>
      <c r="F368" s="3"/>
      <c r="G368" s="3"/>
    </row>
    <row r="369" spans="3:7" x14ac:dyDescent="0.3">
      <c r="C369" s="3"/>
      <c r="D369" s="3"/>
      <c r="E369" s="3"/>
      <c r="F369" s="3"/>
      <c r="G369" s="3"/>
    </row>
    <row r="370" spans="3:7" x14ac:dyDescent="0.3">
      <c r="C370" s="3"/>
      <c r="D370" s="3"/>
      <c r="E370" s="3"/>
      <c r="F370" s="3"/>
      <c r="G370" s="3"/>
    </row>
    <row r="371" spans="3:7" x14ac:dyDescent="0.3">
      <c r="C371" s="3"/>
      <c r="D371" s="3"/>
      <c r="E371" s="3"/>
      <c r="F371" s="3"/>
      <c r="G371" s="3"/>
    </row>
    <row r="372" spans="3:7" x14ac:dyDescent="0.3">
      <c r="C372" s="3"/>
      <c r="D372" s="3"/>
      <c r="E372" s="3"/>
      <c r="F372" s="3"/>
      <c r="G372" s="3"/>
    </row>
    <row r="373" spans="3:7" x14ac:dyDescent="0.3">
      <c r="C373" s="3"/>
      <c r="D373" s="3"/>
      <c r="E373" s="3"/>
      <c r="F373" s="3"/>
      <c r="G373" s="3"/>
    </row>
    <row r="374" spans="3:7" x14ac:dyDescent="0.3">
      <c r="C374" s="3"/>
      <c r="D374" s="3"/>
      <c r="E374" s="3"/>
      <c r="F374" s="3"/>
      <c r="G374" s="3"/>
    </row>
    <row r="375" spans="3:7" x14ac:dyDescent="0.3">
      <c r="C375" s="3"/>
      <c r="D375" s="3"/>
      <c r="E375" s="3"/>
      <c r="F375" s="3"/>
      <c r="G375" s="3"/>
    </row>
    <row r="376" spans="3:7" x14ac:dyDescent="0.3">
      <c r="C376" s="3"/>
      <c r="D376" s="3"/>
      <c r="E376" s="3"/>
      <c r="F376" s="3"/>
      <c r="G376" s="3"/>
    </row>
    <row r="377" spans="3:7" x14ac:dyDescent="0.3">
      <c r="C377" s="3"/>
      <c r="D377" s="3"/>
      <c r="E377" s="3"/>
      <c r="F377" s="3"/>
      <c r="G377" s="3"/>
    </row>
    <row r="378" spans="3:7" x14ac:dyDescent="0.3">
      <c r="C378" s="3"/>
      <c r="D378" s="3"/>
      <c r="E378" s="3"/>
      <c r="F378" s="3"/>
      <c r="G378" s="3"/>
    </row>
    <row r="379" spans="3:7" x14ac:dyDescent="0.3">
      <c r="C379" s="3"/>
      <c r="D379" s="3"/>
      <c r="E379" s="3"/>
      <c r="F379" s="3"/>
      <c r="G379" s="3"/>
    </row>
    <row r="380" spans="3:7" x14ac:dyDescent="0.3">
      <c r="C380" s="3"/>
      <c r="D380" s="3"/>
      <c r="E380" s="3"/>
      <c r="F380" s="3"/>
      <c r="G380" s="3"/>
    </row>
    <row r="381" spans="3:7" x14ac:dyDescent="0.3">
      <c r="C381" s="3"/>
      <c r="D381" s="3"/>
      <c r="E381" s="3"/>
      <c r="F381" s="3"/>
      <c r="G381" s="3"/>
    </row>
    <row r="382" spans="3:7" x14ac:dyDescent="0.3">
      <c r="C382" s="3"/>
      <c r="D382" s="3"/>
      <c r="E382" s="3"/>
      <c r="F382" s="3"/>
      <c r="G382" s="3"/>
    </row>
    <row r="383" spans="3:7" x14ac:dyDescent="0.3">
      <c r="C383" s="3"/>
      <c r="D383" s="3"/>
      <c r="E383" s="3"/>
      <c r="F383" s="3"/>
      <c r="G383" s="3"/>
    </row>
    <row r="384" spans="3:7" x14ac:dyDescent="0.3">
      <c r="C384" s="3"/>
      <c r="D384" s="3"/>
      <c r="E384" s="3"/>
      <c r="F384" s="3"/>
      <c r="G384" s="3"/>
    </row>
    <row r="385" spans="3:7" x14ac:dyDescent="0.3">
      <c r="C385" s="3"/>
      <c r="D385" s="3"/>
      <c r="E385" s="3"/>
      <c r="F385" s="3"/>
      <c r="G385" s="3"/>
    </row>
    <row r="386" spans="3:7" x14ac:dyDescent="0.3">
      <c r="C386" s="3"/>
      <c r="D386" s="3"/>
      <c r="E386" s="3"/>
      <c r="F386" s="3"/>
      <c r="G386" s="3"/>
    </row>
    <row r="387" spans="3:7" x14ac:dyDescent="0.3">
      <c r="C387" s="3"/>
      <c r="D387" s="3"/>
      <c r="E387" s="3"/>
      <c r="F387" s="3"/>
      <c r="G387" s="3"/>
    </row>
    <row r="388" spans="3:7" x14ac:dyDescent="0.3">
      <c r="C388" s="3"/>
      <c r="D388" s="3"/>
      <c r="E388" s="3"/>
      <c r="F388" s="3"/>
      <c r="G388" s="3"/>
    </row>
    <row r="389" spans="3:7" x14ac:dyDescent="0.3">
      <c r="C389" s="3"/>
      <c r="D389" s="3"/>
      <c r="E389" s="3"/>
      <c r="F389" s="3"/>
      <c r="G389" s="3"/>
    </row>
    <row r="390" spans="3:7" x14ac:dyDescent="0.3">
      <c r="C390" s="3"/>
      <c r="D390" s="3"/>
      <c r="E390" s="3"/>
      <c r="F390" s="3"/>
      <c r="G390" s="3"/>
    </row>
    <row r="391" spans="3:7" x14ac:dyDescent="0.3">
      <c r="C391" s="3"/>
      <c r="D391" s="3"/>
      <c r="E391" s="3"/>
      <c r="F391" s="3"/>
      <c r="G391" s="3"/>
    </row>
    <row r="392" spans="3:7" x14ac:dyDescent="0.3">
      <c r="C392" s="3"/>
      <c r="D392" s="3"/>
      <c r="E392" s="3"/>
      <c r="F392" s="3"/>
      <c r="G392" s="3"/>
    </row>
    <row r="393" spans="3:7" x14ac:dyDescent="0.3">
      <c r="C393" s="3"/>
      <c r="D393" s="3"/>
      <c r="E393" s="3"/>
      <c r="F393" s="3"/>
      <c r="G393" s="3"/>
    </row>
    <row r="394" spans="3:7" x14ac:dyDescent="0.3">
      <c r="C394" s="3"/>
      <c r="D394" s="3"/>
      <c r="E394" s="3"/>
      <c r="F394" s="3"/>
      <c r="G394" s="3"/>
    </row>
    <row r="395" spans="3:7" x14ac:dyDescent="0.3">
      <c r="C395" s="3"/>
      <c r="D395" s="3"/>
      <c r="E395" s="3"/>
      <c r="F395" s="3"/>
      <c r="G395" s="3"/>
    </row>
    <row r="396" spans="3:7" x14ac:dyDescent="0.3">
      <c r="C396" s="3"/>
      <c r="D396" s="3"/>
      <c r="E396" s="3"/>
      <c r="F396" s="3"/>
      <c r="G396" s="3"/>
    </row>
    <row r="397" spans="3:7" x14ac:dyDescent="0.3">
      <c r="C397" s="3"/>
      <c r="D397" s="3"/>
      <c r="E397" s="3"/>
      <c r="F397" s="3"/>
      <c r="G397" s="3"/>
    </row>
    <row r="398" spans="3:7" x14ac:dyDescent="0.3">
      <c r="C398" s="3"/>
      <c r="D398" s="3"/>
      <c r="E398" s="3"/>
      <c r="F398" s="3"/>
      <c r="G398" s="3"/>
    </row>
    <row r="399" spans="3:7" x14ac:dyDescent="0.3">
      <c r="C399" s="3"/>
      <c r="D399" s="3"/>
      <c r="E399" s="3"/>
      <c r="F399" s="3"/>
      <c r="G399" s="3"/>
    </row>
    <row r="400" spans="3:7" x14ac:dyDescent="0.3">
      <c r="C400" s="3"/>
      <c r="D400" s="3"/>
      <c r="E400" s="3"/>
      <c r="F400" s="3"/>
      <c r="G400" s="3"/>
    </row>
    <row r="401" spans="3:7" x14ac:dyDescent="0.3">
      <c r="C401" s="3"/>
      <c r="D401" s="3"/>
      <c r="E401" s="3"/>
      <c r="F401" s="3"/>
      <c r="G401" s="3"/>
    </row>
    <row r="402" spans="3:7" x14ac:dyDescent="0.3">
      <c r="C402" s="3"/>
      <c r="D402" s="3"/>
      <c r="E402" s="3"/>
      <c r="F402" s="3"/>
      <c r="G402" s="3"/>
    </row>
    <row r="403" spans="3:7" x14ac:dyDescent="0.3">
      <c r="C403" s="3"/>
      <c r="D403" s="3"/>
      <c r="E403" s="3"/>
      <c r="F403" s="3"/>
      <c r="G403" s="3"/>
    </row>
    <row r="404" spans="3:7" x14ac:dyDescent="0.3">
      <c r="C404" s="3"/>
      <c r="D404" s="3"/>
      <c r="E404" s="3"/>
      <c r="F404" s="3"/>
      <c r="G404" s="3"/>
    </row>
    <row r="405" spans="3:7" x14ac:dyDescent="0.3">
      <c r="C405" s="3"/>
      <c r="D405" s="3"/>
      <c r="E405" s="3"/>
      <c r="F405" s="3"/>
      <c r="G405" s="3"/>
    </row>
    <row r="406" spans="3:7" x14ac:dyDescent="0.3">
      <c r="C406" s="3"/>
      <c r="D406" s="3"/>
      <c r="E406" s="3"/>
      <c r="F406" s="3"/>
      <c r="G406" s="3"/>
    </row>
    <row r="407" spans="3:7" x14ac:dyDescent="0.3">
      <c r="C407" s="3"/>
      <c r="D407" s="3"/>
      <c r="E407" s="3"/>
      <c r="F407" s="3"/>
      <c r="G407" s="3"/>
    </row>
    <row r="408" spans="3:7" x14ac:dyDescent="0.3">
      <c r="C408" s="3"/>
      <c r="D408" s="3"/>
      <c r="E408" s="3"/>
      <c r="F408" s="3"/>
      <c r="G408" s="3"/>
    </row>
    <row r="409" spans="3:7" x14ac:dyDescent="0.3">
      <c r="C409" s="3"/>
      <c r="D409" s="3"/>
      <c r="E409" s="3"/>
      <c r="F409" s="3"/>
      <c r="G409" s="3"/>
    </row>
    <row r="410" spans="3:7" x14ac:dyDescent="0.3">
      <c r="C410" s="3"/>
      <c r="D410" s="3"/>
      <c r="E410" s="3"/>
      <c r="F410" s="3"/>
      <c r="G410" s="3"/>
    </row>
    <row r="411" spans="3:7" x14ac:dyDescent="0.3">
      <c r="C411" s="3"/>
      <c r="D411" s="3"/>
      <c r="E411" s="3"/>
      <c r="F411" s="3"/>
      <c r="G411" s="3"/>
    </row>
    <row r="412" spans="3:7" x14ac:dyDescent="0.3">
      <c r="C412" s="3"/>
      <c r="D412" s="3"/>
      <c r="E412" s="3"/>
      <c r="F412" s="3"/>
      <c r="G412" s="3"/>
    </row>
    <row r="413" spans="3:7" x14ac:dyDescent="0.3">
      <c r="C413" s="3"/>
      <c r="D413" s="3"/>
      <c r="E413" s="3"/>
      <c r="F413" s="3"/>
      <c r="G413" s="3"/>
    </row>
    <row r="414" spans="3:7" x14ac:dyDescent="0.3">
      <c r="C414" s="3"/>
      <c r="D414" s="3"/>
      <c r="E414" s="3"/>
      <c r="F414" s="3"/>
      <c r="G414" s="3"/>
    </row>
    <row r="415" spans="3:7" x14ac:dyDescent="0.3">
      <c r="C415" s="3"/>
      <c r="D415" s="3"/>
      <c r="E415" s="3"/>
      <c r="F415" s="3"/>
      <c r="G415" s="3"/>
    </row>
    <row r="416" spans="3:7" x14ac:dyDescent="0.3">
      <c r="C416" s="3"/>
      <c r="D416" s="3"/>
      <c r="E416" s="3"/>
      <c r="F416" s="3"/>
      <c r="G416" s="3"/>
    </row>
    <row r="417" spans="3:7" x14ac:dyDescent="0.3">
      <c r="C417" s="3"/>
      <c r="D417" s="3"/>
      <c r="E417" s="3"/>
      <c r="F417" s="3"/>
      <c r="G417" s="3"/>
    </row>
    <row r="418" spans="3:7" x14ac:dyDescent="0.3">
      <c r="C418" s="3"/>
      <c r="D418" s="3"/>
      <c r="E418" s="3"/>
      <c r="F418" s="3"/>
      <c r="G418" s="3"/>
    </row>
    <row r="419" spans="3:7" x14ac:dyDescent="0.3">
      <c r="C419" s="3"/>
      <c r="D419" s="3"/>
      <c r="E419" s="3"/>
      <c r="F419" s="3"/>
      <c r="G419" s="3"/>
    </row>
    <row r="420" spans="3:7" x14ac:dyDescent="0.3">
      <c r="C420" s="3"/>
      <c r="D420" s="3"/>
      <c r="E420" s="3"/>
      <c r="F420" s="3"/>
      <c r="G420" s="3"/>
    </row>
    <row r="421" spans="3:7" x14ac:dyDescent="0.3">
      <c r="C421" s="3"/>
      <c r="D421" s="3"/>
      <c r="E421" s="3"/>
      <c r="F421" s="3"/>
      <c r="G421" s="3"/>
    </row>
    <row r="422" spans="3:7" x14ac:dyDescent="0.3">
      <c r="C422" s="3"/>
      <c r="D422" s="3"/>
      <c r="E422" s="3"/>
      <c r="F422" s="3"/>
      <c r="G422" s="3"/>
    </row>
    <row r="423" spans="3:7" x14ac:dyDescent="0.3">
      <c r="C423" s="3"/>
      <c r="D423" s="3"/>
      <c r="E423" s="3"/>
      <c r="F423" s="3"/>
      <c r="G423" s="3"/>
    </row>
    <row r="424" spans="3:7" x14ac:dyDescent="0.3">
      <c r="C424" s="3"/>
      <c r="D424" s="3"/>
      <c r="E424" s="3"/>
      <c r="F424" s="3"/>
      <c r="G424" s="3"/>
    </row>
    <row r="425" spans="3:7" x14ac:dyDescent="0.3">
      <c r="C425" s="3"/>
      <c r="D425" s="3"/>
      <c r="E425" s="3"/>
      <c r="F425" s="3"/>
      <c r="G425" s="3"/>
    </row>
    <row r="426" spans="3:7" x14ac:dyDescent="0.3">
      <c r="C426" s="3"/>
      <c r="D426" s="3"/>
      <c r="E426" s="3"/>
      <c r="F426" s="3"/>
      <c r="G426" s="3"/>
    </row>
    <row r="427" spans="3:7" x14ac:dyDescent="0.3">
      <c r="C427" s="3"/>
      <c r="D427" s="3"/>
      <c r="E427" s="3"/>
      <c r="F427" s="3"/>
      <c r="G427" s="3"/>
    </row>
    <row r="428" spans="3:7" x14ac:dyDescent="0.3">
      <c r="C428" s="3"/>
      <c r="D428" s="3"/>
      <c r="E428" s="3"/>
      <c r="F428" s="3"/>
      <c r="G428" s="3"/>
    </row>
    <row r="429" spans="3:7" x14ac:dyDescent="0.3">
      <c r="C429" s="3"/>
      <c r="D429" s="3"/>
      <c r="E429" s="3"/>
      <c r="F429" s="3"/>
      <c r="G429" s="3"/>
    </row>
    <row r="430" spans="3:7" x14ac:dyDescent="0.3">
      <c r="C430" s="3"/>
      <c r="D430" s="3"/>
      <c r="E430" s="3"/>
      <c r="F430" s="3"/>
      <c r="G430" s="3"/>
    </row>
    <row r="431" spans="3:7" x14ac:dyDescent="0.3">
      <c r="C431" s="3"/>
      <c r="D431" s="3"/>
      <c r="E431" s="3"/>
      <c r="F431" s="3"/>
      <c r="G431" s="3"/>
    </row>
    <row r="432" spans="3:7" x14ac:dyDescent="0.3">
      <c r="C432" s="3"/>
      <c r="D432" s="3"/>
      <c r="E432" s="3"/>
      <c r="F432" s="3"/>
      <c r="G432" s="3"/>
    </row>
    <row r="433" spans="3:7" x14ac:dyDescent="0.3">
      <c r="C433" s="3"/>
      <c r="D433" s="3"/>
      <c r="E433" s="3"/>
      <c r="F433" s="3"/>
      <c r="G433" s="3"/>
    </row>
    <row r="434" spans="3:7" x14ac:dyDescent="0.3">
      <c r="C434" s="3"/>
      <c r="D434" s="3"/>
      <c r="E434" s="3"/>
      <c r="F434" s="3"/>
      <c r="G434" s="3"/>
    </row>
    <row r="435" spans="3:7" x14ac:dyDescent="0.3">
      <c r="C435" s="3"/>
      <c r="D435" s="3"/>
      <c r="E435" s="3"/>
      <c r="F435" s="3"/>
      <c r="G435" s="3"/>
    </row>
    <row r="436" spans="3:7" x14ac:dyDescent="0.3">
      <c r="C436" s="3"/>
      <c r="D436" s="3"/>
      <c r="E436" s="3"/>
      <c r="F436" s="3"/>
      <c r="G436" s="3"/>
    </row>
    <row r="437" spans="3:7" x14ac:dyDescent="0.3">
      <c r="C437" s="3"/>
      <c r="D437" s="3"/>
      <c r="E437" s="3"/>
      <c r="F437" s="3"/>
      <c r="G437" s="3"/>
    </row>
    <row r="438" spans="3:7" x14ac:dyDescent="0.3">
      <c r="C438" s="3"/>
      <c r="D438" s="3"/>
      <c r="E438" s="3"/>
      <c r="F438" s="3"/>
      <c r="G438" s="3"/>
    </row>
    <row r="439" spans="3:7" x14ac:dyDescent="0.3">
      <c r="C439" s="3"/>
      <c r="D439" s="3"/>
      <c r="E439" s="3"/>
      <c r="F439" s="3"/>
      <c r="G439" s="3"/>
    </row>
    <row r="440" spans="3:7" x14ac:dyDescent="0.3">
      <c r="C440" s="3"/>
      <c r="D440" s="3"/>
      <c r="E440" s="3"/>
      <c r="F440" s="3"/>
      <c r="G440" s="3"/>
    </row>
    <row r="441" spans="3:7" x14ac:dyDescent="0.3">
      <c r="C441" s="3"/>
      <c r="D441" s="3"/>
      <c r="E441" s="3"/>
      <c r="F441" s="3"/>
      <c r="G441" s="3"/>
    </row>
    <row r="442" spans="3:7" x14ac:dyDescent="0.3">
      <c r="C442" s="3"/>
      <c r="D442" s="3"/>
      <c r="E442" s="3"/>
      <c r="F442" s="3"/>
      <c r="G442" s="3"/>
    </row>
    <row r="443" spans="3:7" x14ac:dyDescent="0.3">
      <c r="C443" s="3"/>
      <c r="D443" s="3"/>
      <c r="E443" s="3"/>
      <c r="F443" s="3"/>
      <c r="G443" s="3"/>
    </row>
    <row r="444" spans="3:7" x14ac:dyDescent="0.3">
      <c r="C444" s="3"/>
      <c r="D444" s="3"/>
      <c r="E444" s="3"/>
      <c r="F444" s="3"/>
      <c r="G444" s="3"/>
    </row>
    <row r="445" spans="3:7" x14ac:dyDescent="0.3">
      <c r="C445" s="3"/>
      <c r="D445" s="3"/>
      <c r="E445" s="3"/>
      <c r="F445" s="3"/>
      <c r="G445" s="3"/>
    </row>
    <row r="446" spans="3:7" x14ac:dyDescent="0.3">
      <c r="C446" s="3"/>
      <c r="D446" s="3"/>
      <c r="E446" s="3"/>
      <c r="F446" s="3"/>
      <c r="G446" s="3"/>
    </row>
    <row r="447" spans="3:7" x14ac:dyDescent="0.3">
      <c r="C447" s="3"/>
      <c r="D447" s="3"/>
      <c r="E447" s="3"/>
      <c r="F447" s="3"/>
      <c r="G447" s="3"/>
    </row>
    <row r="448" spans="3:7" x14ac:dyDescent="0.3">
      <c r="C448" s="3"/>
      <c r="D448" s="3"/>
      <c r="E448" s="3"/>
      <c r="F448" s="3"/>
      <c r="G448" s="3"/>
    </row>
    <row r="449" spans="3:7" x14ac:dyDescent="0.3">
      <c r="C449" s="3"/>
      <c r="D449" s="3"/>
      <c r="E449" s="3"/>
      <c r="F449" s="3"/>
      <c r="G449" s="3"/>
    </row>
    <row r="450" spans="3:7" x14ac:dyDescent="0.3">
      <c r="C450" s="3"/>
      <c r="D450" s="3"/>
      <c r="E450" s="3"/>
      <c r="F450" s="3"/>
      <c r="G450" s="3"/>
    </row>
    <row r="451" spans="3:7" x14ac:dyDescent="0.3">
      <c r="C451" s="3"/>
      <c r="D451" s="3"/>
      <c r="E451" s="3"/>
      <c r="F451" s="3"/>
      <c r="G451" s="3"/>
    </row>
  </sheetData>
  <sortState ref="D2:F1489">
    <sortCondition ref="D2:D1489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AL43"/>
  <sheetViews>
    <sheetView topLeftCell="C16" workbookViewId="0">
      <selection activeCell="K6" sqref="K6"/>
    </sheetView>
  </sheetViews>
  <sheetFormatPr defaultRowHeight="14.4" x14ac:dyDescent="0.3"/>
  <cols>
    <col min="3" max="3" width="26.109375" style="20" customWidth="1"/>
    <col min="5" max="5" width="16.33203125" bestFit="1" customWidth="1"/>
    <col min="6" max="6" width="11.5546875" bestFit="1" customWidth="1"/>
    <col min="7" max="7" width="12.33203125" customWidth="1"/>
    <col min="8" max="8" width="81" style="20" customWidth="1"/>
    <col min="9" max="9" width="10.5546875" bestFit="1" customWidth="1"/>
    <col min="11" max="11" width="12" bestFit="1" customWidth="1"/>
    <col min="20" max="20" width="10.5546875" bestFit="1" customWidth="1"/>
    <col min="30" max="30" width="12.44140625" customWidth="1"/>
    <col min="32" max="32" width="17.109375" customWidth="1"/>
    <col min="36" max="36" width="11.5546875" bestFit="1" customWidth="1"/>
    <col min="38" max="38" width="10.5546875" bestFit="1" customWidth="1"/>
  </cols>
  <sheetData>
    <row r="2" spans="3:38" x14ac:dyDescent="0.3">
      <c r="E2" s="21"/>
    </row>
    <row r="3" spans="3:38" x14ac:dyDescent="0.3">
      <c r="C3" s="24" t="s">
        <v>45</v>
      </c>
      <c r="E3" s="21"/>
    </row>
    <row r="4" spans="3:38" x14ac:dyDescent="0.3">
      <c r="E4" s="21"/>
      <c r="J4" t="s">
        <v>103</v>
      </c>
    </row>
    <row r="5" spans="3:38" x14ac:dyDescent="0.3">
      <c r="E5" s="21"/>
    </row>
    <row r="6" spans="3:38" x14ac:dyDescent="0.3">
      <c r="C6" s="32" t="s">
        <v>66</v>
      </c>
      <c r="D6" s="8"/>
      <c r="E6" s="33" t="s">
        <v>67</v>
      </c>
      <c r="F6" s="8" t="s">
        <v>104</v>
      </c>
      <c r="G6" s="8" t="s">
        <v>68</v>
      </c>
      <c r="H6" s="32" t="s">
        <v>69</v>
      </c>
      <c r="J6" t="s">
        <v>102</v>
      </c>
      <c r="K6" s="35">
        <f>'operating costs '!W2</f>
        <v>6.6666666666666666E-2</v>
      </c>
    </row>
    <row r="7" spans="3:38" x14ac:dyDescent="0.3">
      <c r="E7" s="21"/>
    </row>
    <row r="8" spans="3:38" x14ac:dyDescent="0.3">
      <c r="E8" s="21"/>
      <c r="AD8" t="s">
        <v>115</v>
      </c>
    </row>
    <row r="9" spans="3:38" ht="43.2" x14ac:dyDescent="0.3">
      <c r="C9" s="20" t="s">
        <v>46</v>
      </c>
      <c r="E9" s="21">
        <f>150000*600*K6</f>
        <v>6000000</v>
      </c>
      <c r="F9" s="34">
        <f>30/600</f>
        <v>0.05</v>
      </c>
      <c r="G9" s="34">
        <v>0</v>
      </c>
      <c r="H9" s="20" t="s">
        <v>97</v>
      </c>
      <c r="I9" s="25"/>
      <c r="J9" t="s">
        <v>106</v>
      </c>
      <c r="S9" t="s">
        <v>46</v>
      </c>
      <c r="T9" s="25">
        <f>E9*F9</f>
        <v>300000</v>
      </c>
    </row>
    <row r="10" spans="3:38" x14ac:dyDescent="0.3">
      <c r="E10" s="21"/>
      <c r="J10" t="s">
        <v>107</v>
      </c>
      <c r="S10" s="38" t="s">
        <v>109</v>
      </c>
      <c r="T10" s="25">
        <v>360000</v>
      </c>
      <c r="AD10" s="1" t="s">
        <v>117</v>
      </c>
      <c r="AF10" s="3">
        <v>50000</v>
      </c>
      <c r="AG10" s="10">
        <v>1</v>
      </c>
      <c r="AI10" s="1" t="s">
        <v>117</v>
      </c>
      <c r="AJ10" s="36">
        <f>AF10*AG10</f>
        <v>50000</v>
      </c>
    </row>
    <row r="11" spans="3:38" ht="43.2" x14ac:dyDescent="0.3">
      <c r="C11" s="20" t="s">
        <v>53</v>
      </c>
      <c r="E11" s="21">
        <f>12*1000*20*1.5</f>
        <v>360000</v>
      </c>
      <c r="F11" s="34">
        <v>1</v>
      </c>
      <c r="G11" s="48">
        <f t="shared" ref="G11:G13" si="0">E11/1000/20</f>
        <v>18</v>
      </c>
      <c r="H11" s="20" t="s">
        <v>62</v>
      </c>
      <c r="S11" s="38" t="s">
        <v>110</v>
      </c>
      <c r="T11" s="25">
        <v>416520</v>
      </c>
      <c r="AD11" s="1" t="s">
        <v>95</v>
      </c>
      <c r="AF11" s="3">
        <v>36960</v>
      </c>
      <c r="AG11" s="10">
        <v>1</v>
      </c>
      <c r="AI11" s="1" t="s">
        <v>95</v>
      </c>
      <c r="AJ11" s="36">
        <f t="shared" ref="AJ11:AJ13" si="1">AF11*AG11</f>
        <v>36960</v>
      </c>
    </row>
    <row r="12" spans="3:38" ht="28.8" x14ac:dyDescent="0.3">
      <c r="C12" s="20" t="s">
        <v>70</v>
      </c>
      <c r="E12" s="21">
        <f>150*12*20*1.3*8.9*K6</f>
        <v>27768</v>
      </c>
      <c r="F12" s="34">
        <v>1</v>
      </c>
      <c r="G12" s="48">
        <f t="shared" si="0"/>
        <v>1.3884000000000001</v>
      </c>
      <c r="H12" s="20" t="s">
        <v>63</v>
      </c>
      <c r="S12" t="s">
        <v>0</v>
      </c>
      <c r="T12" s="25">
        <v>43999.999999999993</v>
      </c>
      <c r="AD12" s="40" t="s">
        <v>118</v>
      </c>
      <c r="AF12" s="3">
        <v>12000</v>
      </c>
      <c r="AG12" s="10">
        <v>1</v>
      </c>
      <c r="AI12" s="40" t="s">
        <v>118</v>
      </c>
      <c r="AJ12" s="36">
        <f t="shared" si="1"/>
        <v>12000</v>
      </c>
    </row>
    <row r="13" spans="3:38" x14ac:dyDescent="0.3">
      <c r="C13" s="20" t="s">
        <v>47</v>
      </c>
      <c r="E13" s="21">
        <f>15*20*1.5*1000</f>
        <v>450000</v>
      </c>
      <c r="F13" s="34">
        <v>0</v>
      </c>
      <c r="G13" s="48">
        <f t="shared" si="0"/>
        <v>22.5</v>
      </c>
      <c r="H13" s="20" t="s">
        <v>72</v>
      </c>
      <c r="S13" t="s">
        <v>4</v>
      </c>
      <c r="T13" s="25">
        <f>26666.6666666667*2</f>
        <v>53333.333333333401</v>
      </c>
      <c r="AD13" s="1" t="s">
        <v>81</v>
      </c>
      <c r="AF13" s="3">
        <v>3857.1428571428573</v>
      </c>
      <c r="AG13" s="10">
        <v>1</v>
      </c>
      <c r="AI13" s="1" t="s">
        <v>81</v>
      </c>
      <c r="AJ13" s="36">
        <f t="shared" si="1"/>
        <v>3857.1428571428573</v>
      </c>
    </row>
    <row r="14" spans="3:38" x14ac:dyDescent="0.3">
      <c r="C14" s="20" t="s">
        <v>64</v>
      </c>
      <c r="E14" s="21">
        <f>3*12*1000*20</f>
        <v>720000</v>
      </c>
      <c r="F14" s="34">
        <v>0</v>
      </c>
      <c r="G14" s="48">
        <f>E14/1000/20</f>
        <v>36</v>
      </c>
      <c r="H14" s="20" t="s">
        <v>65</v>
      </c>
      <c r="S14" t="s">
        <v>7</v>
      </c>
      <c r="T14" s="25">
        <v>20000</v>
      </c>
      <c r="AD14" s="16" t="s">
        <v>74</v>
      </c>
      <c r="AF14" s="3">
        <v>63266.666666666672</v>
      </c>
      <c r="AG14" s="10">
        <v>1</v>
      </c>
      <c r="AI14" s="16" t="s">
        <v>74</v>
      </c>
      <c r="AJ14" s="36">
        <f>AF14*AG14</f>
        <v>63266.666666666672</v>
      </c>
    </row>
    <row r="15" spans="3:38" ht="72" x14ac:dyDescent="0.3">
      <c r="E15" s="21"/>
      <c r="G15" s="21"/>
      <c r="S15" s="38" t="s">
        <v>111</v>
      </c>
      <c r="T15" s="25">
        <v>13333.333333333332</v>
      </c>
      <c r="AD15" s="42" t="s">
        <v>119</v>
      </c>
      <c r="AF15" s="3">
        <v>72000</v>
      </c>
      <c r="AG15" s="10">
        <v>0.5</v>
      </c>
      <c r="AI15" s="42" t="s">
        <v>119</v>
      </c>
      <c r="AJ15" s="36">
        <v>38776.800000000003</v>
      </c>
      <c r="AL15" s="36">
        <f>AF15*AG15</f>
        <v>36000</v>
      </c>
    </row>
    <row r="16" spans="3:38" ht="72" x14ac:dyDescent="0.3">
      <c r="C16" s="20" t="s">
        <v>61</v>
      </c>
      <c r="E16" s="3">
        <f>1.75*6*200*1000</f>
        <v>2100000</v>
      </c>
      <c r="F16" s="34">
        <v>0</v>
      </c>
      <c r="G16" s="21">
        <f>E16/1000/20</f>
        <v>105</v>
      </c>
      <c r="H16" s="20" t="s">
        <v>59</v>
      </c>
      <c r="AD16" s="20" t="s">
        <v>64</v>
      </c>
      <c r="AF16" s="3">
        <v>144000</v>
      </c>
      <c r="AG16" s="10">
        <v>0.1</v>
      </c>
      <c r="AI16" s="20" t="s">
        <v>64</v>
      </c>
      <c r="AJ16" s="36">
        <f>AF16*AG16</f>
        <v>14400</v>
      </c>
      <c r="AL16" s="36"/>
    </row>
    <row r="17" spans="3:38" ht="28.8" x14ac:dyDescent="0.3">
      <c r="C17" s="20" t="s">
        <v>51</v>
      </c>
      <c r="E17" s="21">
        <f>8*20*1.5*1000</f>
        <v>240000</v>
      </c>
      <c r="F17" s="34">
        <v>0</v>
      </c>
      <c r="G17" s="21">
        <f t="shared" ref="G17:G18" si="2">E17/1000/20</f>
        <v>12</v>
      </c>
      <c r="H17" s="20" t="s">
        <v>60</v>
      </c>
      <c r="T17" s="25"/>
      <c r="AD17" s="1" t="s">
        <v>78</v>
      </c>
      <c r="AF17" s="3">
        <v>1000</v>
      </c>
      <c r="AG17" s="10">
        <v>1</v>
      </c>
      <c r="AI17" s="1" t="s">
        <v>78</v>
      </c>
      <c r="AJ17" s="36">
        <f>AF17*AG17</f>
        <v>1000</v>
      </c>
    </row>
    <row r="18" spans="3:38" x14ac:dyDescent="0.3">
      <c r="C18" s="20" t="s">
        <v>52</v>
      </c>
      <c r="E18" s="21">
        <f>8*20*1.5*1000</f>
        <v>240000</v>
      </c>
      <c r="F18" s="34">
        <v>0</v>
      </c>
      <c r="G18" s="21">
        <f t="shared" si="2"/>
        <v>12</v>
      </c>
      <c r="AD18" s="40" t="s">
        <v>112</v>
      </c>
      <c r="AF18" s="3">
        <v>27500</v>
      </c>
      <c r="AG18" s="10">
        <v>1</v>
      </c>
      <c r="AI18" s="40" t="s">
        <v>112</v>
      </c>
      <c r="AJ18" s="36">
        <f>AF18*AG18</f>
        <v>27500</v>
      </c>
    </row>
    <row r="19" spans="3:38" x14ac:dyDescent="0.3">
      <c r="E19" s="21"/>
      <c r="G19" s="21"/>
      <c r="AD19" s="41" t="s">
        <v>116</v>
      </c>
      <c r="AF19" s="3">
        <v>560</v>
      </c>
      <c r="AG19" s="10">
        <v>1</v>
      </c>
      <c r="AI19" s="41" t="s">
        <v>116</v>
      </c>
      <c r="AJ19" s="36">
        <v>6120</v>
      </c>
    </row>
    <row r="20" spans="3:38" x14ac:dyDescent="0.3">
      <c r="E20" s="21"/>
      <c r="G20" s="21"/>
      <c r="AD20" s="1" t="s">
        <v>86</v>
      </c>
      <c r="AF20" s="3">
        <v>26666.666666666668</v>
      </c>
      <c r="AG20" s="10">
        <v>1</v>
      </c>
      <c r="AI20" s="1" t="s">
        <v>86</v>
      </c>
      <c r="AJ20" s="36">
        <f>AF20*AG20</f>
        <v>26666.666666666668</v>
      </c>
      <c r="AL20" s="36">
        <f>SUM(AJ20:AJ22)+560</f>
        <v>27226.666666666668</v>
      </c>
    </row>
    <row r="21" spans="3:38" x14ac:dyDescent="0.3">
      <c r="C21" s="20" t="s">
        <v>89</v>
      </c>
      <c r="E21" s="21"/>
      <c r="G21" s="21"/>
      <c r="AD21" s="16"/>
      <c r="AF21" s="3"/>
      <c r="AG21" s="10"/>
      <c r="AJ21" s="36"/>
    </row>
    <row r="22" spans="3:38" x14ac:dyDescent="0.3">
      <c r="E22" s="21"/>
      <c r="G22" s="21"/>
      <c r="T22" s="25"/>
      <c r="AD22" s="16"/>
      <c r="AF22" s="3"/>
      <c r="AG22" s="10"/>
      <c r="AJ22" s="36"/>
    </row>
    <row r="23" spans="3:38" x14ac:dyDescent="0.3">
      <c r="C23" s="7" t="s">
        <v>77</v>
      </c>
      <c r="E23" s="3"/>
      <c r="G23" s="21"/>
      <c r="T23" s="25"/>
    </row>
    <row r="24" spans="3:38" x14ac:dyDescent="0.3">
      <c r="C24" s="1" t="s">
        <v>1</v>
      </c>
      <c r="E24" s="3">
        <f>MAX(5000,0,50000*K6)</f>
        <v>5000</v>
      </c>
      <c r="G24" s="21"/>
      <c r="H24" s="20" t="s">
        <v>90</v>
      </c>
      <c r="T24" s="25"/>
    </row>
    <row r="25" spans="3:38" x14ac:dyDescent="0.3">
      <c r="C25" s="1" t="s">
        <v>0</v>
      </c>
      <c r="E25" s="3">
        <f>MAX(2000+5*500,(2000*5+35*500)*3*K6)</f>
        <v>5500</v>
      </c>
      <c r="F25" s="34">
        <v>1</v>
      </c>
      <c r="G25" s="21"/>
      <c r="H25" s="20" t="s">
        <v>91</v>
      </c>
      <c r="I25" t="s">
        <v>113</v>
      </c>
    </row>
    <row r="26" spans="3:38" x14ac:dyDescent="0.3">
      <c r="C26" s="15" t="s">
        <v>2</v>
      </c>
      <c r="E26" s="3">
        <f>MAX(5000,(3000+5*1500*3)*K6)</f>
        <v>5000</v>
      </c>
      <c r="F26" s="34">
        <v>1</v>
      </c>
      <c r="G26" s="21"/>
      <c r="H26" s="20" t="s">
        <v>91</v>
      </c>
      <c r="AD26" s="16"/>
      <c r="AF26" s="3"/>
      <c r="AG26" s="10"/>
      <c r="AJ26" s="36"/>
    </row>
    <row r="27" spans="3:38" x14ac:dyDescent="0.3">
      <c r="C27" s="16" t="s">
        <v>4</v>
      </c>
      <c r="E27" s="3">
        <f>MAX(400*5,(400*35*3)*K6)</f>
        <v>2800</v>
      </c>
      <c r="F27" s="34">
        <v>1</v>
      </c>
      <c r="G27" s="21"/>
      <c r="H27" s="20" t="s">
        <v>91</v>
      </c>
      <c r="AD27" s="16"/>
      <c r="AF27" s="3"/>
      <c r="AG27" s="10"/>
      <c r="AJ27" s="36"/>
    </row>
    <row r="28" spans="3:38" x14ac:dyDescent="0.3">
      <c r="C28" s="16" t="s">
        <v>5</v>
      </c>
      <c r="E28" s="3">
        <f>MAX(400*5,(400*35*3)*$K$6)</f>
        <v>2800</v>
      </c>
      <c r="F28" s="34">
        <v>1</v>
      </c>
      <c r="G28" s="21"/>
      <c r="H28" s="20" t="s">
        <v>91</v>
      </c>
      <c r="AD28" s="1"/>
      <c r="AJ28" s="36"/>
    </row>
    <row r="29" spans="3:38" x14ac:dyDescent="0.3">
      <c r="C29" s="16" t="s">
        <v>3</v>
      </c>
      <c r="E29" s="3">
        <f>MAX(6000,3000*5*3*K6)</f>
        <v>6000</v>
      </c>
      <c r="F29" s="34">
        <v>0</v>
      </c>
      <c r="G29" s="21"/>
      <c r="H29" s="20" t="s">
        <v>91</v>
      </c>
      <c r="AD29" s="16"/>
      <c r="AF29" s="3"/>
      <c r="AG29" s="10"/>
      <c r="AJ29" s="36"/>
    </row>
    <row r="30" spans="3:38" x14ac:dyDescent="0.3">
      <c r="C30" s="16" t="s">
        <v>75</v>
      </c>
      <c r="E30" s="3">
        <f>MAX(2000*5*K6*3,2000*2)</f>
        <v>4000</v>
      </c>
      <c r="F30" s="34">
        <v>1</v>
      </c>
      <c r="G30" s="21"/>
      <c r="H30" s="20" t="s">
        <v>91</v>
      </c>
      <c r="AD30" s="1"/>
      <c r="AF30" s="3"/>
      <c r="AG30" s="10"/>
      <c r="AJ30" s="36"/>
    </row>
    <row r="31" spans="3:38" x14ac:dyDescent="0.3">
      <c r="C31" s="16" t="s">
        <v>136</v>
      </c>
      <c r="E31" s="3">
        <f>MAX(5000*5*K6*3,5000*1)</f>
        <v>5000</v>
      </c>
      <c r="F31" s="34">
        <v>0</v>
      </c>
      <c r="G31" s="21"/>
      <c r="H31" s="20" t="s">
        <v>91</v>
      </c>
      <c r="AD31" s="1"/>
      <c r="AF31" s="3"/>
      <c r="AG31" s="10"/>
      <c r="AJ31" s="36"/>
    </row>
    <row r="32" spans="3:38" x14ac:dyDescent="0.3">
      <c r="C32" s="16" t="s">
        <v>7</v>
      </c>
      <c r="E32" s="3">
        <v>200000</v>
      </c>
      <c r="F32" s="34">
        <v>0.1</v>
      </c>
      <c r="G32" s="21"/>
      <c r="H32" s="20" t="s">
        <v>91</v>
      </c>
    </row>
    <row r="33" spans="3:33" x14ac:dyDescent="0.3">
      <c r="C33" s="16" t="s">
        <v>11</v>
      </c>
      <c r="E33" s="3">
        <f>MAX(5*3*2000*K6,2*2000)</f>
        <v>4000</v>
      </c>
      <c r="F33" s="34">
        <v>0</v>
      </c>
      <c r="G33" s="21"/>
      <c r="H33" s="20" t="s">
        <v>91</v>
      </c>
    </row>
    <row r="34" spans="3:33" x14ac:dyDescent="0.3">
      <c r="C34" s="16" t="s">
        <v>83</v>
      </c>
      <c r="E34" s="3">
        <f>MAX(2*400,400*35*3*K6)</f>
        <v>2800</v>
      </c>
      <c r="F34" s="34">
        <v>1</v>
      </c>
      <c r="G34" s="21"/>
      <c r="H34" s="20" t="s">
        <v>91</v>
      </c>
    </row>
    <row r="35" spans="3:33" x14ac:dyDescent="0.3">
      <c r="E35" s="21"/>
      <c r="G35" s="21"/>
      <c r="T35" s="25"/>
    </row>
    <row r="36" spans="3:33" x14ac:dyDescent="0.3">
      <c r="E36" s="21"/>
      <c r="T36" s="25"/>
    </row>
    <row r="37" spans="3:33" x14ac:dyDescent="0.3">
      <c r="E37" s="21"/>
      <c r="T37" s="25"/>
    </row>
    <row r="38" spans="3:33" x14ac:dyDescent="0.3">
      <c r="E38" s="21"/>
    </row>
    <row r="39" spans="3:33" ht="16.2" x14ac:dyDescent="0.45">
      <c r="C39" s="23" t="s">
        <v>71</v>
      </c>
      <c r="D39" s="26"/>
      <c r="E39" s="45">
        <f>SUM(E9:E37)</f>
        <v>10380668</v>
      </c>
      <c r="F39" s="46">
        <f>SUMPRODUCT(F9:F34,E9:E34)</f>
        <v>730668</v>
      </c>
    </row>
    <row r="40" spans="3:33" x14ac:dyDescent="0.3">
      <c r="AD40" s="1"/>
      <c r="AF40" s="3"/>
      <c r="AG40" s="10"/>
    </row>
    <row r="41" spans="3:33" ht="30.6" x14ac:dyDescent="0.45">
      <c r="C41" s="20" t="s">
        <v>98</v>
      </c>
      <c r="E41" s="45">
        <f>E39-E9</f>
        <v>4380668</v>
      </c>
      <c r="F41" s="46">
        <f>F39-E9*F9</f>
        <v>430668</v>
      </c>
      <c r="AD41" s="1"/>
      <c r="AF41" s="3"/>
      <c r="AG41" s="10"/>
    </row>
    <row r="42" spans="3:33" x14ac:dyDescent="0.3">
      <c r="AD42" s="1"/>
      <c r="AF42" s="3"/>
      <c r="AG42" s="10"/>
    </row>
    <row r="43" spans="3:33" x14ac:dyDescent="0.3">
      <c r="AD43" s="1"/>
      <c r="AF43" s="3"/>
      <c r="AG43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operating costs </vt:lpstr>
      <vt:lpstr>Capital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Gary Howorth</cp:lastModifiedBy>
  <dcterms:created xsi:type="dcterms:W3CDTF">2015-12-02T16:22:47Z</dcterms:created>
  <dcterms:modified xsi:type="dcterms:W3CDTF">2021-11-30T15:16:19Z</dcterms:modified>
</cp:coreProperties>
</file>