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480" windowHeight="8505"/>
  </bookViews>
  <sheets>
    <sheet name="Presupuesto" sheetId="1" r:id="rId1"/>
    <sheet name="Cuadro de resultados" sheetId="2" r:id="rId2"/>
  </sheets>
  <calcPr calcId="125725"/>
</workbook>
</file>

<file path=xl/calcChain.xml><?xml version="1.0" encoding="utf-8"?>
<calcChain xmlns="http://schemas.openxmlformats.org/spreadsheetml/2006/main">
  <c r="G86" i="1"/>
  <c r="G85"/>
  <c r="D86"/>
  <c r="D85"/>
  <c r="AJ88"/>
  <c r="AJ87"/>
  <c r="AJ86"/>
  <c r="AJ85"/>
  <c r="AG88"/>
  <c r="AG87"/>
  <c r="AG86"/>
  <c r="AG85"/>
  <c r="AD88"/>
  <c r="AD87"/>
  <c r="AD86"/>
  <c r="AD85"/>
  <c r="AA88"/>
  <c r="AA87"/>
  <c r="AA86"/>
  <c r="AA85"/>
  <c r="X88"/>
  <c r="X87"/>
  <c r="X86"/>
  <c r="X85"/>
  <c r="U88"/>
  <c r="U87"/>
  <c r="U86"/>
  <c r="U85"/>
  <c r="R88"/>
  <c r="R87"/>
  <c r="R86"/>
  <c r="R85"/>
  <c r="O88"/>
  <c r="O87"/>
  <c r="O86"/>
  <c r="O85"/>
  <c r="L88"/>
  <c r="L87"/>
  <c r="L86"/>
  <c r="L85"/>
  <c r="I88"/>
  <c r="I87"/>
  <c r="I86"/>
  <c r="I85"/>
  <c r="F86"/>
  <c r="F87"/>
  <c r="F88"/>
  <c r="F85"/>
  <c r="AL88"/>
  <c r="AI88"/>
  <c r="AL87"/>
  <c r="AI87"/>
  <c r="E87"/>
  <c r="H87"/>
  <c r="K87"/>
  <c r="N87"/>
  <c r="Q87"/>
  <c r="T87"/>
  <c r="W87"/>
  <c r="Z87"/>
  <c r="AC87"/>
  <c r="AF87"/>
  <c r="E88"/>
  <c r="H88"/>
  <c r="K88"/>
  <c r="N88"/>
  <c r="Q88"/>
  <c r="T88"/>
  <c r="W88"/>
  <c r="Z88"/>
  <c r="AC88"/>
  <c r="AF88"/>
  <c r="C88"/>
  <c r="C87"/>
  <c r="AL85"/>
  <c r="AL86"/>
  <c r="E85"/>
  <c r="H85"/>
  <c r="K85"/>
  <c r="N85"/>
  <c r="Q85"/>
  <c r="T85"/>
  <c r="W85"/>
  <c r="Z85"/>
  <c r="AC85"/>
  <c r="AF85"/>
  <c r="AI85"/>
  <c r="E86"/>
  <c r="H86"/>
  <c r="K86"/>
  <c r="N86"/>
  <c r="Q86"/>
  <c r="T86"/>
  <c r="W86"/>
  <c r="Z86"/>
  <c r="AC86"/>
  <c r="AF86"/>
  <c r="AI86"/>
  <c r="C86"/>
  <c r="C85"/>
  <c r="C80"/>
  <c r="C79"/>
  <c r="C69"/>
  <c r="C68"/>
  <c r="Q12"/>
  <c r="AL69" s="1"/>
  <c r="Q19"/>
  <c r="Q11"/>
  <c r="Q18" s="1"/>
  <c r="C12"/>
  <c r="C19" s="1"/>
  <c r="C11"/>
  <c r="C18" s="1"/>
  <c r="C12" i="2"/>
  <c r="O153" i="1"/>
  <c r="C11" i="2"/>
  <c r="N143" i="1"/>
  <c r="M143"/>
  <c r="L143"/>
  <c r="K143"/>
  <c r="J143"/>
  <c r="I143"/>
  <c r="H143"/>
  <c r="G143"/>
  <c r="F143"/>
  <c r="E143"/>
  <c r="D143"/>
  <c r="C143"/>
  <c r="F10" i="2"/>
  <c r="O142" i="1"/>
  <c r="O141"/>
  <c r="N132"/>
  <c r="N93"/>
  <c r="N92"/>
  <c r="D92"/>
  <c r="E92"/>
  <c r="F92"/>
  <c r="G92"/>
  <c r="H92"/>
  <c r="I92"/>
  <c r="J92"/>
  <c r="K92"/>
  <c r="L92"/>
  <c r="M92"/>
  <c r="D93"/>
  <c r="D94" s="1"/>
  <c r="E93"/>
  <c r="E94" s="1"/>
  <c r="F93"/>
  <c r="F94" s="1"/>
  <c r="G93"/>
  <c r="G94" s="1"/>
  <c r="H93"/>
  <c r="H94" s="1"/>
  <c r="I93"/>
  <c r="I94" s="1"/>
  <c r="J93"/>
  <c r="J94" s="1"/>
  <c r="K93"/>
  <c r="K94" s="1"/>
  <c r="L93"/>
  <c r="L94" s="1"/>
  <c r="M93"/>
  <c r="M94" s="1"/>
  <c r="C93"/>
  <c r="C92"/>
  <c r="C19" i="2"/>
  <c r="D14"/>
  <c r="D17" s="1"/>
  <c r="H69" i="1"/>
  <c r="I69" s="1"/>
  <c r="K69"/>
  <c r="L69" s="1"/>
  <c r="N69"/>
  <c r="O69" s="1"/>
  <c r="Q69"/>
  <c r="R69" s="1"/>
  <c r="T69"/>
  <c r="U69" s="1"/>
  <c r="W69"/>
  <c r="Z69"/>
  <c r="AA69" s="1"/>
  <c r="AC69"/>
  <c r="AF69"/>
  <c r="AG69" s="1"/>
  <c r="AI69"/>
  <c r="E69"/>
  <c r="F69" s="1"/>
  <c r="H68"/>
  <c r="K68"/>
  <c r="N68"/>
  <c r="Q68"/>
  <c r="T68"/>
  <c r="W68"/>
  <c r="Z68"/>
  <c r="AC68"/>
  <c r="AF68"/>
  <c r="AI68"/>
  <c r="E68"/>
  <c r="E19"/>
  <c r="N154" s="1"/>
  <c r="N155" s="1"/>
  <c r="F19"/>
  <c r="C154" s="1"/>
  <c r="C155" s="1"/>
  <c r="G19"/>
  <c r="D154" s="1"/>
  <c r="D155" s="1"/>
  <c r="H19"/>
  <c r="E154" s="1"/>
  <c r="E155" s="1"/>
  <c r="I19"/>
  <c r="F154" s="1"/>
  <c r="F155" s="1"/>
  <c r="J19"/>
  <c r="G154" s="1"/>
  <c r="G155" s="1"/>
  <c r="K19"/>
  <c r="H154" s="1"/>
  <c r="H155" s="1"/>
  <c r="L19"/>
  <c r="I154" s="1"/>
  <c r="I155" s="1"/>
  <c r="M19"/>
  <c r="J154" s="1"/>
  <c r="J155" s="1"/>
  <c r="N19"/>
  <c r="K154" s="1"/>
  <c r="K155" s="1"/>
  <c r="O19"/>
  <c r="L154" s="1"/>
  <c r="L155" s="1"/>
  <c r="D19"/>
  <c r="C47" s="1"/>
  <c r="P11"/>
  <c r="E18"/>
  <c r="E20" s="1"/>
  <c r="E33" s="1"/>
  <c r="F18"/>
  <c r="E46" s="1"/>
  <c r="E55" s="1"/>
  <c r="G18"/>
  <c r="F46" s="1"/>
  <c r="F55" s="1"/>
  <c r="H18"/>
  <c r="G46" s="1"/>
  <c r="G55" s="1"/>
  <c r="I18"/>
  <c r="I20" s="1"/>
  <c r="I33" s="1"/>
  <c r="J18"/>
  <c r="I46" s="1"/>
  <c r="I55" s="1"/>
  <c r="K18"/>
  <c r="K20" s="1"/>
  <c r="K33" s="1"/>
  <c r="L18"/>
  <c r="K46" s="1"/>
  <c r="K55" s="1"/>
  <c r="M18"/>
  <c r="M20" s="1"/>
  <c r="M33" s="1"/>
  <c r="N18"/>
  <c r="M46" s="1"/>
  <c r="M55" s="1"/>
  <c r="O18"/>
  <c r="N46" s="1"/>
  <c r="N55" s="1"/>
  <c r="D18"/>
  <c r="C46" s="1"/>
  <c r="E70" l="1"/>
  <c r="C55"/>
  <c r="C56"/>
  <c r="AH69"/>
  <c r="AB69"/>
  <c r="V69"/>
  <c r="L46"/>
  <c r="L55" s="1"/>
  <c r="J46"/>
  <c r="J55" s="1"/>
  <c r="H46"/>
  <c r="H55" s="1"/>
  <c r="D46"/>
  <c r="D55" s="1"/>
  <c r="M47"/>
  <c r="M56" s="1"/>
  <c r="K47"/>
  <c r="K56" s="1"/>
  <c r="I47"/>
  <c r="I56" s="1"/>
  <c r="G47"/>
  <c r="G56" s="1"/>
  <c r="E47"/>
  <c r="E56" s="1"/>
  <c r="AI70"/>
  <c r="AC70"/>
  <c r="W70"/>
  <c r="T70"/>
  <c r="Q70"/>
  <c r="H70"/>
  <c r="F68"/>
  <c r="F70" s="1"/>
  <c r="I68"/>
  <c r="I70" s="1"/>
  <c r="L68"/>
  <c r="M68" s="1"/>
  <c r="O68"/>
  <c r="P68" s="1"/>
  <c r="R68"/>
  <c r="R70" s="1"/>
  <c r="U68"/>
  <c r="U70" s="1"/>
  <c r="X68"/>
  <c r="Y68" s="1"/>
  <c r="AA68"/>
  <c r="AA70" s="1"/>
  <c r="AD68"/>
  <c r="AE68" s="1"/>
  <c r="AG68"/>
  <c r="AG70" s="1"/>
  <c r="AJ68"/>
  <c r="D69"/>
  <c r="G69"/>
  <c r="J69"/>
  <c r="M69"/>
  <c r="P69"/>
  <c r="S69"/>
  <c r="D34"/>
  <c r="H34"/>
  <c r="J34"/>
  <c r="L34"/>
  <c r="L48"/>
  <c r="L57" s="1"/>
  <c r="J48"/>
  <c r="J57" s="1"/>
  <c r="H48"/>
  <c r="H57" s="1"/>
  <c r="D48"/>
  <c r="D57" s="1"/>
  <c r="N47"/>
  <c r="N56" s="1"/>
  <c r="L47"/>
  <c r="L56" s="1"/>
  <c r="J47"/>
  <c r="J56" s="1"/>
  <c r="H47"/>
  <c r="H56" s="1"/>
  <c r="F47"/>
  <c r="F56" s="1"/>
  <c r="D47"/>
  <c r="D56" s="1"/>
  <c r="AF70"/>
  <c r="Z70"/>
  <c r="N70"/>
  <c r="K70"/>
  <c r="X69"/>
  <c r="X70" s="1"/>
  <c r="AD69"/>
  <c r="AD70" s="1"/>
  <c r="AJ69"/>
  <c r="AJ70" s="1"/>
  <c r="AL68"/>
  <c r="AK68" s="1"/>
  <c r="D68"/>
  <c r="D70" s="1"/>
  <c r="C70"/>
  <c r="C20"/>
  <c r="C33" s="1"/>
  <c r="Q20"/>
  <c r="C94"/>
  <c r="N94"/>
  <c r="O20"/>
  <c r="G20"/>
  <c r="F32" s="1"/>
  <c r="P19"/>
  <c r="O143"/>
  <c r="M154"/>
  <c r="M155" s="1"/>
  <c r="D19" i="2"/>
  <c r="D20" s="1"/>
  <c r="D20" i="1"/>
  <c r="C48" s="1"/>
  <c r="N20"/>
  <c r="L20"/>
  <c r="J20"/>
  <c r="H20"/>
  <c r="F20"/>
  <c r="N32"/>
  <c r="L32"/>
  <c r="J32"/>
  <c r="H32"/>
  <c r="D32"/>
  <c r="C32"/>
  <c r="E32"/>
  <c r="P18"/>
  <c r="G48" l="1"/>
  <c r="G57" s="1"/>
  <c r="G34"/>
  <c r="K32"/>
  <c r="K48"/>
  <c r="K57" s="1"/>
  <c r="K34"/>
  <c r="N48"/>
  <c r="N57" s="1"/>
  <c r="N34"/>
  <c r="F33"/>
  <c r="E48"/>
  <c r="E57" s="1"/>
  <c r="E34"/>
  <c r="J33"/>
  <c r="I48"/>
  <c r="I57" s="1"/>
  <c r="I34"/>
  <c r="N33"/>
  <c r="M48"/>
  <c r="M57" s="1"/>
  <c r="M34"/>
  <c r="G33"/>
  <c r="F48"/>
  <c r="F57" s="1"/>
  <c r="F34"/>
  <c r="E35"/>
  <c r="J35"/>
  <c r="P20"/>
  <c r="G32"/>
  <c r="G35" s="1"/>
  <c r="S70"/>
  <c r="AE69"/>
  <c r="AE70" s="1"/>
  <c r="M70"/>
  <c r="L70"/>
  <c r="G68"/>
  <c r="G70" s="1"/>
  <c r="S68"/>
  <c r="J68"/>
  <c r="J70" s="1"/>
  <c r="AH68"/>
  <c r="O56"/>
  <c r="O46"/>
  <c r="O70"/>
  <c r="AB68"/>
  <c r="AB70" s="1"/>
  <c r="AL70"/>
  <c r="C57"/>
  <c r="O57" s="1"/>
  <c r="O48"/>
  <c r="C34"/>
  <c r="O34" s="1"/>
  <c r="F35"/>
  <c r="Y69"/>
  <c r="Y70" s="1"/>
  <c r="P70"/>
  <c r="AH70"/>
  <c r="V68"/>
  <c r="V70" s="1"/>
  <c r="O47"/>
  <c r="O55"/>
  <c r="AK69"/>
  <c r="AK70" s="1"/>
  <c r="M32"/>
  <c r="M35" s="1"/>
  <c r="I32"/>
  <c r="I35" s="1"/>
  <c r="O154"/>
  <c r="O155" s="1"/>
  <c r="H33"/>
  <c r="H35" s="1"/>
  <c r="L33"/>
  <c r="L35" s="1"/>
  <c r="D33"/>
  <c r="O33" s="1"/>
  <c r="O32"/>
  <c r="N35" l="1"/>
  <c r="D35"/>
  <c r="C35"/>
  <c r="K35"/>
  <c r="O35" l="1"/>
</calcChain>
</file>

<file path=xl/comments1.xml><?xml version="1.0" encoding="utf-8"?>
<comments xmlns="http://schemas.openxmlformats.org/spreadsheetml/2006/main">
  <authors>
    <author>mgonzalez</author>
  </authors>
  <commentList>
    <comment ref="AL68" authorId="0">
      <text>
        <r>
          <rPr>
            <b/>
            <sz val="9"/>
            <color indexed="81"/>
            <rFont val="Tahoma"/>
            <family val="2"/>
          </rPr>
          <t>Se calcula sobre items de A de Ene/2011 = Ene/2010 * 1,05</t>
        </r>
      </text>
    </comment>
    <comment ref="AL69" authorId="0">
      <text>
        <r>
          <rPr>
            <b/>
            <sz val="9"/>
            <color indexed="81"/>
            <rFont val="Tahoma"/>
            <family val="2"/>
          </rPr>
          <t>Se calcula sobre items de A de Ene/2011 = Ene/2010 * 1,05</t>
        </r>
      </text>
    </comment>
    <comment ref="N92" authorId="0">
      <text>
        <r>
          <rPr>
            <b/>
            <sz val="9"/>
            <color indexed="81"/>
            <rFont val="Tahoma"/>
            <family val="2"/>
          </rPr>
          <t>Se calcula sobre items de A de Ene/2011 = Ene/2010 * 1,05</t>
        </r>
      </text>
    </comment>
    <comment ref="N93" authorId="0">
      <text>
        <r>
          <rPr>
            <b/>
            <sz val="9"/>
            <color indexed="81"/>
            <rFont val="Tahoma"/>
            <family val="2"/>
          </rPr>
          <t>Se calcula sobre items de B de Ene/2011 = Ene/2010 * 1,05</t>
        </r>
      </text>
    </comment>
  </commentList>
</comments>
</file>

<file path=xl/sharedStrings.xml><?xml version="1.0" encoding="utf-8"?>
<sst xmlns="http://schemas.openxmlformats.org/spreadsheetml/2006/main" count="342" uniqueCount="112">
  <si>
    <t>1.- Pronóstico de Ventas</t>
  </si>
  <si>
    <t xml:space="preserve">En el cuadro se muestra el Pronóstico de ventas para el Año 2010. La empresa lo basó este año en las ventas del año en curso (2009). </t>
  </si>
  <si>
    <t>Los datos del cuadro muestran los valores del Año 2009 incrementados en un 5 %. Los valores de Dic/2008 y Ene/2011, de ser necesarios, responderán a la misma premisa.</t>
  </si>
  <si>
    <t>Unidad de Medida: Unidad de producto</t>
  </si>
  <si>
    <t>Grupos Patricio Sandoval</t>
  </si>
  <si>
    <t>Producto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</si>
  <si>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</si>
  <si>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</si>
  <si>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</si>
  <si>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</si>
  <si>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</si>
  <si>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</si>
  <si>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</si>
  <si>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</si>
  <si>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</si>
  <si>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Septiem.</t>
  </si>
  <si>
    <t>Octubre</t>
  </si>
  <si>
    <t>Noviembre</t>
  </si>
  <si>
    <t>Diciembre</t>
  </si>
  <si>
    <t>A</t>
  </si>
  <si>
    <t>B</t>
  </si>
  <si>
    <t>Precio de venta: Producto A = $ 1.100 / Unidad.-; Producto B = $ 1.600 / Unidad</t>
  </si>
  <si>
    <t>(Precio de venta sin IVA)</t>
  </si>
  <si>
    <t>Unidad de Medida: Peso argentino (ARS o $)</t>
  </si>
  <si>
    <t>2.- Datos de Facturación y Pagos</t>
  </si>
  <si>
    <t>2.1.- Condicones de cobranza: 50 % Contado + 50% a 30 días Fecha Factura</t>
  </si>
  <si>
    <t>2.2.- Porcentaje de facturacion:</t>
  </si>
  <si>
    <t>2.3.- Porcentaje de incobrabilidad:</t>
  </si>
  <si>
    <t>Total</t>
  </si>
  <si>
    <t>Efectivo</t>
  </si>
  <si>
    <t>a 30 dias</t>
  </si>
  <si>
    <t>Facturacion</t>
  </si>
  <si>
    <t>Incobrabilidad</t>
  </si>
  <si>
    <t>3.-  Política de Stocks</t>
  </si>
  <si>
    <t>3.1.- Para producto terminado - Equivalente al 20 % del mes siguiente de ventas</t>
  </si>
  <si>
    <t>3.2.- Para Materia Prima - Stock igual al 10 % de la cantidad de materia prima requerida para producción del mes siguiente</t>
  </si>
  <si>
    <t>Total x mes</t>
  </si>
  <si>
    <t>Ventas</t>
  </si>
  <si>
    <t>- Intereses</t>
  </si>
  <si>
    <t xml:space="preserve">- Costos fijos imputables (atribuibles a una producción)  </t>
  </si>
  <si>
    <t>Margen de contribución (= margen bruto)</t>
  </si>
  <si>
    <t>- Costos fijos no imputables (= Gtos de Adm. y Vtas.)</t>
  </si>
  <si>
    <t xml:space="preserve">- Amortización (= depreciación)               </t>
  </si>
  <si>
    <t>Utilidad Bruta (=Resultado de Explotación u Operativo)</t>
  </si>
  <si>
    <t xml:space="preserve">Utilidad Neta (= Resultados Netos) </t>
  </si>
  <si>
    <t>Prod A</t>
  </si>
  <si>
    <t>Costo ($/kg)</t>
  </si>
  <si>
    <t>Prod B</t>
  </si>
  <si>
    <t>Unidad de medida: Unidad de Producto</t>
  </si>
  <si>
    <t>Unidad de Medida: $ de MP</t>
  </si>
  <si>
    <t>Kg</t>
  </si>
  <si>
    <t>Articulo</t>
  </si>
  <si>
    <t>Materia prima por unidad de producto X</t>
  </si>
  <si>
    <t>4. Standard de produccion</t>
  </si>
  <si>
    <t>Mano de Obra</t>
  </si>
  <si>
    <t>HH / U prod.</t>
  </si>
  <si>
    <t>Proceso 1</t>
  </si>
  <si>
    <t>Un equipo de 4 personas producen</t>
  </si>
  <si>
    <t>Un equipo de 3 personas producen</t>
  </si>
  <si>
    <t>100 unidades p/turno</t>
  </si>
  <si>
    <t>102 unidades p/turno</t>
  </si>
  <si>
    <t>Remuneración Bruta Promedio 10 $/h</t>
  </si>
  <si>
    <t>Remuneración Bruta Promedio 12 $/h</t>
  </si>
  <si>
    <t>Proceso 2</t>
  </si>
  <si>
    <t>Un equipo de 5 personas producen</t>
  </si>
  <si>
    <t>80 unidades p/turno</t>
  </si>
  <si>
    <t>82 unidades p/turno</t>
  </si>
  <si>
    <t>Remuneración Bruta Promedio 7 $/h</t>
  </si>
  <si>
    <t>Remuneración Bruta Promedio 8 $/h</t>
  </si>
  <si>
    <t>Equipos</t>
  </si>
  <si>
    <t>Lunes aViernes trabajan 8 hs por turno, Sáb. 4 horas</t>
  </si>
  <si>
    <t>Para completar los gastos de Aguinaldo , Obra social ,  Aportes patronales, Provisión por despido y Vacaciones, se asume el 80%  de la remuneración Bruta</t>
  </si>
  <si>
    <t>(Este es un indice que se calcula para cada empresa en función de multiples variables)</t>
  </si>
  <si>
    <t>x 1 unidad</t>
  </si>
  <si>
    <t>Proc 1</t>
  </si>
  <si>
    <t>5.- Inversiones</t>
  </si>
  <si>
    <t>De acuerdo a los planes de la empresa se renovarán equipos por  $ 95.000.- En la Orden de compra con el provedor los equipos y su montaje se pagan a partir de Abril en 5 cuotas iguales y mensuales.</t>
  </si>
  <si>
    <t>6.- Gastos Generales de Fabricación</t>
  </si>
  <si>
    <t>Mantenimiento:  $ 8.700 por mes salvo en E, F y M que se incrementan en $ 2.000</t>
  </si>
  <si>
    <t>Gastos Generales: supervisión, insumos y otros gastos no vinculados directamente a la variación de la cantidad producida se han previsto en $ 14.500.- mensuales.</t>
  </si>
  <si>
    <t>Gasto</t>
  </si>
  <si>
    <t>Mantenimiento</t>
  </si>
  <si>
    <t>G.Grales</t>
  </si>
  <si>
    <t>Totales</t>
  </si>
  <si>
    <t>7.- Gastos Generales de Administración y Ventas.</t>
  </si>
  <si>
    <t xml:space="preserve">Gastos generales de Administración  se han previsto en $ 95.000.- mensuales. </t>
  </si>
  <si>
    <t>Gastos de Comercialización: son el 5 % del monto de venta y se desembolsan dos meses antes de que se efectue la venta</t>
  </si>
  <si>
    <t>Gral Admin</t>
  </si>
  <si>
    <t>Comercializacion</t>
  </si>
  <si>
    <t>(ingreso del financiero)</t>
  </si>
  <si>
    <t>2010 (=2009 + 5 %)</t>
  </si>
  <si>
    <t>TOTAL 2010</t>
  </si>
  <si>
    <t>Se recalcula Diciembre 2009 y precalcula enero 2011 para calculos de cobranza y produccion. Diciembre 2009 + 5% = Diciembre 2010. Enero 2011 = Enero 2010 + 5%</t>
  </si>
  <si>
    <t>Cobranza enero 2010 a 30 dias se calcula como el 50% de lo vendido en Diciembre 2009</t>
  </si>
  <si>
    <t>En Pesos Argentinos. Se calcula como el 98% de lo vendido</t>
  </si>
  <si>
    <t>Presupuesto de Cobranzas</t>
  </si>
  <si>
    <t>Producto A</t>
  </si>
  <si>
    <t>Producto B</t>
  </si>
  <si>
    <t>de lo facturado</t>
  </si>
  <si>
    <t>Inicial</t>
  </si>
  <si>
    <t>Final</t>
  </si>
  <si>
    <t>Produccion</t>
  </si>
  <si>
    <t>Lo que debe producirse se calcula como el stock final + la venta propuesta - el stock inicial</t>
  </si>
  <si>
    <t>El stock inicial es el mismo que el final de su predecesor, se muestran ambos a nivel informativo. Para stock inicial de enero 2010 se calcula en base a la produccion de enero 2010 (es igual al stock final de diciembre 2009)</t>
  </si>
  <si>
    <t>Stocks Producto Terminado y Produccion Mensual</t>
  </si>
  <si>
    <t>Costo de MP por unidad por producto</t>
  </si>
  <si>
    <t>Costo x unid.</t>
  </si>
  <si>
    <t>Articulo 1</t>
  </si>
  <si>
    <t>Articulo 2</t>
  </si>
  <si>
    <t>Articulo 3</t>
  </si>
  <si>
    <t>Articulo 4</t>
  </si>
  <si>
    <t>Stocks Materia Prima en Kg.</t>
  </si>
</sst>
</file>

<file path=xl/styles.xml><?xml version="1.0" encoding="utf-8"?>
<styleSheet xmlns="http://schemas.openxmlformats.org/spreadsheetml/2006/main">
  <numFmts count="3">
    <numFmt numFmtId="164" formatCode="&quot;$&quot;\ #,##0"/>
    <numFmt numFmtId="165" formatCode="&quot;$&quot;\ #,##0.00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/>
    <xf numFmtId="0" fontId="0" fillId="0" borderId="0" xfId="0" applyFill="1" applyBorder="1"/>
    <xf numFmtId="164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1" xfId="0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0" fillId="0" borderId="2" xfId="0" applyBorder="1"/>
    <xf numFmtId="0" fontId="0" fillId="0" borderId="0" xfId="0" applyBorder="1"/>
    <xf numFmtId="164" fontId="1" fillId="0" borderId="0" xfId="0" applyNumberFormat="1" applyFont="1" applyFill="1" applyBorder="1"/>
    <xf numFmtId="164" fontId="0" fillId="0" borderId="2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165" fontId="1" fillId="0" borderId="1" xfId="0" applyNumberFormat="1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1" xfId="0" applyNumberFormat="1" applyFill="1" applyBorder="1"/>
    <xf numFmtId="0" fontId="7" fillId="0" borderId="0" xfId="0" applyFont="1"/>
    <xf numFmtId="164" fontId="0" fillId="0" borderId="0" xfId="0" applyNumberFormat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0" borderId="3" xfId="0" applyBorder="1"/>
    <xf numFmtId="0" fontId="0" fillId="0" borderId="3" xfId="0" applyFill="1" applyBorder="1"/>
    <xf numFmtId="164" fontId="0" fillId="0" borderId="1" xfId="0" applyNumberFormat="1" applyFont="1" applyBorder="1"/>
    <xf numFmtId="9" fontId="1" fillId="0" borderId="0" xfId="0" applyNumberFormat="1" applyFont="1"/>
    <xf numFmtId="166" fontId="1" fillId="0" borderId="0" xfId="0" applyNumberFormat="1" applyFont="1"/>
    <xf numFmtId="0" fontId="7" fillId="0" borderId="0" xfId="0" applyFont="1" applyFill="1" applyBorder="1"/>
    <xf numFmtId="0" fontId="0" fillId="0" borderId="21" xfId="0" applyBorder="1"/>
    <xf numFmtId="1" fontId="0" fillId="0" borderId="2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L155"/>
  <sheetViews>
    <sheetView tabSelected="1" topLeftCell="A4" zoomScale="85" zoomScaleNormal="85" workbookViewId="0">
      <pane ySplit="12" topLeftCell="A73" activePane="bottomLeft" state="frozen"/>
      <selection activeCell="A4" sqref="A4"/>
      <selection pane="bottomLeft" activeCell="L15" sqref="L15"/>
    </sheetView>
  </sheetViews>
  <sheetFormatPr baseColWidth="10" defaultRowHeight="15"/>
  <cols>
    <col min="2" max="2" width="17.28515625" customWidth="1"/>
    <col min="3" max="3" width="11.85546875" bestFit="1" customWidth="1"/>
    <col min="15" max="15" width="13" customWidth="1"/>
  </cols>
  <sheetData>
    <row r="3" spans="1:17">
      <c r="A3" s="9" t="s">
        <v>0</v>
      </c>
    </row>
    <row r="4" spans="1:17">
      <c r="A4" t="s">
        <v>1</v>
      </c>
    </row>
    <row r="5" spans="1:17">
      <c r="A5" t="s">
        <v>2</v>
      </c>
    </row>
    <row r="8" spans="1:17">
      <c r="B8" t="s">
        <v>4</v>
      </c>
    </row>
    <row r="9" spans="1:17">
      <c r="B9" s="2" t="s">
        <v>5</v>
      </c>
      <c r="C9" s="70">
        <v>2009</v>
      </c>
      <c r="D9" s="71" t="s">
        <v>90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0">
        <v>2011</v>
      </c>
    </row>
    <row r="10" spans="1:17">
      <c r="B10" s="2"/>
      <c r="C10" s="76" t="s">
        <v>18</v>
      </c>
      <c r="D10" s="20" t="s">
        <v>7</v>
      </c>
      <c r="E10" s="20" t="s">
        <v>8</v>
      </c>
      <c r="F10" s="20" t="s">
        <v>9</v>
      </c>
      <c r="G10" s="20" t="s">
        <v>10</v>
      </c>
      <c r="H10" s="20" t="s">
        <v>11</v>
      </c>
      <c r="I10" s="20" t="s">
        <v>12</v>
      </c>
      <c r="J10" s="20" t="s">
        <v>13</v>
      </c>
      <c r="K10" s="20" t="s">
        <v>14</v>
      </c>
      <c r="L10" s="20" t="s">
        <v>15</v>
      </c>
      <c r="M10" s="20" t="s">
        <v>16</v>
      </c>
      <c r="N10" s="20" t="s">
        <v>17</v>
      </c>
      <c r="O10" s="20" t="s">
        <v>18</v>
      </c>
      <c r="P10" s="70" t="s">
        <v>91</v>
      </c>
      <c r="Q10" s="76" t="s">
        <v>7</v>
      </c>
    </row>
    <row r="11" spans="1:17">
      <c r="B11" s="3" t="s">
        <v>19</v>
      </c>
      <c r="C11" s="2">
        <f>ROUNDUP(O11/1.05,0)</f>
        <v>2145</v>
      </c>
      <c r="D11" s="3">
        <v>2200</v>
      </c>
      <c r="E11" s="3">
        <v>2296.8000000000002</v>
      </c>
      <c r="F11" s="3">
        <v>2210</v>
      </c>
      <c r="G11" s="3">
        <v>2252.25</v>
      </c>
      <c r="H11" s="3">
        <v>2350</v>
      </c>
      <c r="I11" s="3">
        <v>2326.5</v>
      </c>
      <c r="J11" s="3">
        <v>2275</v>
      </c>
      <c r="K11" s="3">
        <v>1984.95</v>
      </c>
      <c r="L11" s="3">
        <v>2100</v>
      </c>
      <c r="M11" s="3">
        <v>2277</v>
      </c>
      <c r="N11" s="3">
        <v>2325</v>
      </c>
      <c r="O11" s="3">
        <v>2252.25</v>
      </c>
      <c r="P11" s="3">
        <f>SUM(D11:O11)</f>
        <v>26849.75</v>
      </c>
      <c r="Q11" s="2">
        <f>D11*1.05</f>
        <v>2310</v>
      </c>
    </row>
    <row r="12" spans="1:17">
      <c r="B12" s="3" t="s">
        <v>20</v>
      </c>
      <c r="C12" s="2">
        <f>ROUNDUP(O12/1.05,0)</f>
        <v>572</v>
      </c>
      <c r="D12" s="3">
        <v>594</v>
      </c>
      <c r="E12" s="3">
        <v>600</v>
      </c>
      <c r="F12" s="3">
        <v>792</v>
      </c>
      <c r="G12" s="3">
        <v>630</v>
      </c>
      <c r="H12" s="3">
        <v>683.1</v>
      </c>
      <c r="I12" s="3">
        <v>700</v>
      </c>
      <c r="J12" s="3">
        <v>544.5</v>
      </c>
      <c r="K12" s="3">
        <v>1050</v>
      </c>
      <c r="L12" s="3">
        <v>965.25</v>
      </c>
      <c r="M12" s="3">
        <v>1025</v>
      </c>
      <c r="N12" s="3">
        <v>594</v>
      </c>
      <c r="O12" s="3">
        <v>600</v>
      </c>
      <c r="P12" s="3">
        <v>8777.85</v>
      </c>
      <c r="Q12" s="2">
        <f>ROUNDUP( D12*1.05,0)</f>
        <v>624</v>
      </c>
    </row>
    <row r="13" spans="1:17">
      <c r="B13" t="s">
        <v>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7">
      <c r="B14" t="s">
        <v>21</v>
      </c>
      <c r="I14" t="s">
        <v>22</v>
      </c>
    </row>
    <row r="16" spans="1:17">
      <c r="C16" s="70">
        <v>2009</v>
      </c>
      <c r="D16" s="67" t="s">
        <v>90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9"/>
      <c r="Q16" s="70">
        <v>2011</v>
      </c>
    </row>
    <row r="17" spans="1:17">
      <c r="B17" s="2" t="s">
        <v>5</v>
      </c>
      <c r="C17" s="76" t="s">
        <v>18</v>
      </c>
      <c r="D17" s="20" t="s">
        <v>7</v>
      </c>
      <c r="E17" s="20" t="s">
        <v>8</v>
      </c>
      <c r="F17" s="20" t="s">
        <v>9</v>
      </c>
      <c r="G17" s="20" t="s">
        <v>10</v>
      </c>
      <c r="H17" s="20" t="s">
        <v>11</v>
      </c>
      <c r="I17" s="20" t="s">
        <v>12</v>
      </c>
      <c r="J17" s="20" t="s">
        <v>13</v>
      </c>
      <c r="K17" s="20" t="s">
        <v>14</v>
      </c>
      <c r="L17" s="20" t="s">
        <v>15</v>
      </c>
      <c r="M17" s="20" t="s">
        <v>16</v>
      </c>
      <c r="N17" s="20" t="s">
        <v>17</v>
      </c>
      <c r="O17" s="20" t="s">
        <v>18</v>
      </c>
      <c r="P17" s="70" t="s">
        <v>91</v>
      </c>
      <c r="Q17" s="76" t="s">
        <v>7</v>
      </c>
    </row>
    <row r="18" spans="1:17">
      <c r="B18" s="3" t="s">
        <v>19</v>
      </c>
      <c r="C18" s="6">
        <f>C11*1100</f>
        <v>2359500</v>
      </c>
      <c r="D18" s="6">
        <f>D11*1100</f>
        <v>2420000</v>
      </c>
      <c r="E18" s="6">
        <f>E11*1100</f>
        <v>2526480</v>
      </c>
      <c r="F18" s="6">
        <f>F11*1100</f>
        <v>2431000</v>
      </c>
      <c r="G18" s="6">
        <f>G11*1100</f>
        <v>2477475</v>
      </c>
      <c r="H18" s="6">
        <f>H11*1100</f>
        <v>2585000</v>
      </c>
      <c r="I18" s="6">
        <f>I11*1100</f>
        <v>2559150</v>
      </c>
      <c r="J18" s="6">
        <f>J11*1100</f>
        <v>2502500</v>
      </c>
      <c r="K18" s="6">
        <f>K11*1100</f>
        <v>2183445</v>
      </c>
      <c r="L18" s="6">
        <f>L11*1100</f>
        <v>2310000</v>
      </c>
      <c r="M18" s="6">
        <f>M11*1100</f>
        <v>2504700</v>
      </c>
      <c r="N18" s="6">
        <f>N11*1100</f>
        <v>2557500</v>
      </c>
      <c r="O18" s="6">
        <f>O11*1100</f>
        <v>2477475</v>
      </c>
      <c r="P18" s="6">
        <f>SUM(D18:O18)</f>
        <v>29534725</v>
      </c>
      <c r="Q18" s="73">
        <f>Q11*1100</f>
        <v>2541000</v>
      </c>
    </row>
    <row r="19" spans="1:17">
      <c r="B19" s="3" t="s">
        <v>20</v>
      </c>
      <c r="C19" s="6">
        <f>C12*1600</f>
        <v>915200</v>
      </c>
      <c r="D19" s="6">
        <f>D12*1600</f>
        <v>950400</v>
      </c>
      <c r="E19" s="6">
        <f>E12*1600</f>
        <v>960000</v>
      </c>
      <c r="F19" s="6">
        <f>F12*1600</f>
        <v>1267200</v>
      </c>
      <c r="G19" s="6">
        <f>G12*1600</f>
        <v>1008000</v>
      </c>
      <c r="H19" s="6">
        <f>H12*1600</f>
        <v>1092960</v>
      </c>
      <c r="I19" s="6">
        <f>I12*1600</f>
        <v>1120000</v>
      </c>
      <c r="J19" s="6">
        <f>J12*1600</f>
        <v>871200</v>
      </c>
      <c r="K19" s="6">
        <f>K12*1600</f>
        <v>1680000</v>
      </c>
      <c r="L19" s="6">
        <f>L12*1600</f>
        <v>1544400</v>
      </c>
      <c r="M19" s="6">
        <f>M12*1600</f>
        <v>1640000</v>
      </c>
      <c r="N19" s="6">
        <f>N12*1600</f>
        <v>950400</v>
      </c>
      <c r="O19" s="6">
        <f>O12*1600</f>
        <v>960000</v>
      </c>
      <c r="P19" s="6">
        <f>SUM(D19:O19)</f>
        <v>14044560</v>
      </c>
      <c r="Q19" s="73">
        <f>Q12*1600</f>
        <v>998400</v>
      </c>
    </row>
    <row r="20" spans="1:17">
      <c r="B20" s="12" t="s">
        <v>28</v>
      </c>
      <c r="C20" s="13">
        <f>SUM(C18:C19)</f>
        <v>3274700</v>
      </c>
      <c r="D20" s="13">
        <f>SUM(D18:D19)</f>
        <v>3370400</v>
      </c>
      <c r="E20" s="13">
        <f t="shared" ref="E20:O20" si="0">SUM(E18:E19)</f>
        <v>3486480</v>
      </c>
      <c r="F20" s="13">
        <f t="shared" si="0"/>
        <v>3698200</v>
      </c>
      <c r="G20" s="13">
        <f t="shared" si="0"/>
        <v>3485475</v>
      </c>
      <c r="H20" s="13">
        <f t="shared" si="0"/>
        <v>3677960</v>
      </c>
      <c r="I20" s="13">
        <f t="shared" si="0"/>
        <v>3679150</v>
      </c>
      <c r="J20" s="13">
        <f t="shared" si="0"/>
        <v>3373700</v>
      </c>
      <c r="K20" s="13">
        <f t="shared" si="0"/>
        <v>3863445</v>
      </c>
      <c r="L20" s="13">
        <f t="shared" si="0"/>
        <v>3854400</v>
      </c>
      <c r="M20" s="13">
        <f t="shared" si="0"/>
        <v>4144700</v>
      </c>
      <c r="N20" s="13">
        <f t="shared" si="0"/>
        <v>3507900</v>
      </c>
      <c r="O20" s="13">
        <f t="shared" si="0"/>
        <v>3437475</v>
      </c>
      <c r="P20" s="14">
        <f>P19+P18</f>
        <v>43579285</v>
      </c>
      <c r="Q20" s="6">
        <f>SUM(Q18:Q19)</f>
        <v>3539400</v>
      </c>
    </row>
    <row r="21" spans="1:17">
      <c r="B21" s="7" t="s">
        <v>23</v>
      </c>
    </row>
    <row r="22" spans="1:17">
      <c r="B22" s="7"/>
    </row>
    <row r="23" spans="1:17">
      <c r="B23" s="7"/>
      <c r="C23" s="74" t="s">
        <v>92</v>
      </c>
    </row>
    <row r="25" spans="1:17">
      <c r="A25" s="9" t="s">
        <v>24</v>
      </c>
    </row>
    <row r="27" spans="1:17">
      <c r="B27" t="s">
        <v>25</v>
      </c>
    </row>
    <row r="28" spans="1:17">
      <c r="E28" s="11"/>
    </row>
    <row r="30" spans="1:17">
      <c r="B30" s="21" t="s">
        <v>95</v>
      </c>
    </row>
    <row r="31" spans="1:17">
      <c r="B31" s="78"/>
      <c r="C31" s="20" t="s">
        <v>7</v>
      </c>
      <c r="D31" s="20" t="s">
        <v>8</v>
      </c>
      <c r="E31" s="20" t="s">
        <v>9</v>
      </c>
      <c r="F31" s="20" t="s">
        <v>10</v>
      </c>
      <c r="G31" s="20" t="s">
        <v>11</v>
      </c>
      <c r="H31" s="20" t="s">
        <v>12</v>
      </c>
      <c r="I31" s="20" t="s">
        <v>13</v>
      </c>
      <c r="J31" s="20" t="s">
        <v>14</v>
      </c>
      <c r="K31" s="20" t="s">
        <v>15</v>
      </c>
      <c r="L31" s="20" t="s">
        <v>16</v>
      </c>
      <c r="M31" s="20" t="s">
        <v>17</v>
      </c>
      <c r="N31" s="20" t="s">
        <v>18</v>
      </c>
      <c r="O31" s="20" t="s">
        <v>6</v>
      </c>
    </row>
    <row r="32" spans="1:17">
      <c r="B32" s="79" t="s">
        <v>29</v>
      </c>
      <c r="C32" s="6">
        <f>D$20*50%</f>
        <v>1685200</v>
      </c>
      <c r="D32" s="6">
        <f>E$20*50%</f>
        <v>1743240</v>
      </c>
      <c r="E32" s="6">
        <f>F$20*50%</f>
        <v>1849100</v>
      </c>
      <c r="F32" s="6">
        <f>G$20*50%</f>
        <v>1742737.5</v>
      </c>
      <c r="G32" s="6">
        <f>H$20*50%</f>
        <v>1838980</v>
      </c>
      <c r="H32" s="6">
        <f>I$20*50%</f>
        <v>1839575</v>
      </c>
      <c r="I32" s="6">
        <f>J$20*50%</f>
        <v>1686850</v>
      </c>
      <c r="J32" s="6">
        <f>K$20*50%</f>
        <v>1931722.5</v>
      </c>
      <c r="K32" s="6">
        <f>L$20*50%</f>
        <v>1927200</v>
      </c>
      <c r="L32" s="6">
        <f>M$20*50%</f>
        <v>2072350</v>
      </c>
      <c r="M32" s="6">
        <f>N$20*50%</f>
        <v>1753950</v>
      </c>
      <c r="N32" s="6">
        <f>O$20*50%</f>
        <v>1718737.5</v>
      </c>
      <c r="O32" s="6">
        <f>P$20*50%</f>
        <v>21789642.5</v>
      </c>
    </row>
    <row r="33" spans="2:16">
      <c r="B33" s="79" t="s">
        <v>30</v>
      </c>
      <c r="C33" s="77">
        <f>C20*50%</f>
        <v>1637350</v>
      </c>
      <c r="D33" s="6">
        <f>D$20*50%</f>
        <v>1685200</v>
      </c>
      <c r="E33" s="6">
        <f>E$20*50%</f>
        <v>1743240</v>
      </c>
      <c r="F33" s="6">
        <f>F$20*50%</f>
        <v>1849100</v>
      </c>
      <c r="G33" s="6">
        <f>G$20*50%</f>
        <v>1742737.5</v>
      </c>
      <c r="H33" s="6">
        <f>H$20*50%</f>
        <v>1838980</v>
      </c>
      <c r="I33" s="6">
        <f>I$20*50%</f>
        <v>1839575</v>
      </c>
      <c r="J33" s="6">
        <f>J$20*50%</f>
        <v>1686850</v>
      </c>
      <c r="K33" s="6">
        <f>K$20*50%</f>
        <v>1931722.5</v>
      </c>
      <c r="L33" s="6">
        <f>L$20*50%</f>
        <v>1927200</v>
      </c>
      <c r="M33" s="6">
        <f>M$20*50%</f>
        <v>2072350</v>
      </c>
      <c r="N33" s="6">
        <f>N$20*50%</f>
        <v>1753950</v>
      </c>
      <c r="O33" s="6">
        <f>SUM(C33:N33)</f>
        <v>21708255</v>
      </c>
      <c r="P33" s="75"/>
    </row>
    <row r="34" spans="2:16">
      <c r="B34" s="12" t="s">
        <v>32</v>
      </c>
      <c r="C34" s="6">
        <f>0.5%*C$48</f>
        <v>16514.96</v>
      </c>
      <c r="D34" s="6">
        <f>0.5%*E$20</f>
        <v>17432.400000000001</v>
      </c>
      <c r="E34" s="6">
        <f>0.5%*F$20</f>
        <v>18491</v>
      </c>
      <c r="F34" s="6">
        <f>0.5%*G$20</f>
        <v>17427.375</v>
      </c>
      <c r="G34" s="6">
        <f>0.5%*H$20</f>
        <v>18389.8</v>
      </c>
      <c r="H34" s="6">
        <f>0.5%*I$20</f>
        <v>18395.75</v>
      </c>
      <c r="I34" s="6">
        <f>0.5%*J$20</f>
        <v>16868.5</v>
      </c>
      <c r="J34" s="6">
        <f>0.5%*K$20</f>
        <v>19317.225000000002</v>
      </c>
      <c r="K34" s="6">
        <f>0.5%*L$20</f>
        <v>19272</v>
      </c>
      <c r="L34" s="6">
        <f>0.5%*M$20</f>
        <v>20723.5</v>
      </c>
      <c r="M34" s="6">
        <f>0.5%*N$20</f>
        <v>17539.5</v>
      </c>
      <c r="N34" s="6">
        <f>0.5%*O$20</f>
        <v>17187.375</v>
      </c>
      <c r="O34" s="73">
        <f>SUM(C34:N34)</f>
        <v>217559.38500000001</v>
      </c>
    </row>
    <row r="35" spans="2:16">
      <c r="B35" s="12" t="s">
        <v>6</v>
      </c>
      <c r="C35" s="6">
        <f>C32+C33-C34</f>
        <v>3306035.04</v>
      </c>
      <c r="D35" s="6">
        <f t="shared" ref="D35:N35" si="1">D32+D33-D34</f>
        <v>3411007.6</v>
      </c>
      <c r="E35" s="6">
        <f t="shared" si="1"/>
        <v>3573849</v>
      </c>
      <c r="F35" s="6">
        <f t="shared" si="1"/>
        <v>3574410.125</v>
      </c>
      <c r="G35" s="6">
        <f t="shared" si="1"/>
        <v>3563327.7</v>
      </c>
      <c r="H35" s="6">
        <f t="shared" si="1"/>
        <v>3660159.25</v>
      </c>
      <c r="I35" s="6">
        <f t="shared" si="1"/>
        <v>3509556.5</v>
      </c>
      <c r="J35" s="6">
        <f t="shared" si="1"/>
        <v>3599255.2749999999</v>
      </c>
      <c r="K35" s="6">
        <f t="shared" si="1"/>
        <v>3839650.5</v>
      </c>
      <c r="L35" s="6">
        <f t="shared" si="1"/>
        <v>3978826.5</v>
      </c>
      <c r="M35" s="6">
        <f t="shared" si="1"/>
        <v>3808760.5</v>
      </c>
      <c r="N35" s="6">
        <f t="shared" si="1"/>
        <v>3455500.125</v>
      </c>
      <c r="O35" s="13">
        <f>SUM(C35:N35)</f>
        <v>43280338.114999995</v>
      </c>
    </row>
    <row r="36" spans="2:16">
      <c r="B36" s="7" t="s">
        <v>89</v>
      </c>
    </row>
    <row r="37" spans="2:16">
      <c r="B37" s="7" t="s">
        <v>23</v>
      </c>
    </row>
    <row r="38" spans="2:16">
      <c r="B38" s="7"/>
      <c r="C38" s="74" t="s">
        <v>93</v>
      </c>
    </row>
    <row r="40" spans="2:16">
      <c r="B40" s="7"/>
    </row>
    <row r="42" spans="2:16">
      <c r="B42" t="s">
        <v>26</v>
      </c>
      <c r="D42" s="81">
        <v>0.98</v>
      </c>
    </row>
    <row r="43" spans="2:16">
      <c r="E43" s="10"/>
    </row>
    <row r="44" spans="2:16">
      <c r="B44" t="s">
        <v>31</v>
      </c>
      <c r="C44" s="71">
        <v>2010</v>
      </c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</row>
    <row r="45" spans="2:16">
      <c r="B45" s="2"/>
      <c r="C45" s="2" t="s">
        <v>7</v>
      </c>
      <c r="D45" s="2" t="s">
        <v>8</v>
      </c>
      <c r="E45" s="2" t="s">
        <v>9</v>
      </c>
      <c r="F45" s="2" t="s">
        <v>10</v>
      </c>
      <c r="G45" s="2" t="s">
        <v>11</v>
      </c>
      <c r="H45" s="2" t="s">
        <v>12</v>
      </c>
      <c r="I45" s="2" t="s">
        <v>13</v>
      </c>
      <c r="J45" s="2" t="s">
        <v>14</v>
      </c>
      <c r="K45" s="2" t="s">
        <v>15</v>
      </c>
      <c r="L45" s="2" t="s">
        <v>16</v>
      </c>
      <c r="M45" s="2" t="s">
        <v>17</v>
      </c>
      <c r="N45" s="2" t="s">
        <v>18</v>
      </c>
      <c r="O45" s="2" t="s">
        <v>6</v>
      </c>
    </row>
    <row r="46" spans="2:16">
      <c r="B46" s="2" t="s">
        <v>96</v>
      </c>
      <c r="C46" s="6">
        <f>D18*$D$42</f>
        <v>2371600</v>
      </c>
      <c r="D46" s="6">
        <f t="shared" ref="D46:N46" si="2">E18*$D$42</f>
        <v>2475950.4</v>
      </c>
      <c r="E46" s="6">
        <f t="shared" si="2"/>
        <v>2382380</v>
      </c>
      <c r="F46" s="6">
        <f t="shared" si="2"/>
        <v>2427925.5</v>
      </c>
      <c r="G46" s="6">
        <f t="shared" si="2"/>
        <v>2533300</v>
      </c>
      <c r="H46" s="6">
        <f t="shared" si="2"/>
        <v>2507967</v>
      </c>
      <c r="I46" s="6">
        <f t="shared" si="2"/>
        <v>2452450</v>
      </c>
      <c r="J46" s="6">
        <f t="shared" si="2"/>
        <v>2139776.1</v>
      </c>
      <c r="K46" s="6">
        <f t="shared" si="2"/>
        <v>2263800</v>
      </c>
      <c r="L46" s="6">
        <f t="shared" si="2"/>
        <v>2454606</v>
      </c>
      <c r="M46" s="6">
        <f t="shared" si="2"/>
        <v>2506350</v>
      </c>
      <c r="N46" s="6">
        <f t="shared" si="2"/>
        <v>2427925.5</v>
      </c>
      <c r="O46" s="80">
        <f t="shared" ref="O46:O47" si="3">SUM(C46:N46)</f>
        <v>28944030.5</v>
      </c>
    </row>
    <row r="47" spans="2:16">
      <c r="B47" s="2" t="s">
        <v>97</v>
      </c>
      <c r="C47" s="6">
        <f t="shared" ref="C47:N47" si="4">D19*$D$42</f>
        <v>931392</v>
      </c>
      <c r="D47" s="6">
        <f t="shared" si="4"/>
        <v>940800</v>
      </c>
      <c r="E47" s="6">
        <f t="shared" si="4"/>
        <v>1241856</v>
      </c>
      <c r="F47" s="6">
        <f t="shared" si="4"/>
        <v>987840</v>
      </c>
      <c r="G47" s="6">
        <f t="shared" si="4"/>
        <v>1071100.8</v>
      </c>
      <c r="H47" s="6">
        <f t="shared" si="4"/>
        <v>1097600</v>
      </c>
      <c r="I47" s="6">
        <f t="shared" si="4"/>
        <v>853776</v>
      </c>
      <c r="J47" s="6">
        <f t="shared" si="4"/>
        <v>1646400</v>
      </c>
      <c r="K47" s="6">
        <f t="shared" si="4"/>
        <v>1513512</v>
      </c>
      <c r="L47" s="6">
        <f t="shared" si="4"/>
        <v>1607200</v>
      </c>
      <c r="M47" s="6">
        <f t="shared" si="4"/>
        <v>931392</v>
      </c>
      <c r="N47" s="6">
        <f t="shared" si="4"/>
        <v>940800</v>
      </c>
      <c r="O47" s="80">
        <f t="shared" si="3"/>
        <v>13763668.800000001</v>
      </c>
    </row>
    <row r="48" spans="2:16">
      <c r="B48" s="2" t="s">
        <v>28</v>
      </c>
      <c r="C48" s="6">
        <f t="shared" ref="C48:N48" si="5">D20*$D$42</f>
        <v>3302992</v>
      </c>
      <c r="D48" s="6">
        <f t="shared" si="5"/>
        <v>3416750.4</v>
      </c>
      <c r="E48" s="6">
        <f t="shared" si="5"/>
        <v>3624236</v>
      </c>
      <c r="F48" s="6">
        <f t="shared" si="5"/>
        <v>3415765.5</v>
      </c>
      <c r="G48" s="6">
        <f t="shared" si="5"/>
        <v>3604400.8</v>
      </c>
      <c r="H48" s="6">
        <f t="shared" si="5"/>
        <v>3605567</v>
      </c>
      <c r="I48" s="6">
        <f t="shared" si="5"/>
        <v>3306226</v>
      </c>
      <c r="J48" s="6">
        <f t="shared" si="5"/>
        <v>3786176.1</v>
      </c>
      <c r="K48" s="6">
        <f t="shared" si="5"/>
        <v>3777312</v>
      </c>
      <c r="L48" s="6">
        <f t="shared" si="5"/>
        <v>4061806</v>
      </c>
      <c r="M48" s="6">
        <f t="shared" si="5"/>
        <v>3437742</v>
      </c>
      <c r="N48" s="6">
        <f t="shared" si="5"/>
        <v>3368725.5</v>
      </c>
      <c r="O48" s="14">
        <f>SUM(C48:N48)</f>
        <v>42707699.299999997</v>
      </c>
    </row>
    <row r="49" spans="1:15">
      <c r="B49" s="7" t="s">
        <v>94</v>
      </c>
    </row>
    <row r="51" spans="1:15">
      <c r="B51" t="s">
        <v>27</v>
      </c>
      <c r="E51" s="82">
        <v>5.0000000000000001E-3</v>
      </c>
      <c r="F51" t="s">
        <v>98</v>
      </c>
    </row>
    <row r="53" spans="1:15">
      <c r="B53" t="s">
        <v>32</v>
      </c>
    </row>
    <row r="54" spans="1:15">
      <c r="B54" s="2"/>
      <c r="C54" s="2" t="s">
        <v>7</v>
      </c>
      <c r="D54" s="2" t="s">
        <v>8</v>
      </c>
      <c r="E54" s="2" t="s">
        <v>9</v>
      </c>
      <c r="F54" s="2" t="s">
        <v>10</v>
      </c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15</v>
      </c>
      <c r="L54" s="2" t="s">
        <v>16</v>
      </c>
      <c r="M54" s="2" t="s">
        <v>17</v>
      </c>
      <c r="N54" s="2" t="s">
        <v>18</v>
      </c>
      <c r="O54" s="2" t="s">
        <v>6</v>
      </c>
    </row>
    <row r="55" spans="1:15">
      <c r="B55" s="2" t="s">
        <v>96</v>
      </c>
      <c r="C55" s="6">
        <f>C46*$E$51</f>
        <v>11858</v>
      </c>
      <c r="D55" s="6">
        <f t="shared" ref="D55:N57" si="6">D46*$E$51</f>
        <v>12379.752</v>
      </c>
      <c r="E55" s="6">
        <f t="shared" si="6"/>
        <v>11911.9</v>
      </c>
      <c r="F55" s="6">
        <f t="shared" si="6"/>
        <v>12139.627500000001</v>
      </c>
      <c r="G55" s="6">
        <f t="shared" si="6"/>
        <v>12666.5</v>
      </c>
      <c r="H55" s="6">
        <f t="shared" si="6"/>
        <v>12539.835000000001</v>
      </c>
      <c r="I55" s="6">
        <f t="shared" si="6"/>
        <v>12262.25</v>
      </c>
      <c r="J55" s="6">
        <f t="shared" si="6"/>
        <v>10698.880500000001</v>
      </c>
      <c r="K55" s="6">
        <f t="shared" si="6"/>
        <v>11319</v>
      </c>
      <c r="L55" s="6">
        <f t="shared" si="6"/>
        <v>12273.03</v>
      </c>
      <c r="M55" s="6">
        <f t="shared" si="6"/>
        <v>12531.75</v>
      </c>
      <c r="N55" s="6">
        <f t="shared" si="6"/>
        <v>12139.627500000001</v>
      </c>
      <c r="O55" s="6">
        <f t="shared" ref="O55:O56" si="7">SUM(C55:N55)</f>
        <v>144720.15250000003</v>
      </c>
    </row>
    <row r="56" spans="1:15">
      <c r="B56" s="2" t="s">
        <v>97</v>
      </c>
      <c r="C56" s="6">
        <f>C47*$E$51</f>
        <v>4656.96</v>
      </c>
      <c r="D56" s="6">
        <f t="shared" ref="D56:N56" si="8">D47*$E$51</f>
        <v>4704</v>
      </c>
      <c r="E56" s="6">
        <f t="shared" si="8"/>
        <v>6209.28</v>
      </c>
      <c r="F56" s="6">
        <f t="shared" si="8"/>
        <v>4939.2</v>
      </c>
      <c r="G56" s="6">
        <f t="shared" si="8"/>
        <v>5355.5039999999999</v>
      </c>
      <c r="H56" s="6">
        <f t="shared" si="8"/>
        <v>5488</v>
      </c>
      <c r="I56" s="6">
        <f t="shared" si="8"/>
        <v>4268.88</v>
      </c>
      <c r="J56" s="6">
        <f t="shared" si="8"/>
        <v>8232</v>
      </c>
      <c r="K56" s="6">
        <f t="shared" si="8"/>
        <v>7567.56</v>
      </c>
      <c r="L56" s="6">
        <f t="shared" si="8"/>
        <v>8036</v>
      </c>
      <c r="M56" s="6">
        <f t="shared" si="8"/>
        <v>4656.96</v>
      </c>
      <c r="N56" s="6">
        <f t="shared" si="8"/>
        <v>4704</v>
      </c>
      <c r="O56" s="6">
        <f t="shared" si="7"/>
        <v>68818.343999999997</v>
      </c>
    </row>
    <row r="57" spans="1:15">
      <c r="B57" s="2" t="s">
        <v>28</v>
      </c>
      <c r="C57" s="6">
        <f>C48*$E$51</f>
        <v>16514.96</v>
      </c>
      <c r="D57" s="6">
        <f t="shared" si="6"/>
        <v>17083.752</v>
      </c>
      <c r="E57" s="6">
        <f t="shared" si="6"/>
        <v>18121.18</v>
      </c>
      <c r="F57" s="6">
        <f t="shared" si="6"/>
        <v>17078.827499999999</v>
      </c>
      <c r="G57" s="6">
        <f t="shared" si="6"/>
        <v>18022.004000000001</v>
      </c>
      <c r="H57" s="6">
        <f t="shared" si="6"/>
        <v>18027.834999999999</v>
      </c>
      <c r="I57" s="6">
        <f t="shared" si="6"/>
        <v>16531.13</v>
      </c>
      <c r="J57" s="6">
        <f t="shared" si="6"/>
        <v>18930.880499999999</v>
      </c>
      <c r="K57" s="6">
        <f t="shared" si="6"/>
        <v>18886.560000000001</v>
      </c>
      <c r="L57" s="6">
        <f t="shared" si="6"/>
        <v>20309.03</v>
      </c>
      <c r="M57" s="6">
        <f t="shared" si="6"/>
        <v>17188.71</v>
      </c>
      <c r="N57" s="6">
        <f t="shared" si="6"/>
        <v>16843.627499999999</v>
      </c>
      <c r="O57" s="13">
        <f>SUM(C57:N57)</f>
        <v>213538.49650000001</v>
      </c>
    </row>
    <row r="60" spans="1:15">
      <c r="A60" s="1" t="s">
        <v>33</v>
      </c>
    </row>
    <row r="62" spans="1:15">
      <c r="A62" s="21" t="s">
        <v>34</v>
      </c>
    </row>
    <row r="65" spans="1:38">
      <c r="B65" t="s">
        <v>104</v>
      </c>
    </row>
    <row r="66" spans="1:38">
      <c r="B66" s="2" t="s">
        <v>5</v>
      </c>
      <c r="C66" s="54" t="s">
        <v>7</v>
      </c>
      <c r="D66" s="55"/>
      <c r="E66" s="56"/>
      <c r="F66" s="54" t="s">
        <v>8</v>
      </c>
      <c r="G66" s="55"/>
      <c r="H66" s="56"/>
      <c r="I66" s="54" t="s">
        <v>9</v>
      </c>
      <c r="J66" s="55"/>
      <c r="K66" s="56"/>
      <c r="L66" s="54" t="s">
        <v>10</v>
      </c>
      <c r="M66" s="55"/>
      <c r="N66" s="56"/>
      <c r="O66" s="54" t="s">
        <v>11</v>
      </c>
      <c r="P66" s="55"/>
      <c r="Q66" s="56"/>
      <c r="R66" s="54" t="s">
        <v>12</v>
      </c>
      <c r="S66" s="55"/>
      <c r="T66" s="56"/>
      <c r="U66" s="54" t="s">
        <v>13</v>
      </c>
      <c r="V66" s="55"/>
      <c r="W66" s="56"/>
      <c r="X66" s="54" t="s">
        <v>14</v>
      </c>
      <c r="Y66" s="55"/>
      <c r="Z66" s="56"/>
      <c r="AA66" s="54" t="s">
        <v>15</v>
      </c>
      <c r="AB66" s="55"/>
      <c r="AC66" s="56"/>
      <c r="AD66" s="54" t="s">
        <v>16</v>
      </c>
      <c r="AE66" s="55"/>
      <c r="AF66" s="56"/>
      <c r="AG66" s="54" t="s">
        <v>17</v>
      </c>
      <c r="AH66" s="55"/>
      <c r="AI66" s="56"/>
      <c r="AJ66" s="54" t="s">
        <v>18</v>
      </c>
      <c r="AK66" s="55"/>
      <c r="AL66" s="56"/>
    </row>
    <row r="67" spans="1:38">
      <c r="B67" s="2"/>
      <c r="C67" s="2" t="s">
        <v>99</v>
      </c>
      <c r="D67" s="2" t="s">
        <v>101</v>
      </c>
      <c r="E67" s="2" t="s">
        <v>100</v>
      </c>
      <c r="F67" s="2" t="s">
        <v>99</v>
      </c>
      <c r="G67" s="2" t="s">
        <v>101</v>
      </c>
      <c r="H67" s="2" t="s">
        <v>100</v>
      </c>
      <c r="I67" s="2" t="s">
        <v>99</v>
      </c>
      <c r="J67" s="2" t="s">
        <v>101</v>
      </c>
      <c r="K67" s="2" t="s">
        <v>100</v>
      </c>
      <c r="L67" s="2" t="s">
        <v>99</v>
      </c>
      <c r="M67" s="2" t="s">
        <v>101</v>
      </c>
      <c r="N67" s="2" t="s">
        <v>100</v>
      </c>
      <c r="O67" s="2" t="s">
        <v>99</v>
      </c>
      <c r="P67" s="2" t="s">
        <v>101</v>
      </c>
      <c r="Q67" s="2" t="s">
        <v>100</v>
      </c>
      <c r="R67" s="2" t="s">
        <v>99</v>
      </c>
      <c r="S67" s="2" t="s">
        <v>101</v>
      </c>
      <c r="T67" s="2" t="s">
        <v>100</v>
      </c>
      <c r="U67" s="2" t="s">
        <v>99</v>
      </c>
      <c r="V67" s="2" t="s">
        <v>101</v>
      </c>
      <c r="W67" s="2" t="s">
        <v>100</v>
      </c>
      <c r="X67" s="2" t="s">
        <v>99</v>
      </c>
      <c r="Y67" s="2" t="s">
        <v>101</v>
      </c>
      <c r="Z67" s="2" t="s">
        <v>100</v>
      </c>
      <c r="AA67" s="2" t="s">
        <v>99</v>
      </c>
      <c r="AB67" s="2" t="s">
        <v>101</v>
      </c>
      <c r="AC67" s="2" t="s">
        <v>100</v>
      </c>
      <c r="AD67" s="2" t="s">
        <v>99</v>
      </c>
      <c r="AE67" s="2" t="s">
        <v>101</v>
      </c>
      <c r="AF67" s="2" t="s">
        <v>100</v>
      </c>
      <c r="AG67" s="2" t="s">
        <v>99</v>
      </c>
      <c r="AH67" s="2" t="s">
        <v>101</v>
      </c>
      <c r="AI67" s="2" t="s">
        <v>100</v>
      </c>
      <c r="AJ67" s="2" t="s">
        <v>99</v>
      </c>
      <c r="AK67" s="2" t="s">
        <v>101</v>
      </c>
      <c r="AL67" s="2" t="s">
        <v>100</v>
      </c>
    </row>
    <row r="68" spans="1:38">
      <c r="B68" s="2" t="s">
        <v>19</v>
      </c>
      <c r="C68" s="3">
        <f>ROUNDUP(20%*D11,0)</f>
        <v>440</v>
      </c>
      <c r="D68" s="3">
        <f>E68+D11-C68</f>
        <v>2220</v>
      </c>
      <c r="E68" s="3">
        <f>ROUNDUP(20%*E11,0)</f>
        <v>460</v>
      </c>
      <c r="F68" s="3">
        <f>E68</f>
        <v>460</v>
      </c>
      <c r="G68" s="3">
        <f>E11+H68-F68</f>
        <v>2278.8000000000002</v>
      </c>
      <c r="H68" s="3">
        <f>ROUNDUP(20%*F11,0)</f>
        <v>442</v>
      </c>
      <c r="I68" s="3">
        <f>H68</f>
        <v>442</v>
      </c>
      <c r="J68" s="3">
        <f>F11+K68-I68</f>
        <v>2219</v>
      </c>
      <c r="K68" s="3">
        <f>ROUNDUP(20%*G11,0)</f>
        <v>451</v>
      </c>
      <c r="L68" s="3">
        <f>K68</f>
        <v>451</v>
      </c>
      <c r="M68" s="3">
        <f>G11+N68-L68</f>
        <v>2271.25</v>
      </c>
      <c r="N68" s="3">
        <f>ROUNDUP(20%*H11,0)</f>
        <v>470</v>
      </c>
      <c r="O68" s="3">
        <f>N68</f>
        <v>470</v>
      </c>
      <c r="P68" s="3">
        <f>Q68+H11-O68</f>
        <v>2346</v>
      </c>
      <c r="Q68" s="3">
        <f>ROUNDUP(20%*I11,0)</f>
        <v>466</v>
      </c>
      <c r="R68" s="3">
        <f>Q68</f>
        <v>466</v>
      </c>
      <c r="S68" s="3">
        <f>T68+I11-R68</f>
        <v>2315.5</v>
      </c>
      <c r="T68" s="3">
        <f>ROUNDUP(20%*J11,0)</f>
        <v>455</v>
      </c>
      <c r="U68" s="3">
        <f>T68</f>
        <v>455</v>
      </c>
      <c r="V68" s="3">
        <f>W68+J11-U68</f>
        <v>2217</v>
      </c>
      <c r="W68" s="3">
        <f>ROUNDUP(20%*K11,0)</f>
        <v>397</v>
      </c>
      <c r="X68" s="3">
        <f>W68</f>
        <v>397</v>
      </c>
      <c r="Y68" s="3">
        <f>Z68+K11-X68</f>
        <v>2007.9499999999998</v>
      </c>
      <c r="Z68" s="3">
        <f>ROUNDUP(20%*L11,0)</f>
        <v>420</v>
      </c>
      <c r="AA68" s="3">
        <f>Z68</f>
        <v>420</v>
      </c>
      <c r="AB68" s="3">
        <f>AC68+L11-AA68</f>
        <v>2136</v>
      </c>
      <c r="AC68" s="3">
        <f>ROUNDUP(20%*M11,0)</f>
        <v>456</v>
      </c>
      <c r="AD68" s="3">
        <f>AC68</f>
        <v>456</v>
      </c>
      <c r="AE68" s="3">
        <f>M11+AF68-AD68</f>
        <v>2286</v>
      </c>
      <c r="AF68" s="3">
        <f>ROUNDUP(20%*N11,0)</f>
        <v>465</v>
      </c>
      <c r="AG68" s="3">
        <f>AF68</f>
        <v>465</v>
      </c>
      <c r="AH68" s="3">
        <f>AI68+N11-AG68</f>
        <v>2311</v>
      </c>
      <c r="AI68" s="3">
        <f>ROUNDUP(20%*O11,0)</f>
        <v>451</v>
      </c>
      <c r="AJ68" s="3">
        <f>AI68</f>
        <v>451</v>
      </c>
      <c r="AK68" s="3">
        <f>AL68+O11-AJ68</f>
        <v>2263.25</v>
      </c>
      <c r="AL68" s="3">
        <f>ROUNDUP(20%*Q11,0)</f>
        <v>462</v>
      </c>
    </row>
    <row r="69" spans="1:38">
      <c r="B69" s="2" t="s">
        <v>20</v>
      </c>
      <c r="C69" s="3">
        <f>ROUNDUP(20%*D12,0)</f>
        <v>119</v>
      </c>
      <c r="D69" s="3">
        <f>E69+D12-C69</f>
        <v>595</v>
      </c>
      <c r="E69" s="3">
        <f>ROUNDUP(20%*E12,0)</f>
        <v>120</v>
      </c>
      <c r="F69" s="3">
        <f>E69</f>
        <v>120</v>
      </c>
      <c r="G69" s="3">
        <f>E12+H69-F69</f>
        <v>639</v>
      </c>
      <c r="H69" s="3">
        <f>ROUNDUP(20%*F12,0)</f>
        <v>159</v>
      </c>
      <c r="I69" s="3">
        <f>H69</f>
        <v>159</v>
      </c>
      <c r="J69" s="3">
        <f>F12+K69-I69</f>
        <v>759</v>
      </c>
      <c r="K69" s="3">
        <f>ROUNDUP(20%*G12,0)</f>
        <v>126</v>
      </c>
      <c r="L69" s="3">
        <f>K69</f>
        <v>126</v>
      </c>
      <c r="M69" s="3">
        <f>G12+N69-L69</f>
        <v>641</v>
      </c>
      <c r="N69" s="3">
        <f>ROUNDUP(20%*H12,0)</f>
        <v>137</v>
      </c>
      <c r="O69" s="3">
        <f>N69</f>
        <v>137</v>
      </c>
      <c r="P69" s="3">
        <f>Q69+H12-O69</f>
        <v>686.1</v>
      </c>
      <c r="Q69" s="3">
        <f>ROUNDUP(20%*I12,0)</f>
        <v>140</v>
      </c>
      <c r="R69" s="3">
        <f>Q69</f>
        <v>140</v>
      </c>
      <c r="S69" s="3">
        <f>T69+I12-R69</f>
        <v>669</v>
      </c>
      <c r="T69" s="3">
        <f>ROUNDUP(20%*J12,0)</f>
        <v>109</v>
      </c>
      <c r="U69" s="3">
        <f>T69</f>
        <v>109</v>
      </c>
      <c r="V69" s="3">
        <f>W69+J12-U69</f>
        <v>645.5</v>
      </c>
      <c r="W69" s="3">
        <f>ROUNDUP(20%*K12,0)</f>
        <v>210</v>
      </c>
      <c r="X69" s="3">
        <f>W69</f>
        <v>210</v>
      </c>
      <c r="Y69" s="3">
        <f>Z69+K12-X69</f>
        <v>1034</v>
      </c>
      <c r="Z69" s="3">
        <f>ROUNDUP(20%*L12,0)</f>
        <v>194</v>
      </c>
      <c r="AA69" s="3">
        <f>Z69</f>
        <v>194</v>
      </c>
      <c r="AB69" s="3">
        <f>AC69+L12-AA69</f>
        <v>976.25</v>
      </c>
      <c r="AC69" s="3">
        <f>ROUNDUP(20%*M12,0)</f>
        <v>205</v>
      </c>
      <c r="AD69" s="3">
        <f>AC69</f>
        <v>205</v>
      </c>
      <c r="AE69" s="3">
        <f>M12+AF69-AD69</f>
        <v>939</v>
      </c>
      <c r="AF69" s="3">
        <f>ROUNDUP(20%*N12,0)</f>
        <v>119</v>
      </c>
      <c r="AG69" s="3">
        <f>AF69</f>
        <v>119</v>
      </c>
      <c r="AH69" s="3">
        <f>AI69+N12-AG69</f>
        <v>595</v>
      </c>
      <c r="AI69" s="3">
        <f>ROUNDUP(20%*O12,0)</f>
        <v>120</v>
      </c>
      <c r="AJ69" s="3">
        <f>AI69</f>
        <v>120</v>
      </c>
      <c r="AK69" s="3">
        <f>AL69+O12-AJ69</f>
        <v>605</v>
      </c>
      <c r="AL69" s="3">
        <f>ROUNDUP(20%*Q12,0)</f>
        <v>125</v>
      </c>
    </row>
    <row r="70" spans="1:38">
      <c r="B70" s="2" t="s">
        <v>36</v>
      </c>
      <c r="C70" s="3">
        <f t="shared" ref="C70:D70" si="9">C68+C69</f>
        <v>559</v>
      </c>
      <c r="D70" s="3">
        <f t="shared" si="9"/>
        <v>2815</v>
      </c>
      <c r="E70" s="3">
        <f>E68+E69</f>
        <v>580</v>
      </c>
      <c r="F70" s="3">
        <f>F69+F68</f>
        <v>580</v>
      </c>
      <c r="G70" s="3">
        <f t="shared" ref="G70:AL70" si="10">G69+G68</f>
        <v>2917.8</v>
      </c>
      <c r="H70" s="3">
        <f t="shared" si="10"/>
        <v>601</v>
      </c>
      <c r="I70" s="3">
        <f t="shared" si="10"/>
        <v>601</v>
      </c>
      <c r="J70" s="3">
        <f t="shared" si="10"/>
        <v>2978</v>
      </c>
      <c r="K70" s="3">
        <f t="shared" si="10"/>
        <v>577</v>
      </c>
      <c r="L70" s="3">
        <f t="shared" si="10"/>
        <v>577</v>
      </c>
      <c r="M70" s="3">
        <f t="shared" si="10"/>
        <v>2912.25</v>
      </c>
      <c r="N70" s="3">
        <f t="shared" si="10"/>
        <v>607</v>
      </c>
      <c r="O70" s="3">
        <f t="shared" si="10"/>
        <v>607</v>
      </c>
      <c r="P70" s="3">
        <f t="shared" si="10"/>
        <v>3032.1</v>
      </c>
      <c r="Q70" s="3">
        <f t="shared" si="10"/>
        <v>606</v>
      </c>
      <c r="R70" s="3">
        <f t="shared" si="10"/>
        <v>606</v>
      </c>
      <c r="S70" s="3">
        <f t="shared" si="10"/>
        <v>2984.5</v>
      </c>
      <c r="T70" s="3">
        <f t="shared" si="10"/>
        <v>564</v>
      </c>
      <c r="U70" s="3">
        <f t="shared" si="10"/>
        <v>564</v>
      </c>
      <c r="V70" s="3">
        <f t="shared" si="10"/>
        <v>2862.5</v>
      </c>
      <c r="W70" s="3">
        <f t="shared" si="10"/>
        <v>607</v>
      </c>
      <c r="X70" s="3">
        <f t="shared" si="10"/>
        <v>607</v>
      </c>
      <c r="Y70" s="3">
        <f t="shared" si="10"/>
        <v>3041.95</v>
      </c>
      <c r="Z70" s="3">
        <f t="shared" si="10"/>
        <v>614</v>
      </c>
      <c r="AA70" s="3">
        <f t="shared" si="10"/>
        <v>614</v>
      </c>
      <c r="AB70" s="3">
        <f t="shared" si="10"/>
        <v>3112.25</v>
      </c>
      <c r="AC70" s="3">
        <f t="shared" si="10"/>
        <v>661</v>
      </c>
      <c r="AD70" s="3">
        <f t="shared" si="10"/>
        <v>661</v>
      </c>
      <c r="AE70" s="3">
        <f t="shared" si="10"/>
        <v>3225</v>
      </c>
      <c r="AF70" s="3">
        <f t="shared" si="10"/>
        <v>584</v>
      </c>
      <c r="AG70" s="3">
        <f t="shared" si="10"/>
        <v>584</v>
      </c>
      <c r="AH70" s="3">
        <f t="shared" si="10"/>
        <v>2906</v>
      </c>
      <c r="AI70" s="3">
        <f t="shared" si="10"/>
        <v>571</v>
      </c>
      <c r="AJ70" s="3">
        <f t="shared" si="10"/>
        <v>571</v>
      </c>
      <c r="AK70" s="3">
        <f t="shared" si="10"/>
        <v>2868.25</v>
      </c>
      <c r="AL70" s="3">
        <f t="shared" si="10"/>
        <v>587</v>
      </c>
    </row>
    <row r="71" spans="1:38">
      <c r="B71" s="7" t="s">
        <v>48</v>
      </c>
    </row>
    <row r="72" spans="1:38">
      <c r="B72" s="83" t="s">
        <v>103</v>
      </c>
    </row>
    <row r="73" spans="1:38">
      <c r="B73" s="83" t="s">
        <v>102</v>
      </c>
    </row>
    <row r="76" spans="1:38">
      <c r="A76" s="21" t="s">
        <v>35</v>
      </c>
    </row>
    <row r="77" spans="1:38">
      <c r="B77" s="21" t="s">
        <v>105</v>
      </c>
    </row>
    <row r="78" spans="1:38">
      <c r="B78" s="72" t="s">
        <v>5</v>
      </c>
      <c r="C78" s="72" t="s">
        <v>106</v>
      </c>
    </row>
    <row r="79" spans="1:38">
      <c r="B79" s="2" t="s">
        <v>19</v>
      </c>
      <c r="C79" s="6">
        <f>E102*F102+E103*F103</f>
        <v>197</v>
      </c>
    </row>
    <row r="80" spans="1:38">
      <c r="B80" s="2" t="s">
        <v>20</v>
      </c>
      <c r="C80" s="6">
        <f>H102*I102+H103*I103</f>
        <v>266</v>
      </c>
    </row>
    <row r="82" spans="2:38">
      <c r="B82" t="s">
        <v>111</v>
      </c>
    </row>
    <row r="83" spans="2:38">
      <c r="B83" s="2" t="s">
        <v>5</v>
      </c>
      <c r="C83" s="54" t="s">
        <v>7</v>
      </c>
      <c r="D83" s="55"/>
      <c r="E83" s="56"/>
      <c r="F83" s="54" t="s">
        <v>8</v>
      </c>
      <c r="G83" s="55"/>
      <c r="H83" s="56"/>
      <c r="I83" s="54" t="s">
        <v>9</v>
      </c>
      <c r="J83" s="55"/>
      <c r="K83" s="56"/>
      <c r="L83" s="54" t="s">
        <v>10</v>
      </c>
      <c r="M83" s="55"/>
      <c r="N83" s="56"/>
      <c r="O83" s="54" t="s">
        <v>11</v>
      </c>
      <c r="P83" s="55"/>
      <c r="Q83" s="56"/>
      <c r="R83" s="54" t="s">
        <v>12</v>
      </c>
      <c r="S83" s="55"/>
      <c r="T83" s="56"/>
      <c r="U83" s="54" t="s">
        <v>13</v>
      </c>
      <c r="V83" s="55"/>
      <c r="W83" s="56"/>
      <c r="X83" s="54" t="s">
        <v>14</v>
      </c>
      <c r="Y83" s="55"/>
      <c r="Z83" s="56"/>
      <c r="AA83" s="54" t="s">
        <v>15</v>
      </c>
      <c r="AB83" s="55"/>
      <c r="AC83" s="56"/>
      <c r="AD83" s="54" t="s">
        <v>16</v>
      </c>
      <c r="AE83" s="55"/>
      <c r="AF83" s="56"/>
      <c r="AG83" s="54" t="s">
        <v>17</v>
      </c>
      <c r="AH83" s="55"/>
      <c r="AI83" s="56"/>
      <c r="AJ83" s="54" t="s">
        <v>18</v>
      </c>
      <c r="AK83" s="55"/>
      <c r="AL83" s="56"/>
    </row>
    <row r="84" spans="2:38">
      <c r="B84" s="2"/>
      <c r="C84" s="2" t="s">
        <v>99</v>
      </c>
      <c r="D84" s="2" t="s">
        <v>101</v>
      </c>
      <c r="E84" s="2" t="s">
        <v>100</v>
      </c>
      <c r="F84" s="2" t="s">
        <v>99</v>
      </c>
      <c r="G84" s="2" t="s">
        <v>101</v>
      </c>
      <c r="H84" s="2" t="s">
        <v>100</v>
      </c>
      <c r="I84" s="2" t="s">
        <v>99</v>
      </c>
      <c r="J84" s="2" t="s">
        <v>101</v>
      </c>
      <c r="K84" s="2" t="s">
        <v>100</v>
      </c>
      <c r="L84" s="2" t="s">
        <v>99</v>
      </c>
      <c r="M84" s="2" t="s">
        <v>101</v>
      </c>
      <c r="N84" s="2" t="s">
        <v>100</v>
      </c>
      <c r="O84" s="2" t="s">
        <v>99</v>
      </c>
      <c r="P84" s="2" t="s">
        <v>101</v>
      </c>
      <c r="Q84" s="2" t="s">
        <v>100</v>
      </c>
      <c r="R84" s="2" t="s">
        <v>99</v>
      </c>
      <c r="S84" s="2" t="s">
        <v>101</v>
      </c>
      <c r="T84" s="2" t="s">
        <v>100</v>
      </c>
      <c r="U84" s="2" t="s">
        <v>99</v>
      </c>
      <c r="V84" s="2" t="s">
        <v>101</v>
      </c>
      <c r="W84" s="2" t="s">
        <v>100</v>
      </c>
      <c r="X84" s="2" t="s">
        <v>99</v>
      </c>
      <c r="Y84" s="2" t="s">
        <v>101</v>
      </c>
      <c r="Z84" s="2" t="s">
        <v>100</v>
      </c>
      <c r="AA84" s="2" t="s">
        <v>99</v>
      </c>
      <c r="AB84" s="2" t="s">
        <v>101</v>
      </c>
      <c r="AC84" s="2" t="s">
        <v>100</v>
      </c>
      <c r="AD84" s="2" t="s">
        <v>99</v>
      </c>
      <c r="AE84" s="2" t="s">
        <v>101</v>
      </c>
      <c r="AF84" s="2" t="s">
        <v>100</v>
      </c>
      <c r="AG84" s="2" t="s">
        <v>99</v>
      </c>
      <c r="AH84" s="2" t="s">
        <v>101</v>
      </c>
      <c r="AI84" s="2" t="s">
        <v>100</v>
      </c>
      <c r="AJ84" s="2" t="s">
        <v>99</v>
      </c>
      <c r="AK84" s="2" t="s">
        <v>101</v>
      </c>
      <c r="AL84" s="2" t="s">
        <v>100</v>
      </c>
    </row>
    <row r="85" spans="2:38">
      <c r="B85" s="2" t="s">
        <v>107</v>
      </c>
      <c r="C85" s="3">
        <f>$E$102*D$11*10%</f>
        <v>2200</v>
      </c>
      <c r="D85" s="5">
        <f>D$11*$E$102+E85-C85</f>
        <v>22096.799999999999</v>
      </c>
      <c r="E85" s="3">
        <f>$E$102*E$11*10%</f>
        <v>2296.8000000000002</v>
      </c>
      <c r="F85" s="5">
        <f>E85</f>
        <v>2296.8000000000002</v>
      </c>
      <c r="G85" s="5">
        <f>E$11*$E$102+H85-F85</f>
        <v>22881.200000000001</v>
      </c>
      <c r="H85" s="3">
        <f>$E$102*F$11*10%</f>
        <v>2210</v>
      </c>
      <c r="I85" s="5">
        <f>H85</f>
        <v>2210</v>
      </c>
      <c r="J85" s="5"/>
      <c r="K85" s="3">
        <f>$E$102*G$11*10%</f>
        <v>2252.25</v>
      </c>
      <c r="L85" s="5">
        <f>K85</f>
        <v>2252.25</v>
      </c>
      <c r="M85" s="5"/>
      <c r="N85" s="3">
        <f>$E$102*H$11*10%</f>
        <v>2350</v>
      </c>
      <c r="O85" s="5">
        <f>N85</f>
        <v>2350</v>
      </c>
      <c r="P85" s="5"/>
      <c r="Q85" s="3">
        <f>$E$102*I$11*10%</f>
        <v>2326.5</v>
      </c>
      <c r="R85" s="5">
        <f>Q85</f>
        <v>2326.5</v>
      </c>
      <c r="S85" s="5"/>
      <c r="T85" s="3">
        <f>$E$102*J$11*10%</f>
        <v>2275</v>
      </c>
      <c r="U85" s="5">
        <f>T85</f>
        <v>2275</v>
      </c>
      <c r="V85" s="5"/>
      <c r="W85" s="3">
        <f>$E$102*K$11*10%</f>
        <v>1984.95</v>
      </c>
      <c r="X85" s="5">
        <f>W85</f>
        <v>1984.95</v>
      </c>
      <c r="Y85" s="5"/>
      <c r="Z85" s="3">
        <f>$E$102*L$11*10%</f>
        <v>2100</v>
      </c>
      <c r="AA85" s="5">
        <f>Z85</f>
        <v>2100</v>
      </c>
      <c r="AB85" s="5"/>
      <c r="AC85" s="3">
        <f>$E$102*M$11*10%</f>
        <v>2277</v>
      </c>
      <c r="AD85" s="5">
        <f>AC85</f>
        <v>2277</v>
      </c>
      <c r="AE85" s="5"/>
      <c r="AF85" s="3">
        <f>$E$102*N$11*10%</f>
        <v>2325</v>
      </c>
      <c r="AG85" s="5">
        <f>AF85</f>
        <v>2325</v>
      </c>
      <c r="AH85" s="3"/>
      <c r="AI85" s="3">
        <f>$E$102*O$11*10%</f>
        <v>2252.25</v>
      </c>
      <c r="AJ85" s="5">
        <f>AI85</f>
        <v>2252.25</v>
      </c>
      <c r="AK85" s="5"/>
      <c r="AL85" s="3">
        <f>$E$102*Q$11*10%</f>
        <v>2310</v>
      </c>
    </row>
    <row r="86" spans="2:38">
      <c r="B86" s="2" t="s">
        <v>108</v>
      </c>
      <c r="C86" s="3">
        <f>$E$103*D$11*10%</f>
        <v>2860</v>
      </c>
      <c r="D86" s="5">
        <f>D$11*$E$103+E86-C86</f>
        <v>28725.84</v>
      </c>
      <c r="E86" s="3">
        <f>$E$103*E$11*10%</f>
        <v>2985.84</v>
      </c>
      <c r="F86" s="5">
        <f t="shared" ref="F86:F88" si="11">E86</f>
        <v>2985.84</v>
      </c>
      <c r="G86" s="5">
        <f>E$11*$E$103+H86-F86</f>
        <v>29745.56</v>
      </c>
      <c r="H86" s="3">
        <f>$E$103*F$11*10%</f>
        <v>2873</v>
      </c>
      <c r="I86" s="5">
        <f t="shared" ref="I86:I88" si="12">H86</f>
        <v>2873</v>
      </c>
      <c r="J86" s="5"/>
      <c r="K86" s="3">
        <f>$E$103*G$11*10%</f>
        <v>2927.9250000000002</v>
      </c>
      <c r="L86" s="5">
        <f t="shared" ref="L86:L88" si="13">K86</f>
        <v>2927.9250000000002</v>
      </c>
      <c r="M86" s="5"/>
      <c r="N86" s="3">
        <f>$E$103*H$11*10%</f>
        <v>3055</v>
      </c>
      <c r="O86" s="5">
        <f t="shared" ref="O86:O88" si="14">N86</f>
        <v>3055</v>
      </c>
      <c r="P86" s="5"/>
      <c r="Q86" s="3">
        <f>$E$103*I$11*10%</f>
        <v>3024.4500000000003</v>
      </c>
      <c r="R86" s="5">
        <f t="shared" ref="R86:R88" si="15">Q86</f>
        <v>3024.4500000000003</v>
      </c>
      <c r="S86" s="5"/>
      <c r="T86" s="3">
        <f>$E$103*J$11*10%</f>
        <v>2957.5</v>
      </c>
      <c r="U86" s="5">
        <f t="shared" ref="U86:U88" si="16">T86</f>
        <v>2957.5</v>
      </c>
      <c r="V86" s="5"/>
      <c r="W86" s="3">
        <f>$E$103*K$11*10%</f>
        <v>2580.4350000000004</v>
      </c>
      <c r="X86" s="5">
        <f t="shared" ref="X86:X88" si="17">W86</f>
        <v>2580.4350000000004</v>
      </c>
      <c r="Y86" s="5"/>
      <c r="Z86" s="3">
        <f>$E$103*L$11*10%</f>
        <v>2730</v>
      </c>
      <c r="AA86" s="5">
        <f t="shared" ref="AA86:AA88" si="18">Z86</f>
        <v>2730</v>
      </c>
      <c r="AB86" s="5"/>
      <c r="AC86" s="3">
        <f>$E$103*M$11*10%</f>
        <v>2960.1000000000004</v>
      </c>
      <c r="AD86" s="5">
        <f t="shared" ref="AD86:AD88" si="19">AC86</f>
        <v>2960.1000000000004</v>
      </c>
      <c r="AE86" s="5"/>
      <c r="AF86" s="3">
        <f>$E$103*N$11*10%</f>
        <v>3022.5</v>
      </c>
      <c r="AG86" s="5">
        <f t="shared" ref="AG86:AG88" si="20">AF86</f>
        <v>3022.5</v>
      </c>
      <c r="AH86" s="3"/>
      <c r="AI86" s="3">
        <f>$E$103*O$11*10%</f>
        <v>2927.9250000000002</v>
      </c>
      <c r="AJ86" s="5">
        <f t="shared" ref="AJ86:AJ88" si="21">AI86</f>
        <v>2927.9250000000002</v>
      </c>
      <c r="AK86" s="5"/>
      <c r="AL86" s="3">
        <f>$E$103*Q$11*10%</f>
        <v>3003</v>
      </c>
    </row>
    <row r="87" spans="2:38">
      <c r="B87" s="2" t="s">
        <v>109</v>
      </c>
      <c r="C87" s="3">
        <f>$H$102*D$12*10%</f>
        <v>1188</v>
      </c>
      <c r="D87" s="5"/>
      <c r="E87" s="3">
        <f>$H$102*E$12*10%</f>
        <v>1200</v>
      </c>
      <c r="F87" s="5">
        <f t="shared" si="11"/>
        <v>1200</v>
      </c>
      <c r="G87" s="5"/>
      <c r="H87" s="3">
        <f>$H$102*F$12*10%</f>
        <v>1584</v>
      </c>
      <c r="I87" s="5">
        <f t="shared" si="12"/>
        <v>1584</v>
      </c>
      <c r="J87" s="5"/>
      <c r="K87" s="3">
        <f>$H$102*G$12*10%</f>
        <v>1260</v>
      </c>
      <c r="L87" s="5">
        <f t="shared" si="13"/>
        <v>1260</v>
      </c>
      <c r="M87" s="5"/>
      <c r="N87" s="3">
        <f>$H$102*H$12*10%</f>
        <v>1366.2</v>
      </c>
      <c r="O87" s="5">
        <f t="shared" si="14"/>
        <v>1366.2</v>
      </c>
      <c r="P87" s="5"/>
      <c r="Q87" s="3">
        <f>$H$102*I$12*10%</f>
        <v>1400</v>
      </c>
      <c r="R87" s="5">
        <f t="shared" si="15"/>
        <v>1400</v>
      </c>
      <c r="S87" s="5"/>
      <c r="T87" s="3">
        <f>$H$102*J$12*10%</f>
        <v>1089</v>
      </c>
      <c r="U87" s="5">
        <f t="shared" si="16"/>
        <v>1089</v>
      </c>
      <c r="V87" s="5"/>
      <c r="W87" s="3">
        <f>$H$102*K$12*10%</f>
        <v>2100</v>
      </c>
      <c r="X87" s="5">
        <f t="shared" si="17"/>
        <v>2100</v>
      </c>
      <c r="Y87" s="5"/>
      <c r="Z87" s="3">
        <f>$H$102*L$12*10%</f>
        <v>1930.5</v>
      </c>
      <c r="AA87" s="5">
        <f t="shared" si="18"/>
        <v>1930.5</v>
      </c>
      <c r="AB87" s="5"/>
      <c r="AC87" s="3">
        <f>$H$102*M$12*10%</f>
        <v>2050</v>
      </c>
      <c r="AD87" s="5">
        <f t="shared" si="19"/>
        <v>2050</v>
      </c>
      <c r="AE87" s="5"/>
      <c r="AF87" s="3">
        <f>$H$102*N$12*10%</f>
        <v>1188</v>
      </c>
      <c r="AG87" s="5">
        <f t="shared" si="20"/>
        <v>1188</v>
      </c>
      <c r="AH87" s="5"/>
      <c r="AI87" s="3">
        <f>$H$102*O$12*10%</f>
        <v>1200</v>
      </c>
      <c r="AJ87" s="5">
        <f t="shared" si="21"/>
        <v>1200</v>
      </c>
      <c r="AK87" s="3"/>
      <c r="AL87" s="3">
        <f>$H$102*Q$12*10%</f>
        <v>1248</v>
      </c>
    </row>
    <row r="88" spans="2:38">
      <c r="B88" s="2" t="s">
        <v>110</v>
      </c>
      <c r="C88" s="3">
        <f>$H$103*D$12*10%</f>
        <v>1247.4000000000001</v>
      </c>
      <c r="D88" s="5"/>
      <c r="E88" s="3">
        <f>$H$103*E$12*10%</f>
        <v>1260</v>
      </c>
      <c r="F88" s="5">
        <f t="shared" si="11"/>
        <v>1260</v>
      </c>
      <c r="G88" s="5"/>
      <c r="H88" s="3">
        <f>$H$103*F$12*10%</f>
        <v>1663.2</v>
      </c>
      <c r="I88" s="5">
        <f t="shared" si="12"/>
        <v>1663.2</v>
      </c>
      <c r="J88" s="5"/>
      <c r="K88" s="3">
        <f>$H$103*G$12*10%</f>
        <v>1323</v>
      </c>
      <c r="L88" s="5">
        <f t="shared" si="13"/>
        <v>1323</v>
      </c>
      <c r="M88" s="5"/>
      <c r="N88" s="3">
        <f>$H$103*H$12*10%</f>
        <v>1434.5100000000002</v>
      </c>
      <c r="O88" s="5">
        <f t="shared" si="14"/>
        <v>1434.5100000000002</v>
      </c>
      <c r="P88" s="5"/>
      <c r="Q88" s="3">
        <f>$H$103*I$12*10%</f>
        <v>1470</v>
      </c>
      <c r="R88" s="5">
        <f t="shared" si="15"/>
        <v>1470</v>
      </c>
      <c r="S88" s="5"/>
      <c r="T88" s="3">
        <f>$H$103*J$12*10%</f>
        <v>1143.45</v>
      </c>
      <c r="U88" s="5">
        <f t="shared" si="16"/>
        <v>1143.45</v>
      </c>
      <c r="V88" s="5"/>
      <c r="W88" s="3">
        <f>$H$103*K$12*10%</f>
        <v>2205</v>
      </c>
      <c r="X88" s="5">
        <f t="shared" si="17"/>
        <v>2205</v>
      </c>
      <c r="Y88" s="5"/>
      <c r="Z88" s="3">
        <f>$H$103*L$12*10%</f>
        <v>2027.0250000000001</v>
      </c>
      <c r="AA88" s="5">
        <f t="shared" si="18"/>
        <v>2027.0250000000001</v>
      </c>
      <c r="AB88" s="5"/>
      <c r="AC88" s="3">
        <f>$H$103*M$12*10%</f>
        <v>2152.5</v>
      </c>
      <c r="AD88" s="5">
        <f t="shared" si="19"/>
        <v>2152.5</v>
      </c>
      <c r="AE88" s="5"/>
      <c r="AF88" s="3">
        <f>$H$103*N$12*10%</f>
        <v>1247.4000000000001</v>
      </c>
      <c r="AG88" s="5">
        <f t="shared" si="20"/>
        <v>1247.4000000000001</v>
      </c>
      <c r="AH88" s="5"/>
      <c r="AI88" s="3">
        <f>$H$103*O$12*10%</f>
        <v>1260</v>
      </c>
      <c r="AJ88" s="5">
        <f t="shared" si="21"/>
        <v>1260</v>
      </c>
      <c r="AK88" s="3"/>
      <c r="AL88" s="3">
        <f>$H$103*Q$12*10%</f>
        <v>1310.4000000000001</v>
      </c>
    </row>
    <row r="89" spans="2:38">
      <c r="B89" s="2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</row>
    <row r="90" spans="2:38">
      <c r="B90" s="2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</row>
    <row r="91" spans="2:38">
      <c r="B91" s="2" t="s">
        <v>5</v>
      </c>
      <c r="C91" s="84" t="s">
        <v>7</v>
      </c>
      <c r="D91" s="84" t="s">
        <v>8</v>
      </c>
      <c r="E91" s="84" t="s">
        <v>9</v>
      </c>
      <c r="F91" s="84" t="s">
        <v>10</v>
      </c>
      <c r="G91" s="84" t="s">
        <v>11</v>
      </c>
      <c r="H91" s="84" t="s">
        <v>12</v>
      </c>
      <c r="I91" s="84" t="s">
        <v>13</v>
      </c>
      <c r="J91" s="84" t="s">
        <v>14</v>
      </c>
      <c r="K91" s="84" t="s">
        <v>15</v>
      </c>
      <c r="L91" s="84" t="s">
        <v>16</v>
      </c>
      <c r="M91" s="84" t="s">
        <v>17</v>
      </c>
      <c r="N91" s="84" t="s">
        <v>18</v>
      </c>
    </row>
    <row r="92" spans="2:38">
      <c r="B92" s="2" t="s">
        <v>19</v>
      </c>
      <c r="C92" s="19">
        <f>(ROUNDUP(10%*E$11,0))*($E$102*$F$102+$E$103*$F$103)</f>
        <v>45310</v>
      </c>
      <c r="D92" s="19">
        <f>(ROUNDUP(10%*F$11,0))*($E$102*$F$102+$E$103*$F$103)</f>
        <v>43537</v>
      </c>
      <c r="E92" s="19">
        <f>(ROUNDUP(10%*G$11,0))*($E$102*$F$102+$E$103*$F$103)</f>
        <v>44522</v>
      </c>
      <c r="F92" s="19">
        <f>(ROUNDUP(10%*H$11,0))*($E$102*$F$102+$E$103*$F$103)</f>
        <v>46295</v>
      </c>
      <c r="G92" s="19">
        <f>(ROUNDUP(10%*I$11,0))*($E$102*$F$102+$E$103*$F$103)</f>
        <v>45901</v>
      </c>
      <c r="H92" s="19">
        <f>(ROUNDUP(10%*J$11,0))*($E$102*$F$102+$E$103*$F$103)</f>
        <v>44916</v>
      </c>
      <c r="I92" s="19">
        <f>(ROUNDUP(10%*K$11,0))*($E$102*$F$102+$E$103*$F$103)</f>
        <v>39203</v>
      </c>
      <c r="J92" s="19">
        <f>(ROUNDUP(10%*L$11,0))*($E$102*$F$102+$E$103*$F$103)</f>
        <v>41370</v>
      </c>
      <c r="K92" s="19">
        <f>(ROUNDUP(10%*M$11,0))*($E$102*$F$102+$E$103*$F$103)</f>
        <v>44916</v>
      </c>
      <c r="L92" s="19">
        <f>(ROUNDUP(10%*N$11,0))*($E$102*$F$102+$E$103*$F$103)</f>
        <v>45901</v>
      </c>
      <c r="M92" s="19">
        <f>(ROUNDUP(10%*O$11,0))*($E$102*$F$102+$E$103*$F$103)</f>
        <v>44522</v>
      </c>
      <c r="N92" s="19">
        <f>(ROUNDUP(10%*D11*1.05,0))*($E$102*$F$102+$E$103*$F$103)</f>
        <v>45507</v>
      </c>
    </row>
    <row r="93" spans="2:38">
      <c r="B93" s="2" t="s">
        <v>20</v>
      </c>
      <c r="C93" s="19">
        <f>(ROUNDUP(10%*E$11,0))*($H$102*$I$102+$H$103*$I$103)</f>
        <v>61180</v>
      </c>
      <c r="D93" s="19">
        <f>(ROUNDUP(10%*F$11,0))*($H$102*$I$102+$H$103*$I$103)</f>
        <v>58786</v>
      </c>
      <c r="E93" s="19">
        <f>(ROUNDUP(10%*G$11,0))*($H$102*$I$102+$H$103*$I$103)</f>
        <v>60116</v>
      </c>
      <c r="F93" s="19">
        <f>(ROUNDUP(10%*H$11,0))*($H$102*$I$102+$H$103*$I$103)</f>
        <v>62510</v>
      </c>
      <c r="G93" s="19">
        <f>(ROUNDUP(10%*I$11,0))*($H$102*$I$102+$H$103*$I$103)</f>
        <v>61978</v>
      </c>
      <c r="H93" s="19">
        <f>(ROUNDUP(10%*J$11,0))*($H$102*$I$102+$H$103*$I$103)</f>
        <v>60648</v>
      </c>
      <c r="I93" s="19">
        <f>(ROUNDUP(10%*K$11,0))*($H$102*$I$102+$H$103*$I$103)</f>
        <v>52934</v>
      </c>
      <c r="J93" s="19">
        <f>(ROUNDUP(10%*L$11,0))*($H$102*$I$102+$H$103*$I$103)</f>
        <v>55860</v>
      </c>
      <c r="K93" s="19">
        <f>(ROUNDUP(10%*M$11,0))*($H$102*$I$102+$H$103*$I$103)</f>
        <v>60648</v>
      </c>
      <c r="L93" s="19">
        <f>(ROUNDUP(10%*N$11,0))*($H$102*$I$102+$H$103*$I$103)</f>
        <v>61978</v>
      </c>
      <c r="M93" s="19">
        <f>(ROUNDUP(10%*O$11,0))*($H$102*$I$102+$H$103*$I$103)</f>
        <v>60116</v>
      </c>
      <c r="N93" s="19">
        <f>(ROUNDUP(10%*D11*1.05,0))*($H$102*$I$102+$H$103*$I$103)</f>
        <v>61446</v>
      </c>
    </row>
    <row r="94" spans="2:38">
      <c r="B94" s="2" t="s">
        <v>36</v>
      </c>
      <c r="C94" s="19">
        <f>C93+C92</f>
        <v>106490</v>
      </c>
      <c r="D94" s="19">
        <f t="shared" ref="D94:N94" si="22">D93+D92</f>
        <v>102323</v>
      </c>
      <c r="E94" s="19">
        <f t="shared" si="22"/>
        <v>104638</v>
      </c>
      <c r="F94" s="19">
        <f t="shared" si="22"/>
        <v>108805</v>
      </c>
      <c r="G94" s="19">
        <f t="shared" si="22"/>
        <v>107879</v>
      </c>
      <c r="H94" s="19">
        <f t="shared" si="22"/>
        <v>105564</v>
      </c>
      <c r="I94" s="19">
        <f t="shared" si="22"/>
        <v>92137</v>
      </c>
      <c r="J94" s="19">
        <f t="shared" si="22"/>
        <v>97230</v>
      </c>
      <c r="K94" s="19">
        <f t="shared" si="22"/>
        <v>105564</v>
      </c>
      <c r="L94" s="19">
        <f t="shared" si="22"/>
        <v>107879</v>
      </c>
      <c r="M94" s="19">
        <f t="shared" si="22"/>
        <v>104638</v>
      </c>
      <c r="N94" s="19">
        <f t="shared" si="22"/>
        <v>106953</v>
      </c>
    </row>
    <row r="95" spans="2:38">
      <c r="B95" s="7" t="s">
        <v>49</v>
      </c>
    </row>
    <row r="97" spans="1:11">
      <c r="A97" s="21" t="s">
        <v>53</v>
      </c>
    </row>
    <row r="98" spans="1:11">
      <c r="A98" t="s">
        <v>52</v>
      </c>
    </row>
    <row r="100" spans="1:11">
      <c r="D100" s="54" t="s">
        <v>45</v>
      </c>
      <c r="E100" s="55"/>
      <c r="F100" s="56"/>
      <c r="G100" s="53" t="s">
        <v>47</v>
      </c>
      <c r="H100" s="53"/>
      <c r="I100" s="53"/>
    </row>
    <row r="101" spans="1:11">
      <c r="D101" s="4" t="s">
        <v>51</v>
      </c>
      <c r="E101" s="4" t="s">
        <v>50</v>
      </c>
      <c r="F101" s="4" t="s">
        <v>46</v>
      </c>
      <c r="G101" s="4" t="s">
        <v>51</v>
      </c>
      <c r="H101" s="4" t="s">
        <v>50</v>
      </c>
      <c r="I101" s="4" t="s">
        <v>46</v>
      </c>
    </row>
    <row r="102" spans="1:11">
      <c r="D102" s="2">
        <v>1</v>
      </c>
      <c r="E102" s="2">
        <v>10</v>
      </c>
      <c r="F102" s="2">
        <v>8</v>
      </c>
      <c r="G102" s="2">
        <v>3</v>
      </c>
      <c r="H102" s="2">
        <v>20</v>
      </c>
      <c r="I102" s="2">
        <v>7</v>
      </c>
    </row>
    <row r="103" spans="1:11">
      <c r="D103" s="2">
        <v>2</v>
      </c>
      <c r="E103" s="2">
        <v>13</v>
      </c>
      <c r="F103" s="2">
        <v>9</v>
      </c>
      <c r="G103" s="2">
        <v>4</v>
      </c>
      <c r="H103" s="2">
        <v>21</v>
      </c>
      <c r="I103" s="2">
        <v>6</v>
      </c>
    </row>
    <row r="105" spans="1:11" ht="15.75" thickBot="1"/>
    <row r="106" spans="1:11">
      <c r="B106" s="57" t="s">
        <v>54</v>
      </c>
      <c r="C106" s="58"/>
      <c r="D106" s="59" t="s">
        <v>45</v>
      </c>
      <c r="E106" s="60"/>
      <c r="F106" s="60"/>
      <c r="G106" s="60"/>
      <c r="H106" s="59" t="s">
        <v>47</v>
      </c>
      <c r="I106" s="60"/>
      <c r="J106" s="60"/>
      <c r="K106" s="63"/>
    </row>
    <row r="107" spans="1:11" ht="15.75" thickBot="1">
      <c r="B107" s="65" t="s">
        <v>55</v>
      </c>
      <c r="C107" s="66"/>
      <c r="D107" s="61"/>
      <c r="E107" s="62"/>
      <c r="F107" s="62"/>
      <c r="G107" s="62"/>
      <c r="H107" s="61"/>
      <c r="I107" s="62"/>
      <c r="J107" s="62"/>
      <c r="K107" s="64"/>
    </row>
    <row r="108" spans="1:11">
      <c r="B108" s="44" t="s">
        <v>56</v>
      </c>
      <c r="C108" s="45"/>
      <c r="D108" s="41" t="s">
        <v>57</v>
      </c>
      <c r="E108" s="42"/>
      <c r="F108" s="42"/>
      <c r="G108" s="42"/>
      <c r="H108" s="41" t="s">
        <v>58</v>
      </c>
      <c r="I108" s="42"/>
      <c r="J108" s="42"/>
      <c r="K108" s="43"/>
    </row>
    <row r="109" spans="1:11">
      <c r="B109" s="46"/>
      <c r="C109" s="47"/>
      <c r="D109" s="41" t="s">
        <v>59</v>
      </c>
      <c r="E109" s="42"/>
      <c r="F109" s="42"/>
      <c r="G109" s="42"/>
      <c r="H109" s="41" t="s">
        <v>60</v>
      </c>
      <c r="I109" s="42"/>
      <c r="J109" s="42"/>
      <c r="K109" s="43"/>
    </row>
    <row r="110" spans="1:11" ht="15.75" thickBot="1">
      <c r="B110" s="48"/>
      <c r="C110" s="49"/>
      <c r="D110" s="50" t="s">
        <v>61</v>
      </c>
      <c r="E110" s="51"/>
      <c r="F110" s="51"/>
      <c r="G110" s="51"/>
      <c r="H110" s="50" t="s">
        <v>62</v>
      </c>
      <c r="I110" s="51"/>
      <c r="J110" s="51"/>
      <c r="K110" s="52"/>
    </row>
    <row r="111" spans="1:11">
      <c r="B111" s="37" t="s">
        <v>63</v>
      </c>
      <c r="C111" s="38"/>
      <c r="D111" s="41" t="s">
        <v>57</v>
      </c>
      <c r="E111" s="42"/>
      <c r="F111" s="42"/>
      <c r="G111" s="42"/>
      <c r="H111" s="41" t="s">
        <v>64</v>
      </c>
      <c r="I111" s="42"/>
      <c r="J111" s="42"/>
      <c r="K111" s="43"/>
    </row>
    <row r="112" spans="1:11">
      <c r="B112" s="37"/>
      <c r="C112" s="38"/>
      <c r="D112" s="41" t="s">
        <v>65</v>
      </c>
      <c r="E112" s="42"/>
      <c r="F112" s="42"/>
      <c r="G112" s="42"/>
      <c r="H112" s="41" t="s">
        <v>66</v>
      </c>
      <c r="I112" s="42"/>
      <c r="J112" s="42"/>
      <c r="K112" s="43"/>
    </row>
    <row r="113" spans="1:11" ht="15.75" thickBot="1">
      <c r="B113" s="39"/>
      <c r="C113" s="40"/>
      <c r="D113" s="41" t="s">
        <v>67</v>
      </c>
      <c r="E113" s="42"/>
      <c r="F113" s="42"/>
      <c r="G113" s="42"/>
      <c r="H113" s="41" t="s">
        <v>68</v>
      </c>
      <c r="I113" s="42"/>
      <c r="J113" s="42"/>
      <c r="K113" s="43"/>
    </row>
    <row r="114" spans="1:11">
      <c r="B114" s="26" t="s">
        <v>69</v>
      </c>
      <c r="C114" s="27"/>
      <c r="D114" s="30" t="s">
        <v>70</v>
      </c>
      <c r="E114" s="31"/>
      <c r="F114" s="31"/>
      <c r="G114" s="31"/>
      <c r="H114" s="31"/>
      <c r="I114" s="31"/>
      <c r="J114" s="31"/>
      <c r="K114" s="32"/>
    </row>
    <row r="115" spans="1:11" ht="15.75" thickBot="1">
      <c r="B115" s="28"/>
      <c r="C115" s="29"/>
      <c r="D115" s="33"/>
      <c r="E115" s="34"/>
      <c r="F115" s="34"/>
      <c r="G115" s="34"/>
      <c r="H115" s="34"/>
      <c r="I115" s="34"/>
      <c r="J115" s="34"/>
      <c r="K115" s="35"/>
    </row>
    <row r="117" spans="1:11">
      <c r="B117" s="22"/>
      <c r="C117" s="22"/>
      <c r="D117" s="16"/>
      <c r="E117" s="16"/>
      <c r="F117" s="16"/>
      <c r="G117" s="16"/>
      <c r="H117" s="16"/>
      <c r="I117" s="16"/>
      <c r="J117" s="16"/>
      <c r="K117" s="16"/>
    </row>
    <row r="118" spans="1:11">
      <c r="B118" s="16" t="s">
        <v>71</v>
      </c>
      <c r="E118" s="16"/>
      <c r="F118" s="16"/>
      <c r="G118" s="16"/>
      <c r="H118" s="16"/>
      <c r="I118" s="16"/>
      <c r="J118" s="16"/>
      <c r="K118" s="16"/>
    </row>
    <row r="119" spans="1:11">
      <c r="B119" s="16" t="s">
        <v>72</v>
      </c>
      <c r="E119" s="16"/>
      <c r="F119" s="16"/>
      <c r="G119" s="16"/>
      <c r="H119" s="16"/>
      <c r="I119" s="16"/>
      <c r="J119" s="16"/>
      <c r="K119" s="16"/>
    </row>
    <row r="121" spans="1:11">
      <c r="B121" t="s">
        <v>73</v>
      </c>
      <c r="C121" t="s">
        <v>45</v>
      </c>
    </row>
    <row r="122" spans="1:11">
      <c r="B122" t="s">
        <v>74</v>
      </c>
    </row>
    <row r="125" spans="1:11">
      <c r="A125" s="1" t="s">
        <v>75</v>
      </c>
    </row>
    <row r="127" spans="1:11">
      <c r="A127" s="36" t="s">
        <v>76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</row>
    <row r="128" spans="1:1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</row>
    <row r="131" spans="1:15">
      <c r="B131" s="2" t="s">
        <v>7</v>
      </c>
      <c r="C131" s="2" t="s">
        <v>8</v>
      </c>
      <c r="D131" s="2" t="s">
        <v>9</v>
      </c>
      <c r="E131" s="2" t="s">
        <v>10</v>
      </c>
      <c r="F131" s="2" t="s">
        <v>11</v>
      </c>
      <c r="G131" s="2" t="s">
        <v>12</v>
      </c>
      <c r="H131" s="2" t="s">
        <v>13</v>
      </c>
      <c r="I131" s="2" t="s">
        <v>14</v>
      </c>
      <c r="J131" s="2" t="s">
        <v>15</v>
      </c>
      <c r="K131" s="2" t="s">
        <v>16</v>
      </c>
      <c r="L131" s="2" t="s">
        <v>17</v>
      </c>
      <c r="M131" s="2" t="s">
        <v>18</v>
      </c>
      <c r="N131" s="12" t="s">
        <v>6</v>
      </c>
    </row>
    <row r="132" spans="1:15">
      <c r="B132" s="19">
        <v>0</v>
      </c>
      <c r="C132" s="19">
        <v>0</v>
      </c>
      <c r="D132" s="19">
        <v>0</v>
      </c>
      <c r="E132" s="19">
        <v>19000</v>
      </c>
      <c r="F132" s="19">
        <v>19000</v>
      </c>
      <c r="G132" s="19">
        <v>19000</v>
      </c>
      <c r="H132" s="19">
        <v>19000</v>
      </c>
      <c r="I132" s="19">
        <v>19000</v>
      </c>
      <c r="J132" s="19">
        <v>0</v>
      </c>
      <c r="K132" s="19">
        <v>0</v>
      </c>
      <c r="L132" s="19">
        <v>0</v>
      </c>
      <c r="M132" s="19">
        <v>0</v>
      </c>
      <c r="N132" s="19">
        <f>SUM(B132:M132)</f>
        <v>95000</v>
      </c>
    </row>
    <row r="135" spans="1:15">
      <c r="A135" s="1" t="s">
        <v>77</v>
      </c>
    </row>
    <row r="137" spans="1:15">
      <c r="A137" s="23" t="s">
        <v>78</v>
      </c>
    </row>
    <row r="138" spans="1:15">
      <c r="A138" s="24" t="s">
        <v>79</v>
      </c>
    </row>
    <row r="140" spans="1:15">
      <c r="B140" t="s">
        <v>80</v>
      </c>
      <c r="C140" s="2" t="s">
        <v>7</v>
      </c>
      <c r="D140" s="2" t="s">
        <v>8</v>
      </c>
      <c r="E140" s="2" t="s">
        <v>9</v>
      </c>
      <c r="F140" s="2" t="s">
        <v>10</v>
      </c>
      <c r="G140" s="2" t="s">
        <v>11</v>
      </c>
      <c r="H140" s="2" t="s">
        <v>12</v>
      </c>
      <c r="I140" s="2" t="s">
        <v>13</v>
      </c>
      <c r="J140" s="2" t="s">
        <v>14</v>
      </c>
      <c r="K140" s="2" t="s">
        <v>15</v>
      </c>
      <c r="L140" s="2" t="s">
        <v>16</v>
      </c>
      <c r="M140" s="2" t="s">
        <v>17</v>
      </c>
      <c r="N140" s="2" t="s">
        <v>18</v>
      </c>
      <c r="O140" s="12" t="s">
        <v>6</v>
      </c>
    </row>
    <row r="141" spans="1:15">
      <c r="B141" t="s">
        <v>81</v>
      </c>
      <c r="C141" s="19">
        <v>10700</v>
      </c>
      <c r="D141" s="19">
        <v>10700</v>
      </c>
      <c r="E141" s="19">
        <v>8700</v>
      </c>
      <c r="F141" s="19">
        <v>8700</v>
      </c>
      <c r="G141" s="19">
        <v>8700</v>
      </c>
      <c r="H141" s="19">
        <v>8700</v>
      </c>
      <c r="I141" s="19">
        <v>8700</v>
      </c>
      <c r="J141" s="19">
        <v>8700</v>
      </c>
      <c r="K141" s="19">
        <v>8700</v>
      </c>
      <c r="L141" s="19">
        <v>8700</v>
      </c>
      <c r="M141" s="19">
        <v>8700</v>
      </c>
      <c r="N141" s="19">
        <v>8700</v>
      </c>
      <c r="O141" s="19">
        <f>SUM(C141:N141)</f>
        <v>108400</v>
      </c>
    </row>
    <row r="142" spans="1:15">
      <c r="B142" t="s">
        <v>82</v>
      </c>
      <c r="C142" s="19">
        <v>14500</v>
      </c>
      <c r="D142" s="19">
        <v>14500</v>
      </c>
      <c r="E142" s="19">
        <v>14500</v>
      </c>
      <c r="F142" s="19">
        <v>14500</v>
      </c>
      <c r="G142" s="19">
        <v>14500</v>
      </c>
      <c r="H142" s="19">
        <v>14500</v>
      </c>
      <c r="I142" s="19">
        <v>14500</v>
      </c>
      <c r="J142" s="19">
        <v>14500</v>
      </c>
      <c r="K142" s="19">
        <v>14500</v>
      </c>
      <c r="L142" s="19">
        <v>14500</v>
      </c>
      <c r="M142" s="19">
        <v>14500</v>
      </c>
      <c r="N142" s="19">
        <v>14500</v>
      </c>
      <c r="O142" s="19">
        <f>SUM(C142:N142)</f>
        <v>174000</v>
      </c>
    </row>
    <row r="143" spans="1:15">
      <c r="B143" t="s">
        <v>83</v>
      </c>
      <c r="C143" s="19">
        <f>C142+C141</f>
        <v>25200</v>
      </c>
      <c r="D143" s="19">
        <f t="shared" ref="D143:O143" si="23">D142+D141</f>
        <v>25200</v>
      </c>
      <c r="E143" s="19">
        <f t="shared" si="23"/>
        <v>23200</v>
      </c>
      <c r="F143" s="19">
        <f t="shared" si="23"/>
        <v>23200</v>
      </c>
      <c r="G143" s="19">
        <f t="shared" si="23"/>
        <v>23200</v>
      </c>
      <c r="H143" s="19">
        <f t="shared" si="23"/>
        <v>23200</v>
      </c>
      <c r="I143" s="19">
        <f t="shared" si="23"/>
        <v>23200</v>
      </c>
      <c r="J143" s="19">
        <f t="shared" si="23"/>
        <v>23200</v>
      </c>
      <c r="K143" s="19">
        <f t="shared" si="23"/>
        <v>23200</v>
      </c>
      <c r="L143" s="19">
        <f t="shared" si="23"/>
        <v>23200</v>
      </c>
      <c r="M143" s="19">
        <f t="shared" si="23"/>
        <v>23200</v>
      </c>
      <c r="N143" s="19">
        <f t="shared" si="23"/>
        <v>23200</v>
      </c>
      <c r="O143" s="25">
        <f t="shared" si="23"/>
        <v>282400</v>
      </c>
    </row>
    <row r="147" spans="1:15">
      <c r="A147" s="1" t="s">
        <v>84</v>
      </c>
    </row>
    <row r="149" spans="1:15">
      <c r="A149" s="23" t="s">
        <v>85</v>
      </c>
    </row>
    <row r="150" spans="1:15">
      <c r="A150" s="23" t="s">
        <v>86</v>
      </c>
    </row>
    <row r="152" spans="1:15">
      <c r="B152" t="s">
        <v>80</v>
      </c>
      <c r="C152" s="2" t="s">
        <v>7</v>
      </c>
      <c r="D152" s="2" t="s">
        <v>8</v>
      </c>
      <c r="E152" s="2" t="s">
        <v>9</v>
      </c>
      <c r="F152" s="2" t="s">
        <v>10</v>
      </c>
      <c r="G152" s="2" t="s">
        <v>11</v>
      </c>
      <c r="H152" s="2" t="s">
        <v>12</v>
      </c>
      <c r="I152" s="2" t="s">
        <v>13</v>
      </c>
      <c r="J152" s="2" t="s">
        <v>14</v>
      </c>
      <c r="K152" s="2" t="s">
        <v>15</v>
      </c>
      <c r="L152" s="2" t="s">
        <v>16</v>
      </c>
      <c r="M152" s="2" t="s">
        <v>17</v>
      </c>
      <c r="N152" s="2" t="s">
        <v>18</v>
      </c>
      <c r="O152" s="12" t="s">
        <v>6</v>
      </c>
    </row>
    <row r="153" spans="1:15">
      <c r="B153" t="s">
        <v>87</v>
      </c>
      <c r="C153" s="19">
        <v>95000</v>
      </c>
      <c r="D153" s="19">
        <v>95000</v>
      </c>
      <c r="E153" s="19">
        <v>95000</v>
      </c>
      <c r="F153" s="19">
        <v>95000</v>
      </c>
      <c r="G153" s="19">
        <v>95000</v>
      </c>
      <c r="H153" s="19">
        <v>95000</v>
      </c>
      <c r="I153" s="19">
        <v>95000</v>
      </c>
      <c r="J153" s="19">
        <v>95000</v>
      </c>
      <c r="K153" s="19">
        <v>95000</v>
      </c>
      <c r="L153" s="19">
        <v>95000</v>
      </c>
      <c r="M153" s="19">
        <v>95000</v>
      </c>
      <c r="N153" s="19">
        <v>95000</v>
      </c>
      <c r="O153" s="19">
        <f>SUM(C153:N153)</f>
        <v>1140000</v>
      </c>
    </row>
    <row r="154" spans="1:15">
      <c r="B154" t="s">
        <v>88</v>
      </c>
      <c r="C154" s="19">
        <f>5%*F19</f>
        <v>63360</v>
      </c>
      <c r="D154" s="19">
        <f>5%*G19</f>
        <v>50400</v>
      </c>
      <c r="E154" s="19">
        <f>5%*H19</f>
        <v>54648</v>
      </c>
      <c r="F154" s="19">
        <f>5%*I19</f>
        <v>56000</v>
      </c>
      <c r="G154" s="19">
        <f>5%*J19</f>
        <v>43560</v>
      </c>
      <c r="H154" s="19">
        <f>5%*K19</f>
        <v>84000</v>
      </c>
      <c r="I154" s="19">
        <f>5%*L19</f>
        <v>77220</v>
      </c>
      <c r="J154" s="19">
        <f>5%*M19</f>
        <v>82000</v>
      </c>
      <c r="K154" s="19">
        <f>5%*N19</f>
        <v>47520</v>
      </c>
      <c r="L154" s="19">
        <f>5%*O19</f>
        <v>48000</v>
      </c>
      <c r="M154" s="19">
        <f>5%*D19*1.05</f>
        <v>49896</v>
      </c>
      <c r="N154" s="19">
        <f>5%*E19*1.05</f>
        <v>50400</v>
      </c>
      <c r="O154" s="19">
        <f>SUM(C154:N154)</f>
        <v>707004</v>
      </c>
    </row>
    <row r="155" spans="1:15">
      <c r="B155" t="s">
        <v>83</v>
      </c>
      <c r="C155" s="19">
        <f>C154+C153</f>
        <v>158360</v>
      </c>
      <c r="D155" s="19">
        <f t="shared" ref="D155" si="24">D154+D153</f>
        <v>145400</v>
      </c>
      <c r="E155" s="19">
        <f t="shared" ref="E155" si="25">E154+E153</f>
        <v>149648</v>
      </c>
      <c r="F155" s="19">
        <f t="shared" ref="F155" si="26">F154+F153</f>
        <v>151000</v>
      </c>
      <c r="G155" s="19">
        <f t="shared" ref="G155" si="27">G154+G153</f>
        <v>138560</v>
      </c>
      <c r="H155" s="19">
        <f t="shared" ref="H155" si="28">H154+H153</f>
        <v>179000</v>
      </c>
      <c r="I155" s="19">
        <f t="shared" ref="I155" si="29">I154+I153</f>
        <v>172220</v>
      </c>
      <c r="J155" s="19">
        <f t="shared" ref="J155" si="30">J154+J153</f>
        <v>177000</v>
      </c>
      <c r="K155" s="19">
        <f t="shared" ref="K155" si="31">K154+K153</f>
        <v>142520</v>
      </c>
      <c r="L155" s="19">
        <f t="shared" ref="L155" si="32">L154+L153</f>
        <v>143000</v>
      </c>
      <c r="M155" s="19">
        <f t="shared" ref="M155" si="33">M154+M153</f>
        <v>144896</v>
      </c>
      <c r="N155" s="19">
        <f t="shared" ref="N155" si="34">N154+N153</f>
        <v>145400</v>
      </c>
      <c r="O155" s="25">
        <f t="shared" ref="O155" si="35">O154+O153</f>
        <v>1847004</v>
      </c>
    </row>
  </sheetData>
  <mergeCells count="50"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D83:AF83"/>
    <mergeCell ref="AG83:AI83"/>
    <mergeCell ref="AJ83:AL83"/>
    <mergeCell ref="AJ66:AL66"/>
    <mergeCell ref="C66:E66"/>
    <mergeCell ref="F66:H66"/>
    <mergeCell ref="I66:K66"/>
    <mergeCell ref="AG66:AI66"/>
    <mergeCell ref="AD66:AF66"/>
    <mergeCell ref="AA66:AC66"/>
    <mergeCell ref="X66:Z66"/>
    <mergeCell ref="U66:W66"/>
    <mergeCell ref="R66:T66"/>
    <mergeCell ref="O66:Q66"/>
    <mergeCell ref="L66:N66"/>
    <mergeCell ref="D16:P16"/>
    <mergeCell ref="D9:P9"/>
    <mergeCell ref="C44:O44"/>
    <mergeCell ref="G100:I100"/>
    <mergeCell ref="D100:F100"/>
    <mergeCell ref="B106:C106"/>
    <mergeCell ref="D106:G107"/>
    <mergeCell ref="H106:K107"/>
    <mergeCell ref="B107:C107"/>
    <mergeCell ref="B108:C110"/>
    <mergeCell ref="D108:G108"/>
    <mergeCell ref="H108:K108"/>
    <mergeCell ref="D109:G109"/>
    <mergeCell ref="H109:K109"/>
    <mergeCell ref="D110:G110"/>
    <mergeCell ref="H110:K110"/>
    <mergeCell ref="B114:C115"/>
    <mergeCell ref="D114:K115"/>
    <mergeCell ref="A127:K128"/>
    <mergeCell ref="B111:C113"/>
    <mergeCell ref="D111:G111"/>
    <mergeCell ref="H111:K111"/>
    <mergeCell ref="D112:G112"/>
    <mergeCell ref="H112:K112"/>
    <mergeCell ref="D113:G113"/>
    <mergeCell ref="H113:K11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H20"/>
  <sheetViews>
    <sheetView topLeftCell="A5" workbookViewId="0">
      <selection activeCell="C12" sqref="C12"/>
    </sheetView>
  </sheetViews>
  <sheetFormatPr baseColWidth="10" defaultRowHeight="15"/>
  <cols>
    <col min="3" max="3" width="51.42578125" bestFit="1" customWidth="1"/>
    <col min="4" max="4" width="23.42578125" customWidth="1"/>
  </cols>
  <sheetData>
    <row r="3" spans="3:8">
      <c r="D3" s="16"/>
      <c r="E3" s="16"/>
      <c r="F3" s="16"/>
      <c r="G3" s="16"/>
      <c r="H3" s="16"/>
    </row>
    <row r="4" spans="3:8">
      <c r="D4" s="16"/>
      <c r="E4" s="16"/>
      <c r="F4" s="16"/>
      <c r="G4" s="16"/>
      <c r="H4" s="16"/>
    </row>
    <row r="5" spans="3:8">
      <c r="D5" s="16"/>
      <c r="E5" s="16"/>
      <c r="F5" s="16"/>
      <c r="G5" s="16"/>
      <c r="H5" s="16"/>
    </row>
    <row r="6" spans="3:8">
      <c r="C6" s="16"/>
      <c r="D6" s="16"/>
      <c r="E6" s="16"/>
      <c r="F6" s="16"/>
      <c r="G6" s="16"/>
      <c r="H6" s="16"/>
    </row>
    <row r="7" spans="3:8">
      <c r="C7" s="16"/>
      <c r="D7" s="16"/>
      <c r="E7" s="16"/>
      <c r="F7" s="16"/>
      <c r="G7" s="16"/>
      <c r="H7" s="16"/>
    </row>
    <row r="8" spans="3:8">
      <c r="C8" s="16"/>
      <c r="D8" s="16"/>
      <c r="E8" s="16"/>
    </row>
    <row r="9" spans="3:8">
      <c r="C9" s="16"/>
      <c r="D9" s="16"/>
      <c r="E9" s="16"/>
    </row>
    <row r="10" spans="3:8">
      <c r="C10" s="16" t="s">
        <v>37</v>
      </c>
      <c r="D10" s="17">
        <v>42707699.299999997</v>
      </c>
      <c r="E10" s="16"/>
      <c r="F10" t="str">
        <f>"--&gt; es lo facturado!!!"</f>
        <v>--&gt; es lo facturado!!!</v>
      </c>
    </row>
    <row r="11" spans="3:8">
      <c r="C11" s="16" t="str">
        <f>"- Costos variables (MP, MO directa, Gasto grales de fab)"</f>
        <v>- Costos variables (MP, MO directa, Gasto grales de fab)</v>
      </c>
      <c r="D11" s="16"/>
      <c r="E11" s="16"/>
    </row>
    <row r="12" spans="3:8">
      <c r="C12" s="16" t="str">
        <f>"- Incobrabilidad"</f>
        <v>- Incobrabilidad</v>
      </c>
      <c r="D12" s="16"/>
      <c r="E12" s="16"/>
    </row>
    <row r="13" spans="3:8" ht="15.75" thickBot="1">
      <c r="C13" s="15" t="s">
        <v>39</v>
      </c>
      <c r="D13" s="15"/>
    </row>
    <row r="14" spans="3:8">
      <c r="C14" t="s">
        <v>40</v>
      </c>
      <c r="D14" s="8">
        <f>D10-D11-D13</f>
        <v>42707699.299999997</v>
      </c>
    </row>
    <row r="15" spans="3:8">
      <c r="C15" t="s">
        <v>41</v>
      </c>
    </row>
    <row r="16" spans="3:8" ht="15.75" thickBot="1">
      <c r="C16" s="15" t="s">
        <v>42</v>
      </c>
      <c r="D16" s="15"/>
    </row>
    <row r="17" spans="3:4">
      <c r="C17" t="s">
        <v>43</v>
      </c>
      <c r="D17" s="8">
        <f>D14-D15-D16</f>
        <v>42707699.299999997</v>
      </c>
    </row>
    <row r="18" spans="3:4">
      <c r="C18" t="s">
        <v>38</v>
      </c>
    </row>
    <row r="19" spans="3:4" ht="15.75" thickBot="1">
      <c r="C19" s="15" t="str">
        <f>"- Impuestos  (35% UB)"</f>
        <v>- Impuestos  (35% UB)</v>
      </c>
      <c r="D19" s="18">
        <f>D17*0.35</f>
        <v>14947694.754999997</v>
      </c>
    </row>
    <row r="20" spans="3:4">
      <c r="C20" t="s">
        <v>44</v>
      </c>
      <c r="D20" s="8">
        <f>D17-D18-D19</f>
        <v>27760004.545000002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Cuadro de 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mgonzalez</dc:creator>
  <cp:lastModifiedBy>MGE</cp:lastModifiedBy>
  <dcterms:created xsi:type="dcterms:W3CDTF">2010-06-22T20:38:32Z</dcterms:created>
  <dcterms:modified xsi:type="dcterms:W3CDTF">2010-06-26T20:38:52Z</dcterms:modified>
</cp:coreProperties>
</file>