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entsogeu-my.sharepoint.com/personal/alexander_kattlitz_entsog_eu/Documents/Desktop/"/>
    </mc:Choice>
  </mc:AlternateContent>
  <xr:revisionPtr revIDLastSave="22" documentId="8_{77A5CBCC-909B-47C7-9630-DDEC0996DEA3}" xr6:coauthVersionLast="47" xr6:coauthVersionMax="47" xr10:uidLastSave="{2EB813C8-86E8-483C-B901-6CA04B72B8D1}"/>
  <bookViews>
    <workbookView xWindow="28680" yWindow="-120" windowWidth="29040" windowHeight="15840" tabRatio="836" activeTab="14" xr2:uid="{BEE927C5-E20C-4E01-9E83-8A434C0A88B0}"/>
  </bookViews>
  <sheets>
    <sheet name="Contents" sheetId="1" r:id="rId1"/>
    <sheet name="_TYNDP2024 Scenarios" sheetId="3" r:id="rId2"/>
    <sheet name="1. " sheetId="2" r:id="rId3"/>
    <sheet name="1.1." sheetId="6" r:id="rId4"/>
    <sheet name="1.2." sheetId="7" r:id="rId5"/>
    <sheet name="1.3." sheetId="9" r:id="rId6"/>
    <sheet name="1.4." sheetId="10" r:id="rId7"/>
    <sheet name="1.5." sheetId="11" r:id="rId8"/>
    <sheet name="1.6." sheetId="12" r:id="rId9"/>
    <sheet name="2." sheetId="13" r:id="rId10"/>
    <sheet name="2.1." sheetId="14" r:id="rId11"/>
    <sheet name="2.2." sheetId="15" r:id="rId12"/>
    <sheet name="3." sheetId="27" r:id="rId13"/>
    <sheet name="3.1." sheetId="28" r:id="rId14"/>
    <sheet name="3.2." sheetId="29" r:id="rId15"/>
    <sheet name="3.3" sheetId="30" r:id="rId16"/>
    <sheet name="3.4." sheetId="31" r:id="rId17"/>
    <sheet name="3.5." sheetId="32" r:id="rId18"/>
    <sheet name="3.6." sheetId="33" r:id="rId19"/>
    <sheet name="3.7." sheetId="34" r:id="rId20"/>
    <sheet name="4." sheetId="24" r:id="rId21"/>
    <sheet name="4.1." sheetId="25" r:id="rId22"/>
    <sheet name="4.2." sheetId="26" r:id="rId23"/>
    <sheet name="4.3." sheetId="35" r:id="rId24"/>
  </sheets>
  <definedNames>
    <definedName name="_" localSheetId="20">#REF!</definedName>
    <definedName name="_" localSheetId="21">#REF!</definedName>
    <definedName name="_">#REF!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4" hidden="1">'1.2.'!$B$3:$N$59</definedName>
    <definedName name="a" localSheetId="20">#REF!</definedName>
    <definedName name="a" localSheetId="21">#REF!</definedName>
    <definedName name="a">#REF!</definedName>
    <definedName name="aa"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ll_TP" localSheetId="20">#REF!,#REF!,#REF!</definedName>
    <definedName name="All_TP" localSheetId="21">#REF!,#REF!,#REF!</definedName>
    <definedName name="All_TP">#REF!,#REF!,#REF!</definedName>
    <definedName name="All_US" localSheetId="20">#REF!,#REF!,#REF!</definedName>
    <definedName name="All_US" localSheetId="21">#REF!,#REF!,#REF!</definedName>
    <definedName name="All_US">#REF!,#REF!,#REF!</definedName>
    <definedName name="asdf" localSheetId="20">#REF!</definedName>
    <definedName name="asdf" localSheetId="21">#REF!</definedName>
    <definedName name="asdf">#REF!</definedName>
    <definedName name="bb"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iomass_Rate">#REF!</definedName>
    <definedName name="body0fa" localSheetId="20">#REF!</definedName>
    <definedName name="body0fa" localSheetId="21">#REF!</definedName>
    <definedName name="body0fa">#REF!</definedName>
    <definedName name="body1ea" localSheetId="20">#REF!</definedName>
    <definedName name="body1ea" localSheetId="21">#REF!</definedName>
    <definedName name="body1ea">#REF!</definedName>
    <definedName name="body1eb" localSheetId="20">#REF!</definedName>
    <definedName name="body1eb" localSheetId="21">#REF!</definedName>
    <definedName name="body1eb">#REF!</definedName>
    <definedName name="body1fa" localSheetId="20">#REF!</definedName>
    <definedName name="body1fa" localSheetId="21">#REF!</definedName>
    <definedName name="body1fa">#REF!</definedName>
    <definedName name="body1fb" localSheetId="20">#REF!</definedName>
    <definedName name="body1fb" localSheetId="21">#REF!</definedName>
    <definedName name="body1fb">#REF!</definedName>
    <definedName name="body1ga" localSheetId="20">#REF!</definedName>
    <definedName name="body1ga" localSheetId="21">#REF!</definedName>
    <definedName name="body1ga">#REF!</definedName>
    <definedName name="body1gb" localSheetId="20">#REF!</definedName>
    <definedName name="body1gb" localSheetId="21">#REF!</definedName>
    <definedName name="body1gb">#REF!</definedName>
    <definedName name="body2ea" localSheetId="20">#REF!</definedName>
    <definedName name="body2ea" localSheetId="21">#REF!</definedName>
    <definedName name="body2ea">#REF!</definedName>
    <definedName name="body2eb" localSheetId="20">#REF!</definedName>
    <definedName name="body2eb" localSheetId="21">#REF!</definedName>
    <definedName name="body2eb">#REF!</definedName>
    <definedName name="body2f" localSheetId="20">#REF!</definedName>
    <definedName name="body2f" localSheetId="21">#REF!</definedName>
    <definedName name="body2f">#REF!</definedName>
    <definedName name="body2fa" localSheetId="20">#REF!</definedName>
    <definedName name="body2fa" localSheetId="21">#REF!</definedName>
    <definedName name="body2fa">#REF!</definedName>
    <definedName name="body2fb" localSheetId="20">#REF!</definedName>
    <definedName name="body2fb" localSheetId="21">#REF!</definedName>
    <definedName name="body2fb">#REF!</definedName>
    <definedName name="body2ga" localSheetId="20">#REF!</definedName>
    <definedName name="body2ga" localSheetId="21">#REF!</definedName>
    <definedName name="body2ga">#REF!</definedName>
    <definedName name="body2gb" localSheetId="20">#REF!</definedName>
    <definedName name="body2gb" localSheetId="21">#REF!</definedName>
    <definedName name="body2gb">#REF!</definedName>
    <definedName name="body3ea" localSheetId="20">#REF!</definedName>
    <definedName name="body3ea" localSheetId="21">#REF!</definedName>
    <definedName name="body3ea">#REF!</definedName>
    <definedName name="body3eb" localSheetId="20">#REF!</definedName>
    <definedName name="body3eb" localSheetId="21">#REF!</definedName>
    <definedName name="body3eb">#REF!</definedName>
    <definedName name="body3fa" localSheetId="20">#REF!</definedName>
    <definedName name="body3fa" localSheetId="21">#REF!</definedName>
    <definedName name="body3fa">#REF!</definedName>
    <definedName name="body3fb" localSheetId="20">#REF!</definedName>
    <definedName name="body3fb" localSheetId="21">#REF!</definedName>
    <definedName name="body3fb">#REF!</definedName>
    <definedName name="body3ga" localSheetId="20">#REF!</definedName>
    <definedName name="body3ga" localSheetId="21">#REF!</definedName>
    <definedName name="body3ga">#REF!</definedName>
    <definedName name="body3gb" localSheetId="20">#REF!</definedName>
    <definedName name="body3gb" localSheetId="21">#REF!</definedName>
    <definedName name="body3gb">#REF!</definedName>
    <definedName name="body4ea" localSheetId="20">#REF!</definedName>
    <definedName name="body4ea" localSheetId="21">#REF!</definedName>
    <definedName name="body4ea">#REF!</definedName>
    <definedName name="body4eb" localSheetId="20">#REF!</definedName>
    <definedName name="body4eb" localSheetId="21">#REF!</definedName>
    <definedName name="body4eb">#REF!</definedName>
    <definedName name="body4f" localSheetId="20">#REF!</definedName>
    <definedName name="body4f" localSheetId="21">#REF!</definedName>
    <definedName name="body4f">#REF!</definedName>
    <definedName name="body4fa" localSheetId="20">#REF!</definedName>
    <definedName name="body4fa" localSheetId="21">#REF!</definedName>
    <definedName name="body4fa">#REF!</definedName>
    <definedName name="body4fb" localSheetId="20">#REF!</definedName>
    <definedName name="body4fb" localSheetId="21">#REF!</definedName>
    <definedName name="body4fb">#REF!</definedName>
    <definedName name="body4ga" localSheetId="20">#REF!</definedName>
    <definedName name="body4ga" localSheetId="21">#REF!</definedName>
    <definedName name="body4ga">#REF!</definedName>
    <definedName name="body4gb" localSheetId="20">#REF!</definedName>
    <definedName name="body4gb" localSheetId="21">#REF!</definedName>
    <definedName name="body4gb">#REF!</definedName>
    <definedName name="Capacity_factor_Solar">#REF!</definedName>
    <definedName name="Capacity_factor_Wind">#REF!</definedName>
    <definedName name="CAPEX">#REF!</definedName>
    <definedName name="coal_cal">#REF!</definedName>
    <definedName name="conversion_col">#REF!</definedName>
    <definedName name="conversion_line">#REF!</definedName>
    <definedName name="conversion_table">#REF!</definedName>
    <definedName name="Country_Code">LEFT(#REF!,2)</definedName>
    <definedName name="countrye" localSheetId="20">#REF!</definedName>
    <definedName name="countrye" localSheetId="21">#REF!</definedName>
    <definedName name="countrye">#REF!</definedName>
    <definedName name="countryf" localSheetId="20">#REF!</definedName>
    <definedName name="countryf" localSheetId="21">#REF!</definedName>
    <definedName name="countryf">#REF!</definedName>
    <definedName name="countryg" localSheetId="20">#REF!</definedName>
    <definedName name="countryg" localSheetId="21">#REF!</definedName>
    <definedName name="countryg">#REF!</definedName>
    <definedName name="CRF_CountryName">#REF!</definedName>
    <definedName name="currency">#REF!</definedName>
    <definedName name="currency_line">#REF!</definedName>
    <definedName name="currency_table">#REF!</definedName>
    <definedName name="data_pipelines">#REF!</definedName>
    <definedName name="_xlnm.Database">#REF!</definedName>
    <definedName name="Eff_P2CH4" localSheetId="20">#REF!</definedName>
    <definedName name="Eff_P2CH4" localSheetId="21">#REF!</definedName>
    <definedName name="Eff_P2CH4">#REF!</definedName>
    <definedName name="Eff_P2CH4_2040">#REF!</definedName>
    <definedName name="Eff_P2H2">#REF!</definedName>
    <definedName name="Eff_P2L">#REF!</definedName>
    <definedName name="Efficiency">#REF!</definedName>
    <definedName name="Gas_Emission_Rate" localSheetId="20">#REF!</definedName>
    <definedName name="Gas_Emission_Rate" localSheetId="21">#REF!</definedName>
    <definedName name="Gas_Emission_Rate">#REF!</definedName>
    <definedName name="Green_Gas_Emissions_Rate" localSheetId="20">#REF!</definedName>
    <definedName name="Green_Gas_Emissions_Rate" localSheetId="21">#REF!</definedName>
    <definedName name="Green_Gas_Emissions_Rate">#REF!</definedName>
    <definedName name="Hydro_Emissions" localSheetId="20">#REF!</definedName>
    <definedName name="Hydro_Emissions" localSheetId="21">#REF!</definedName>
    <definedName name="Hydro_Emissions">#REF!</definedName>
    <definedName name="kToe_to_TWh" localSheetId="20">#REF!</definedName>
    <definedName name="kToe_to_TWh" localSheetId="21">#REF!</definedName>
    <definedName name="kToe_to_TWh">#REF!</definedName>
    <definedName name="List_Countries">#REF!</definedName>
    <definedName name="List_CountriesISO">#REF!</definedName>
    <definedName name="mappipe">#REF!</definedName>
    <definedName name="Nuclear_Emissions_Rate" localSheetId="20">#REF!</definedName>
    <definedName name="Nuclear_Emissions_Rate" localSheetId="21">#REF!</definedName>
    <definedName name="Nuclear_Emissions_Rate">#REF!</definedName>
    <definedName name="Oil_Emission_Rate" localSheetId="20">#REF!</definedName>
    <definedName name="Oil_Emission_Rate" localSheetId="21">#REF!</definedName>
    <definedName name="Oil_Emission_Rate">#REF!</definedName>
    <definedName name="OtherRes_Emissions_Rate" localSheetId="20">#REF!</definedName>
    <definedName name="OtherRes_Emissions_Rate" localSheetId="21">#REF!</definedName>
    <definedName name="OtherRes_Emissions_Rate">#REF!</definedName>
    <definedName name="P2G_Conversion_Rate" localSheetId="20">#REF!</definedName>
    <definedName name="P2G_Conversion_Rate" localSheetId="21">#REF!</definedName>
    <definedName name="P2G_Conversion_Rate">#REF!</definedName>
    <definedName name="RetBE" localSheetId="20">#REF!</definedName>
    <definedName name="RetBE" localSheetId="21">#REF!</definedName>
    <definedName name="RetBE">#REF!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cen">#REF!</definedName>
    <definedName name="Solar_Emissions_Rate" localSheetId="20">#REF!</definedName>
    <definedName name="Solar_Emissions_Rate" localSheetId="21">#REF!</definedName>
    <definedName name="Solar_Emissions_Rate">#REF!</definedName>
    <definedName name="Solar_for_P2G" localSheetId="20">#REF!</definedName>
    <definedName name="Solar_for_P2G" localSheetId="21">#REF!</definedName>
    <definedName name="Solar_for_P2G">#REF!</definedName>
    <definedName name="Solid_Emission_Rate" localSheetId="20">#REF!</definedName>
    <definedName name="Solid_Emission_Rate" localSheetId="21">#REF!</definedName>
    <definedName name="Solid_Emission_Rate">#REF!</definedName>
    <definedName name="thermal_unit">#REF!</definedName>
    <definedName name="TP.Electricity_and_RES" localSheetId="20">#REF!</definedName>
    <definedName name="TP.Electricity_and_RES" localSheetId="21">#REF!</definedName>
    <definedName name="TP.Electricity_and_RES">#REF!</definedName>
    <definedName name="TP.Petroleum" localSheetId="20">#REF!</definedName>
    <definedName name="TP.Petroleum" localSheetId="21">#REF!</definedName>
    <definedName name="TP.Petroleum">#REF!</definedName>
    <definedName name="TP.Solids_and_Gases" localSheetId="20">#REF!</definedName>
    <definedName name="TP.Solids_and_Gases" localSheetId="21">#REF!</definedName>
    <definedName name="TP.Solids_and_Gases">#REF!</definedName>
    <definedName name="US.Electricity_and_RES" localSheetId="20">#REF!</definedName>
    <definedName name="US.Electricity_and_RES" localSheetId="21">#REF!</definedName>
    <definedName name="US.Electricity_and_RES">#REF!</definedName>
    <definedName name="US.Petroleum" localSheetId="20">#REF!</definedName>
    <definedName name="US.Petroleum" localSheetId="21">#REF!</definedName>
    <definedName name="US.Petroleum">#REF!</definedName>
    <definedName name="US.Solids_and_Gases" localSheetId="20">#REF!</definedName>
    <definedName name="US.Solids_and_Gases" localSheetId="21">#REF!</definedName>
    <definedName name="US.Solids_and_Gases">#REF!</definedName>
    <definedName name="v" localSheetId="20">#REF!</definedName>
    <definedName name="v" localSheetId="21">#REF!</definedName>
    <definedName name="v">#REF!</definedName>
    <definedName name="WEO">#REF!</definedName>
    <definedName name="Wind_Emissions_Rate" localSheetId="20">#REF!</definedName>
    <definedName name="Wind_Emissions_Rate" localSheetId="21">#REF!</definedName>
    <definedName name="Wind_Emissions_Rate">#REF!</definedName>
    <definedName name="Wind_for_P2G" localSheetId="20">#REF!</definedName>
    <definedName name="Wind_for_P2G" localSheetId="21">#REF!</definedName>
    <definedName name="Wind_for_P2G">#REF!</definedName>
    <definedName name="wrn.Electricity._.Questionnaire."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17"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18"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19"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2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localSheetId="2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year">#REF!</definedName>
    <definedName name="yeare" localSheetId="20">#REF!</definedName>
    <definedName name="yeare" localSheetId="21">#REF!</definedName>
    <definedName name="yeare">#REF!</definedName>
    <definedName name="yearf" localSheetId="20">#REF!</definedName>
    <definedName name="yearf" localSheetId="21">#REF!</definedName>
    <definedName name="yearf">#REF!</definedName>
    <definedName name="yearg" localSheetId="20">#REF!</definedName>
    <definedName name="yearg" localSheetId="21">#REF!</definedName>
    <definedName name="yearg">#REF!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6" i="33" l="1"/>
  <c r="V10" i="33" s="1"/>
  <c r="V12" i="33" s="1"/>
  <c r="V16" i="33" s="1"/>
  <c r="V14" i="34"/>
  <c r="V12" i="34"/>
  <c r="V16" i="34" s="1"/>
  <c r="U12" i="34"/>
  <c r="U14" i="34"/>
  <c r="O18" i="29"/>
  <c r="O17" i="29"/>
  <c r="O16" i="29"/>
  <c r="I18" i="29"/>
  <c r="I17" i="29"/>
  <c r="I16" i="29"/>
  <c r="D23" i="29"/>
  <c r="C22" i="29"/>
  <c r="D19" i="29"/>
  <c r="D24" i="29" s="1"/>
  <c r="C19" i="29"/>
  <c r="C23" i="29" s="1"/>
  <c r="I23" i="29"/>
  <c r="H24" i="29"/>
  <c r="H23" i="29"/>
  <c r="H22" i="29"/>
  <c r="E19" i="35"/>
  <c r="E20" i="35"/>
  <c r="F13" i="35"/>
  <c r="F14" i="35"/>
  <c r="F16" i="35"/>
  <c r="F17" i="35" s="1"/>
  <c r="E15" i="35"/>
  <c r="F7" i="35"/>
  <c r="F8" i="35"/>
  <c r="F15" i="35" s="1"/>
  <c r="F9" i="35"/>
  <c r="F10" i="35"/>
  <c r="F18" i="35" s="1"/>
  <c r="F11" i="35"/>
  <c r="F19" i="35" s="1"/>
  <c r="F12" i="35"/>
  <c r="F20" i="35" s="1"/>
  <c r="F6" i="35"/>
  <c r="E8" i="35"/>
  <c r="E9" i="35"/>
  <c r="E16" i="35" s="1"/>
  <c r="E17" i="35" s="1"/>
  <c r="E10" i="35"/>
  <c r="E18" i="35" s="1"/>
  <c r="E11" i="35"/>
  <c r="E12" i="35"/>
  <c r="E7" i="35"/>
  <c r="E14" i="35" s="1"/>
  <c r="E6" i="35"/>
  <c r="E13" i="35" s="1"/>
  <c r="O18" i="34"/>
  <c r="U10" i="34" s="1"/>
  <c r="O13" i="34"/>
  <c r="T11" i="34" s="1"/>
  <c r="T12" i="34" s="1"/>
  <c r="U11" i="34"/>
  <c r="T10" i="34"/>
  <c r="V9" i="34"/>
  <c r="V10" i="34" s="1"/>
  <c r="U9" i="34"/>
  <c r="T9" i="34"/>
  <c r="V8" i="34"/>
  <c r="V11" i="34" s="1"/>
  <c r="U8" i="34"/>
  <c r="T8" i="34"/>
  <c r="T14" i="34" s="1"/>
  <c r="E60" i="33"/>
  <c r="E59" i="33"/>
  <c r="E58" i="33"/>
  <c r="E57" i="33"/>
  <c r="E56" i="33"/>
  <c r="E55" i="33"/>
  <c r="G54" i="33" a="1"/>
  <c r="G54" i="33" s="1"/>
  <c r="E54" i="33"/>
  <c r="G59" i="33" s="1"/>
  <c r="E53" i="33"/>
  <c r="J43" i="33"/>
  <c r="I43" i="33"/>
  <c r="H43" i="33"/>
  <c r="G43" i="33"/>
  <c r="F43" i="33"/>
  <c r="E43" i="33"/>
  <c r="D43" i="33"/>
  <c r="C43" i="33"/>
  <c r="F42" i="33"/>
  <c r="E42" i="33"/>
  <c r="D42" i="33"/>
  <c r="C42" i="33"/>
  <c r="F37" i="33"/>
  <c r="E37" i="33"/>
  <c r="D37" i="33"/>
  <c r="C37" i="33"/>
  <c r="F35" i="33"/>
  <c r="E35" i="33"/>
  <c r="D35" i="33"/>
  <c r="C35" i="33"/>
  <c r="P34" i="33"/>
  <c r="F34" i="33"/>
  <c r="E34" i="33"/>
  <c r="D34" i="33"/>
  <c r="C34" i="33"/>
  <c r="V29" i="33"/>
  <c r="U29" i="33"/>
  <c r="T29" i="33"/>
  <c r="Q28" i="33"/>
  <c r="V18" i="33" s="1"/>
  <c r="V19" i="33" s="1"/>
  <c r="V26" i="33"/>
  <c r="U26" i="33"/>
  <c r="T26" i="33"/>
  <c r="J18" i="33"/>
  <c r="I18" i="33"/>
  <c r="H18" i="33"/>
  <c r="G18" i="33"/>
  <c r="J16" i="33"/>
  <c r="J37" i="33" s="1"/>
  <c r="J35" i="33" s="1"/>
  <c r="J34" i="33" s="1"/>
  <c r="I16" i="33"/>
  <c r="I37" i="33" s="1"/>
  <c r="I35" i="33" s="1"/>
  <c r="I34" i="33" s="1"/>
  <c r="H16" i="33"/>
  <c r="H37" i="33" s="1"/>
  <c r="H35" i="33" s="1"/>
  <c r="H34" i="33" s="1"/>
  <c r="G16" i="33"/>
  <c r="G37" i="33" s="1"/>
  <c r="G35" i="33" s="1"/>
  <c r="G34" i="33" s="1"/>
  <c r="V14" i="33"/>
  <c r="U14" i="33"/>
  <c r="T14" i="33"/>
  <c r="V11" i="33"/>
  <c r="U11" i="33"/>
  <c r="T11" i="33"/>
  <c r="V9" i="33"/>
  <c r="U9" i="33"/>
  <c r="T9" i="33"/>
  <c r="P9" i="33"/>
  <c r="T18" i="33" s="1"/>
  <c r="T19" i="33" s="1"/>
  <c r="P8" i="33"/>
  <c r="D25" i="32"/>
  <c r="E21" i="32"/>
  <c r="E25" i="32" s="1"/>
  <c r="D21" i="32"/>
  <c r="C21" i="32"/>
  <c r="C25" i="32" s="1"/>
  <c r="D15" i="32"/>
  <c r="C15" i="32"/>
  <c r="D14" i="32"/>
  <c r="C14" i="32"/>
  <c r="H13" i="32"/>
  <c r="H12" i="32"/>
  <c r="L11" i="32"/>
  <c r="K11" i="32"/>
  <c r="J11" i="32"/>
  <c r="H11" i="32"/>
  <c r="D11" i="32"/>
  <c r="C11" i="32"/>
  <c r="H10" i="32"/>
  <c r="I5" i="32"/>
  <c r="I4" i="32"/>
  <c r="L99" i="31"/>
  <c r="K99" i="31"/>
  <c r="I99" i="31"/>
  <c r="H99" i="31"/>
  <c r="F99" i="31"/>
  <c r="E99" i="31"/>
  <c r="L98" i="31"/>
  <c r="K98" i="31"/>
  <c r="I98" i="31"/>
  <c r="H98" i="31"/>
  <c r="F98" i="31"/>
  <c r="E98" i="31"/>
  <c r="L97" i="31"/>
  <c r="K97" i="31"/>
  <c r="I97" i="31"/>
  <c r="H97" i="31"/>
  <c r="F97" i="31"/>
  <c r="E97" i="31"/>
  <c r="L96" i="31"/>
  <c r="K96" i="31"/>
  <c r="I96" i="31"/>
  <c r="H96" i="31"/>
  <c r="F96" i="31"/>
  <c r="E96" i="31"/>
  <c r="L95" i="31"/>
  <c r="I95" i="31"/>
  <c r="B51" i="31"/>
  <c r="H31" i="31"/>
  <c r="J30" i="31"/>
  <c r="I30" i="31"/>
  <c r="H30" i="31"/>
  <c r="M28" i="31"/>
  <c r="L28" i="31"/>
  <c r="K28" i="31"/>
  <c r="J28" i="31"/>
  <c r="I28" i="31"/>
  <c r="H28" i="31"/>
  <c r="G28" i="31"/>
  <c r="F28" i="31"/>
  <c r="E28" i="31"/>
  <c r="M27" i="31"/>
  <c r="L27" i="31"/>
  <c r="K27" i="31"/>
  <c r="J27" i="31"/>
  <c r="J31" i="31" s="1"/>
  <c r="F15" i="28" s="1"/>
  <c r="I27" i="31"/>
  <c r="I31" i="31" s="1"/>
  <c r="E15" i="28" s="1"/>
  <c r="H27" i="31"/>
  <c r="G27" i="31"/>
  <c r="F27" i="31"/>
  <c r="E27" i="31"/>
  <c r="M26" i="31"/>
  <c r="L26" i="31"/>
  <c r="K26" i="31"/>
  <c r="J26" i="31"/>
  <c r="I26" i="31"/>
  <c r="H26" i="31"/>
  <c r="G26" i="31"/>
  <c r="F26" i="31"/>
  <c r="E26" i="31"/>
  <c r="E25" i="31"/>
  <c r="M24" i="31"/>
  <c r="K24" i="31"/>
  <c r="J24" i="31"/>
  <c r="H24" i="31"/>
  <c r="G24" i="31"/>
  <c r="E24" i="31"/>
  <c r="D24" i="31"/>
  <c r="C24" i="31"/>
  <c r="M23" i="31"/>
  <c r="K23" i="31"/>
  <c r="J23" i="31"/>
  <c r="H23" i="31"/>
  <c r="G23" i="31"/>
  <c r="E23" i="31"/>
  <c r="D23" i="31"/>
  <c r="C23" i="31"/>
  <c r="M22" i="31"/>
  <c r="K22" i="31"/>
  <c r="J22" i="31"/>
  <c r="H22" i="31"/>
  <c r="G22" i="31"/>
  <c r="E22" i="31"/>
  <c r="D22" i="31"/>
  <c r="C22" i="31"/>
  <c r="M21" i="31"/>
  <c r="K21" i="31"/>
  <c r="J21" i="31"/>
  <c r="H21" i="31"/>
  <c r="G21" i="31"/>
  <c r="E21" i="31"/>
  <c r="D21" i="31"/>
  <c r="C21" i="31"/>
  <c r="J20" i="31"/>
  <c r="H20" i="31"/>
  <c r="M19" i="31"/>
  <c r="L19" i="31"/>
  <c r="K19" i="31"/>
  <c r="J19" i="31"/>
  <c r="I19" i="31"/>
  <c r="H19" i="31"/>
  <c r="G19" i="31"/>
  <c r="F19" i="31"/>
  <c r="E19" i="31"/>
  <c r="N9" i="31"/>
  <c r="D11" i="30"/>
  <c r="D18" i="30" s="1"/>
  <c r="D19" i="30" s="1"/>
  <c r="E19" i="28" s="1"/>
  <c r="E10" i="30"/>
  <c r="E17" i="30" s="1"/>
  <c r="D10" i="30"/>
  <c r="D17" i="30" s="1"/>
  <c r="C10" i="30"/>
  <c r="C17" i="30" s="1"/>
  <c r="E9" i="30"/>
  <c r="E11" i="30" s="1"/>
  <c r="D9" i="30"/>
  <c r="D16" i="30" s="1"/>
  <c r="C9" i="30"/>
  <c r="C16" i="30" s="1"/>
  <c r="N18" i="29"/>
  <c r="H18" i="29"/>
  <c r="N17" i="29"/>
  <c r="H17" i="29"/>
  <c r="N16" i="29"/>
  <c r="N19" i="29" s="1"/>
  <c r="I19" i="29"/>
  <c r="I22" i="29" s="1"/>
  <c r="H16" i="29"/>
  <c r="F17" i="28"/>
  <c r="D17" i="28"/>
  <c r="E17" i="28" s="1"/>
  <c r="F16" i="28"/>
  <c r="E16" i="28"/>
  <c r="D16" i="28"/>
  <c r="D15" i="28"/>
  <c r="F13" i="28"/>
  <c r="E13" i="28"/>
  <c r="D13" i="28"/>
  <c r="F12" i="28"/>
  <c r="E12" i="28"/>
  <c r="D12" i="28"/>
  <c r="F11" i="28"/>
  <c r="D11" i="28"/>
  <c r="E11" i="28" s="1"/>
  <c r="F10" i="28"/>
  <c r="D10" i="28"/>
  <c r="E10" i="28" s="1"/>
  <c r="F9" i="28"/>
  <c r="D9" i="28"/>
  <c r="E9" i="28" s="1"/>
  <c r="F4" i="28"/>
  <c r="E4" i="28"/>
  <c r="D4" i="28"/>
  <c r="D16" i="26"/>
  <c r="E16" i="26"/>
  <c r="C16" i="26"/>
  <c r="O19" i="29" l="1"/>
  <c r="O24" i="29" s="1"/>
  <c r="I24" i="29"/>
  <c r="D22" i="29"/>
  <c r="U10" i="33"/>
  <c r="U12" i="33" s="1"/>
  <c r="U16" i="33" s="1"/>
  <c r="T10" i="33"/>
  <c r="T12" i="33" s="1"/>
  <c r="T16" i="33" s="1"/>
  <c r="T21" i="33" s="1"/>
  <c r="U16" i="34"/>
  <c r="U20" i="34" s="1"/>
  <c r="D6" i="32" s="1"/>
  <c r="K13" i="32" s="1"/>
  <c r="U31" i="33"/>
  <c r="U32" i="33" s="1"/>
  <c r="C24" i="29"/>
  <c r="V31" i="33"/>
  <c r="V32" i="33" s="1"/>
  <c r="N23" i="29"/>
  <c r="N24" i="29"/>
  <c r="V21" i="33"/>
  <c r="T16" i="34"/>
  <c r="T20" i="34" s="1"/>
  <c r="C6" i="32" s="1"/>
  <c r="J13" i="32" s="1"/>
  <c r="E18" i="30"/>
  <c r="E19" i="30" s="1"/>
  <c r="F19" i="28" s="1"/>
  <c r="E12" i="30"/>
  <c r="V34" i="33"/>
  <c r="E5" i="32" s="1"/>
  <c r="N22" i="29"/>
  <c r="C11" i="30"/>
  <c r="D12" i="30"/>
  <c r="E16" i="30"/>
  <c r="V20" i="34"/>
  <c r="E6" i="32" s="1"/>
  <c r="L13" i="32" s="1"/>
  <c r="T31" i="33"/>
  <c r="T32" i="33" s="1"/>
  <c r="U18" i="33"/>
  <c r="U19" i="33" s="1"/>
  <c r="H19" i="29"/>
  <c r="E24" i="26"/>
  <c r="D24" i="26"/>
  <c r="C24" i="26"/>
  <c r="E53" i="25"/>
  <c r="C53" i="25"/>
  <c r="D53" i="25" s="1"/>
  <c r="E52" i="25"/>
  <c r="D52" i="25"/>
  <c r="C52" i="25"/>
  <c r="E51" i="25"/>
  <c r="C51" i="25"/>
  <c r="E50" i="25"/>
  <c r="E54" i="25" s="1"/>
  <c r="D50" i="25"/>
  <c r="C50" i="25"/>
  <c r="E38" i="25"/>
  <c r="E25" i="25"/>
  <c r="D25" i="25"/>
  <c r="C25" i="25"/>
  <c r="F8" i="25"/>
  <c r="E8" i="25"/>
  <c r="D51" i="25" s="1"/>
  <c r="D8" i="25"/>
  <c r="T34" i="33" l="1"/>
  <c r="C5" i="32" s="1"/>
  <c r="J12" i="32" s="1"/>
  <c r="O23" i="29"/>
  <c r="O22" i="29"/>
  <c r="C12" i="30"/>
  <c r="C18" i="30"/>
  <c r="C19" i="30" s="1"/>
  <c r="D19" i="28" s="1"/>
  <c r="U21" i="33"/>
  <c r="U34" i="33" s="1"/>
  <c r="D5" i="32" s="1"/>
  <c r="O27" i="29"/>
  <c r="F21" i="28" s="1"/>
  <c r="E22" i="32"/>
  <c r="E26" i="32" s="1"/>
  <c r="F14" i="28" s="1"/>
  <c r="I27" i="29" s="1"/>
  <c r="F22" i="28" s="1"/>
  <c r="L12" i="32"/>
  <c r="C54" i="25"/>
  <c r="D54" i="25"/>
  <c r="C22" i="32" l="1"/>
  <c r="C26" i="32" s="1"/>
  <c r="D22" i="32"/>
  <c r="D26" i="32" s="1"/>
  <c r="D14" i="28" s="1"/>
  <c r="C27" i="29" s="1"/>
  <c r="K12" i="32"/>
  <c r="E14" i="28" l="1"/>
  <c r="D20" i="28"/>
  <c r="N27" i="29" l="1"/>
  <c r="E21" i="28" s="1"/>
  <c r="D27" i="29"/>
  <c r="E20" i="28" s="1"/>
  <c r="H27" i="29"/>
  <c r="E22" i="28" s="1"/>
  <c r="G169" i="14" l="1"/>
  <c r="F169" i="14"/>
  <c r="E169" i="14"/>
  <c r="G168" i="14"/>
  <c r="F168" i="14"/>
  <c r="E168" i="14"/>
  <c r="O167" i="14"/>
  <c r="N167" i="14"/>
  <c r="K167" i="14"/>
  <c r="J167" i="14"/>
  <c r="G167" i="14"/>
  <c r="F167" i="14"/>
  <c r="E167" i="14"/>
  <c r="M167" i="14" s="1"/>
  <c r="G166" i="14"/>
  <c r="K166" i="14" s="1"/>
  <c r="F166" i="14"/>
  <c r="N166" i="14" s="1"/>
  <c r="E166" i="14"/>
  <c r="M166" i="14" s="1"/>
  <c r="O160" i="14"/>
  <c r="N160" i="14"/>
  <c r="M160" i="14"/>
  <c r="K160" i="14"/>
  <c r="J160" i="14"/>
  <c r="I160" i="14"/>
  <c r="O159" i="14"/>
  <c r="N159" i="14"/>
  <c r="M159" i="14"/>
  <c r="K159" i="14"/>
  <c r="J159" i="14"/>
  <c r="I159" i="14"/>
  <c r="O153" i="14"/>
  <c r="N153" i="14"/>
  <c r="M153" i="14"/>
  <c r="K153" i="14"/>
  <c r="J153" i="14"/>
  <c r="I153" i="14"/>
  <c r="O152" i="14"/>
  <c r="N152" i="14"/>
  <c r="M152" i="14"/>
  <c r="K152" i="14"/>
  <c r="J152" i="14"/>
  <c r="I152" i="14"/>
  <c r="G147" i="14"/>
  <c r="G145" i="14" s="1"/>
  <c r="K145" i="14" s="1"/>
  <c r="F147" i="14"/>
  <c r="F145" i="14" s="1"/>
  <c r="E147" i="14"/>
  <c r="E145" i="14" s="1"/>
  <c r="J146" i="14"/>
  <c r="G146" i="14"/>
  <c r="K146" i="14" s="1"/>
  <c r="F146" i="14"/>
  <c r="O146" i="14" s="1"/>
  <c r="E146" i="14"/>
  <c r="I146" i="14" s="1"/>
  <c r="O140" i="14"/>
  <c r="N140" i="14"/>
  <c r="M140" i="14"/>
  <c r="K140" i="14"/>
  <c r="J140" i="14"/>
  <c r="I140" i="14"/>
  <c r="O139" i="14"/>
  <c r="N139" i="14"/>
  <c r="M139" i="14"/>
  <c r="K139" i="14"/>
  <c r="J139" i="14"/>
  <c r="I139" i="14"/>
  <c r="I133" i="14"/>
  <c r="G133" i="14"/>
  <c r="K133" i="14" s="1"/>
  <c r="F133" i="14"/>
  <c r="O133" i="14" s="1"/>
  <c r="E133" i="14"/>
  <c r="M133" i="14" s="1"/>
  <c r="J132" i="14"/>
  <c r="G132" i="14"/>
  <c r="K132" i="14" s="1"/>
  <c r="F132" i="14"/>
  <c r="N132" i="14" s="1"/>
  <c r="E132" i="14"/>
  <c r="M132" i="14" s="1"/>
  <c r="O127" i="14"/>
  <c r="N127" i="14"/>
  <c r="M127" i="14"/>
  <c r="K127" i="14"/>
  <c r="J127" i="14"/>
  <c r="I127" i="14"/>
  <c r="O126" i="14"/>
  <c r="N126" i="14"/>
  <c r="M126" i="14"/>
  <c r="K126" i="14"/>
  <c r="J126" i="14"/>
  <c r="I126" i="14"/>
  <c r="O121" i="14"/>
  <c r="N121" i="14"/>
  <c r="M121" i="14"/>
  <c r="K121" i="14"/>
  <c r="J121" i="14"/>
  <c r="I121" i="14"/>
  <c r="O120" i="14"/>
  <c r="N120" i="14"/>
  <c r="M120" i="14"/>
  <c r="K120" i="14"/>
  <c r="J120" i="14"/>
  <c r="I120" i="14"/>
  <c r="G117" i="14"/>
  <c r="F117" i="14"/>
  <c r="E117" i="14"/>
  <c r="G116" i="14"/>
  <c r="F116" i="14"/>
  <c r="E116" i="14"/>
  <c r="K115" i="14"/>
  <c r="J115" i="14"/>
  <c r="G115" i="14"/>
  <c r="F115" i="14"/>
  <c r="O115" i="14" s="1"/>
  <c r="E115" i="14"/>
  <c r="M115" i="14" s="1"/>
  <c r="J114" i="14"/>
  <c r="G114" i="14"/>
  <c r="K114" i="14" s="1"/>
  <c r="F114" i="14"/>
  <c r="N114" i="14" s="1"/>
  <c r="E114" i="14"/>
  <c r="M114" i="14" s="1"/>
  <c r="G111" i="14"/>
  <c r="F111" i="14"/>
  <c r="E111" i="14"/>
  <c r="G110" i="14"/>
  <c r="F110" i="14"/>
  <c r="E110" i="14"/>
  <c r="K109" i="14"/>
  <c r="J109" i="14"/>
  <c r="G109" i="14"/>
  <c r="F109" i="14"/>
  <c r="O109" i="14" s="1"/>
  <c r="E109" i="14"/>
  <c r="M109" i="14" s="1"/>
  <c r="K108" i="14"/>
  <c r="J108" i="14"/>
  <c r="G108" i="14"/>
  <c r="F108" i="14"/>
  <c r="N108" i="14" s="1"/>
  <c r="E108" i="14"/>
  <c r="M108" i="14" s="1"/>
  <c r="G105" i="14"/>
  <c r="F105" i="14"/>
  <c r="E105" i="14"/>
  <c r="G104" i="14"/>
  <c r="F104" i="14"/>
  <c r="E104" i="14"/>
  <c r="K103" i="14"/>
  <c r="G103" i="14"/>
  <c r="F103" i="14"/>
  <c r="N103" i="14" s="1"/>
  <c r="E103" i="14"/>
  <c r="M103" i="14" s="1"/>
  <c r="O102" i="14"/>
  <c r="J102" i="14"/>
  <c r="G102" i="14"/>
  <c r="K102" i="14" s="1"/>
  <c r="F102" i="14"/>
  <c r="N102" i="14" s="1"/>
  <c r="E102" i="14"/>
  <c r="M102" i="14" s="1"/>
  <c r="G99" i="14"/>
  <c r="F99" i="14"/>
  <c r="E99" i="14"/>
  <c r="G98" i="14"/>
  <c r="F98" i="14"/>
  <c r="E98" i="14"/>
  <c r="K97" i="14"/>
  <c r="J97" i="14"/>
  <c r="G97" i="14"/>
  <c r="F97" i="14"/>
  <c r="O97" i="14" s="1"/>
  <c r="E97" i="14"/>
  <c r="M97" i="14" s="1"/>
  <c r="J96" i="14"/>
  <c r="G96" i="14"/>
  <c r="K96" i="14" s="1"/>
  <c r="F96" i="14"/>
  <c r="N96" i="14" s="1"/>
  <c r="E96" i="14"/>
  <c r="M96" i="14" s="1"/>
  <c r="O91" i="14"/>
  <c r="N91" i="14"/>
  <c r="M91" i="14"/>
  <c r="K91" i="14"/>
  <c r="J91" i="14"/>
  <c r="I91" i="14"/>
  <c r="O90" i="14"/>
  <c r="N90" i="14"/>
  <c r="M90" i="14"/>
  <c r="K90" i="14"/>
  <c r="J90" i="14"/>
  <c r="I90" i="14"/>
  <c r="O85" i="14"/>
  <c r="N85" i="14"/>
  <c r="M85" i="14"/>
  <c r="K85" i="14"/>
  <c r="J85" i="14"/>
  <c r="I85" i="14"/>
  <c r="O84" i="14"/>
  <c r="N84" i="14"/>
  <c r="M84" i="14"/>
  <c r="K84" i="14"/>
  <c r="J84" i="14"/>
  <c r="I84" i="14"/>
  <c r="O79" i="14"/>
  <c r="N79" i="14"/>
  <c r="M79" i="14"/>
  <c r="K79" i="14"/>
  <c r="J79" i="14"/>
  <c r="I79" i="14"/>
  <c r="O78" i="14"/>
  <c r="N78" i="14"/>
  <c r="M78" i="14"/>
  <c r="K78" i="14"/>
  <c r="J78" i="14"/>
  <c r="I78" i="14"/>
  <c r="O73" i="14"/>
  <c r="N73" i="14"/>
  <c r="M73" i="14"/>
  <c r="K73" i="14"/>
  <c r="J73" i="14"/>
  <c r="I73" i="14"/>
  <c r="O72" i="14"/>
  <c r="N72" i="14"/>
  <c r="M72" i="14"/>
  <c r="K72" i="14"/>
  <c r="J72" i="14"/>
  <c r="I72" i="14"/>
  <c r="O60" i="14"/>
  <c r="N60" i="14"/>
  <c r="M60" i="14"/>
  <c r="K60" i="14"/>
  <c r="J60" i="14"/>
  <c r="I60" i="14"/>
  <c r="O59" i="14"/>
  <c r="N59" i="14"/>
  <c r="M59" i="14"/>
  <c r="K59" i="14"/>
  <c r="J59" i="14"/>
  <c r="I59" i="14"/>
  <c r="O53" i="14"/>
  <c r="N53" i="14"/>
  <c r="M53" i="14"/>
  <c r="K53" i="14"/>
  <c r="J53" i="14"/>
  <c r="I53" i="14"/>
  <c r="O52" i="14"/>
  <c r="N52" i="14"/>
  <c r="M52" i="14"/>
  <c r="K52" i="14"/>
  <c r="J52" i="14"/>
  <c r="I52" i="14"/>
  <c r="O46" i="14"/>
  <c r="N46" i="14"/>
  <c r="M46" i="14"/>
  <c r="K46" i="14"/>
  <c r="J46" i="14"/>
  <c r="I46" i="14"/>
  <c r="O45" i="14"/>
  <c r="N45" i="14"/>
  <c r="M45" i="14"/>
  <c r="K45" i="14"/>
  <c r="J45" i="14"/>
  <c r="I45" i="14"/>
  <c r="O32" i="14"/>
  <c r="N32" i="14"/>
  <c r="M32" i="14"/>
  <c r="K32" i="14"/>
  <c r="J32" i="14"/>
  <c r="I32" i="14"/>
  <c r="O31" i="14"/>
  <c r="N31" i="14"/>
  <c r="M31" i="14"/>
  <c r="K31" i="14"/>
  <c r="J31" i="14"/>
  <c r="I31" i="14"/>
  <c r="O19" i="14"/>
  <c r="N19" i="14"/>
  <c r="M19" i="14"/>
  <c r="K19" i="14"/>
  <c r="J19" i="14"/>
  <c r="I19" i="14"/>
  <c r="O18" i="14"/>
  <c r="N18" i="14"/>
  <c r="M18" i="14"/>
  <c r="K18" i="14"/>
  <c r="J18" i="14"/>
  <c r="I18" i="14"/>
  <c r="O7" i="14"/>
  <c r="N7" i="14"/>
  <c r="M7" i="14"/>
  <c r="K7" i="14"/>
  <c r="J7" i="14"/>
  <c r="I7" i="14"/>
  <c r="O6" i="14"/>
  <c r="N6" i="14"/>
  <c r="M6" i="14"/>
  <c r="K6" i="14"/>
  <c r="J6" i="14"/>
  <c r="I6" i="14"/>
  <c r="O145" i="14" l="1"/>
  <c r="J145" i="14"/>
  <c r="J103" i="14"/>
  <c r="I97" i="14"/>
  <c r="O103" i="14"/>
  <c r="I109" i="14"/>
  <c r="O114" i="14"/>
  <c r="O132" i="14"/>
  <c r="N109" i="14"/>
  <c r="N97" i="14"/>
  <c r="O96" i="14"/>
  <c r="I103" i="14"/>
  <c r="O108" i="14"/>
  <c r="I115" i="14"/>
  <c r="N115" i="14"/>
  <c r="I145" i="14"/>
  <c r="M145" i="14"/>
  <c r="I96" i="14"/>
  <c r="I102" i="14"/>
  <c r="I108" i="14"/>
  <c r="I114" i="14"/>
  <c r="I132" i="14"/>
  <c r="O166" i="14"/>
  <c r="J133" i="14"/>
  <c r="N145" i="14"/>
  <c r="M146" i="14"/>
  <c r="N146" i="14"/>
  <c r="I166" i="14"/>
  <c r="J166" i="14"/>
  <c r="I167" i="14"/>
  <c r="N133" i="14"/>
  <c r="D60" i="12" l="1"/>
  <c r="I60" i="11"/>
  <c r="F60" i="12" l="1"/>
  <c r="I60" i="12"/>
  <c r="L60" i="12"/>
  <c r="E60" i="12"/>
  <c r="D60" i="11"/>
  <c r="E60" i="11"/>
  <c r="F60" i="11"/>
  <c r="J60" i="12"/>
  <c r="K60" i="12"/>
  <c r="G60" i="12"/>
  <c r="H60" i="12"/>
  <c r="J60" i="11"/>
  <c r="K60" i="11"/>
  <c r="L60" i="11"/>
  <c r="G60" i="11"/>
  <c r="H60" i="11"/>
  <c r="K59" i="10" l="1"/>
  <c r="J59" i="10"/>
  <c r="I59" i="10"/>
  <c r="H59" i="10"/>
  <c r="G59" i="10"/>
  <c r="F59" i="10"/>
  <c r="E59" i="10"/>
  <c r="D59" i="10"/>
  <c r="C59" i="10"/>
  <c r="O111" i="9"/>
  <c r="N111" i="9"/>
  <c r="M111" i="9"/>
  <c r="K109" i="9"/>
  <c r="I109" i="9"/>
  <c r="I80" i="9"/>
  <c r="L111" i="9"/>
  <c r="K111" i="9"/>
  <c r="J111" i="9"/>
  <c r="I111" i="9"/>
  <c r="F111" i="9"/>
  <c r="D111" i="9"/>
  <c r="C111" i="9"/>
  <c r="H59" i="7"/>
  <c r="G59" i="7"/>
  <c r="F59" i="7"/>
  <c r="J26" i="7"/>
  <c r="K26" i="7" s="1"/>
  <c r="D26" i="7"/>
  <c r="E26" i="7" s="1"/>
  <c r="K7" i="7"/>
  <c r="J7" i="7"/>
  <c r="I7" i="7"/>
  <c r="E7" i="7"/>
  <c r="D7" i="7"/>
  <c r="C7" i="7"/>
  <c r="K5" i="7"/>
  <c r="K59" i="7" s="1"/>
  <c r="J5" i="7"/>
  <c r="I5" i="7"/>
  <c r="E5" i="7"/>
  <c r="E59" i="7" s="1"/>
  <c r="D5" i="7"/>
  <c r="D59" i="7" s="1"/>
  <c r="C5" i="7"/>
  <c r="C59" i="7" s="1"/>
  <c r="H59" i="6"/>
  <c r="G59" i="6"/>
  <c r="F59" i="6"/>
  <c r="K40" i="6"/>
  <c r="J40" i="6"/>
  <c r="I40" i="6"/>
  <c r="E40" i="6"/>
  <c r="D40" i="6"/>
  <c r="C40" i="6"/>
  <c r="J26" i="6"/>
  <c r="K26" i="6" s="1"/>
  <c r="D26" i="6"/>
  <c r="E26" i="6" s="1"/>
  <c r="K7" i="6"/>
  <c r="J7" i="6"/>
  <c r="I7" i="6"/>
  <c r="E7" i="6"/>
  <c r="D7" i="6"/>
  <c r="C7" i="6"/>
  <c r="C59" i="6" s="1"/>
  <c r="K5" i="6"/>
  <c r="J5" i="6"/>
  <c r="J59" i="6" s="1"/>
  <c r="I5" i="6"/>
  <c r="E5" i="6"/>
  <c r="D5" i="6"/>
  <c r="C5" i="6"/>
  <c r="E111" i="9" l="1"/>
  <c r="G111" i="9"/>
  <c r="H111" i="9"/>
  <c r="I59" i="7"/>
  <c r="J59" i="7"/>
  <c r="D59" i="6"/>
  <c r="E59" i="6"/>
  <c r="I59" i="6"/>
  <c r="K59"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tc={39AF0CCD-EB19-4C82-B118-F2B699CA6381}</author>
  </authors>
  <commentList>
    <comment ref="O81" authorId="0" shapeId="0" xr:uid="{39AF0CCD-EB19-4C82-B118-F2B699CA6381}">
      <text>
        <t>[Threaded comment]
Your version of Excel allows you to read this threaded comment; however, any edits to it will get removed if the file is opened in a newer version of Excel. Learn more: https://go.microsoft.com/fwlink/?linkid=870924
Comment:
    HIGH: 72.500 MW including extra input 20 GW in ONDP.</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<sst xmlns="http://schemas.openxmlformats.org/spreadsheetml/2006/main" count="2044" uniqueCount="797">
  <si>
    <t xml:space="preserve">SUPPLY INPUTS </t>
  </si>
  <si>
    <t>_</t>
  </si>
  <si>
    <t>TYNDP 2024 Scenarios</t>
  </si>
  <si>
    <t>Trajectories Methodology</t>
  </si>
  <si>
    <t>1.1. Solar Trajectories</t>
  </si>
  <si>
    <t>1.2. Wind Onshore Trajectories</t>
  </si>
  <si>
    <t>1.3. Wind Offshore Trajectories</t>
  </si>
  <si>
    <t>1.4. Nuclear Ex-ante capacities</t>
  </si>
  <si>
    <t>1.5. Prosumer Battery Trajectories</t>
  </si>
  <si>
    <t>1.6. Utility Battery Trajectories</t>
  </si>
  <si>
    <t>Costs Methodology</t>
  </si>
  <si>
    <t>2.1. Technology Costs</t>
  </si>
  <si>
    <t>2.2. Offshore Costs detailed calculation</t>
  </si>
  <si>
    <t>Commodity and CO2 prices</t>
  </si>
  <si>
    <t>3.1 Price matrix</t>
  </si>
  <si>
    <t>3.2. Gas blends calculation</t>
  </si>
  <si>
    <t>3.3. Import Costs of Amonia and Hydrogen</t>
  </si>
  <si>
    <t>3.4. Commodity and CO2 price resource details</t>
  </si>
  <si>
    <t>3.5. Biomethane Cost Overview</t>
  </si>
  <si>
    <t xml:space="preserve">3.6. Biogas + upgrade </t>
  </si>
  <si>
    <t>3.7. Thermal gasification</t>
  </si>
  <si>
    <t>Extra EU  Import Potentials</t>
  </si>
  <si>
    <t>4.1. Import Potentials for Hydrogen</t>
  </si>
  <si>
    <t xml:space="preserve">4.2. Import Potentials for Methane </t>
  </si>
  <si>
    <t>4.3. Import prices for hydrogen</t>
  </si>
  <si>
    <r>
      <t xml:space="preserve">TYNDP 2024 scenario cycle will include six scenarios. Depending on how there are developed, these scenarios are labelled either </t>
    </r>
    <r>
      <rPr>
        <b/>
        <sz val="11"/>
        <color rgb="FF000000"/>
        <rFont val="Calibri"/>
        <family val="2"/>
        <scheme val="minor"/>
      </rPr>
      <t>National Trends+</t>
    </r>
    <r>
      <rPr>
        <sz val="11"/>
        <color rgb="FF000000"/>
        <rFont val="Calibri"/>
        <family val="2"/>
        <scheme val="minor"/>
      </rPr>
      <t xml:space="preserve"> (‘NT+') scenarios or </t>
    </r>
    <r>
      <rPr>
        <b/>
        <sz val="11"/>
        <color rgb="FF000000"/>
        <rFont val="Calibri"/>
        <family val="2"/>
        <scheme val="minor"/>
      </rPr>
      <t>Deviation Scenarios</t>
    </r>
    <r>
      <rPr>
        <sz val="11"/>
        <color rgb="FF000000"/>
        <rFont val="Calibri"/>
        <family val="2"/>
        <scheme val="minor"/>
      </rPr>
      <t xml:space="preserve"> (Distributed Energy ‘DE’ and Global Ambition ‘GA’).  </t>
    </r>
  </si>
  <si>
    <t>NT+ Scenarios</t>
  </si>
  <si>
    <t>The Deviation Scenarios (DE &amp; GA)</t>
  </si>
  <si>
    <r>
      <t xml:space="preserve">-  	The NT+ scenario developed based on the TSOs data in accordance with the anticipated NECPs (as TSOs best estimate), whose draft versions are to be published in summer 2023. </t>
    </r>
    <r>
      <rPr>
        <u/>
        <sz val="11"/>
        <color rgb="FFFF0000"/>
        <rFont val="Calibri"/>
        <family val="2"/>
        <scheme val="minor"/>
      </rPr>
      <t>Therefore the dataset for this scenario is provided only for information, not for consultation.</t>
    </r>
    <r>
      <rPr>
        <sz val="11"/>
        <color theme="1"/>
        <rFont val="Calibri"/>
        <family val="2"/>
        <scheme val="minor"/>
      </rPr>
      <t xml:space="preserve">
-  	These scenarios will be created for the 2030 and 2040 time horizons, because datasets for the 2050 time horizons are not available in all countries.
</t>
    </r>
  </si>
  <si>
    <r>
      <t xml:space="preserve">-  	These scenarios are deviations from the NT+ 2030 scenario according to their respective storylines. Therefore, they require a Storyline Update Process. </t>
    </r>
    <r>
      <rPr>
        <u/>
        <sz val="11"/>
        <color rgb="FFFF0000"/>
        <rFont val="Calibri"/>
        <family val="2"/>
        <scheme val="minor"/>
      </rPr>
      <t>Their storyline will be ensured with the differentiation of the datasets which are part of the consultation.</t>
    </r>
    <r>
      <rPr>
        <sz val="11"/>
        <color theme="1"/>
        <rFont val="Calibri"/>
        <family val="2"/>
        <scheme val="minor"/>
      </rPr>
      <t xml:space="preserve">
-  	These scenarios will be created for the 2040 and 2050 time horizons (2030 NT+ is the starting point). In addition, the 2035-time horizon will be reported as a snapshot. </t>
    </r>
  </si>
  <si>
    <t>1. Trajectories Methodology</t>
  </si>
  <si>
    <r>
      <rPr>
        <b/>
        <sz val="11"/>
        <color theme="1"/>
        <rFont val="Calibri"/>
        <family val="2"/>
        <scheme val="minor"/>
      </rPr>
      <t xml:space="preserve">Trajectories defines the minimum and maximum levels of capacity expansion for the RES Technologies.
The LOW* and HIGH trajectories will be used as lower (minimum levels of capacity expansion) and upper (maximum levels of capacity expansion) bounds for expansion of supply technologies (RES) in 2030, 2040 and 2050, in the two deviation scenarios, i.e., Distributed Energy and Global Ambition;
---&gt; The differentiation among the two deviation scenarios will happen within the boundaries set by the LOW and HIGH trajectories; according to their storylines (e.g. according to cost differentiation).
</t>
    </r>
    <r>
      <rPr>
        <b/>
        <sz val="11"/>
        <color rgb="FFFF0000"/>
        <rFont val="Calibri"/>
        <family val="2"/>
        <scheme val="minor"/>
      </rPr>
      <t>---&gt; The BEST ESTIMATE data will be directly used for National Trends (+) scenarios (not part of public consultation).</t>
    </r>
    <r>
      <rPr>
        <b/>
        <sz val="11"/>
        <color theme="1"/>
        <rFont val="Calibri"/>
        <family val="2"/>
        <scheme val="minor"/>
      </rPr>
      <t xml:space="preserve">
</t>
    </r>
    <r>
      <rPr>
        <b/>
        <u/>
        <sz val="11"/>
        <color theme="1"/>
        <rFont val="Calibri"/>
        <family val="2"/>
        <scheme val="minor"/>
      </rPr>
      <t>Solar, Wind and Nuclear trajectories** are developed as following:</t>
    </r>
    <r>
      <rPr>
        <u/>
        <sz val="11"/>
        <color theme="1"/>
        <rFont val="Calibri"/>
        <family val="2"/>
        <scheme val="minor"/>
      </rPr>
      <t xml:space="preserve">
</t>
    </r>
    <r>
      <rPr>
        <sz val="11"/>
        <color theme="1"/>
        <rFont val="Calibri"/>
        <family val="2"/>
        <scheme val="minor"/>
      </rPr>
      <t xml:space="preserve">
</t>
    </r>
    <r>
      <rPr>
        <b/>
        <sz val="11"/>
        <color rgb="FF0070C0"/>
        <rFont val="Calibri"/>
        <family val="2"/>
        <scheme val="minor"/>
      </rPr>
      <t xml:space="preserve">1) WG Scenario Building creates the default trajectories based on the literature: </t>
    </r>
    <r>
      <rPr>
        <b/>
        <sz val="11"/>
        <color theme="1"/>
        <rFont val="Calibri"/>
        <family val="2"/>
        <scheme val="minor"/>
      </rPr>
      <t xml:space="preserve">
</t>
    </r>
    <r>
      <rPr>
        <b/>
        <sz val="10"/>
        <color theme="1"/>
        <rFont val="Calibri Light"/>
        <family val="2"/>
        <scheme val="major"/>
      </rPr>
      <t xml:space="preserve">RES Upper Range: 
</t>
    </r>
    <r>
      <rPr>
        <sz val="10"/>
        <color theme="1"/>
        <rFont val="Calibri Light"/>
        <family val="2"/>
        <scheme val="major"/>
      </rPr>
      <t xml:space="preserve">The upper range has been built independently for each country by taking the maximum across a set of published study. The resulting EU aggregated level is therefore higher than in any particular study. 
</t>
    </r>
    <r>
      <rPr>
        <b/>
        <sz val="10"/>
        <color theme="1"/>
        <rFont val="Calibri Light"/>
        <family val="2"/>
        <scheme val="major"/>
      </rPr>
      <t xml:space="preserve">
</t>
    </r>
    <r>
      <rPr>
        <sz val="10"/>
        <color rgb="FFFF0000"/>
        <rFont val="Calibri Light"/>
        <family val="2"/>
        <scheme val="major"/>
      </rPr>
      <t xml:space="preserve">2030: </t>
    </r>
    <r>
      <rPr>
        <sz val="10"/>
        <color theme="1"/>
        <rFont val="Calibri Light"/>
        <family val="2"/>
        <scheme val="major"/>
      </rPr>
      <t xml:space="preserve">
The same approach is used for PV, onshore and offshore wind. The upper range is the maximum between the EC Mix-CP scenario (July 2021), EC Fit-for-55 scenario (sent by EC on 26 August 2022 on confidential basis for the purpose of TYNDP 2024 scenario building process) and TSOs (TYNDP 2022 National Trends).  
</t>
    </r>
    <r>
      <rPr>
        <sz val="10"/>
        <color rgb="FFFF0000"/>
        <rFont val="Calibri Light"/>
        <family val="2"/>
        <scheme val="major"/>
      </rPr>
      <t xml:space="preserve">2040: </t>
    </r>
    <r>
      <rPr>
        <sz val="10"/>
        <color theme="1"/>
        <rFont val="Calibri Light"/>
        <family val="2"/>
        <scheme val="major"/>
      </rPr>
      <t xml:space="preserve">
The same approach is used for PV, onshore and offshore wind. The upper range is either a country (TSO or Member States) data if available for 2040 or 2037 (in such case the 2030-2037 trend is prolonged) or the average of the 2030 and 2050 data. 
</t>
    </r>
    <r>
      <rPr>
        <sz val="10"/>
        <color rgb="FFFF0000"/>
        <rFont val="Calibri Light"/>
        <family val="2"/>
        <scheme val="major"/>
      </rPr>
      <t>2050:</t>
    </r>
    <r>
      <rPr>
        <sz val="10"/>
        <color theme="1"/>
        <rFont val="Calibri Light"/>
        <family val="2"/>
        <scheme val="major"/>
      </rPr>
      <t xml:space="preserve">
For 2050, the upper range is the maximum between a third-party study and the national data if available. Third party study for: 
- Solar, PAC Scenario [1] using the relative country breakdown of the SolarPower Europe/LUT Moderate scenario [2] 
- Onshore wind, EC CPRICE [3] scenario using the relative country breakdown of the JRC Low potential from the ENSPRESO database [4]
- Offshore wind, Wind Europe 450 GW scenario [5] for most of the countries, the Guidehouse study on the offshore grid potential in the Mediterranean region [6] for Greece, Spain, Croatia, Italy and Slovenia. For Romania and Bulgaria, the upper offshore wind range is based on the EU27 300 GW target and the country share in the JRC medium potential. 
</t>
    </r>
    <r>
      <rPr>
        <b/>
        <sz val="10"/>
        <color theme="1"/>
        <rFont val="Calibri Light"/>
        <family val="2"/>
        <scheme val="major"/>
      </rPr>
      <t>RES lower range</t>
    </r>
    <r>
      <rPr>
        <sz val="10"/>
        <color theme="1"/>
        <rFont val="Calibri Light"/>
        <family val="2"/>
        <scheme val="major"/>
      </rPr>
      <t xml:space="preserve">
For sake of simplicity a percentage discount has been applied to the upper range for each time horizon. The percentage increases over the time to give more flexibility to the model to build differentiated scenarios:
- 2030: -15%
- 2040: -30%
- 2050: -45%
</t>
    </r>
    <r>
      <rPr>
        <b/>
        <sz val="10"/>
        <color theme="1"/>
        <rFont val="Calibri Light"/>
        <family val="2"/>
        <scheme val="major"/>
      </rPr>
      <t xml:space="preserve">Nuclear range 
</t>
    </r>
    <r>
      <rPr>
        <sz val="10"/>
        <color theme="1"/>
        <rFont val="Calibri Light"/>
        <family val="2"/>
        <scheme val="major"/>
      </rPr>
      <t xml:space="preserve">As in 2022 edition, nuclear capacity will be defined ex-ante based on storyline and national policies as nuclear is not an investment option within the model. The default values to be adjusted by TSOs are based on the TYNDP 2022 DE and GA scenarios. 
</t>
    </r>
    <r>
      <rPr>
        <b/>
        <sz val="10"/>
        <color rgb="FF0070C0"/>
        <rFont val="Calibri Light"/>
        <family val="2"/>
        <scheme val="major"/>
      </rPr>
      <t>2</t>
    </r>
    <r>
      <rPr>
        <b/>
        <sz val="11"/>
        <color rgb="FF0070C0"/>
        <rFont val="Calibri"/>
        <family val="2"/>
        <scheme val="minor"/>
      </rPr>
      <t xml:space="preserve">) Electricity TSOs reviewed their country specific trajectories and updated them (if necessary) based on their national expertise / knowledge.
</t>
    </r>
    <r>
      <rPr>
        <b/>
        <u/>
        <sz val="10"/>
        <rFont val="Calibri Light"/>
        <family val="2"/>
        <scheme val="major"/>
      </rPr>
      <t>The Batteries trajectories are developed as following:</t>
    </r>
    <r>
      <rPr>
        <b/>
        <sz val="10"/>
        <rFont val="Calibri Light"/>
        <family val="2"/>
        <scheme val="major"/>
      </rPr>
      <t xml:space="preserve">
</t>
    </r>
    <r>
      <rPr>
        <sz val="10"/>
        <rFont val="Calibri Light"/>
        <family val="2"/>
        <scheme val="major"/>
      </rPr>
      <t>• LOW is equal to BE (Best Estimate) as collected by the TSOs.
• HIGH is linked with Solar PV - HIGH trajectories:
---&gt;  Non-Market batteries are linked with Solar PV Rooftop. Market batteries are linked with Solar PV Farms.
---&gt; Ratio (European mean) computed from PEMMDBs: Non-market/rooftop: the share is calculated as European Mean, Market/utility PV: the shares are calculated for each region (Central, Nordic-Baltic, North, South)</t>
    </r>
  </si>
  <si>
    <t>*For offshore trajectories, LOW and Best Estimate figures will be same according to the non-binding agreements of MS, and the HIGH figures is taken from the submitted TSOs HIGH figures (if this is higher than MS agreements</t>
  </si>
  <si>
    <t xml:space="preserve">** Ireland (IE00) and Northern Ireland (UK01) solar, wind and battery figures will be updated as there are some errors discovered in the data </t>
  </si>
  <si>
    <t>[1] PAC_C2.7_Energy_supply_-_Mobilising_solar_energy.pdf (pac-scenarios.eu)</t>
  </si>
  <si>
    <t>[2] 100% Renewable Europe study - SolarPower Europe</t>
  </si>
  <si>
    <t>[3] resource.html (europa.eu)</t>
  </si>
  <si>
    <t>[4] Joint Research Centre Data Catalogue - ENSPRESO - an open data, EU-28 wide, transparent a... - European Commission (europa.eu)</t>
  </si>
  <si>
    <t>[5] Our energy, our future | WindEurope</t>
  </si>
  <si>
    <t>[6] Study on the offshore grid potential in the Mediterranean region - Publications Office of the EU (europa.eu)</t>
  </si>
  <si>
    <t>MW</t>
  </si>
  <si>
    <t>LOW</t>
  </si>
  <si>
    <t>BEST ESTIMATE</t>
  </si>
  <si>
    <t>HIGH</t>
  </si>
  <si>
    <t>Share (Solar Rooftop)/(Solar PV Total)</t>
  </si>
  <si>
    <t>Country</t>
  </si>
  <si>
    <t>AL00</t>
  </si>
  <si>
    <t>AT00</t>
  </si>
  <si>
    <t>BA00</t>
  </si>
  <si>
    <t>BE00</t>
  </si>
  <si>
    <t>BG00</t>
  </si>
  <si>
    <t>CH00</t>
  </si>
  <si>
    <t>CY00</t>
  </si>
  <si>
    <t>CZ00</t>
  </si>
  <si>
    <t>DE00</t>
  </si>
  <si>
    <t>DEKF</t>
  </si>
  <si>
    <t>DKE1</t>
  </si>
  <si>
    <t>DKKF</t>
  </si>
  <si>
    <t>DKW1</t>
  </si>
  <si>
    <t>EE00</t>
  </si>
  <si>
    <t>ES00</t>
  </si>
  <si>
    <t>FI00</t>
  </si>
  <si>
    <t>FR00</t>
  </si>
  <si>
    <t>*The aggregation covers all PEMMDB countries (EU27 + AL, BA, CH, ME, MK, NO, RS, UK)</t>
  </si>
  <si>
    <t>GR00</t>
  </si>
  <si>
    <t>GR03</t>
  </si>
  <si>
    <t>HR00</t>
  </si>
  <si>
    <t>HU00</t>
  </si>
  <si>
    <t>IE00</t>
  </si>
  <si>
    <t>ITCA</t>
  </si>
  <si>
    <t>ITCN</t>
  </si>
  <si>
    <t>ITCS</t>
  </si>
  <si>
    <t>ITN1</t>
  </si>
  <si>
    <t>ITS1</t>
  </si>
  <si>
    <t>ITSA</t>
  </si>
  <si>
    <t>ITSI</t>
  </si>
  <si>
    <t>LT00</t>
  </si>
  <si>
    <t>LUB1</t>
  </si>
  <si>
    <t>LUF1</t>
  </si>
  <si>
    <t>LUG1</t>
  </si>
  <si>
    <t>LUV1</t>
  </si>
  <si>
    <t>LV00</t>
  </si>
  <si>
    <t>ME00</t>
  </si>
  <si>
    <t>MK00</t>
  </si>
  <si>
    <t>MT00</t>
  </si>
  <si>
    <t>NL00</t>
  </si>
  <si>
    <t>NOM1</t>
  </si>
  <si>
    <t>NON1</t>
  </si>
  <si>
    <t>NOS0</t>
  </si>
  <si>
    <t>PL00</t>
  </si>
  <si>
    <t>PT00</t>
  </si>
  <si>
    <t>RO00</t>
  </si>
  <si>
    <t>RS00</t>
  </si>
  <si>
    <t>SE01</t>
  </si>
  <si>
    <t>SE02</t>
  </si>
  <si>
    <t>SE03</t>
  </si>
  <si>
    <t>SE04</t>
  </si>
  <si>
    <t>SI00</t>
  </si>
  <si>
    <t>SK00</t>
  </si>
  <si>
    <t>UK00</t>
  </si>
  <si>
    <t>UKNI</t>
  </si>
  <si>
    <t>TOTAL</t>
  </si>
  <si>
    <t>BEST ESTIMATE (BE)</t>
  </si>
  <si>
    <t>PECD</t>
  </si>
  <si>
    <t>BE01</t>
  </si>
  <si>
    <t>BE02</t>
  </si>
  <si>
    <t>BE03</t>
  </si>
  <si>
    <t>BG01</t>
  </si>
  <si>
    <t>DE011</t>
  </si>
  <si>
    <t>DE012</t>
  </si>
  <si>
    <t>DE013</t>
  </si>
  <si>
    <t>DE02</t>
  </si>
  <si>
    <t>DE03</t>
  </si>
  <si>
    <t>DE04</t>
  </si>
  <si>
    <t>DE05</t>
  </si>
  <si>
    <t>DE06</t>
  </si>
  <si>
    <t>DE07</t>
  </si>
  <si>
    <t>LOW=BEST ESTIMATE acc to the MS agreements</t>
  </si>
  <si>
    <t>DKBH</t>
  </si>
  <si>
    <t>HIGH is coming from TSO high trajectory (if higher than ONDP figures)</t>
  </si>
  <si>
    <t>DKW11+DKW12</t>
  </si>
  <si>
    <t>ES01</t>
  </si>
  <si>
    <t>ES02</t>
  </si>
  <si>
    <t>ES03</t>
  </si>
  <si>
    <t>ES04</t>
  </si>
  <si>
    <t>ES05</t>
  </si>
  <si>
    <t>ES06</t>
  </si>
  <si>
    <t>ES07</t>
  </si>
  <si>
    <t>ES08</t>
  </si>
  <si>
    <t>ES09</t>
  </si>
  <si>
    <t>ES10</t>
  </si>
  <si>
    <t>ES11</t>
  </si>
  <si>
    <t>ES12</t>
  </si>
  <si>
    <t>FI01</t>
  </si>
  <si>
    <t>FI02</t>
  </si>
  <si>
    <t>FR01</t>
  </si>
  <si>
    <t>FR02</t>
  </si>
  <si>
    <t>FR03</t>
  </si>
  <si>
    <t>FR04</t>
  </si>
  <si>
    <t>FR05</t>
  </si>
  <si>
    <t>FR06</t>
  </si>
  <si>
    <t>FR07</t>
  </si>
  <si>
    <t>FR08</t>
  </si>
  <si>
    <t>FR09</t>
  </si>
  <si>
    <t>FR10</t>
  </si>
  <si>
    <t>FR11</t>
  </si>
  <si>
    <t>FR12</t>
  </si>
  <si>
    <t>FR13</t>
  </si>
  <si>
    <t>FR14</t>
  </si>
  <si>
    <t>GR01</t>
  </si>
  <si>
    <t>GR02</t>
  </si>
  <si>
    <t>HR01</t>
  </si>
  <si>
    <t>HR02</t>
  </si>
  <si>
    <t>NL011</t>
  </si>
  <si>
    <t>NL012</t>
  </si>
  <si>
    <t>NL031</t>
  </si>
  <si>
    <t>NL032</t>
  </si>
  <si>
    <t>NL033</t>
  </si>
  <si>
    <t>NOS1</t>
  </si>
  <si>
    <t>NOS21</t>
  </si>
  <si>
    <t>NOS22</t>
  </si>
  <si>
    <t>NOS3</t>
  </si>
  <si>
    <t>PL01</t>
  </si>
  <si>
    <t>PL02</t>
  </si>
  <si>
    <t>PL03</t>
  </si>
  <si>
    <t>PL04</t>
  </si>
  <si>
    <t>PL05</t>
  </si>
  <si>
    <t>PT01</t>
  </si>
  <si>
    <t>PT02</t>
  </si>
  <si>
    <t>RO01</t>
  </si>
  <si>
    <t>RO02</t>
  </si>
  <si>
    <t>RO03</t>
  </si>
  <si>
    <t>Distributed Energy</t>
  </si>
  <si>
    <t>National Trends+</t>
  </si>
  <si>
    <t>Global Ambition</t>
  </si>
  <si>
    <t>MWh</t>
  </si>
  <si>
    <t>Year</t>
  </si>
  <si>
    <t>BE</t>
  </si>
  <si>
    <t>Region</t>
  </si>
  <si>
    <t>South</t>
  </si>
  <si>
    <t>Central</t>
  </si>
  <si>
    <t>North</t>
  </si>
  <si>
    <t>Nordic-Baltic</t>
  </si>
  <si>
    <t>Prosumer Battery/Rooftop Solar</t>
  </si>
  <si>
    <t>Europe Mean</t>
  </si>
  <si>
    <t>ITA0</t>
  </si>
  <si>
    <t>Means</t>
  </si>
  <si>
    <t>Utility Battery / Utility PV</t>
  </si>
  <si>
    <t>Sources</t>
  </si>
  <si>
    <t>Name</t>
  </si>
  <si>
    <t>Author</t>
  </si>
  <si>
    <t>Link</t>
  </si>
  <si>
    <t>Technology data, Generation of Electricity and Distrift Heating</t>
  </si>
  <si>
    <t>Danish Energy  Agency, Energinet</t>
  </si>
  <si>
    <t>https://ens.dk/en/our-services/projections-and-models/technology-data/technology-data-generation-electricity-and</t>
  </si>
  <si>
    <t xml:space="preserve">Annual Technology Baseline </t>
  </si>
  <si>
    <t>National Renewable Energy Laboratory</t>
  </si>
  <si>
    <t>https://atb.nrel.gov/electricity/2022/technologies</t>
  </si>
  <si>
    <t>Technology data, Energy Transport</t>
  </si>
  <si>
    <t xml:space="preserve">https://ens.dk/en/our-services/projections-and-models/technology-data/technology-catalogue-transport-energy </t>
  </si>
  <si>
    <t>SCREENING OF POSSIBLE HUB CONCEPTS TO INTEGRATE OFFSHORE WIND CAPACITY IN THE NORTH SEA</t>
  </si>
  <si>
    <t>Danish Energy Agency, DNV</t>
  </si>
  <si>
    <t xml:space="preserve">https://ens.dk/sites/ens.dk/files/Vindenergi/final_report_-_screening_of_possible_hub_concepts_to_integrate_offshore_wind_capacity_in_the_north_sea.pdf </t>
  </si>
  <si>
    <t>Cost and performance data for offshore hydrogen production</t>
  </si>
  <si>
    <t xml:space="preserve">https://ens.dk/sites/ens.dk/files/Energioer/cost_performance_data_offshore_hydrogen_production.pdf </t>
  </si>
  <si>
    <t>Netzentwicklungsplan Strom 2035, Version 2021</t>
  </si>
  <si>
    <t>50Hertz, Amprion, TenneT, TransnetBW</t>
  </si>
  <si>
    <t>https://www.netzentwicklungsplan.de/sites/default/files/paragraphs-files/NEP_2035_V2021_2_Entwurf_Teil1.pdf</t>
  </si>
  <si>
    <t>Technology data, Renewable fuels</t>
  </si>
  <si>
    <t xml:space="preserve">https://ens.dk/en/our-services/projections-and-models/technology-data/technology-data-renewable-fuels </t>
  </si>
  <si>
    <t>European Hydrogen Backbone April 2022</t>
  </si>
  <si>
    <t>Guidehouse + TSOs</t>
  </si>
  <si>
    <t xml:space="preserve">https://ehb.eu/files/downloads/ehb-report-220428-17h00-interactive-1.pdf </t>
  </si>
  <si>
    <t>Analysing future demand, supply and transport of hydrogen</t>
  </si>
  <si>
    <t>https://ehb.eu/files/downloads/EHB-Analysing-the-future-demand-supply-and-transport-of-hydrogen-June-2021-v3.pdf</t>
  </si>
  <si>
    <t>Costs are differentiated among scenarios based on the storylines:</t>
  </si>
  <si>
    <t>Wind offshore costs consist of following components and different investment according to the technology (please check offshore modeling methodology)</t>
  </si>
  <si>
    <t>2.1. Technology Costs for TYNDP 2024</t>
  </si>
  <si>
    <t>TYNDP 2024</t>
  </si>
  <si>
    <t>DE</t>
  </si>
  <si>
    <t>Distributed Energy (TYNDP 2024)</t>
  </si>
  <si>
    <t>GA</t>
  </si>
  <si>
    <t>Global Ambition (TYNDP 2024)</t>
  </si>
  <si>
    <t>No</t>
  </si>
  <si>
    <t>Source</t>
  </si>
  <si>
    <t>Rooftop PV (only residential)</t>
  </si>
  <si>
    <t>CAPEX</t>
  </si>
  <si>
    <t>€/MW</t>
  </si>
  <si>
    <t>▼</t>
  </si>
  <si>
    <t>▲</t>
  </si>
  <si>
    <t>OPEX</t>
  </si>
  <si>
    <t>€/MW/a</t>
  </si>
  <si>
    <t xml:space="preserve">Nominal investment </t>
  </si>
  <si>
    <t>grid connection</t>
  </si>
  <si>
    <t>inverter</t>
  </si>
  <si>
    <t>pv modules</t>
  </si>
  <si>
    <t>installation</t>
  </si>
  <si>
    <t>other, i.e. residual balance of plant</t>
  </si>
  <si>
    <t>Fixed O&amp;M</t>
  </si>
  <si>
    <t>Lifetime assumptions</t>
  </si>
  <si>
    <t>year</t>
  </si>
  <si>
    <t>Utility-scale PV</t>
  </si>
  <si>
    <t>soft costs</t>
  </si>
  <si>
    <t>Utility-scale PV ground mounted, single axis tracking</t>
  </si>
  <si>
    <t>tracker related costs</t>
  </si>
  <si>
    <t>Utility-Scale Battery Storage - 2Hr</t>
  </si>
  <si>
    <t>Nominal Investment</t>
  </si>
  <si>
    <t>years</t>
  </si>
  <si>
    <t>Residential Battery Storage - 5 kW - 12.5 kWh</t>
  </si>
  <si>
    <t>Onshore</t>
  </si>
  <si>
    <t>Equipment</t>
  </si>
  <si>
    <t>Installation/Development</t>
  </si>
  <si>
    <t>Related to grid connection</t>
  </si>
  <si>
    <t>related to rent of land</t>
  </si>
  <si>
    <t>related to decommisioning of existing turbines</t>
  </si>
  <si>
    <t>relatred to other costs</t>
  </si>
  <si>
    <t>AC Radial Wind Offshore Fixed</t>
  </si>
  <si>
    <t>1,4,6</t>
  </si>
  <si>
    <t>DC Radial Wind Offshore Fixed</t>
  </si>
  <si>
    <t>1,5,7</t>
  </si>
  <si>
    <t>Hub connected Wind Offshore Fixed</t>
  </si>
  <si>
    <t>Hub connected Wind Offshore H2 Fixed</t>
  </si>
  <si>
    <t>AC Radial Wind Offshore Floating*</t>
  </si>
  <si>
    <t>DC Radial Wind Offshore Floating*</t>
  </si>
  <si>
    <t>Hub connected Wind Offshore Floating*</t>
  </si>
  <si>
    <t>Hub connected Wind Offshore H2 Floating*</t>
  </si>
  <si>
    <t>HVDC Cables</t>
  </si>
  <si>
    <t>€/MW/km</t>
  </si>
  <si>
    <t>●</t>
  </si>
  <si>
    <t>€/MW/km/a</t>
  </si>
  <si>
    <t>Onshore HVDC Station</t>
  </si>
  <si>
    <t>4,5,7</t>
  </si>
  <si>
    <t>Electrolysis Offshore</t>
  </si>
  <si>
    <t>a</t>
  </si>
  <si>
    <t>H2-Pipeline</t>
  </si>
  <si>
    <t>Electrolysis Onshore**</t>
  </si>
  <si>
    <t>Gas turbine, open cycle - back pressure - natural gas - medium</t>
  </si>
  <si>
    <t>Gas turbine, combined cycle - extraction - natural gas - large</t>
  </si>
  <si>
    <t>1***</t>
  </si>
  <si>
    <t>Hydrogen turbine, combined cycle - extraction - natural gas - large</t>
  </si>
  <si>
    <t>Notes</t>
  </si>
  <si>
    <t>Technology</t>
  </si>
  <si>
    <t>Comment</t>
  </si>
  <si>
    <t>*</t>
  </si>
  <si>
    <t>11,12,13,14</t>
  </si>
  <si>
    <t>Currently all of Europes existing offshore wind is "bottom fixed"(= fixed offshore wind sits on the seabed). Beyond 60 metres sea depth floating offshore (= floating wind is tethered to the seabed) can be a cost-competitive form of installation. Based on exchanges with experts like wind europe and our own assumptions the working group scenario building assumes that the costs for floating will be higher (CAPEX 2030 - 1,61; 2040 - 1,21; 2050 - 1,16 / OPEX 2030 - 1,5; 2040 - 1,2; 2050 - 1,1) based on material costs (anchors, cables, moorings) that rise with sea depth and distance from the shore</t>
  </si>
  <si>
    <t>**</t>
  </si>
  <si>
    <t>Costs are based on the average between AEC and PEM technology</t>
  </si>
  <si>
    <t>***</t>
  </si>
  <si>
    <t>No data on Hydrogen CCGTs available. Assumptios that hydrogen CCGTs are 10% more expensive then Gas CCGTs.
 Assumption is based on: New technology, similar components</t>
  </si>
  <si>
    <t>AC radial wind</t>
  </si>
  <si>
    <t>Radial DC wind</t>
  </si>
  <si>
    <t>Hub connected wind</t>
  </si>
  <si>
    <t>Hub connected H2 wind</t>
  </si>
  <si>
    <t>HVDC cables</t>
  </si>
  <si>
    <t>H2 Pipeline</t>
  </si>
  <si>
    <t>Electrolysis offshore</t>
  </si>
  <si>
    <t>CAPEX [M€/MW]</t>
  </si>
  <si>
    <t>OPEX [M€/MW/year]</t>
  </si>
  <si>
    <t>CAPEX [M€/MW/km]</t>
  </si>
  <si>
    <t>OPEX [M€/MW/km/year]</t>
  </si>
  <si>
    <t>Offshore wind</t>
  </si>
  <si>
    <t>Turbine</t>
  </si>
  <si>
    <t>[1]</t>
  </si>
  <si>
    <t>Foundation</t>
  </si>
  <si>
    <t>Installation &amp; PM</t>
  </si>
  <si>
    <t>Array cables</t>
  </si>
  <si>
    <t>hub</t>
  </si>
  <si>
    <t>Hub  onshore converter</t>
  </si>
  <si>
    <t>Platform expansion for electrolysis</t>
  </si>
  <si>
    <t>Background calculation sheet</t>
  </si>
  <si>
    <t>hub h2</t>
  </si>
  <si>
    <t>hub -platform+eletrolyserincl platform</t>
  </si>
  <si>
    <t>Electrolysis</t>
  </si>
  <si>
    <t>System</t>
  </si>
  <si>
    <t>[7]</t>
  </si>
  <si>
    <t>Water treatment</t>
  </si>
  <si>
    <t>[5]</t>
  </si>
  <si>
    <t>Offshore/onshore electrical substation</t>
  </si>
  <si>
    <t>Platform</t>
  </si>
  <si>
    <t>[4]</t>
  </si>
  <si>
    <t>Initial compression</t>
  </si>
  <si>
    <t>background calculation</t>
  </si>
  <si>
    <t>Pipeline infrastructure</t>
  </si>
  <si>
    <t>Array pipes</t>
  </si>
  <si>
    <t>Transport pipe</t>
  </si>
  <si>
    <t>[8]</t>
  </si>
  <si>
    <t>Running compression</t>
  </si>
  <si>
    <t>background calc</t>
  </si>
  <si>
    <t>El infra</t>
  </si>
  <si>
    <t>cables</t>
  </si>
  <si>
    <t>[4] [6] avg</t>
  </si>
  <si>
    <t>Offshore constructions / platforms incl converter</t>
  </si>
  <si>
    <t>Onshore construction</t>
  </si>
  <si>
    <t>WTG Variable O&amp;M [€/MWh]</t>
  </si>
  <si>
    <t>WTG Fixed O&amp;M [€/MW/y]</t>
  </si>
  <si>
    <t>HVCD cable O&amp;M [€/y]</t>
  </si>
  <si>
    <t>HVCD converter O&amp;M [€/y]</t>
  </si>
  <si>
    <t>Electrolyser o&amp;M [€/y]</t>
  </si>
  <si>
    <t>water treatment O&amp;M [€/y]</t>
  </si>
  <si>
    <t>Compressor opex [M€/MW/y]</t>
  </si>
  <si>
    <t>Booster compressor opex [M€/MW/km/y]</t>
  </si>
  <si>
    <t>Assumptions</t>
  </si>
  <si>
    <t>FLH assumption [flh]</t>
  </si>
  <si>
    <t>cable distance [km]</t>
  </si>
  <si>
    <t>HVDC cable O&amp;M [%capex/y]</t>
  </si>
  <si>
    <t>HVDC converter O&amp;M [%capex/y]</t>
  </si>
  <si>
    <t>Electrolyser O&amp;M [%capex/y]</t>
  </si>
  <si>
    <t>water treatment O&amp;M [%capex/y]</t>
  </si>
  <si>
    <t>platform opex [%capex/y]</t>
  </si>
  <si>
    <t>Specific investment</t>
  </si>
  <si>
    <t>525kV HVDC cable connection [M€/MW/km]</t>
  </si>
  <si>
    <t>[6] (NSWPH interpretation)</t>
  </si>
  <si>
    <t>Offshore HVDC hub module [M€/MW]</t>
  </si>
  <si>
    <t>Onshore HVDC hub module [M€/MW]</t>
  </si>
  <si>
    <t>Offshore Medium H2 new pipeline [M€/MW/km]</t>
  </si>
  <si>
    <t>[8] assuming 7 GW capacity of a 36" pipeline at 70 bar</t>
  </si>
  <si>
    <t>3. Commodity and CO2 prices</t>
  </si>
  <si>
    <t>3.1 Commodity and CO2 prices</t>
  </si>
  <si>
    <t>Same for all scenarios</t>
  </si>
  <si>
    <t>As all scenarios aim for EU targets</t>
  </si>
  <si>
    <t>Fuel</t>
  </si>
  <si>
    <t>Unit</t>
  </si>
  <si>
    <t xml:space="preserve">Source </t>
  </si>
  <si>
    <t>Further Info</t>
  </si>
  <si>
    <t>Nuclear</t>
  </si>
  <si>
    <t>€/GJ</t>
  </si>
  <si>
    <t>EIA (2022) - https://www.eia.gov/electricity/annual/html/epa_08_04.html</t>
  </si>
  <si>
    <t>Includes fuel cost only</t>
  </si>
  <si>
    <t>Lignite G1 (BG - MK - CZ)</t>
  </si>
  <si>
    <t>Booze&amp;co same as 2022</t>
  </si>
  <si>
    <t>https://www.dei.gr/media/qbmj0twz/understanding-lignite-generation-costs-in-europe.pdf</t>
  </si>
  <si>
    <t>Lignite G2 (SK - DE - RS - PL - ME - UKNI - BA - IE)</t>
  </si>
  <si>
    <t>Lignite G3 (SL - RO - HU)</t>
  </si>
  <si>
    <t>Lignite G4 (GR - TR)</t>
  </si>
  <si>
    <t>Hard coal</t>
  </si>
  <si>
    <t>IEA 2022 (APS)</t>
  </si>
  <si>
    <t>Natural Gas</t>
  </si>
  <si>
    <t>Crude oil</t>
  </si>
  <si>
    <t>CO2 price</t>
  </si>
  <si>
    <t>€/ton</t>
  </si>
  <si>
    <t>Hydrogen (blue )</t>
  </si>
  <si>
    <t>IEA 2022 (APS) - SMR with CCUS (full capture)</t>
  </si>
  <si>
    <t>Biomethane</t>
  </si>
  <si>
    <t>€/Gj</t>
  </si>
  <si>
    <t>Danish Technology cataloque</t>
  </si>
  <si>
    <t>Synthetic Methane</t>
  </si>
  <si>
    <t>IEA 2022 (APS) - renewable electricity, 70%, 55% and 50% of biogenic CO2.</t>
  </si>
  <si>
    <t>Light oil</t>
  </si>
  <si>
    <t>Moddeled from crude oil price (+28%)</t>
  </si>
  <si>
    <t>WEO STEPS forecast trend applying a 28% increase of price wrt to crude oil</t>
  </si>
  <si>
    <t>Heavy oil</t>
  </si>
  <si>
    <t>Moddeled from crude oil price (+5%)</t>
  </si>
  <si>
    <t>WEO STEPS forecast trend applying a 5% increase of price wrt to crude oil</t>
  </si>
  <si>
    <t>Oil shale</t>
  </si>
  <si>
    <t>Value from last cycle - no updates from TSOs available</t>
  </si>
  <si>
    <t xml:space="preserve">Amonia imports prices </t>
  </si>
  <si>
    <t>EWI tool calculation (100% reconverted)</t>
  </si>
  <si>
    <t>Gas (blend of biomethane, synthetic gas and NG) NT</t>
  </si>
  <si>
    <t>See tab 3.2</t>
  </si>
  <si>
    <t>Gas (blend of biomethane, synthetic gas and NG) DE</t>
  </si>
  <si>
    <t>Gas (blend of biomethane, synthetic gas and NG) GA</t>
  </si>
  <si>
    <t>Interpolation</t>
  </si>
  <si>
    <t>Interpolatien is used for years where no data is available</t>
  </si>
  <si>
    <t>This blend will be updated when the data collection (NT)  and ETM &amp; ST (DE &amp; GA) is finalised</t>
  </si>
  <si>
    <t>3.2 Gas blends calculation</t>
  </si>
  <si>
    <t>NT+ demand</t>
  </si>
  <si>
    <t>Global ambition</t>
  </si>
  <si>
    <t>Demand from NT+</t>
  </si>
  <si>
    <t>Supply (in TWh)</t>
  </si>
  <si>
    <t>Energy carriers</t>
  </si>
  <si>
    <t>Import (EU)</t>
  </si>
  <si>
    <t xml:space="preserve">Residual value </t>
  </si>
  <si>
    <t>E-Methane</t>
  </si>
  <si>
    <t>Shall be defined here</t>
  </si>
  <si>
    <t>Other fossil gas</t>
  </si>
  <si>
    <t xml:space="preserve">Shall be defined here </t>
  </si>
  <si>
    <t>Domestic production (EU)</t>
  </si>
  <si>
    <t>Production potential from data collection</t>
  </si>
  <si>
    <t>Natural gas</t>
  </si>
  <si>
    <t>Aggregation of country specified potentials</t>
  </si>
  <si>
    <t>Methane (LNG)</t>
  </si>
  <si>
    <t>P2Methane</t>
  </si>
  <si>
    <t>NT+ data as starting point + 15% in 2040 and + 20% in 2050</t>
  </si>
  <si>
    <t>Gas blend calculation NT+</t>
  </si>
  <si>
    <t>Gas blend calculation GA</t>
  </si>
  <si>
    <t>Gas blend calculation DE</t>
  </si>
  <si>
    <t>Total</t>
  </si>
  <si>
    <t>Methane</t>
  </si>
  <si>
    <t>E-methane</t>
  </si>
  <si>
    <t>Share</t>
  </si>
  <si>
    <t>Blended price</t>
  </si>
  <si>
    <t>Price (€/GJ)</t>
  </si>
  <si>
    <t>3.2. Import Costs of Amonia and Hydrogen</t>
  </si>
  <si>
    <t>Output from EWI tool: https://www.ewi.uni-koeln.de/en/tools/schaetzung-der-langfristigen-globalen-versorgungskosten-fuer-kohlenstoffarmen-wasserstoff/</t>
  </si>
  <si>
    <t>Reconversion</t>
  </si>
  <si>
    <t>Amonia import - direct use</t>
  </si>
  <si>
    <t>Amonia  reconversion</t>
  </si>
  <si>
    <t>Assumptions in the EWI sheet:</t>
  </si>
  <si>
    <t>Import costs</t>
  </si>
  <si>
    <r>
      <t>•</t>
    </r>
    <r>
      <rPr>
        <sz val="20"/>
        <color rgb="FF17253F"/>
        <rFont val="Lato"/>
        <family val="2"/>
      </rPr>
      <t>4 mio. t (134 TWh) green amonia import (REPower EU) (5 mio. T in 2040 and 6 mio. t. In 2050)</t>
    </r>
  </si>
  <si>
    <t>1 MWh = 3,6 GJ</t>
  </si>
  <si>
    <t>Kode</t>
  </si>
  <si>
    <t>($/MWh)</t>
  </si>
  <si>
    <r>
      <t>•</t>
    </r>
    <r>
      <rPr>
        <sz val="20"/>
        <color rgb="FF17253F"/>
        <rFont val="Lato"/>
        <family val="2"/>
      </rPr>
      <t>Maximum 22,4 TWh (2030), from the 6 cheapest countries</t>
    </r>
  </si>
  <si>
    <t>Amonia import to Germany</t>
  </si>
  <si>
    <t>Qatar</t>
  </si>
  <si>
    <t>QA</t>
  </si>
  <si>
    <r>
      <t>•</t>
    </r>
    <r>
      <rPr>
        <sz val="20"/>
        <color rgb="FF17253F"/>
        <rFont val="Lato"/>
        <family val="2"/>
      </rPr>
      <t>Countries within pipeline distance to EU is deselected. (they are considdered to export pure H2 to EU instead)</t>
    </r>
  </si>
  <si>
    <t>Direct use (0%)</t>
  </si>
  <si>
    <t>$/MWh</t>
  </si>
  <si>
    <t>Oman</t>
  </si>
  <si>
    <t>OM</t>
  </si>
  <si>
    <r>
      <t>•</t>
    </r>
    <r>
      <rPr>
        <sz val="20"/>
        <color rgb="FF17253F"/>
        <rFont val="Lato"/>
        <family val="2"/>
      </rPr>
      <t>100% is considdered to be reconverted to H2</t>
    </r>
  </si>
  <si>
    <t>with reconversion (100%)</t>
  </si>
  <si>
    <t>United Arab Emirates</t>
  </si>
  <si>
    <t>AE</t>
  </si>
  <si>
    <r>
      <t>•</t>
    </r>
    <r>
      <rPr>
        <sz val="20"/>
        <color rgb="FF17253F"/>
        <rFont val="Lato"/>
        <family val="2"/>
      </rPr>
      <t xml:space="preserve">Germany is selected as import country </t>
    </r>
  </si>
  <si>
    <t>Price share</t>
  </si>
  <si>
    <t>Saudi Arabia</t>
  </si>
  <si>
    <t>SA</t>
  </si>
  <si>
    <t>$/GJ</t>
  </si>
  <si>
    <t>United States</t>
  </si>
  <si>
    <t>US</t>
  </si>
  <si>
    <t>Israel</t>
  </si>
  <si>
    <t>IL</t>
  </si>
  <si>
    <t>€/MWh</t>
  </si>
  <si>
    <t>3.4 Commodity and CO2 price resource details</t>
  </si>
  <si>
    <t>IEA WEO 2022</t>
  </si>
  <si>
    <t xml:space="preserve">1 MWh </t>
  </si>
  <si>
    <t>=</t>
  </si>
  <si>
    <t>3,6 GJ</t>
  </si>
  <si>
    <t>USD 2021</t>
  </si>
  <si>
    <t>1 USD =</t>
  </si>
  <si>
    <t>Euro</t>
  </si>
  <si>
    <t>IEA Net Zero</t>
  </si>
  <si>
    <t>Announced pledges</t>
  </si>
  <si>
    <t>Stated Policies</t>
  </si>
  <si>
    <t>CO2</t>
  </si>
  <si>
    <t>USD/tonne</t>
  </si>
  <si>
    <t>Unit conversion</t>
  </si>
  <si>
    <t>IEA Crude oil</t>
  </si>
  <si>
    <t>USD/barrel</t>
  </si>
  <si>
    <t>1 boe =</t>
  </si>
  <si>
    <t>GJ</t>
  </si>
  <si>
    <t>USD/MMBtu</t>
  </si>
  <si>
    <t xml:space="preserve">1 MMBtu = </t>
  </si>
  <si>
    <t>Steam coal</t>
  </si>
  <si>
    <t xml:space="preserve">1 tonne = </t>
  </si>
  <si>
    <t>USD/MWh</t>
  </si>
  <si>
    <r>
      <t xml:space="preserve">including fuel, variable and </t>
    </r>
    <r>
      <rPr>
        <b/>
        <sz val="11"/>
        <color rgb="FF000000"/>
        <rFont val="Calibri"/>
        <family val="2"/>
      </rPr>
      <t>fixed</t>
    </r>
    <r>
      <rPr>
        <sz val="11"/>
        <color rgb="FF000000"/>
        <rFont val="Calibri"/>
        <family val="2"/>
      </rPr>
      <t xml:space="preserve"> O&amp;M and CO2</t>
    </r>
  </si>
  <si>
    <t>1 MWh =</t>
  </si>
  <si>
    <t>Hydrogen production cost, SMR with CCUS</t>
  </si>
  <si>
    <t>USD/GJ</t>
  </si>
  <si>
    <t>1 GJ =</t>
  </si>
  <si>
    <t>Syntetic methane production cost, renewable electricity, DAC CO2</t>
  </si>
  <si>
    <t>Syntetic methane production cost, renewable electricity, biogenic CO2</t>
  </si>
  <si>
    <t>€(2021)/tonne</t>
  </si>
  <si>
    <t>€(2021)/GJ</t>
  </si>
  <si>
    <t>Light oil (crude+28%)</t>
  </si>
  <si>
    <t>Heavy oil (crude+5%)</t>
  </si>
  <si>
    <t>DAC share</t>
  </si>
  <si>
    <t>Bio Share</t>
  </si>
  <si>
    <t>Price</t>
  </si>
  <si>
    <t>https://www.eia.gov/electricity/annual/html/epa_08_04.html</t>
  </si>
  <si>
    <t>Fuel $/MWh</t>
  </si>
  <si>
    <t>Fossil Steam</t>
  </si>
  <si>
    <t>Hydro-electric</t>
  </si>
  <si>
    <t>Gas Turbine and Small Scale</t>
  </si>
  <si>
    <t>--</t>
  </si>
  <si>
    <t>€</t>
  </si>
  <si>
    <t>Delayed Recovery</t>
  </si>
  <si>
    <t>Sustainable development</t>
  </si>
  <si>
    <t>NCV</t>
  </si>
  <si>
    <t>3.5 Biomethane Cost Overview</t>
  </si>
  <si>
    <t>Overview biomethane costs (€/MWh) including feedstock</t>
  </si>
  <si>
    <t>Biomethane costs used in the TYNDP 2022 (€/MWh)</t>
  </si>
  <si>
    <t>Anaerobic digestion - 2050</t>
  </si>
  <si>
    <t>biomethane - Anaerobic digestion including upgrade and injection</t>
  </si>
  <si>
    <t>Thermal gasification - 2050</t>
  </si>
  <si>
    <t>SNG - Thermal gasification</t>
  </si>
  <si>
    <t>Guidehouse A gas for climate report</t>
  </si>
  <si>
    <t>Anaerobic digestion total (TWh)</t>
  </si>
  <si>
    <t>Thermal gasification total (TWh)</t>
  </si>
  <si>
    <t>Shares based on potentials from "Guidehouse"</t>
  </si>
  <si>
    <t>Share anaerob digestion</t>
  </si>
  <si>
    <t>Source: Technology data - Renewable fuels. Danish Energy Agency</t>
  </si>
  <si>
    <t>Share thermal gasification</t>
  </si>
  <si>
    <t>Source: "Biomethane production potentials in the EU" by Guidehouse, july 2022</t>
  </si>
  <si>
    <t>Biomethane costs (€/MWh)</t>
  </si>
  <si>
    <t xml:space="preserve">*Before 2030 100% anaerobic costs is used </t>
  </si>
  <si>
    <t>Biomethane costs (€/GJ)</t>
  </si>
  <si>
    <t>Source: https://ens.dk/en/our-services/projections-and-models/technology-data/technology-data-renewable-fuels</t>
  </si>
  <si>
    <t>3.6 Biogas + upgrade</t>
  </si>
  <si>
    <t>Data sheet for renewable fuels</t>
  </si>
  <si>
    <t>Biomethane costs calculations for TYNDP 2024</t>
  </si>
  <si>
    <t>Biogas plant, basic configuration</t>
  </si>
  <si>
    <t>Basic plant configuration</t>
  </si>
  <si>
    <t>Biomethane costs calculation (no upgrade)</t>
  </si>
  <si>
    <t>Uncertainty (2020)</t>
  </si>
  <si>
    <t>Uncertainty (2050)</t>
  </si>
  <si>
    <t>Note</t>
  </si>
  <si>
    <t>Ref</t>
  </si>
  <si>
    <t>Plant size</t>
  </si>
  <si>
    <t>MW output</t>
  </si>
  <si>
    <t>Energy/technical data</t>
  </si>
  <si>
    <t>Lower</t>
  </si>
  <si>
    <t>Upper</t>
  </si>
  <si>
    <t>Input raw material</t>
  </si>
  <si>
    <t>tons/year</t>
  </si>
  <si>
    <t>Total investment (mio €)</t>
  </si>
  <si>
    <t>Typical capacity (tons/year input)</t>
  </si>
  <si>
    <t>Outages</t>
  </si>
  <si>
    <t>Days/year</t>
  </si>
  <si>
    <t>CAPEX mio. €/YEAR</t>
  </si>
  <si>
    <t>Typical total plant size (MW output)</t>
  </si>
  <si>
    <t>A</t>
  </si>
  <si>
    <t>Lifetime</t>
  </si>
  <si>
    <t>Years</t>
  </si>
  <si>
    <t>OPEX mio. €/YEAR</t>
  </si>
  <si>
    <t>Total costs mio. €/year</t>
  </si>
  <si>
    <t>- Inputs</t>
  </si>
  <si>
    <t>Cost of capital</t>
  </si>
  <si>
    <t>Biomass (tons/year)</t>
  </si>
  <si>
    <t>A B</t>
  </si>
  <si>
    <t>5/8/9</t>
  </si>
  <si>
    <t>WACC</t>
  </si>
  <si>
    <t>%</t>
  </si>
  <si>
    <t>Gasproduktion MWh/year</t>
  </si>
  <si>
    <t>Aux. electricity (% of output energy)</t>
  </si>
  <si>
    <t>Time</t>
  </si>
  <si>
    <t>Aux. electricity (kWh/ton input)</t>
  </si>
  <si>
    <t>Anual factor</t>
  </si>
  <si>
    <t>€ /year/MWh gas produced</t>
  </si>
  <si>
    <t>Aux. process heat (% of output energy)</t>
  </si>
  <si>
    <t>Aux. process heat (kWh/ton input))</t>
  </si>
  <si>
    <t>Biomass Input costs</t>
  </si>
  <si>
    <t>Feedstock costs (mio. €/year)</t>
  </si>
  <si>
    <t>Type</t>
  </si>
  <si>
    <t>Input share</t>
  </si>
  <si>
    <t>Price incl. transport (€/ton)</t>
  </si>
  <si>
    <t>Feedstock cost €/MWh produced</t>
  </si>
  <si>
    <t>- Outputs</t>
  </si>
  <si>
    <t>Manure (pig and cattle)</t>
  </si>
  <si>
    <t>Biogas (%)</t>
  </si>
  <si>
    <t>F</t>
  </si>
  <si>
    <t>Deep bed material</t>
  </si>
  <si>
    <t>Including feed stock costs</t>
  </si>
  <si>
    <t>Biogas (GJ/ton input)</t>
  </si>
  <si>
    <t>G</t>
  </si>
  <si>
    <t>9</t>
  </si>
  <si>
    <t>Manure, stable</t>
  </si>
  <si>
    <t>Biogas production, (MJ/S heating value)</t>
  </si>
  <si>
    <t>J</t>
  </si>
  <si>
    <t>Straw</t>
  </si>
  <si>
    <t>Upgrade and injektion  costs</t>
  </si>
  <si>
    <t>Industrial organic waste</t>
  </si>
  <si>
    <t>Plant investment (€/MJ/s input)</t>
  </si>
  <si>
    <t>Forced outage (%)</t>
  </si>
  <si>
    <t>Household waste</t>
  </si>
  <si>
    <t>Grid Injektion (€/MJ/s input)</t>
  </si>
  <si>
    <t>Planned outage (days per year)</t>
  </si>
  <si>
    <t>Energy crops</t>
  </si>
  <si>
    <t>Total CAPEX (plant size 5,92 MJ output/s)</t>
  </si>
  <si>
    <t>Technical lifetime (years)</t>
  </si>
  <si>
    <t>Other</t>
  </si>
  <si>
    <t>Construction time (years)</t>
  </si>
  <si>
    <t>Average cost of material (€/ton)</t>
  </si>
  <si>
    <t>Opex (€/MJ/s year)</t>
  </si>
  <si>
    <t xml:space="preserve">Total OPEX plant size </t>
  </si>
  <si>
    <t xml:space="preserve">Financial data                                 </t>
  </si>
  <si>
    <t>Technical data biogas upgrade</t>
  </si>
  <si>
    <t>Specific investment (mio €/MW output)</t>
  </si>
  <si>
    <t>A H C</t>
  </si>
  <si>
    <t xml:space="preserve"> 8/5</t>
  </si>
  <si>
    <t>Typical plant size</t>
  </si>
  <si>
    <t>MJ output/s</t>
  </si>
  <si>
    <t>Yearly costs €/year/plant</t>
  </si>
  <si>
    <t xml:space="preserve"> - of which equipment</t>
  </si>
  <si>
    <t>-</t>
  </si>
  <si>
    <t>Typical total size</t>
  </si>
  <si>
    <t>Nm3/h</t>
  </si>
  <si>
    <t>€/MWh produced</t>
  </si>
  <si>
    <t xml:space="preserve"> - of which installation</t>
  </si>
  <si>
    <t xml:space="preserve">Capacity </t>
  </si>
  <si>
    <t>Total O&amp;M (€/MW/year)</t>
  </si>
  <si>
    <t>Yearly capacity (11 kWh/NM3)</t>
  </si>
  <si>
    <t>Total costs for biogas including upgrade and injektion €/MWh)</t>
  </si>
  <si>
    <t xml:space="preserve">  Total O&amp;M (€/(ton input/year))</t>
  </si>
  <si>
    <t>A D I</t>
  </si>
  <si>
    <t>8/5</t>
  </si>
  <si>
    <t>Output</t>
  </si>
  <si>
    <t>bar</t>
  </si>
  <si>
    <t>- of which O&amp;M, excl el. and heat (€/(ton input/year))</t>
  </si>
  <si>
    <t>Lower calorific value</t>
  </si>
  <si>
    <t>MJ/Nm3</t>
  </si>
  <si>
    <t>- of which electricity (€/(ton input/year))</t>
  </si>
  <si>
    <t>K</t>
  </si>
  <si>
    <t>Methane content in raw biogas</t>
  </si>
  <si>
    <t>- of which heat (€/(ton input/year))</t>
  </si>
  <si>
    <t>Technology Specific data</t>
  </si>
  <si>
    <t>Methane emission (Nm3 CH4/ton input/year)</t>
  </si>
  <si>
    <t>12</t>
  </si>
  <si>
    <t>Feed stock input</t>
  </si>
  <si>
    <t>MWh produced</t>
  </si>
  <si>
    <t>Biomass</t>
  </si>
  <si>
    <t>Share, 2015</t>
  </si>
  <si>
    <t>Share, 2020</t>
  </si>
  <si>
    <t>Price per ton (€), incl transport</t>
  </si>
  <si>
    <t>"Udvikling og effektivisering af biogasproduktionen I Danmark – Delrapport 1 og 2”, Danish Energy Agency Biogas Taskforce 2015.</t>
  </si>
  <si>
    <t>”Anvendelse af biogas til el- og varmeproduktion, analyser for Biogas Taskforce”, Ea Energianalyse, 2014</t>
  </si>
  <si>
    <t>"Biomasse til biogasanlæg i Danmark - på kort og langt sigt", Agrotech, November 2013</t>
  </si>
  <si>
    <t>”Miljøeffekter af metanlækage på biogasanlæg”, Agrotek, 2015</t>
  </si>
  <si>
    <t>3.6. Thermal gasification</t>
  </si>
  <si>
    <t>Gasifier, biomass, bio-SNG, medium - large scale</t>
  </si>
  <si>
    <t>Thermal gasification costs calculations for TYNDP 2024</t>
  </si>
  <si>
    <t>Basic plant configurations</t>
  </si>
  <si>
    <r>
      <t>Typical fuel input capacity, one unit (MW</t>
    </r>
    <r>
      <rPr>
        <vertAlign val="subscript"/>
        <sz val="9"/>
        <rFont val="Arial"/>
        <family val="2"/>
      </rPr>
      <t>th</t>
    </r>
    <r>
      <rPr>
        <sz val="9"/>
        <rFont val="Arial"/>
        <family val="2"/>
      </rPr>
      <t>)</t>
    </r>
  </si>
  <si>
    <t>12;13</t>
  </si>
  <si>
    <t>Size (input)</t>
  </si>
  <si>
    <t>154-400</t>
  </si>
  <si>
    <t>MWth</t>
  </si>
  <si>
    <t>Output (SNG)</t>
  </si>
  <si>
    <t>60-70</t>
  </si>
  <si>
    <t>Plant size MWhth</t>
  </si>
  <si>
    <t>- Input</t>
  </si>
  <si>
    <t>B</t>
  </si>
  <si>
    <t>Heat</t>
  </si>
  <si>
    <t>Biomass (% of input capacity)</t>
  </si>
  <si>
    <t>Outeges unplanned</t>
  </si>
  <si>
    <t>Electricity (% of input capacity)</t>
  </si>
  <si>
    <t>Planned</t>
  </si>
  <si>
    <t>week/year</t>
  </si>
  <si>
    <t>Total yearly costs (Mio €/year)</t>
  </si>
  <si>
    <t>- Output</t>
  </si>
  <si>
    <t>Running hours</t>
  </si>
  <si>
    <t>h/year</t>
  </si>
  <si>
    <t>Bio SNG (% of fuel input)</t>
  </si>
  <si>
    <t>21;19;13/17/19;</t>
  </si>
  <si>
    <t>Yearly produktion of SNG (MWh)</t>
  </si>
  <si>
    <t>Heat (% of input)</t>
  </si>
  <si>
    <t>H</t>
  </si>
  <si>
    <t>Discount rate</t>
  </si>
  <si>
    <t>Produktion cost €/MWh gas produced</t>
  </si>
  <si>
    <t>Unplanned outage (%)</t>
  </si>
  <si>
    <t>Planned outage (weeks per year)</t>
  </si>
  <si>
    <t>Feedstock cost (from biomethane tool) €/MWh</t>
  </si>
  <si>
    <t>Total cost of SNG inclusive feedstock</t>
  </si>
  <si>
    <r>
      <t>Specific investment (M€/MW</t>
    </r>
    <r>
      <rPr>
        <vertAlign val="subscript"/>
        <sz val="9"/>
        <rFont val="Arial"/>
        <family val="2"/>
      </rPr>
      <t>th</t>
    </r>
    <r>
      <rPr>
        <sz val="9"/>
        <rFont val="Arial"/>
        <family val="2"/>
      </rPr>
      <t>)</t>
    </r>
  </si>
  <si>
    <t>E</t>
  </si>
  <si>
    <t>12+21;12+19+13;15/17</t>
  </si>
  <si>
    <t>Fixed O&amp;M (€/MWth/year)</t>
  </si>
  <si>
    <t>12/21;12/21+13/17/19</t>
  </si>
  <si>
    <r>
      <t>Variable O&amp;M (€/MWh</t>
    </r>
    <r>
      <rPr>
        <vertAlign val="subscript"/>
        <sz val="9"/>
        <rFont val="Arial"/>
        <family val="2"/>
      </rPr>
      <t>th</t>
    </r>
    <r>
      <rPr>
        <sz val="9"/>
        <rFont val="Arial"/>
        <family val="2"/>
      </rPr>
      <t>)</t>
    </r>
  </si>
  <si>
    <t>Technology specific data</t>
  </si>
  <si>
    <t>Warm start-up time (hours)</t>
  </si>
  <si>
    <t>C</t>
  </si>
  <si>
    <t>Cold start-up time (hours)</t>
  </si>
  <si>
    <t>Environment</t>
  </si>
  <si>
    <r>
      <t>NO</t>
    </r>
    <r>
      <rPr>
        <vertAlign val="subscript"/>
        <sz val="9"/>
        <rFont val="Arial"/>
        <family val="2"/>
      </rPr>
      <t>X</t>
    </r>
    <r>
      <rPr>
        <sz val="9"/>
        <rFont val="Arial"/>
        <family val="2"/>
      </rPr>
      <t xml:space="preserve"> (g per GJ fuel) </t>
    </r>
  </si>
  <si>
    <t>D</t>
  </si>
  <si>
    <t>23, 29</t>
  </si>
  <si>
    <r>
      <t>CH</t>
    </r>
    <r>
      <rPr>
        <vertAlign val="subscript"/>
        <sz val="9"/>
        <rFont val="Arial"/>
        <family val="2"/>
      </rPr>
      <t>4</t>
    </r>
    <r>
      <rPr>
        <sz val="9"/>
        <rFont val="Arial"/>
        <family val="2"/>
      </rPr>
      <t xml:space="preserve"> (g per GJ fuel)</t>
    </r>
  </si>
  <si>
    <r>
      <t>N</t>
    </r>
    <r>
      <rPr>
        <vertAlign val="subscript"/>
        <sz val="9"/>
        <rFont val="Arial"/>
        <family val="2"/>
      </rPr>
      <t>2</t>
    </r>
    <r>
      <rPr>
        <sz val="9"/>
        <rFont val="Arial"/>
        <family val="2"/>
      </rPr>
      <t>O (g per GJ fuel)</t>
    </r>
  </si>
  <si>
    <t>References:</t>
  </si>
  <si>
    <t>Commissioning of the GoBiGas 20 MW biomethane plant. Thuman 2015</t>
  </si>
  <si>
    <t>Forgasning – Fase 2. Økonomi, videnindhentning og samarbejde. DGC Februar 2012.</t>
  </si>
  <si>
    <t>Gassner &amp; Marechal, 2012</t>
  </si>
  <si>
    <t>Bio2G - A full scale reference plant in Sweden for production of bio-SNG, E.ON (Möller) 2013.</t>
  </si>
  <si>
    <t>Tunå &amp; Hulteberg, 2014.</t>
  </si>
  <si>
    <t>Force, Technology data for advanced bioenergy fuels, 2013</t>
  </si>
  <si>
    <t>Notes:</t>
  </si>
  <si>
    <t>With flue gas condensation</t>
  </si>
  <si>
    <t>Generally the plants' electricity generation is assumed to balance the consumption</t>
  </si>
  <si>
    <t>Assumed to be in the same magnitude as a coal fired power plant</t>
  </si>
  <si>
    <t>2015 data for NOX and N2O origin from [23]. Other values are assumed to be in the same magnitude as a biomass fired PF power plant (pellets)</t>
  </si>
  <si>
    <t>For 2015, values reflect the 20 MWgas Swedish GoBiGas Phase 1 demonstration project. A proportionality factor of 0.7 is assumed to apply when going from 2015 to 2020 based on the anticipated upscaling from 20 MWgas to 100 MWgas [21]. For 2030, the figure is an average of a value from theoretical studies [17] multiplied by 1.4 and a value from feasibility studies [19] multiplied by 1.15. From 2030 to 2050 simply a reduction of 10% has been assumed to reflect a learning curve.</t>
  </si>
  <si>
    <t>Assumed that the total O&amp;M costs splits in 1/3 variable, 2/3 fixed costs, 8000 h/year</t>
  </si>
  <si>
    <t>Efficiencies are expected to improve gradually from presently demonstrated level, to values corresponding to various studies for large plants in 2030, and gradual increase to 2050. It is assumed that a total efficiency of 90% can be obtained.</t>
  </si>
  <si>
    <t>Heat at normal district heating temprature set 80/50 deg. Additional low temperature heat for heat pumps is possible. For uncertainty values, a higher heat output can be expected at low gas output and vice versa.</t>
  </si>
  <si>
    <t>Source: TYNDP 2022 PCI projects</t>
  </si>
  <si>
    <t>TYNDP PCI project for 2022</t>
  </si>
  <si>
    <t>Exporter</t>
  </si>
  <si>
    <t>Importer</t>
  </si>
  <si>
    <t>Algeria</t>
  </si>
  <si>
    <t>Italy</t>
  </si>
  <si>
    <t>Spain</t>
  </si>
  <si>
    <t>North africa total</t>
  </si>
  <si>
    <t>Norway</t>
  </si>
  <si>
    <t>Belgium</t>
  </si>
  <si>
    <t xml:space="preserve">Norway </t>
  </si>
  <si>
    <t>Germany</t>
  </si>
  <si>
    <t>Norway total</t>
  </si>
  <si>
    <t xml:space="preserve">Ukraine </t>
  </si>
  <si>
    <t>Hungary</t>
  </si>
  <si>
    <t>Romania</t>
  </si>
  <si>
    <t>Slovakia</t>
  </si>
  <si>
    <t>Ukraine total</t>
  </si>
  <si>
    <t>Ship</t>
  </si>
  <si>
    <t>European Hydrogen Backbone: https://ehb.eu/files/downloads/1653999355_EHB-Supply-corridors-presentation-Full-compressed-1.pdf</t>
  </si>
  <si>
    <t>EHB (TWh/year)</t>
  </si>
  <si>
    <t xml:space="preserve">Import potential </t>
  </si>
  <si>
    <t>North Africa</t>
  </si>
  <si>
    <t>Ukraine</t>
  </si>
  <si>
    <t xml:space="preserve">Total </t>
  </si>
  <si>
    <t>IEA Global Hydrogen Review: https://www.iea.org/reports/global-hydrogen-review-2022</t>
  </si>
  <si>
    <t>IEA (TWh/year)</t>
  </si>
  <si>
    <t>Import potentials</t>
  </si>
  <si>
    <t>Shipping</t>
  </si>
  <si>
    <t>No data</t>
  </si>
  <si>
    <t>IRENA: https://iea.blob.core.windows.net/assets/c5bc75b1-9e4d-460d-9056-6e8e626a11c4/GlobalHydrogenReview2022.pdf</t>
  </si>
  <si>
    <t>IRENA (TWh/year)</t>
  </si>
  <si>
    <t xml:space="preserve">Import </t>
  </si>
  <si>
    <t xml:space="preserve">Ship </t>
  </si>
  <si>
    <t>H2 from North Africe</t>
  </si>
  <si>
    <t>NH3 from North Africa</t>
  </si>
  <si>
    <t xml:space="preserve">Morocco H2 strategy: https://www.mem.gov.ma/Lists/Lst_rapports/Attachments/36/Feuille%20de%20route%20de%20hydrog%C3%A8ne%20vert.pdf </t>
  </si>
  <si>
    <t>Morocco H2 strategy (TWh/year)</t>
  </si>
  <si>
    <t>From Morooco to Spain</t>
  </si>
  <si>
    <t>Maximum values are selected: Green cells are selected</t>
  </si>
  <si>
    <t xml:space="preserve">Import potentials </t>
  </si>
  <si>
    <t xml:space="preserve">Region </t>
  </si>
  <si>
    <t>By Ship</t>
  </si>
  <si>
    <t>Only 2040 import by ship is interpolated, to give a more natural shape of the import potential.</t>
  </si>
  <si>
    <t>Methane MAX import potentials (TWh/year)</t>
  </si>
  <si>
    <t>Azerbaijan</t>
  </si>
  <si>
    <t>Libya</t>
  </si>
  <si>
    <t>Turkey</t>
  </si>
  <si>
    <t>Turkmenistan</t>
  </si>
  <si>
    <t>Russia (via Ukraine and Turkey)</t>
  </si>
  <si>
    <t>(Current flows 26/6 2023)</t>
  </si>
  <si>
    <t>Cyprus / Israel</t>
  </si>
  <si>
    <t>LNG MAX import potentials (TWh/year)</t>
  </si>
  <si>
    <t>LNG Middle East</t>
  </si>
  <si>
    <t>LNG North Africa</t>
  </si>
  <si>
    <t>LNG North America</t>
  </si>
  <si>
    <t>LNG Other</t>
  </si>
  <si>
    <t>4.3. Import Prices for Hydrogen</t>
  </si>
  <si>
    <t xml:space="preserve">price Source: https://ehb.eu/files/downloads/EHB-Supply-corridor-presentation-Full-version.pdf </t>
  </si>
  <si>
    <t>YEAR</t>
  </si>
  <si>
    <t>Base price from source [€/MWh]</t>
  </si>
  <si>
    <t>DE (€/MWh)</t>
  </si>
  <si>
    <t>GA (€/MWh)</t>
  </si>
  <si>
    <t>DZ</t>
  </si>
  <si>
    <t>ES</t>
  </si>
  <si>
    <t>Methodology:</t>
  </si>
  <si>
    <t>MA</t>
  </si>
  <si>
    <t>IT</t>
  </si>
  <si>
    <t>In 2030 price is equal for all scenarios</t>
  </si>
  <si>
    <t>NO</t>
  </si>
  <si>
    <t>The price in DE will increase 15% in 2040 and 20% in 2050 compared to the base price</t>
  </si>
  <si>
    <t>UA</t>
  </si>
  <si>
    <t>RO</t>
  </si>
  <si>
    <t>The price in GA will decrease 15 % in 2040 and 20% in 2050 compared to the base price</t>
  </si>
  <si>
    <t>HU</t>
  </si>
  <si>
    <t>In 2035 interpolation is used between 2030 and 2040 value</t>
  </si>
  <si>
    <t>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</si>
</sst>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8" formatCode="#,##0.00\ &quot;€&quot;;[Red]\-#,##0.00\ &quot;€&quot;"/>
    <numFmt numFmtId="43" formatCode="_-* #,##0.00_-;\-* #,##0.00_-;_-* &quot;-&quot;??_-;_-@_-"/>
    <numFmt numFmtId="164" formatCode="_-* #,##0_-;\-* #,##0_-;_-* &quot;-&quot;??_-;_-@_-"/>
    <numFmt numFmtId="165" formatCode="0.0%"/>
    <numFmt numFmtId="166" formatCode="0.000"/>
    <numFmt numFmtId="167" formatCode="0.0"/>
    <numFmt numFmtId="168" formatCode="_-* #,##0.00\ _€_-;\-* #,##0.00\ _€_-;_-* &quot;-&quot;??\ _€_-;_-@_-"/>
    <numFmt numFmtId="169" formatCode="_(* #,##0_);_(* \(#,##0\);_(* &quot;-&quot;??_);_(@_)"/>
    <numFmt numFmtId="170" formatCode="#,##0_ ;\-#,##0\ "/>
    <numFmt numFmtId="171" formatCode="_ * #,##0.0_ ;_ * \-#,##0.0_ ;_ * &quot;-&quot;??_ ;_ @_ "/>
    <numFmt numFmtId="172" formatCode="_ * #,##0_ ;_ * \-#,##0_ ;_ * &quot;-&quot;??_ ;_ @_ "/>
    <numFmt numFmtId="173" formatCode="_-* #,##0.0\ _€_-;\-* #,##0.0\ _€_-;_-* &quot;-&quot;?\ _€_-;_-@_-"/>
  </numFmts>
  <fonts count="76">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4"/>
      <color rgb="FF000000"/>
      <name val="Times New Roman"/>
      <family val="1"/>
    </font>
    <font>
      <u/>
      <sz val="11"/>
      <color theme="10"/>
      <name val="Calibri"/>
      <family val="2"/>
      <scheme val="minor"/>
    </font>
    <font>
      <sz val="10"/>
      <color theme="1"/>
      <name val="Calibri"/>
      <family val="2"/>
      <scheme val="minor"/>
    </font>
    <font>
      <b/>
      <sz val="10"/>
      <color theme="1"/>
      <name val="Calibri"/>
      <family val="2"/>
      <scheme val="minor"/>
    </font>
    <font>
      <b/>
      <sz val="10"/>
      <color theme="1"/>
      <name val="Calibri Light"/>
      <family val="2"/>
      <scheme val="major"/>
    </font>
    <font>
      <sz val="10"/>
      <color theme="1"/>
      <name val="Calibri Light"/>
      <family val="2"/>
      <scheme val="major"/>
    </font>
    <font>
      <sz val="10"/>
      <color rgb="FFFF0000"/>
      <name val="Calibri Light"/>
      <family val="2"/>
      <scheme val="major"/>
    </font>
    <font>
      <b/>
      <sz val="11"/>
      <name val="Calibri"/>
      <family val="2"/>
      <scheme val="minor"/>
    </font>
    <font>
      <b/>
      <sz val="11"/>
      <color rgb="FF0070C0"/>
      <name val="Calibri"/>
      <family val="2"/>
      <scheme val="minor"/>
    </font>
    <font>
      <b/>
      <sz val="10"/>
      <color rgb="FF0070C0"/>
      <name val="Calibri Light"/>
      <family val="2"/>
      <scheme val="major"/>
    </font>
    <font>
      <b/>
      <sz val="11"/>
      <color rgb="FFFF0000"/>
      <name val="Calibri"/>
      <family val="2"/>
      <scheme val="minor"/>
    </font>
    <font>
      <sz val="11"/>
      <name val="Calibri"/>
      <family val="2"/>
    </font>
    <font>
      <sz val="11"/>
      <color theme="1"/>
      <name val="Calibri"/>
      <family val="2"/>
    </font>
    <font>
      <sz val="11"/>
      <color rgb="FF000000"/>
      <name val="Calibri"/>
      <family val="2"/>
      <scheme val="minor"/>
    </font>
    <font>
      <b/>
      <sz val="11"/>
      <color rgb="FF000000"/>
      <name val="Calibri"/>
      <family val="2"/>
      <scheme val="minor"/>
    </font>
    <font>
      <u/>
      <sz val="11"/>
      <color rgb="FFFF0000"/>
      <name val="Calibri"/>
      <family val="2"/>
      <scheme val="minor"/>
    </font>
    <font>
      <u/>
      <sz val="11"/>
      <color theme="1"/>
      <name val="Calibri"/>
      <family val="2"/>
      <scheme val="minor"/>
    </font>
    <font>
      <sz val="11"/>
      <name val="Calibri"/>
      <family val="2"/>
      <scheme val="minor"/>
    </font>
    <font>
      <sz val="10"/>
      <name val="Calibri Light"/>
      <family val="2"/>
      <scheme val="major"/>
    </font>
    <font>
      <b/>
      <sz val="10"/>
      <name val="Calibri Light"/>
      <family val="2"/>
      <scheme val="major"/>
    </font>
    <font>
      <b/>
      <u/>
      <sz val="11"/>
      <color theme="1"/>
      <name val="Calibri"/>
      <family val="2"/>
      <scheme val="minor"/>
    </font>
    <font>
      <b/>
      <u/>
      <sz val="10"/>
      <name val="Calibri Light"/>
      <family val="2"/>
      <scheme val="major"/>
    </font>
    <font>
      <b/>
      <i/>
      <sz val="10"/>
      <color theme="1"/>
      <name val="Calibri Lighq"/>
    </font>
    <font>
      <i/>
      <sz val="10"/>
      <color theme="1"/>
      <name val="Calibri Lighq"/>
    </font>
    <font>
      <sz val="11"/>
      <color rgb="FF00B050"/>
      <name val="Calibri"/>
      <family val="2"/>
      <scheme val="minor"/>
    </font>
    <font>
      <b/>
      <i/>
      <sz val="10"/>
      <color theme="1"/>
      <name val="Calibri Light"/>
      <family val="2"/>
      <scheme val="major"/>
    </font>
    <font>
      <i/>
      <sz val="10"/>
      <color theme="1"/>
      <name val="Calibri Light"/>
      <family val="2"/>
      <scheme val="major"/>
    </font>
    <font>
      <i/>
      <sz val="11"/>
      <color theme="1"/>
      <name val="Calibri"/>
      <family val="2"/>
      <scheme val="minor"/>
    </font>
    <font>
      <b/>
      <i/>
      <sz val="11"/>
      <color theme="1"/>
      <name val="Calibri Light"/>
      <family val="2"/>
      <scheme val="major"/>
    </font>
    <font>
      <b/>
      <i/>
      <sz val="11"/>
      <color theme="1"/>
      <name val="Calibri"/>
      <family val="2"/>
      <scheme val="minor"/>
    </font>
    <font>
      <i/>
      <sz val="11"/>
      <color theme="1"/>
      <name val="Calibri Light"/>
      <family val="2"/>
      <scheme val="major"/>
    </font>
    <font>
      <b/>
      <i/>
      <sz val="10"/>
      <color theme="1"/>
      <name val="Calibri"/>
      <family val="2"/>
      <scheme val="minor"/>
    </font>
    <font>
      <i/>
      <sz val="10"/>
      <color theme="1"/>
      <name val="Calibri"/>
      <family val="2"/>
      <scheme val="minor"/>
    </font>
    <font>
      <b/>
      <i/>
      <sz val="18"/>
      <color theme="1"/>
      <name val="Calibri"/>
      <family val="2"/>
      <scheme val="minor"/>
    </font>
    <font>
      <b/>
      <i/>
      <sz val="22"/>
      <color theme="1"/>
      <name val="Calibri"/>
      <family val="2"/>
      <scheme val="minor"/>
    </font>
    <font>
      <sz val="8"/>
      <color theme="1"/>
      <name val="Calibri"/>
      <family val="2"/>
      <scheme val="minor"/>
    </font>
    <font>
      <sz val="11"/>
      <color theme="1"/>
      <name val="Arial"/>
      <family val="2"/>
    </font>
    <font>
      <sz val="9"/>
      <color theme="1"/>
      <name val="Calibri"/>
      <family val="2"/>
      <scheme val="minor"/>
    </font>
    <font>
      <sz val="9"/>
      <color rgb="FF000000"/>
      <name val="Calibri"/>
      <family val="2"/>
      <scheme val="minor"/>
    </font>
    <font>
      <b/>
      <sz val="9"/>
      <color theme="1"/>
      <name val="Calibri"/>
      <family val="2"/>
      <scheme val="minor"/>
    </font>
    <font>
      <sz val="16"/>
      <name val="Calibri"/>
      <family val="2"/>
      <scheme val="minor"/>
    </font>
    <font>
      <b/>
      <i/>
      <sz val="9"/>
      <color theme="1"/>
      <name val="Calibri"/>
      <family val="2"/>
      <scheme val="minor"/>
    </font>
    <font>
      <sz val="11"/>
      <color indexed="8"/>
      <name val="Calibri"/>
      <family val="2"/>
    </font>
    <font>
      <b/>
      <sz val="11"/>
      <color theme="0"/>
      <name val="Calibri"/>
      <family val="2"/>
    </font>
    <font>
      <b/>
      <sz val="8"/>
      <name val="Arial"/>
      <family val="2"/>
    </font>
    <font>
      <sz val="11"/>
      <color theme="0"/>
      <name val="Calibri"/>
      <family val="2"/>
    </font>
    <font>
      <b/>
      <sz val="11"/>
      <color rgb="FF000000"/>
      <name val="Calibri"/>
      <family val="2"/>
    </font>
    <font>
      <sz val="11"/>
      <color rgb="FFFFFFFF"/>
      <name val="Calibri"/>
      <family val="2"/>
    </font>
    <font>
      <sz val="11"/>
      <color rgb="FF000000"/>
      <name val="Calibri"/>
      <family val="2"/>
    </font>
    <font>
      <sz val="11"/>
      <color rgb="FF595959"/>
      <name val="Calibri"/>
      <family val="2"/>
    </font>
    <font>
      <b/>
      <sz val="11"/>
      <color rgb="FFFFFFFF"/>
      <name val="Calibri"/>
      <family val="2"/>
      <scheme val="minor"/>
    </font>
    <font>
      <sz val="11"/>
      <color rgb="FFFFFFFF"/>
      <name val="Calibri"/>
      <family val="2"/>
      <scheme val="minor"/>
    </font>
    <font>
      <b/>
      <sz val="10"/>
      <color rgb="FF333333"/>
      <name val="Arial"/>
      <family val="2"/>
    </font>
    <font>
      <sz val="10"/>
      <color rgb="FF333333"/>
      <name val="Arial"/>
      <family val="2"/>
    </font>
    <font>
      <sz val="8"/>
      <name val="Arial"/>
      <family val="2"/>
    </font>
    <font>
      <sz val="8"/>
      <color rgb="FF4A6A00"/>
      <name val="Arial"/>
      <family val="2"/>
    </font>
    <font>
      <b/>
      <sz val="8"/>
      <color rgb="FFFFFFFF"/>
      <name val="Arial"/>
      <family val="2"/>
    </font>
    <font>
      <sz val="8"/>
      <color rgb="FF648C1A"/>
      <name val="Arial"/>
      <family val="2"/>
    </font>
    <font>
      <b/>
      <sz val="10"/>
      <name val="Arial"/>
      <family val="2"/>
    </font>
    <font>
      <b/>
      <sz val="9"/>
      <color theme="1"/>
      <name val="Calibri"/>
      <family val="2"/>
    </font>
    <font>
      <sz val="9"/>
      <name val="Arial"/>
      <family val="2"/>
    </font>
    <font>
      <b/>
      <i/>
      <sz val="9"/>
      <name val="Arial"/>
      <family val="2"/>
    </font>
    <font>
      <sz val="10"/>
      <name val="Arial"/>
      <family val="2"/>
    </font>
    <font>
      <b/>
      <sz val="9"/>
      <name val="Arial"/>
      <family val="2"/>
    </font>
    <font>
      <vertAlign val="subscript"/>
      <sz val="9"/>
      <name val="Arial"/>
      <family val="2"/>
    </font>
    <font>
      <b/>
      <i/>
      <sz val="18"/>
      <name val="Calibri"/>
      <family val="2"/>
      <scheme val="minor"/>
    </font>
    <font>
      <sz val="11"/>
      <color rgb="FFC00000"/>
      <name val="Calibri"/>
      <family val="2"/>
      <scheme val="minor"/>
    </font>
    <font>
      <b/>
      <i/>
      <sz val="18"/>
      <color rgb="FF000000"/>
      <name val="Calibri"/>
      <family val="2"/>
      <scheme val="minor"/>
    </font>
    <font>
      <sz val="20"/>
      <color rgb="FF17253F"/>
      <name val="Lato"/>
      <family val="2"/>
    </font>
    <font>
      <sz val="20"/>
      <color rgb="FF134094"/>
      <name val="Arial"/>
      <family val="2"/>
    </font>
  </fonts>
  <fills count="58">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E6E1E9"/>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bgColor indexed="64"/>
      </patternFill>
    </fill>
    <fill>
      <patternFill patternType="solid">
        <fgColor theme="7"/>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66CCFF"/>
        <bgColor indexed="64"/>
      </patternFill>
    </fill>
    <fill>
      <patternFill patternType="solid">
        <fgColor theme="4"/>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rgb="FF00FFFF"/>
        <bgColor indexed="64"/>
      </patternFill>
    </fill>
    <fill>
      <patternFill patternType="solid">
        <fgColor rgb="FFABFFFF"/>
        <bgColor indexed="64"/>
      </patternFill>
    </fill>
    <fill>
      <patternFill patternType="solid">
        <fgColor rgb="FF00FF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29D7A9"/>
        <bgColor indexed="64"/>
      </patternFill>
    </fill>
    <fill>
      <patternFill patternType="solid">
        <fgColor theme="9" tint="-0.249977111117893"/>
        <bgColor indexed="64"/>
      </patternFill>
    </fill>
    <fill>
      <patternFill patternType="solid">
        <fgColor theme="0"/>
        <bgColor indexed="64"/>
      </patternFill>
    </fill>
    <fill>
      <patternFill patternType="solid">
        <fgColor rgb="FFFFFFFF"/>
        <bgColor indexed="64"/>
      </patternFill>
    </fill>
    <fill>
      <patternFill patternType="solid">
        <fgColor theme="1"/>
        <bgColor indexed="64"/>
      </patternFill>
    </fill>
    <fill>
      <patternFill patternType="solid">
        <fgColor rgb="FFFFFFFF"/>
        <bgColor rgb="FF000000"/>
      </patternFill>
    </fill>
    <fill>
      <patternFill patternType="solid">
        <fgColor rgb="FF4472C4"/>
        <bgColor rgb="FF000000"/>
      </patternFill>
    </fill>
    <fill>
      <patternFill patternType="solid">
        <fgColor rgb="FFFCE4D6"/>
        <bgColor rgb="FF000000"/>
      </patternFill>
    </fill>
    <fill>
      <patternFill patternType="solid">
        <fgColor rgb="FFFFFF00"/>
        <bgColor rgb="FF000000"/>
      </patternFill>
    </fill>
    <fill>
      <patternFill patternType="solid">
        <fgColor rgb="FFBDD7EE"/>
        <bgColor rgb="FF000000"/>
      </patternFill>
    </fill>
    <fill>
      <patternFill patternType="solid">
        <fgColor rgb="FF305496"/>
        <bgColor rgb="FF000000"/>
      </patternFill>
    </fill>
    <fill>
      <patternFill patternType="solid">
        <fgColor rgb="FF000000"/>
        <bgColor rgb="FF000000"/>
      </patternFill>
    </fill>
    <fill>
      <patternFill patternType="solid">
        <fgColor rgb="FFFFF2CC"/>
        <bgColor rgb="FF000000"/>
      </patternFill>
    </fill>
    <fill>
      <patternFill patternType="solid">
        <fgColor rgb="FF4472C4"/>
        <bgColor indexed="64"/>
      </patternFill>
    </fill>
    <fill>
      <patternFill patternType="solid">
        <fgColor rgb="FFBDD7EE"/>
        <bgColor indexed="64"/>
      </patternFill>
    </fill>
    <fill>
      <patternFill patternType="solid">
        <fgColor rgb="FFDDEBF7"/>
        <bgColor indexed="64"/>
      </patternFill>
    </fill>
    <fill>
      <patternFill patternType="solid">
        <fgColor theme="3"/>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F1D1"/>
        <bgColor rgb="FF000000"/>
      </patternFill>
    </fill>
    <fill>
      <patternFill patternType="solid">
        <fgColor rgb="FF555759"/>
        <bgColor rgb="FF000000"/>
      </patternFill>
    </fill>
    <fill>
      <patternFill patternType="solid">
        <fgColor rgb="FF648C1A"/>
        <bgColor rgb="FF000000"/>
      </patternFill>
    </fill>
    <fill>
      <patternFill patternType="solid">
        <fgColor theme="0" tint="-0.249977111117893"/>
        <bgColor indexed="64"/>
      </patternFill>
    </fill>
    <fill>
      <patternFill patternType="solid">
        <fgColor rgb="FFC00000"/>
        <bgColor indexed="64"/>
      </patternFill>
    </fill>
    <fill>
      <patternFill patternType="solid">
        <fgColor theme="9" tint="-0.499984740745262"/>
        <bgColor indexed="64"/>
      </patternFill>
    </fill>
    <fill>
      <patternFill patternType="solid">
        <fgColor rgb="FF7030A0"/>
        <bgColor indexed="64"/>
      </patternFill>
    </fill>
    <fill>
      <patternFill patternType="solid">
        <fgColor rgb="FF00B0F0"/>
        <bgColor indexed="64"/>
      </patternFill>
    </fill>
    <fill>
      <patternFill patternType="solid">
        <fgColor rgb="FF00206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4" tint="-0.499984740745262"/>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top style="thin">
        <color rgb="FF000000"/>
      </top>
      <bottom/>
      <diagonal/>
    </border>
    <border>
      <left/>
      <right style="thin">
        <color rgb="FF000000"/>
      </right>
      <top/>
      <bottom/>
      <diagonal/>
    </border>
    <border>
      <left/>
      <right/>
      <top/>
      <bottom style="dotted">
        <color rgb="FF000000"/>
      </bottom>
      <diagonal/>
    </border>
    <border>
      <left/>
      <right/>
      <top style="dotted">
        <color rgb="FF000000"/>
      </top>
      <bottom style="dotted">
        <color rgb="FF000000"/>
      </bottom>
      <diagonal/>
    </border>
    <border>
      <left/>
      <right/>
      <top style="dotted">
        <color rgb="FF000000"/>
      </top>
      <bottom/>
      <diagonal/>
    </border>
    <border>
      <left/>
      <right style="thin">
        <color rgb="FFFFFFFF"/>
      </right>
      <top style="thin">
        <color indexed="64"/>
      </top>
      <bottom/>
      <diagonal/>
    </border>
    <border>
      <left style="thin">
        <color rgb="FFFFFFFF"/>
      </left>
      <right style="thin">
        <color rgb="FFFFFFFF"/>
      </right>
      <top style="thin">
        <color indexed="64"/>
      </top>
      <bottom style="thin">
        <color rgb="FFFFFFFF"/>
      </bottom>
      <diagonal/>
    </border>
    <border>
      <left style="thin">
        <color rgb="FFFFFFFF"/>
      </left>
      <right style="thin">
        <color indexed="64"/>
      </right>
      <top style="thin">
        <color indexed="64"/>
      </top>
      <bottom style="thin">
        <color rgb="FFFFFFFF"/>
      </bottom>
      <diagonal/>
    </border>
    <border>
      <left/>
      <right style="thin">
        <color rgb="FFFFFFFF"/>
      </right>
      <top/>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indexed="64"/>
      </right>
      <top style="thin">
        <color rgb="FFFFFFFF"/>
      </top>
      <bottom style="thin">
        <color rgb="FFFFFFFF"/>
      </bottom>
      <diagonal/>
    </border>
    <border>
      <left/>
      <right style="thin">
        <color rgb="FFFFFFFF"/>
      </right>
      <top/>
      <bottom style="thin">
        <color rgb="FFFFFFFF"/>
      </bottom>
      <diagonal/>
    </border>
    <border>
      <left style="thin">
        <color rgb="FFFFFFFF"/>
      </left>
      <right style="thin">
        <color rgb="FFFFFFFF"/>
      </right>
      <top/>
      <bottom/>
      <diagonal/>
    </border>
    <border>
      <left style="thin">
        <color rgb="FFFFFFFF"/>
      </left>
      <right style="thin">
        <color rgb="FFFFFFFF"/>
      </right>
      <top/>
      <bottom style="thin">
        <color indexed="64"/>
      </bottom>
      <diagonal/>
    </border>
    <border>
      <left style="thin">
        <color rgb="FFFFFFFF"/>
      </left>
      <right style="thin">
        <color rgb="FFFFFFFF"/>
      </right>
      <top style="thin">
        <color rgb="FFFFFFFF"/>
      </top>
      <bottom style="thin">
        <color indexed="64"/>
      </bottom>
      <diagonal/>
    </border>
    <border>
      <left style="thin">
        <color rgb="FFFFFFFF"/>
      </left>
      <right style="thin">
        <color indexed="64"/>
      </right>
      <top style="thin">
        <color rgb="FFFFFFFF"/>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ck">
        <color rgb="FFFFC000"/>
      </left>
      <right/>
      <top style="thick">
        <color rgb="FFFFC000"/>
      </top>
      <bottom/>
      <diagonal/>
    </border>
    <border>
      <left/>
      <right/>
      <top style="thick">
        <color rgb="FFFFC000"/>
      </top>
      <bottom/>
      <diagonal/>
    </border>
    <border>
      <left style="thick">
        <color rgb="FFFFC000"/>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BABABA"/>
      </left>
      <right/>
      <top style="medium">
        <color rgb="FFBABABA"/>
      </top>
      <bottom style="medium">
        <color rgb="FFBABABA"/>
      </bottom>
      <diagonal/>
    </border>
    <border>
      <left/>
      <right/>
      <top style="medium">
        <color rgb="FFBABABA"/>
      </top>
      <bottom style="medium">
        <color rgb="FFBABABA"/>
      </bottom>
      <diagonal/>
    </border>
    <border>
      <left/>
      <right style="medium">
        <color rgb="FFBABABA"/>
      </right>
      <top style="medium">
        <color rgb="FFBABABA"/>
      </top>
      <bottom style="medium">
        <color rgb="FFBABABA"/>
      </bottom>
      <diagonal/>
    </border>
    <border>
      <left/>
      <right/>
      <top style="medium">
        <color rgb="FFBABABA"/>
      </top>
      <bottom style="thick">
        <color rgb="FF189BD7"/>
      </bottom>
      <diagonal/>
    </border>
    <border>
      <left style="medium">
        <color rgb="FFBABABA"/>
      </left>
      <right/>
      <top style="medium">
        <color rgb="FFBABABA"/>
      </top>
      <bottom style="thick">
        <color rgb="FF189BD7"/>
      </bottom>
      <diagonal/>
    </border>
    <border>
      <left/>
      <right/>
      <top style="mediumDashed">
        <color rgb="FFBABABA"/>
      </top>
      <bottom/>
      <diagonal/>
    </border>
    <border>
      <left/>
      <right/>
      <top style="mediumDashed">
        <color rgb="FFBABABA"/>
      </top>
      <bottom style="medium">
        <color rgb="FF189BD7"/>
      </bottom>
      <diagonal/>
    </border>
    <border>
      <left/>
      <right/>
      <top style="thin">
        <color indexed="64"/>
      </top>
      <bottom style="double">
        <color indexed="64"/>
      </bottom>
      <diagonal/>
    </border>
    <border>
      <left style="hair">
        <color rgb="FFB9BBBD"/>
      </left>
      <right style="hair">
        <color rgb="FFB9BBBD"/>
      </right>
      <top style="hair">
        <color rgb="FFB9BBBD"/>
      </top>
      <bottom style="hair">
        <color rgb="FFB9BBBD"/>
      </bottom>
      <diagonal/>
    </border>
    <border>
      <left/>
      <right/>
      <top/>
      <bottom style="medium">
        <color rgb="FF95D600"/>
      </bottom>
      <diagonal/>
    </border>
    <border>
      <left/>
      <right/>
      <top/>
      <bottom style="double">
        <color indexed="64"/>
      </bottom>
      <diagonal/>
    </border>
    <border>
      <left/>
      <right style="medium">
        <color indexed="64"/>
      </right>
      <top style="thin">
        <color auto="1"/>
      </top>
      <bottom style="thin">
        <color auto="1"/>
      </bottom>
      <diagonal/>
    </border>
    <border>
      <left style="thin">
        <color indexed="64"/>
      </left>
      <right style="thin">
        <color indexed="64"/>
      </right>
      <top/>
      <bottom style="thin">
        <color indexed="64"/>
      </bottom>
      <diagonal/>
    </border>
    <border>
      <left/>
      <right style="medium">
        <color indexed="64"/>
      </right>
      <top/>
      <bottom style="thin">
        <color auto="1"/>
      </bottom>
      <diagonal/>
    </border>
    <border>
      <left style="thin">
        <color indexed="64"/>
      </left>
      <right style="thin">
        <color indexed="64"/>
      </right>
      <top style="thin">
        <color indexed="64"/>
      </top>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s>
  <cellStyleXfs count="13">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xf numFmtId="0" fontId="48" fillId="0" borderId="0"/>
    <xf numFmtId="168" fontId="1" fillId="0" borderId="0" applyFont="0" applyFill="0" applyBorder="0" applyAlignment="0" applyProtection="0"/>
    <xf numFmtId="0" fontId="60" fillId="0" borderId="51" applyNumberFormat="0" applyAlignment="0">
      <alignment vertical="top"/>
    </xf>
    <xf numFmtId="0" fontId="61" fillId="46" borderId="51" applyNumberFormat="0" applyAlignment="0">
      <alignment vertical="top"/>
    </xf>
    <xf numFmtId="0" fontId="60" fillId="46" borderId="51" applyNumberFormat="0" applyAlignment="0">
      <alignment vertical="top"/>
    </xf>
    <xf numFmtId="0" fontId="62" fillId="47" borderId="52" applyNumberFormat="0">
      <alignment vertical="center" wrapText="1"/>
    </xf>
    <xf numFmtId="0" fontId="62" fillId="48" borderId="51" applyNumberFormat="0" applyAlignment="0">
      <alignment vertical="top"/>
    </xf>
    <xf numFmtId="0" fontId="63" fillId="0" borderId="0" applyNumberFormat="0" applyFill="0" applyBorder="0" applyAlignment="0">
      <alignment vertical="top"/>
    </xf>
    <xf numFmtId="43" fontId="1" fillId="0" borderId="0" applyFont="0" applyFill="0" applyBorder="0" applyAlignment="0" applyProtection="0"/>
  </cellStyleXfs>
  <cellXfs count="544">
    <xf numFmtId="0" fontId="0" fillId="0" borderId="0" xfId="0"/>
    <xf numFmtId="0" fontId="0" fillId="0" borderId="0" xfId="0" applyAlignment="1">
      <alignment vertical="center" wrapText="1"/>
    </xf>
    <xf numFmtId="0" fontId="0" fillId="0" borderId="0" xfId="0" applyAlignment="1">
      <alignment horizontal="center"/>
    </xf>
    <xf numFmtId="0" fontId="0" fillId="0" borderId="0" xfId="0" applyAlignment="1">
      <alignment horizontal="left" vertical="top" wrapText="1"/>
    </xf>
    <xf numFmtId="0" fontId="7" fillId="0" borderId="0" xfId="3"/>
    <xf numFmtId="0" fontId="7" fillId="0" borderId="0" xfId="3" applyAlignment="1">
      <alignment vertical="center"/>
    </xf>
    <xf numFmtId="0" fontId="19" fillId="0" borderId="0" xfId="0" applyFont="1"/>
    <xf numFmtId="0" fontId="4" fillId="0" borderId="0" xfId="0" applyFont="1" applyAlignment="1">
      <alignment horizontal="center"/>
    </xf>
    <xf numFmtId="0" fontId="4" fillId="5" borderId="1" xfId="0" applyFont="1" applyFill="1" applyBorder="1" applyAlignment="1">
      <alignment horizontal="center"/>
    </xf>
    <xf numFmtId="0" fontId="28" fillId="6" borderId="1" xfId="0" applyFont="1" applyFill="1" applyBorder="1" applyAlignment="1">
      <alignment horizontal="center"/>
    </xf>
    <xf numFmtId="0" fontId="4" fillId="7" borderId="1" xfId="0" applyFont="1" applyFill="1" applyBorder="1" applyAlignment="1">
      <alignment horizontal="center"/>
    </xf>
    <xf numFmtId="0" fontId="4" fillId="0" borderId="0" xfId="0" applyFont="1"/>
    <xf numFmtId="164" fontId="0" fillId="5" borderId="1" xfId="1" applyNumberFormat="1" applyFont="1" applyFill="1" applyBorder="1" applyAlignment="1">
      <alignment horizontal="center"/>
    </xf>
    <xf numFmtId="164" fontId="29" fillId="6" borderId="1" xfId="1" applyNumberFormat="1" applyFont="1" applyFill="1" applyBorder="1" applyAlignment="1">
      <alignment horizontal="center"/>
    </xf>
    <xf numFmtId="164" fontId="0" fillId="7" borderId="1" xfId="1" applyNumberFormat="1" applyFont="1" applyFill="1" applyBorder="1" applyAlignment="1">
      <alignment horizontal="center"/>
    </xf>
    <xf numFmtId="165" fontId="0" fillId="0" borderId="0" xfId="0" applyNumberFormat="1"/>
    <xf numFmtId="0" fontId="30" fillId="0" borderId="0" xfId="0" applyFont="1"/>
    <xf numFmtId="164" fontId="4" fillId="5" borderId="1" xfId="1" applyNumberFormat="1" applyFont="1" applyFill="1" applyBorder="1" applyAlignment="1">
      <alignment horizontal="center"/>
    </xf>
    <xf numFmtId="164" fontId="28" fillId="6" borderId="1" xfId="1" applyNumberFormat="1" applyFont="1" applyFill="1" applyBorder="1" applyAlignment="1">
      <alignment horizontal="center"/>
    </xf>
    <xf numFmtId="164" fontId="4" fillId="7" borderId="1" xfId="1" applyNumberFormat="1" applyFont="1" applyFill="1" applyBorder="1" applyAlignment="1">
      <alignment horizontal="center"/>
    </xf>
    <xf numFmtId="0" fontId="8" fillId="0" borderId="0" xfId="0" applyFont="1" applyAlignment="1">
      <alignment vertical="center" wrapText="1"/>
    </xf>
    <xf numFmtId="0" fontId="8" fillId="0" borderId="0" xfId="0" applyFont="1" applyAlignment="1">
      <alignment horizontal="center"/>
    </xf>
    <xf numFmtId="0" fontId="4" fillId="2" borderId="1" xfId="0" applyFont="1" applyFill="1" applyBorder="1" applyAlignment="1">
      <alignment horizontal="center"/>
    </xf>
    <xf numFmtId="0" fontId="31" fillId="8" borderId="1" xfId="0" applyFont="1" applyFill="1" applyBorder="1" applyAlignment="1">
      <alignment horizontal="center"/>
    </xf>
    <xf numFmtId="164" fontId="0" fillId="2" borderId="1" xfId="1" applyNumberFormat="1" applyFont="1" applyFill="1" applyBorder="1" applyAlignment="1">
      <alignment horizontal="center"/>
    </xf>
    <xf numFmtId="164" fontId="32" fillId="8" borderId="1" xfId="1" applyNumberFormat="1" applyFont="1" applyFill="1" applyBorder="1" applyAlignment="1">
      <alignment horizontal="center"/>
    </xf>
    <xf numFmtId="2" fontId="33" fillId="0" borderId="0" xfId="0" applyNumberFormat="1" applyFont="1" applyAlignment="1">
      <alignment horizontal="left"/>
    </xf>
    <xf numFmtId="164" fontId="4" fillId="2" borderId="1" xfId="1" applyNumberFormat="1" applyFont="1" applyFill="1" applyBorder="1" applyAlignment="1">
      <alignment horizontal="center"/>
    </xf>
    <xf numFmtId="164" fontId="31" fillId="8" borderId="1" xfId="1" applyNumberFormat="1" applyFont="1" applyFill="1" applyBorder="1" applyAlignment="1">
      <alignment horizontal="center"/>
    </xf>
    <xf numFmtId="0" fontId="31" fillId="4" borderId="1" xfId="0" applyFont="1" applyFill="1" applyBorder="1" applyAlignment="1">
      <alignment horizontal="center"/>
    </xf>
    <xf numFmtId="164" fontId="32" fillId="4" borderId="1" xfId="1" applyNumberFormat="1" applyFont="1" applyFill="1" applyBorder="1" applyAlignment="1">
      <alignment horizontal="center"/>
    </xf>
    <xf numFmtId="164" fontId="4" fillId="0" borderId="1" xfId="1" applyNumberFormat="1" applyFont="1" applyBorder="1" applyAlignment="1">
      <alignment horizontal="center"/>
    </xf>
    <xf numFmtId="164" fontId="31" fillId="4" borderId="1" xfId="1" applyNumberFormat="1" applyFont="1" applyFill="1" applyBorder="1" applyAlignment="1">
      <alignment horizontal="center"/>
    </xf>
    <xf numFmtId="0" fontId="33" fillId="0" borderId="0" xfId="0" applyFont="1"/>
    <xf numFmtId="0" fontId="34" fillId="4" borderId="1" xfId="0" applyFont="1" applyFill="1" applyBorder="1" applyAlignment="1">
      <alignment horizontal="center"/>
    </xf>
    <xf numFmtId="0" fontId="0" fillId="0" borderId="0" xfId="0" applyAlignment="1">
      <alignment horizontal="left"/>
    </xf>
    <xf numFmtId="10" fontId="0" fillId="0" borderId="0" xfId="0" applyNumberFormat="1"/>
    <xf numFmtId="0" fontId="4" fillId="0" borderId="1" xfId="0" applyFont="1" applyBorder="1"/>
    <xf numFmtId="0" fontId="35" fillId="0" borderId="0" xfId="0" applyFont="1" applyAlignment="1">
      <alignment horizontal="left"/>
    </xf>
    <xf numFmtId="164" fontId="36" fillId="4" borderId="1" xfId="1" applyNumberFormat="1" applyFont="1" applyFill="1" applyBorder="1" applyAlignment="1">
      <alignment horizontal="center"/>
    </xf>
    <xf numFmtId="2" fontId="0" fillId="0" borderId="0" xfId="0" applyNumberFormat="1"/>
    <xf numFmtId="164" fontId="13" fillId="7" borderId="1" xfId="1" applyNumberFormat="1" applyFont="1" applyFill="1" applyBorder="1" applyAlignment="1">
      <alignment horizontal="center"/>
    </xf>
    <xf numFmtId="2" fontId="0" fillId="0" borderId="0" xfId="0" applyNumberFormat="1" applyAlignment="1">
      <alignment horizontal="left"/>
    </xf>
    <xf numFmtId="164" fontId="4" fillId="5" borderId="0" xfId="1" applyNumberFormat="1" applyFont="1" applyFill="1"/>
    <xf numFmtId="164" fontId="34" fillId="4" borderId="0" xfId="1" applyNumberFormat="1" applyFont="1" applyFill="1" applyAlignment="1">
      <alignment horizontal="center"/>
    </xf>
    <xf numFmtId="164" fontId="4" fillId="0" borderId="0" xfId="1" applyNumberFormat="1" applyFont="1"/>
    <xf numFmtId="0" fontId="31" fillId="10" borderId="1" xfId="0" applyFont="1" applyFill="1" applyBorder="1" applyAlignment="1">
      <alignment horizontal="center"/>
    </xf>
    <xf numFmtId="164" fontId="32" fillId="10" borderId="1" xfId="1" applyNumberFormat="1" applyFont="1" applyFill="1" applyBorder="1" applyAlignment="1">
      <alignment horizontal="center"/>
    </xf>
    <xf numFmtId="164" fontId="31" fillId="10" borderId="1" xfId="1" applyNumberFormat="1" applyFont="1" applyFill="1" applyBorder="1" applyAlignment="1">
      <alignment horizontal="center"/>
    </xf>
    <xf numFmtId="0" fontId="0" fillId="0" borderId="1" xfId="0" applyBorder="1"/>
    <xf numFmtId="0" fontId="0" fillId="11" borderId="1" xfId="0" applyFill="1" applyBorder="1"/>
    <xf numFmtId="0" fontId="4" fillId="11" borderId="1" xfId="0" applyFont="1" applyFill="1" applyBorder="1"/>
    <xf numFmtId="2" fontId="0" fillId="11" borderId="1" xfId="0" applyNumberFormat="1" applyFill="1" applyBorder="1"/>
    <xf numFmtId="2" fontId="0" fillId="11" borderId="1" xfId="0" applyNumberFormat="1" applyFill="1" applyBorder="1" applyAlignment="1">
      <alignment horizontal="center"/>
    </xf>
    <xf numFmtId="0" fontId="4" fillId="5" borderId="1" xfId="1" applyNumberFormat="1" applyFont="1" applyFill="1" applyBorder="1" applyAlignment="1">
      <alignment horizontal="center" vertical="center"/>
    </xf>
    <xf numFmtId="0" fontId="37" fillId="4" borderId="1" xfId="1" applyNumberFormat="1" applyFont="1" applyFill="1" applyBorder="1" applyAlignment="1">
      <alignment horizontal="center" vertical="center"/>
    </xf>
    <xf numFmtId="0" fontId="4" fillId="12" borderId="1" xfId="1" applyNumberFormat="1" applyFont="1" applyFill="1" applyBorder="1" applyAlignment="1">
      <alignment horizontal="center" vertical="center"/>
    </xf>
    <xf numFmtId="164" fontId="0" fillId="5" borderId="1" xfId="1" applyNumberFormat="1" applyFont="1" applyFill="1" applyBorder="1" applyAlignment="1">
      <alignment horizontal="center" vertical="center"/>
    </xf>
    <xf numFmtId="164" fontId="38" fillId="4" borderId="1" xfId="1" applyNumberFormat="1" applyFont="1" applyFill="1" applyBorder="1" applyAlignment="1">
      <alignment horizontal="center" vertical="center"/>
    </xf>
    <xf numFmtId="164" fontId="0" fillId="12" borderId="1" xfId="1" applyNumberFormat="1" applyFont="1" applyFill="1" applyBorder="1" applyAlignment="1">
      <alignment horizontal="center" vertical="center"/>
    </xf>
    <xf numFmtId="164" fontId="4" fillId="5" borderId="1" xfId="1" applyNumberFormat="1" applyFont="1" applyFill="1" applyBorder="1"/>
    <xf numFmtId="164" fontId="37" fillId="4" borderId="1" xfId="1" applyNumberFormat="1" applyFont="1" applyFill="1" applyBorder="1"/>
    <xf numFmtId="164" fontId="4" fillId="12" borderId="1" xfId="1" applyNumberFormat="1" applyFont="1" applyFill="1" applyBorder="1"/>
    <xf numFmtId="1" fontId="0" fillId="0" borderId="0" xfId="0" applyNumberFormat="1"/>
    <xf numFmtId="0" fontId="4" fillId="11" borderId="2" xfId="0" applyFont="1" applyFill="1" applyBorder="1"/>
    <xf numFmtId="0" fontId="4" fillId="11" borderId="3" xfId="0" applyFont="1" applyFill="1" applyBorder="1"/>
    <xf numFmtId="0" fontId="4" fillId="11" borderId="4" xfId="0" applyFont="1" applyFill="1" applyBorder="1"/>
    <xf numFmtId="0" fontId="20" fillId="5" borderId="1" xfId="0" applyFont="1" applyFill="1" applyBorder="1"/>
    <xf numFmtId="0" fontId="19" fillId="4" borderId="1" xfId="0" applyFont="1" applyFill="1" applyBorder="1"/>
    <xf numFmtId="0" fontId="7" fillId="4" borderId="1" xfId="3" applyFill="1" applyBorder="1"/>
    <xf numFmtId="0" fontId="41" fillId="0" borderId="0" xfId="0" applyFont="1" applyAlignment="1">
      <alignment horizontal="center"/>
    </xf>
    <xf numFmtId="0" fontId="4" fillId="11" borderId="0" xfId="0" applyFont="1" applyFill="1"/>
    <xf numFmtId="0" fontId="0" fillId="11" borderId="0" xfId="0" applyFill="1"/>
    <xf numFmtId="0" fontId="0" fillId="11" borderId="0" xfId="0" applyFill="1" applyAlignment="1">
      <alignment horizontal="center"/>
    </xf>
    <xf numFmtId="3" fontId="0" fillId="0" borderId="0" xfId="0" applyNumberFormat="1"/>
    <xf numFmtId="3" fontId="42" fillId="0" borderId="0" xfId="0" applyNumberFormat="1" applyFont="1" applyAlignment="1">
      <alignment horizontal="center"/>
    </xf>
    <xf numFmtId="0" fontId="42" fillId="0" borderId="0" xfId="0" applyFont="1"/>
    <xf numFmtId="0" fontId="43" fillId="0" borderId="0" xfId="0" applyFont="1"/>
    <xf numFmtId="0" fontId="43" fillId="0" borderId="0" xfId="0" applyFont="1" applyAlignment="1">
      <alignment horizontal="right"/>
    </xf>
    <xf numFmtId="3" fontId="0" fillId="0" borderId="0" xfId="0" applyNumberFormat="1" applyAlignment="1">
      <alignment horizontal="center"/>
    </xf>
    <xf numFmtId="0" fontId="4" fillId="13" borderId="0" xfId="0" applyFont="1" applyFill="1"/>
    <xf numFmtId="0" fontId="0" fillId="13" borderId="0" xfId="0" applyFill="1"/>
    <xf numFmtId="0" fontId="0" fillId="13" borderId="0" xfId="0" applyFill="1" applyAlignment="1">
      <alignment horizontal="center"/>
    </xf>
    <xf numFmtId="0" fontId="4" fillId="14" borderId="0" xfId="0" applyFont="1" applyFill="1"/>
    <xf numFmtId="0" fontId="0" fillId="14" borderId="0" xfId="0" applyFill="1"/>
    <xf numFmtId="0" fontId="0" fillId="14" borderId="0" xfId="0" applyFill="1" applyAlignment="1">
      <alignment horizontal="center"/>
    </xf>
    <xf numFmtId="0" fontId="4" fillId="15" borderId="0" xfId="0" applyFont="1" applyFill="1"/>
    <xf numFmtId="0" fontId="0" fillId="15" borderId="0" xfId="0" applyFill="1"/>
    <xf numFmtId="0" fontId="0" fillId="15" borderId="0" xfId="0" applyFill="1" applyAlignment="1">
      <alignment horizontal="center"/>
    </xf>
    <xf numFmtId="0" fontId="4" fillId="16" borderId="0" xfId="0" applyFont="1" applyFill="1"/>
    <xf numFmtId="0" fontId="0" fillId="16" borderId="0" xfId="0" applyFill="1"/>
    <xf numFmtId="0" fontId="0" fillId="16" borderId="0" xfId="0" applyFill="1" applyAlignment="1">
      <alignment horizontal="center"/>
    </xf>
    <xf numFmtId="0" fontId="4" fillId="17" borderId="0" xfId="0" applyFont="1" applyFill="1"/>
    <xf numFmtId="0" fontId="0" fillId="17" borderId="0" xfId="0" applyFill="1"/>
    <xf numFmtId="0" fontId="0" fillId="17" borderId="0" xfId="0" applyFill="1" applyAlignment="1">
      <alignment horizontal="center"/>
    </xf>
    <xf numFmtId="0" fontId="4" fillId="18" borderId="0" xfId="0" applyFont="1" applyFill="1"/>
    <xf numFmtId="0" fontId="0" fillId="18" borderId="0" xfId="0" applyFill="1"/>
    <xf numFmtId="0" fontId="0" fillId="18" borderId="0" xfId="0" applyFill="1" applyAlignment="1">
      <alignment horizontal="center"/>
    </xf>
    <xf numFmtId="0" fontId="4" fillId="19" borderId="0" xfId="0" applyFont="1" applyFill="1"/>
    <xf numFmtId="0" fontId="4" fillId="19" borderId="0" xfId="0" applyFont="1" applyFill="1" applyAlignment="1">
      <alignment horizontal="center"/>
    </xf>
    <xf numFmtId="0" fontId="4" fillId="3" borderId="0" xfId="0" applyFont="1" applyFill="1"/>
    <xf numFmtId="0" fontId="0" fillId="3" borderId="0" xfId="0" applyFill="1"/>
    <xf numFmtId="0" fontId="0" fillId="3" borderId="0" xfId="0" applyFill="1" applyAlignment="1">
      <alignment horizontal="center"/>
    </xf>
    <xf numFmtId="0" fontId="4" fillId="20" borderId="0" xfId="0" applyFont="1" applyFill="1"/>
    <xf numFmtId="0" fontId="0" fillId="20" borderId="0" xfId="0" applyFill="1"/>
    <xf numFmtId="0" fontId="0" fillId="20" borderId="0" xfId="0" applyFill="1" applyAlignment="1">
      <alignment horizontal="center"/>
    </xf>
    <xf numFmtId="4" fontId="0" fillId="0" borderId="0" xfId="0" applyNumberFormat="1"/>
    <xf numFmtId="0" fontId="42" fillId="0" borderId="0" xfId="0" applyFont="1" applyAlignment="1">
      <alignment horizontal="center"/>
    </xf>
    <xf numFmtId="0" fontId="4" fillId="21" borderId="0" xfId="0" applyFont="1" applyFill="1"/>
    <xf numFmtId="0" fontId="0" fillId="21" borderId="0" xfId="0" applyFill="1"/>
    <xf numFmtId="0" fontId="0" fillId="21" borderId="0" xfId="0" applyFill="1" applyAlignment="1">
      <alignment horizontal="center"/>
    </xf>
    <xf numFmtId="0" fontId="4" fillId="22" borderId="0" xfId="0" applyFont="1" applyFill="1"/>
    <xf numFmtId="0" fontId="0" fillId="22" borderId="0" xfId="0" applyFill="1"/>
    <xf numFmtId="0" fontId="0" fillId="22" borderId="0" xfId="0" applyFill="1" applyAlignment="1">
      <alignment horizontal="center"/>
    </xf>
    <xf numFmtId="0" fontId="44" fillId="0" borderId="0" xfId="0" applyFont="1"/>
    <xf numFmtId="0" fontId="20" fillId="23" borderId="0" xfId="0" applyFont="1" applyFill="1"/>
    <xf numFmtId="0" fontId="0" fillId="23" borderId="0" xfId="0" applyFill="1"/>
    <xf numFmtId="0" fontId="0" fillId="23" borderId="0" xfId="0" applyFill="1" applyAlignment="1">
      <alignment horizontal="center"/>
    </xf>
    <xf numFmtId="0" fontId="4" fillId="24" borderId="0" xfId="0" applyFont="1" applyFill="1"/>
    <xf numFmtId="0" fontId="0" fillId="24" borderId="0" xfId="0" applyFill="1"/>
    <xf numFmtId="0" fontId="0" fillId="24" borderId="0" xfId="0" applyFill="1" applyAlignment="1">
      <alignment horizontal="center"/>
    </xf>
    <xf numFmtId="0" fontId="20" fillId="25" borderId="0" xfId="0" applyFont="1" applyFill="1"/>
    <xf numFmtId="0" fontId="0" fillId="25" borderId="0" xfId="0" applyFill="1"/>
    <xf numFmtId="0" fontId="0" fillId="25" borderId="0" xfId="0" applyFill="1" applyAlignment="1">
      <alignment horizontal="center"/>
    </xf>
    <xf numFmtId="0" fontId="20" fillId="26" borderId="0" xfId="0" applyFont="1" applyFill="1"/>
    <xf numFmtId="0" fontId="0" fillId="26" borderId="0" xfId="0" applyFill="1"/>
    <xf numFmtId="0" fontId="0" fillId="26" borderId="0" xfId="0" applyFill="1" applyAlignment="1">
      <alignment horizontal="center"/>
    </xf>
    <xf numFmtId="0" fontId="20" fillId="27" borderId="0" xfId="0" applyFont="1" applyFill="1"/>
    <xf numFmtId="0" fontId="0" fillId="27" borderId="0" xfId="0" applyFill="1"/>
    <xf numFmtId="0" fontId="0" fillId="27" borderId="0" xfId="0" applyFill="1" applyAlignment="1">
      <alignment horizontal="center"/>
    </xf>
    <xf numFmtId="0" fontId="45" fillId="0" borderId="0" xfId="0" applyFont="1"/>
    <xf numFmtId="0" fontId="43" fillId="0" borderId="0" xfId="0" applyFont="1" applyAlignment="1">
      <alignment horizontal="center" vertical="center"/>
    </xf>
    <xf numFmtId="0" fontId="43" fillId="0" borderId="0" xfId="0" applyFont="1" applyAlignment="1">
      <alignment vertical="center"/>
    </xf>
    <xf numFmtId="0" fontId="43" fillId="0" borderId="0" xfId="0" applyFont="1" applyAlignment="1">
      <alignment horizontal="left" vertical="center"/>
    </xf>
    <xf numFmtId="0" fontId="13" fillId="0" borderId="8" xfId="0" applyFont="1" applyBorder="1" applyAlignment="1">
      <alignment horizontal="right"/>
    </xf>
    <xf numFmtId="0" fontId="13" fillId="0" borderId="0" xfId="0" applyFont="1" applyAlignment="1">
      <alignment horizontal="left"/>
    </xf>
    <xf numFmtId="0" fontId="13" fillId="0" borderId="9" xfId="0" applyFont="1" applyBorder="1" applyAlignment="1">
      <alignment horizontal="right"/>
    </xf>
    <xf numFmtId="0" fontId="13" fillId="0" borderId="0" xfId="0" applyFont="1"/>
    <xf numFmtId="0" fontId="13" fillId="0" borderId="4" xfId="0" applyFont="1" applyBorder="1" applyAlignment="1">
      <alignment horizontal="right"/>
    </xf>
    <xf numFmtId="0" fontId="13" fillId="0" borderId="3" xfId="0" applyFont="1" applyBorder="1" applyAlignment="1">
      <alignment horizontal="left"/>
    </xf>
    <xf numFmtId="0" fontId="13" fillId="0" borderId="2" xfId="0" applyFont="1" applyBorder="1" applyAlignment="1">
      <alignment horizontal="right"/>
    </xf>
    <xf numFmtId="0" fontId="13" fillId="0" borderId="3" xfId="0" applyFont="1" applyBorder="1" applyAlignment="1">
      <alignment horizontal="right"/>
    </xf>
    <xf numFmtId="0" fontId="23" fillId="0" borderId="8" xfId="0" applyFont="1" applyBorder="1" applyAlignment="1">
      <alignment horizontal="right"/>
    </xf>
    <xf numFmtId="0" fontId="23" fillId="0" borderId="0" xfId="0" applyFont="1" applyAlignment="1">
      <alignment horizontal="left"/>
    </xf>
    <xf numFmtId="0" fontId="23" fillId="0" borderId="9" xfId="0" applyFont="1" applyBorder="1" applyAlignment="1">
      <alignment horizontal="right"/>
    </xf>
    <xf numFmtId="0" fontId="23" fillId="0" borderId="0" xfId="0" applyFont="1" applyAlignment="1">
      <alignment horizontal="right"/>
    </xf>
    <xf numFmtId="0" fontId="23" fillId="0" borderId="0" xfId="0" applyFont="1"/>
    <xf numFmtId="0" fontId="23" fillId="0" borderId="9" xfId="0" applyFont="1" applyBorder="1"/>
    <xf numFmtId="0" fontId="23" fillId="0" borderId="12" xfId="0" applyFont="1" applyBorder="1" applyAlignment="1">
      <alignment horizontal="right"/>
    </xf>
    <xf numFmtId="0" fontId="23" fillId="0" borderId="11" xfId="0" applyFont="1" applyBorder="1" applyAlignment="1">
      <alignment horizontal="left"/>
    </xf>
    <xf numFmtId="0" fontId="23" fillId="0" borderId="10" xfId="0" applyFont="1" applyBorder="1" applyAlignment="1">
      <alignment horizontal="right"/>
    </xf>
    <xf numFmtId="0" fontId="23" fillId="0" borderId="11" xfId="0" applyFont="1" applyBorder="1" applyAlignment="1">
      <alignment horizontal="right"/>
    </xf>
    <xf numFmtId="11" fontId="23" fillId="0" borderId="10" xfId="0" applyNumberFormat="1" applyFont="1" applyBorder="1" applyAlignment="1">
      <alignment horizontal="right"/>
    </xf>
    <xf numFmtId="11" fontId="23" fillId="0" borderId="11" xfId="0" applyNumberFormat="1" applyFont="1" applyBorder="1" applyAlignment="1">
      <alignment horizontal="right"/>
    </xf>
    <xf numFmtId="0" fontId="23" fillId="0" borderId="13" xfId="0" applyFont="1" applyBorder="1" applyAlignment="1">
      <alignment horizontal="right"/>
    </xf>
    <xf numFmtId="0" fontId="23" fillId="0" borderId="14" xfId="0" applyFont="1" applyBorder="1" applyAlignment="1">
      <alignment horizontal="left"/>
    </xf>
    <xf numFmtId="0" fontId="23" fillId="0" borderId="15" xfId="0" applyFont="1" applyBorder="1" applyAlignment="1">
      <alignment horizontal="right"/>
    </xf>
    <xf numFmtId="0" fontId="23" fillId="0" borderId="14" xfId="0" applyFont="1" applyBorder="1" applyAlignment="1">
      <alignment horizontal="right"/>
    </xf>
    <xf numFmtId="0" fontId="23" fillId="0" borderId="16" xfId="0" applyFont="1" applyBorder="1" applyAlignment="1">
      <alignment horizontal="right"/>
    </xf>
    <xf numFmtId="0" fontId="23" fillId="0" borderId="0" xfId="0" applyFont="1" applyAlignment="1">
      <alignment horizontal="left" indent="2"/>
    </xf>
    <xf numFmtId="0" fontId="46" fillId="0" borderId="8" xfId="0" applyFont="1" applyBorder="1" applyAlignment="1">
      <alignment horizontal="right" vertical="center" textRotation="90"/>
    </xf>
    <xf numFmtId="11" fontId="23" fillId="0" borderId="0" xfId="0" applyNumberFormat="1" applyFont="1" applyAlignment="1">
      <alignment horizontal="right"/>
    </xf>
    <xf numFmtId="11" fontId="23" fillId="0" borderId="9" xfId="0" applyNumberFormat="1" applyFont="1" applyBorder="1" applyAlignment="1">
      <alignment horizontal="right"/>
    </xf>
    <xf numFmtId="10" fontId="23" fillId="0" borderId="9" xfId="0" applyNumberFormat="1" applyFont="1" applyBorder="1" applyAlignment="1">
      <alignment horizontal="right"/>
    </xf>
    <xf numFmtId="10" fontId="23" fillId="0" borderId="0" xfId="0" applyNumberFormat="1" applyFont="1" applyAlignment="1">
      <alignment horizontal="right"/>
    </xf>
    <xf numFmtId="9" fontId="23" fillId="0" borderId="9" xfId="0" applyNumberFormat="1" applyFont="1" applyBorder="1" applyAlignment="1">
      <alignment horizontal="right"/>
    </xf>
    <xf numFmtId="9" fontId="23" fillId="0" borderId="0" xfId="0" applyNumberFormat="1" applyFont="1" applyAlignment="1">
      <alignment horizontal="right"/>
    </xf>
    <xf numFmtId="0" fontId="23" fillId="0" borderId="8" xfId="0" applyFont="1" applyBorder="1"/>
    <xf numFmtId="0" fontId="19" fillId="4" borderId="1" xfId="0" applyFont="1" applyFill="1" applyBorder="1" applyAlignment="1">
      <alignment horizontal="center"/>
    </xf>
    <xf numFmtId="0" fontId="0" fillId="4" borderId="0" xfId="0" applyFill="1"/>
    <xf numFmtId="0" fontId="2" fillId="28" borderId="0" xfId="0" applyFont="1" applyFill="1"/>
    <xf numFmtId="1" fontId="49" fillId="28" borderId="0" xfId="4" applyNumberFormat="1" applyFont="1" applyFill="1" applyAlignment="1">
      <alignment horizontal="center" vertical="center"/>
    </xf>
    <xf numFmtId="0" fontId="2" fillId="28" borderId="0" xfId="0" applyFont="1" applyFill="1" applyAlignment="1">
      <alignment horizontal="center"/>
    </xf>
    <xf numFmtId="0" fontId="8" fillId="0" borderId="17" xfId="0" applyFont="1" applyBorder="1"/>
    <xf numFmtId="0" fontId="8" fillId="0" borderId="17" xfId="0" applyFont="1" applyBorder="1" applyAlignment="1">
      <alignment horizontal="center"/>
    </xf>
    <xf numFmtId="167" fontId="9" fillId="0" borderId="17" xfId="0" applyNumberFormat="1" applyFont="1" applyBorder="1" applyAlignment="1">
      <alignment horizontal="center"/>
    </xf>
    <xf numFmtId="0" fontId="50" fillId="0" borderId="17" xfId="4" applyFont="1" applyBorder="1" applyAlignment="1">
      <alignment horizontal="left" vertical="center" indent="1"/>
    </xf>
    <xf numFmtId="0" fontId="8" fillId="0" borderId="18" xfId="0" applyFont="1" applyBorder="1"/>
    <xf numFmtId="0" fontId="8" fillId="0" borderId="18" xfId="0" applyFont="1" applyBorder="1" applyAlignment="1">
      <alignment horizontal="center"/>
    </xf>
    <xf numFmtId="167" fontId="9" fillId="0" borderId="18" xfId="0" applyNumberFormat="1" applyFont="1" applyBorder="1" applyAlignment="1">
      <alignment horizontal="center"/>
    </xf>
    <xf numFmtId="0" fontId="50" fillId="0" borderId="18" xfId="4" applyFont="1" applyBorder="1" applyAlignment="1">
      <alignment horizontal="left" vertical="center" wrapText="1" indent="1"/>
    </xf>
    <xf numFmtId="0" fontId="8" fillId="0" borderId="18" xfId="0" applyFont="1" applyBorder="1" applyAlignment="1">
      <alignment horizontal="left" wrapText="1"/>
    </xf>
    <xf numFmtId="0" fontId="50" fillId="0" borderId="0" xfId="4" applyFont="1" applyAlignment="1">
      <alignment horizontal="left" vertical="center" wrapText="1" indent="1"/>
    </xf>
    <xf numFmtId="0" fontId="8" fillId="29" borderId="18" xfId="0" applyFont="1" applyFill="1" applyBorder="1"/>
    <xf numFmtId="167" fontId="37" fillId="19" borderId="18" xfId="0" applyNumberFormat="1" applyFont="1" applyFill="1" applyBorder="1" applyAlignment="1">
      <alignment horizontal="center"/>
    </xf>
    <xf numFmtId="0" fontId="50" fillId="0" borderId="0" xfId="4" applyFont="1" applyAlignment="1">
      <alignment horizontal="center" vertical="center" wrapText="1"/>
    </xf>
    <xf numFmtId="0" fontId="50" fillId="0" borderId="18" xfId="4" applyFont="1" applyBorder="1" applyAlignment="1">
      <alignment horizontal="left" vertical="center" indent="1"/>
    </xf>
    <xf numFmtId="0" fontId="3" fillId="0" borderId="0" xfId="0" applyFont="1" applyAlignment="1">
      <alignment wrapText="1"/>
    </xf>
    <xf numFmtId="49" fontId="8" fillId="29" borderId="18" xfId="0" applyNumberFormat="1" applyFont="1" applyFill="1" applyBorder="1" applyAlignment="1">
      <alignment horizontal="left" vertical="top" wrapText="1"/>
    </xf>
    <xf numFmtId="0" fontId="50" fillId="0" borderId="0" xfId="4" applyFont="1" applyAlignment="1">
      <alignment horizontal="left" vertical="center" indent="1"/>
    </xf>
    <xf numFmtId="0" fontId="8" fillId="29" borderId="18" xfId="0" applyFont="1" applyFill="1" applyBorder="1" applyAlignment="1">
      <alignment horizontal="center"/>
    </xf>
    <xf numFmtId="167" fontId="9" fillId="29" borderId="18" xfId="0" applyNumberFormat="1" applyFont="1" applyFill="1" applyBorder="1" applyAlignment="1">
      <alignment horizontal="center"/>
    </xf>
    <xf numFmtId="0" fontId="38" fillId="30" borderId="0" xfId="0" applyFont="1" applyFill="1"/>
    <xf numFmtId="0" fontId="35" fillId="0" borderId="0" xfId="0" applyFont="1"/>
    <xf numFmtId="0" fontId="0" fillId="9" borderId="0" xfId="0" applyFill="1"/>
    <xf numFmtId="0" fontId="18" fillId="0" borderId="0" xfId="0" applyFont="1"/>
    <xf numFmtId="0" fontId="51" fillId="31" borderId="0" xfId="0" applyFont="1" applyFill="1"/>
    <xf numFmtId="0" fontId="52" fillId="32" borderId="0" xfId="0" applyFont="1" applyFill="1" applyAlignment="1">
      <alignment vertical="center"/>
    </xf>
    <xf numFmtId="0" fontId="52" fillId="32" borderId="0" xfId="0" applyFont="1" applyFill="1"/>
    <xf numFmtId="0" fontId="53" fillId="33" borderId="0" xfId="0" applyFont="1" applyFill="1" applyAlignment="1">
      <alignment horizontal="center" vertical="center"/>
    </xf>
    <xf numFmtId="0" fontId="18" fillId="34" borderId="21" xfId="0" applyFont="1" applyFill="1" applyBorder="1" applyAlignment="1">
      <alignment horizontal="left" vertical="center"/>
    </xf>
    <xf numFmtId="1" fontId="17" fillId="34" borderId="21" xfId="0" applyNumberFormat="1" applyFont="1" applyFill="1" applyBorder="1"/>
    <xf numFmtId="1" fontId="17" fillId="34" borderId="22" xfId="0" applyNumberFormat="1" applyFont="1" applyFill="1" applyBorder="1"/>
    <xf numFmtId="0" fontId="54" fillId="35" borderId="0" xfId="0" applyFont="1" applyFill="1" applyAlignment="1">
      <alignment horizontal="center" vertical="center"/>
    </xf>
    <xf numFmtId="169" fontId="54" fillId="35" borderId="0" xfId="5" applyNumberFormat="1" applyFont="1" applyFill="1" applyBorder="1" applyAlignment="1">
      <alignment horizontal="center" vertical="center"/>
    </xf>
    <xf numFmtId="0" fontId="18" fillId="34" borderId="24" xfId="0" applyFont="1" applyFill="1" applyBorder="1" applyAlignment="1">
      <alignment horizontal="left" vertical="center"/>
    </xf>
    <xf numFmtId="1" fontId="18" fillId="36" borderId="25" xfId="0" applyNumberFormat="1" applyFont="1" applyFill="1" applyBorder="1"/>
    <xf numFmtId="1" fontId="18" fillId="36" borderId="26" xfId="0" applyNumberFormat="1" applyFont="1" applyFill="1" applyBorder="1"/>
    <xf numFmtId="0" fontId="18" fillId="34" borderId="25" xfId="0" applyFont="1" applyFill="1" applyBorder="1"/>
    <xf numFmtId="1" fontId="18" fillId="35" borderId="25" xfId="0" applyNumberFormat="1" applyFont="1" applyFill="1" applyBorder="1"/>
    <xf numFmtId="1" fontId="18" fillId="35" borderId="26" xfId="0" applyNumberFormat="1" applyFont="1" applyFill="1" applyBorder="1"/>
    <xf numFmtId="0" fontId="18" fillId="34" borderId="30" xfId="0" applyFont="1" applyFill="1" applyBorder="1"/>
    <xf numFmtId="1" fontId="18" fillId="35" borderId="30" xfId="0" applyNumberFormat="1" applyFont="1" applyFill="1" applyBorder="1"/>
    <xf numFmtId="1" fontId="18" fillId="35" borderId="31" xfId="0" applyNumberFormat="1" applyFont="1" applyFill="1" applyBorder="1"/>
    <xf numFmtId="0" fontId="53" fillId="37" borderId="0" xfId="0" applyFont="1" applyFill="1"/>
    <xf numFmtId="169" fontId="18" fillId="0" borderId="0" xfId="0" applyNumberFormat="1" applyFont="1"/>
    <xf numFmtId="0" fontId="18" fillId="0" borderId="11" xfId="0" applyFont="1" applyBorder="1"/>
    <xf numFmtId="169" fontId="18" fillId="0" borderId="11" xfId="0" applyNumberFormat="1" applyFont="1" applyBorder="1"/>
    <xf numFmtId="9" fontId="18" fillId="0" borderId="0" xfId="2" applyFont="1" applyFill="1" applyBorder="1"/>
    <xf numFmtId="9" fontId="18" fillId="0" borderId="11" xfId="2" applyFont="1" applyFill="1" applyBorder="1"/>
    <xf numFmtId="167" fontId="0" fillId="0" borderId="11" xfId="0" applyNumberFormat="1" applyBorder="1"/>
    <xf numFmtId="9" fontId="0" fillId="0" borderId="0" xfId="0" applyNumberFormat="1"/>
    <xf numFmtId="0" fontId="18" fillId="0" borderId="32" xfId="0" applyFont="1" applyBorder="1"/>
    <xf numFmtId="0" fontId="18" fillId="0" borderId="33" xfId="0" applyFont="1" applyBorder="1"/>
    <xf numFmtId="0" fontId="18" fillId="0" borderId="34" xfId="0" applyFont="1" applyBorder="1"/>
    <xf numFmtId="0" fontId="18" fillId="0" borderId="35" xfId="0" applyFont="1" applyBorder="1"/>
    <xf numFmtId="0" fontId="18" fillId="0" borderId="36" xfId="0" applyFont="1" applyBorder="1"/>
    <xf numFmtId="0" fontId="53" fillId="38" borderId="37" xfId="0" applyFont="1" applyFill="1" applyBorder="1" applyAlignment="1">
      <alignment horizontal="left" vertical="center"/>
    </xf>
    <xf numFmtId="0" fontId="53" fillId="38" borderId="38" xfId="0" applyFont="1" applyFill="1" applyBorder="1" applyAlignment="1">
      <alignment horizontal="left" vertical="center"/>
    </xf>
    <xf numFmtId="0" fontId="53" fillId="38" borderId="0" xfId="0" applyFont="1" applyFill="1"/>
    <xf numFmtId="0" fontId="4" fillId="9" borderId="11" xfId="0" applyFont="1" applyFill="1" applyBorder="1"/>
    <xf numFmtId="0" fontId="55" fillId="39" borderId="39" xfId="0" applyFont="1" applyFill="1" applyBorder="1" applyAlignment="1">
      <alignment horizontal="left" vertical="center"/>
    </xf>
    <xf numFmtId="0" fontId="55" fillId="39" borderId="0" xfId="0" applyFont="1" applyFill="1" applyAlignment="1">
      <alignment horizontal="left" vertical="center"/>
    </xf>
    <xf numFmtId="1" fontId="51" fillId="32" borderId="0" xfId="0" applyNumberFormat="1" applyFont="1" applyFill="1" applyAlignment="1">
      <alignment horizontal="left" vertical="center"/>
    </xf>
    <xf numFmtId="0" fontId="0" fillId="0" borderId="3" xfId="0" applyBorder="1"/>
    <xf numFmtId="167" fontId="0" fillId="0" borderId="3" xfId="0" applyNumberFormat="1" applyBorder="1"/>
    <xf numFmtId="167" fontId="0" fillId="0" borderId="0" xfId="0" applyNumberFormat="1"/>
    <xf numFmtId="0" fontId="0" fillId="0" borderId="11" xfId="0" applyBorder="1"/>
    <xf numFmtId="167" fontId="4" fillId="0" borderId="0" xfId="0" applyNumberFormat="1" applyFont="1"/>
    <xf numFmtId="167" fontId="18" fillId="0" borderId="0" xfId="0" applyNumberFormat="1" applyFont="1"/>
    <xf numFmtId="1" fontId="55" fillId="32" borderId="0" xfId="0" applyNumberFormat="1" applyFont="1" applyFill="1" applyAlignment="1">
      <alignment horizontal="left" vertical="center"/>
    </xf>
    <xf numFmtId="1" fontId="55" fillId="32" borderId="0" xfId="0" applyNumberFormat="1" applyFont="1" applyFill="1" applyAlignment="1">
      <alignment horizontal="left"/>
    </xf>
    <xf numFmtId="9" fontId="55" fillId="32" borderId="35" xfId="2" applyFont="1" applyFill="1" applyBorder="1" applyAlignment="1">
      <alignment horizontal="left"/>
    </xf>
    <xf numFmtId="0" fontId="18" fillId="0" borderId="40" xfId="0" applyFont="1" applyBorder="1"/>
    <xf numFmtId="0" fontId="18" fillId="0" borderId="41" xfId="0" applyFont="1" applyBorder="1"/>
    <xf numFmtId="0" fontId="18" fillId="0" borderId="42" xfId="0" applyFont="1" applyBorder="1"/>
    <xf numFmtId="0" fontId="26" fillId="0" borderId="0" xfId="0" applyFont="1"/>
    <xf numFmtId="0" fontId="56" fillId="40" borderId="0" xfId="0" applyFont="1" applyFill="1"/>
    <xf numFmtId="0" fontId="4" fillId="41" borderId="0" xfId="0" applyFont="1" applyFill="1"/>
    <xf numFmtId="0" fontId="4" fillId="42" borderId="0" xfId="0" applyFont="1" applyFill="1"/>
    <xf numFmtId="0" fontId="57" fillId="40" borderId="0" xfId="0" applyFont="1" applyFill="1"/>
    <xf numFmtId="0" fontId="0" fillId="41" borderId="0" xfId="0" applyFill="1"/>
    <xf numFmtId="0" fontId="0" fillId="42" borderId="0" xfId="0" applyFill="1"/>
    <xf numFmtId="0" fontId="5" fillId="43" borderId="0" xfId="0" applyFont="1" applyFill="1"/>
    <xf numFmtId="0" fontId="54" fillId="0" borderId="0" xfId="0" applyFont="1"/>
    <xf numFmtId="0" fontId="0" fillId="12" borderId="0" xfId="0" applyFill="1"/>
    <xf numFmtId="2" fontId="0" fillId="12" borderId="0" xfId="0" applyNumberFormat="1" applyFill="1"/>
    <xf numFmtId="0" fontId="0" fillId="0" borderId="0" xfId="0" applyAlignment="1">
      <alignment horizontal="right"/>
    </xf>
    <xf numFmtId="9" fontId="0" fillId="0" borderId="0" xfId="0" applyNumberFormat="1" applyAlignment="1">
      <alignment horizontal="left"/>
    </xf>
    <xf numFmtId="1" fontId="0" fillId="2" borderId="0" xfId="0" applyNumberFormat="1" applyFill="1"/>
    <xf numFmtId="0" fontId="58" fillId="0" borderId="43" xfId="0" applyFont="1" applyBorder="1" applyAlignment="1">
      <alignment horizontal="left" wrapText="1"/>
    </xf>
    <xf numFmtId="0" fontId="58" fillId="0" borderId="44" xfId="0" applyFont="1" applyBorder="1" applyAlignment="1">
      <alignment horizontal="left" wrapText="1"/>
    </xf>
    <xf numFmtId="0" fontId="58" fillId="0" borderId="45" xfId="0" applyFont="1" applyBorder="1" applyAlignment="1">
      <alignment horizontal="left" wrapText="1"/>
    </xf>
    <xf numFmtId="0" fontId="8" fillId="0" borderId="0" xfId="0" applyFont="1"/>
    <xf numFmtId="0" fontId="58" fillId="0" borderId="46" xfId="0" applyFont="1" applyBorder="1" applyAlignment="1">
      <alignment horizontal="left" wrapText="1"/>
    </xf>
    <xf numFmtId="0" fontId="58" fillId="0" borderId="47" xfId="0" applyFont="1" applyBorder="1" applyAlignment="1">
      <alignment horizontal="right" wrapText="1"/>
    </xf>
    <xf numFmtId="0" fontId="59" fillId="0" borderId="0" xfId="0" applyFont="1" applyAlignment="1">
      <alignment horizontal="left" vertical="top" wrapText="1"/>
    </xf>
    <xf numFmtId="0" fontId="59" fillId="9" borderId="0" xfId="0" applyFont="1" applyFill="1" applyAlignment="1">
      <alignment horizontal="right" vertical="top" wrapText="1"/>
    </xf>
    <xf numFmtId="0" fontId="59" fillId="0" borderId="0" xfId="0" applyFont="1" applyAlignment="1">
      <alignment horizontal="right" vertical="top" wrapText="1"/>
    </xf>
    <xf numFmtId="0" fontId="59" fillId="0" borderId="48" xfId="0" applyFont="1" applyBorder="1" applyAlignment="1">
      <alignment horizontal="left" vertical="top" wrapText="1"/>
    </xf>
    <xf numFmtId="0" fontId="59" fillId="9" borderId="48" xfId="0" applyFont="1" applyFill="1" applyBorder="1" applyAlignment="1">
      <alignment horizontal="right" vertical="top" wrapText="1"/>
    </xf>
    <xf numFmtId="0" fontId="59" fillId="0" borderId="48" xfId="0" applyFont="1" applyBorder="1" applyAlignment="1">
      <alignment horizontal="right" vertical="top" wrapText="1"/>
    </xf>
    <xf numFmtId="0" fontId="59" fillId="0" borderId="49" xfId="0" applyFont="1" applyBorder="1" applyAlignment="1">
      <alignment horizontal="left" vertical="top" wrapText="1"/>
    </xf>
    <xf numFmtId="0" fontId="59" fillId="9" borderId="49" xfId="0" applyFont="1" applyFill="1" applyBorder="1" applyAlignment="1">
      <alignment horizontal="right" vertical="top" wrapText="1"/>
    </xf>
    <xf numFmtId="0" fontId="59" fillId="0" borderId="49" xfId="0" applyFont="1" applyBorder="1" applyAlignment="1">
      <alignment horizontal="right" vertical="top" wrapText="1"/>
    </xf>
    <xf numFmtId="0" fontId="4" fillId="28" borderId="0" xfId="0" applyFont="1" applyFill="1"/>
    <xf numFmtId="0" fontId="4" fillId="0" borderId="11" xfId="0" applyFont="1" applyBorder="1"/>
    <xf numFmtId="0" fontId="5" fillId="28" borderId="0" xfId="0" applyFont="1" applyFill="1"/>
    <xf numFmtId="1" fontId="0" fillId="0" borderId="3" xfId="0" applyNumberFormat="1" applyBorder="1"/>
    <xf numFmtId="170" fontId="0" fillId="0" borderId="0" xfId="0" applyNumberFormat="1"/>
    <xf numFmtId="1" fontId="0" fillId="0" borderId="11" xfId="0" applyNumberFormat="1" applyBorder="1"/>
    <xf numFmtId="170" fontId="0" fillId="0" borderId="11" xfId="0" applyNumberFormat="1" applyBorder="1"/>
    <xf numFmtId="0" fontId="2" fillId="17" borderId="0" xfId="0" applyFont="1" applyFill="1"/>
    <xf numFmtId="0" fontId="2" fillId="44" borderId="0" xfId="0" applyFont="1" applyFill="1"/>
    <xf numFmtId="0" fontId="5" fillId="44" borderId="0" xfId="0" applyFont="1" applyFill="1"/>
    <xf numFmtId="0" fontId="5" fillId="17" borderId="0" xfId="0" applyFont="1" applyFill="1"/>
    <xf numFmtId="9" fontId="0" fillId="0" borderId="0" xfId="2" applyFont="1" applyBorder="1"/>
    <xf numFmtId="9" fontId="0" fillId="0" borderId="11" xfId="2" applyFont="1" applyBorder="1"/>
    <xf numFmtId="0" fontId="5" fillId="45" borderId="0" xfId="0" applyFont="1" applyFill="1"/>
    <xf numFmtId="0" fontId="0" fillId="0" borderId="50" xfId="0" applyBorder="1"/>
    <xf numFmtId="167" fontId="0" fillId="0" borderId="50" xfId="0" applyNumberFormat="1" applyBorder="1"/>
    <xf numFmtId="8" fontId="0" fillId="0" borderId="0" xfId="0" applyNumberFormat="1"/>
    <xf numFmtId="0" fontId="0" fillId="0" borderId="33" xfId="0" applyBorder="1"/>
    <xf numFmtId="0" fontId="0" fillId="0" borderId="34" xfId="0" applyBorder="1"/>
    <xf numFmtId="0" fontId="0" fillId="0" borderId="32" xfId="0" applyBorder="1"/>
    <xf numFmtId="0" fontId="0" fillId="0" borderId="35" xfId="0" applyBorder="1"/>
    <xf numFmtId="0" fontId="0" fillId="0" borderId="36" xfId="0" applyBorder="1"/>
    <xf numFmtId="0" fontId="60" fillId="0" borderId="0" xfId="0" applyFont="1"/>
    <xf numFmtId="0" fontId="4" fillId="0" borderId="53" xfId="0" applyFont="1" applyBorder="1"/>
    <xf numFmtId="0" fontId="0" fillId="0" borderId="40" xfId="0" applyBorder="1"/>
    <xf numFmtId="0" fontId="0" fillId="0" borderId="41" xfId="0" applyBorder="1"/>
    <xf numFmtId="0" fontId="0" fillId="0" borderId="42" xfId="0" applyBorder="1"/>
    <xf numFmtId="0" fontId="2" fillId="31" borderId="0" xfId="0" applyFont="1" applyFill="1"/>
    <xf numFmtId="0" fontId="0" fillId="31" borderId="0" xfId="0" applyFill="1"/>
    <xf numFmtId="0" fontId="64" fillId="29" borderId="1" xfId="0" applyFont="1" applyFill="1" applyBorder="1" applyAlignment="1">
      <alignment vertical="top" wrapText="1"/>
    </xf>
    <xf numFmtId="0" fontId="2" fillId="45" borderId="0" xfId="0" applyFont="1" applyFill="1"/>
    <xf numFmtId="0" fontId="0" fillId="45" borderId="0" xfId="0" applyFill="1"/>
    <xf numFmtId="0" fontId="66" fillId="29" borderId="55" xfId="0" applyFont="1" applyFill="1" applyBorder="1" applyAlignment="1">
      <alignment vertical="top" wrapText="1"/>
    </xf>
    <xf numFmtId="0" fontId="64" fillId="29" borderId="12" xfId="0" applyFont="1" applyFill="1" applyBorder="1" applyAlignment="1">
      <alignment horizontal="center" vertical="top" wrapText="1"/>
    </xf>
    <xf numFmtId="0" fontId="64" fillId="29" borderId="56" xfId="0" applyFont="1" applyFill="1" applyBorder="1" applyAlignment="1">
      <alignment horizontal="center" vertical="top" wrapText="1"/>
    </xf>
    <xf numFmtId="0" fontId="64" fillId="29" borderId="5" xfId="0" applyFont="1" applyFill="1" applyBorder="1" applyAlignment="1">
      <alignment vertical="top" wrapText="1"/>
    </xf>
    <xf numFmtId="0" fontId="64" fillId="29" borderId="6" xfId="0" applyFont="1" applyFill="1" applyBorder="1" applyAlignment="1">
      <alignment vertical="top" wrapText="1"/>
    </xf>
    <xf numFmtId="0" fontId="64" fillId="29" borderId="54" xfId="0" applyFont="1" applyFill="1" applyBorder="1" applyAlignment="1">
      <alignment vertical="top" wrapText="1"/>
    </xf>
    <xf numFmtId="0" fontId="66" fillId="29" borderId="57" xfId="0" applyFont="1" applyFill="1" applyBorder="1" applyAlignment="1">
      <alignment vertical="top" wrapText="1"/>
    </xf>
    <xf numFmtId="0" fontId="66" fillId="29" borderId="57" xfId="0" applyFont="1" applyFill="1" applyBorder="1" applyAlignment="1">
      <alignment horizontal="center" vertical="top" wrapText="1"/>
    </xf>
    <xf numFmtId="0" fontId="66" fillId="29" borderId="1" xfId="0" applyFont="1" applyFill="1" applyBorder="1" applyAlignment="1">
      <alignment vertical="top" wrapText="1"/>
    </xf>
    <xf numFmtId="167" fontId="66" fillId="0" borderId="1" xfId="0" applyNumberFormat="1" applyFont="1" applyBorder="1" applyAlignment="1">
      <alignment horizontal="center" vertical="top" wrapText="1"/>
    </xf>
    <xf numFmtId="0" fontId="66" fillId="29" borderId="1" xfId="0" applyFont="1" applyFill="1" applyBorder="1" applyAlignment="1">
      <alignment horizontal="center" vertical="top" wrapText="1"/>
    </xf>
    <xf numFmtId="49" fontId="66" fillId="29" borderId="58" xfId="0" applyNumberFormat="1" applyFont="1" applyFill="1" applyBorder="1" applyAlignment="1">
      <alignment horizontal="center" vertical="top" wrapText="1"/>
    </xf>
    <xf numFmtId="167" fontId="0" fillId="49" borderId="11" xfId="0" applyNumberFormat="1" applyFill="1" applyBorder="1"/>
    <xf numFmtId="0" fontId="66" fillId="29" borderId="58" xfId="0" applyFont="1" applyFill="1" applyBorder="1" applyAlignment="1">
      <alignment horizontal="center" vertical="top" wrapText="1"/>
    </xf>
    <xf numFmtId="0" fontId="67" fillId="29" borderId="1" xfId="0" quotePrefix="1" applyFont="1" applyFill="1" applyBorder="1" applyAlignment="1">
      <alignment vertical="top" wrapText="1"/>
    </xf>
    <xf numFmtId="0" fontId="2" fillId="50" borderId="0" xfId="0" applyFont="1" applyFill="1"/>
    <xf numFmtId="0" fontId="4" fillId="50" borderId="0" xfId="0" applyFont="1" applyFill="1"/>
    <xf numFmtId="0" fontId="66" fillId="0" borderId="1" xfId="0" applyFont="1" applyBorder="1" applyAlignment="1">
      <alignment vertical="top" wrapText="1"/>
    </xf>
    <xf numFmtId="3" fontId="66" fillId="0" borderId="1" xfId="0" applyNumberFormat="1" applyFont="1" applyBorder="1" applyAlignment="1">
      <alignment horizontal="center"/>
    </xf>
    <xf numFmtId="0" fontId="68" fillId="0" borderId="1" xfId="0" applyFont="1" applyBorder="1" applyAlignment="1">
      <alignment vertical="top" wrapText="1"/>
    </xf>
    <xf numFmtId="0" fontId="66" fillId="0" borderId="1" xfId="0" applyFont="1" applyBorder="1" applyAlignment="1">
      <alignment horizontal="center" vertical="top" wrapText="1"/>
    </xf>
    <xf numFmtId="0" fontId="68" fillId="0" borderId="1" xfId="0" applyFont="1" applyBorder="1" applyAlignment="1">
      <alignment horizontal="left" vertical="top"/>
    </xf>
    <xf numFmtId="166" fontId="0" fillId="0" borderId="0" xfId="0" applyNumberFormat="1"/>
    <xf numFmtId="167" fontId="4" fillId="0" borderId="53" xfId="0" applyNumberFormat="1" applyFont="1" applyBorder="1"/>
    <xf numFmtId="0" fontId="0" fillId="0" borderId="1" xfId="0" applyBorder="1" applyAlignment="1">
      <alignment horizontal="center"/>
    </xf>
    <xf numFmtId="0" fontId="0" fillId="0" borderId="1" xfId="0" applyBorder="1" applyAlignment="1">
      <alignment horizontal="left"/>
    </xf>
    <xf numFmtId="0" fontId="0" fillId="0" borderId="58" xfId="0" applyBorder="1"/>
    <xf numFmtId="0" fontId="2" fillId="51" borderId="0" xfId="0" applyFont="1" applyFill="1"/>
    <xf numFmtId="0" fontId="0" fillId="51" borderId="0" xfId="0" applyFill="1"/>
    <xf numFmtId="9" fontId="66" fillId="0" borderId="1" xfId="2" applyFont="1" applyFill="1" applyBorder="1" applyAlignment="1">
      <alignment horizontal="center" vertical="top" wrapText="1"/>
    </xf>
    <xf numFmtId="9" fontId="66" fillId="0" borderId="1" xfId="0" applyNumberFormat="1" applyFont="1" applyBorder="1" applyAlignment="1">
      <alignment horizontal="center" vertical="top" wrapText="1"/>
    </xf>
    <xf numFmtId="0" fontId="66" fillId="0" borderId="58" xfId="0" applyFont="1" applyBorder="1" applyAlignment="1">
      <alignment horizontal="center" vertical="top" wrapText="1"/>
    </xf>
    <xf numFmtId="0" fontId="67" fillId="0" borderId="1" xfId="0" quotePrefix="1" applyFont="1" applyBorder="1" applyAlignment="1">
      <alignment vertical="top" wrapText="1"/>
    </xf>
    <xf numFmtId="171" fontId="66" fillId="0" borderId="1" xfId="12" applyNumberFormat="1" applyFont="1" applyFill="1" applyBorder="1" applyAlignment="1">
      <alignment horizontal="center" vertical="top" wrapText="1"/>
    </xf>
    <xf numFmtId="0" fontId="0" fillId="0" borderId="1" xfId="0" applyBorder="1" applyAlignment="1">
      <alignment horizontal="center" vertical="top" wrapText="1"/>
    </xf>
    <xf numFmtId="0" fontId="66" fillId="0" borderId="58" xfId="0" applyFont="1" applyBorder="1"/>
    <xf numFmtId="2" fontId="0" fillId="0" borderId="3" xfId="0" applyNumberFormat="1" applyBorder="1"/>
    <xf numFmtId="0" fontId="66" fillId="0" borderId="1" xfId="0" quotePrefix="1" applyFont="1" applyBorder="1" applyAlignment="1">
      <alignment vertical="top" wrapText="1"/>
    </xf>
    <xf numFmtId="0" fontId="66" fillId="0" borderId="1" xfId="12" applyNumberFormat="1" applyFont="1" applyFill="1" applyBorder="1" applyAlignment="1">
      <alignment horizontal="center" vertical="center"/>
    </xf>
    <xf numFmtId="1" fontId="66" fillId="0" borderId="1" xfId="12" applyNumberFormat="1" applyFont="1" applyFill="1" applyBorder="1" applyAlignment="1">
      <alignment horizontal="center" vertical="center"/>
    </xf>
    <xf numFmtId="16" fontId="66" fillId="0" borderId="58" xfId="0" applyNumberFormat="1" applyFont="1" applyBorder="1" applyAlignment="1">
      <alignment horizontal="center" vertical="top" wrapText="1"/>
    </xf>
    <xf numFmtId="4" fontId="66" fillId="29" borderId="1" xfId="0" applyNumberFormat="1" applyFont="1" applyFill="1" applyBorder="1" applyAlignment="1">
      <alignment horizontal="center" vertical="top" wrapText="1"/>
    </xf>
    <xf numFmtId="0" fontId="2" fillId="52" borderId="0" xfId="0" applyFont="1" applyFill="1"/>
    <xf numFmtId="0" fontId="0" fillId="52" borderId="0" xfId="0" applyFill="1"/>
    <xf numFmtId="3" fontId="66" fillId="29" borderId="1" xfId="0" applyNumberFormat="1" applyFont="1" applyFill="1" applyBorder="1" applyAlignment="1">
      <alignment horizontal="center" vertical="top" wrapText="1"/>
    </xf>
    <xf numFmtId="3" fontId="66" fillId="0" borderId="1" xfId="0" applyNumberFormat="1" applyFont="1" applyBorder="1" applyAlignment="1">
      <alignment horizontal="center" vertical="top" wrapText="1"/>
    </xf>
    <xf numFmtId="2" fontId="0" fillId="0" borderId="11" xfId="0" applyNumberFormat="1" applyBorder="1"/>
    <xf numFmtId="0" fontId="4" fillId="0" borderId="50" xfId="0" applyFont="1" applyBorder="1"/>
    <xf numFmtId="2" fontId="4" fillId="0" borderId="50" xfId="0" applyNumberFormat="1" applyFont="1" applyBorder="1"/>
    <xf numFmtId="0" fontId="64" fillId="29" borderId="1" xfId="0" applyFont="1" applyFill="1" applyBorder="1" applyAlignment="1">
      <alignment horizontal="center" vertical="top" wrapText="1"/>
    </xf>
    <xf numFmtId="0" fontId="64" fillId="29" borderId="58" xfId="0" applyFont="1" applyFill="1" applyBorder="1" applyAlignment="1">
      <alignment vertical="top" wrapText="1"/>
    </xf>
    <xf numFmtId="0" fontId="4" fillId="53" borderId="0" xfId="0" applyFont="1" applyFill="1"/>
    <xf numFmtId="0" fontId="0" fillId="53" borderId="0" xfId="0" applyFill="1"/>
    <xf numFmtId="2" fontId="66" fillId="0" borderId="1" xfId="0" applyNumberFormat="1" applyFont="1" applyBorder="1" applyAlignment="1">
      <alignment horizontal="center" vertical="top" wrapText="1"/>
    </xf>
    <xf numFmtId="16" fontId="66" fillId="29" borderId="58" xfId="0" applyNumberFormat="1" applyFont="1" applyFill="1" applyBorder="1" applyAlignment="1">
      <alignment horizontal="center" vertical="top" wrapText="1"/>
    </xf>
    <xf numFmtId="3" fontId="0" fillId="0" borderId="11" xfId="0" applyNumberFormat="1" applyBorder="1"/>
    <xf numFmtId="1" fontId="66" fillId="0" borderId="1" xfId="0" applyNumberFormat="1" applyFont="1" applyBorder="1" applyAlignment="1">
      <alignment horizontal="center" vertical="top"/>
    </xf>
    <xf numFmtId="167" fontId="4" fillId="0" borderId="50" xfId="0" applyNumberFormat="1" applyFont="1" applyBorder="1"/>
    <xf numFmtId="172" fontId="66" fillId="0" borderId="1" xfId="12" applyNumberFormat="1" applyFont="1" applyBorder="1" applyAlignment="1">
      <alignment horizontal="center" vertical="top"/>
    </xf>
    <xf numFmtId="2" fontId="66" fillId="0" borderId="1" xfId="0" applyNumberFormat="1" applyFont="1" applyBorder="1" applyAlignment="1">
      <alignment horizontal="center" vertical="top"/>
    </xf>
    <xf numFmtId="2" fontId="66" fillId="29" borderId="1" xfId="0" applyNumberFormat="1" applyFont="1" applyFill="1" applyBorder="1" applyAlignment="1">
      <alignment horizontal="center" vertical="top" wrapText="1"/>
    </xf>
    <xf numFmtId="16" fontId="66" fillId="29" borderId="58" xfId="0" quotePrefix="1" applyNumberFormat="1" applyFont="1" applyFill="1" applyBorder="1" applyAlignment="1">
      <alignment horizontal="center" vertical="top" wrapText="1"/>
    </xf>
    <xf numFmtId="0" fontId="66" fillId="0" borderId="55" xfId="0" quotePrefix="1" applyFont="1" applyBorder="1" applyAlignment="1">
      <alignment vertical="top" wrapText="1"/>
    </xf>
    <xf numFmtId="16" fontId="66" fillId="29" borderId="56" xfId="0" quotePrefix="1" applyNumberFormat="1" applyFont="1" applyFill="1" applyBorder="1" applyAlignment="1">
      <alignment horizontal="center" vertical="top" wrapText="1"/>
    </xf>
    <xf numFmtId="0" fontId="69" fillId="0" borderId="55" xfId="0" applyFont="1" applyBorder="1" applyAlignment="1">
      <alignment vertical="top" wrapText="1"/>
    </xf>
    <xf numFmtId="167" fontId="66" fillId="0" borderId="1" xfId="0" applyNumberFormat="1" applyFont="1" applyBorder="1" applyAlignment="1">
      <alignment horizontal="center" vertical="top"/>
    </xf>
    <xf numFmtId="0" fontId="64" fillId="29" borderId="1" xfId="0" applyFont="1" applyFill="1" applyBorder="1" applyAlignment="1">
      <alignment horizontal="center" vertical="top"/>
    </xf>
    <xf numFmtId="49" fontId="66" fillId="29" borderId="56" xfId="0" quotePrefix="1" applyNumberFormat="1" applyFont="1" applyFill="1" applyBorder="1" applyAlignment="1">
      <alignment horizontal="center" vertical="top" wrapText="1"/>
    </xf>
    <xf numFmtId="0" fontId="66" fillId="0" borderId="55" xfId="0" applyFont="1" applyBorder="1" applyAlignment="1">
      <alignment vertical="top" wrapText="1"/>
    </xf>
    <xf numFmtId="0" fontId="66" fillId="29" borderId="1" xfId="0" applyFont="1" applyFill="1" applyBorder="1" applyAlignment="1">
      <alignment horizontal="center" vertical="top"/>
    </xf>
    <xf numFmtId="0" fontId="69" fillId="29" borderId="35" xfId="0" applyFont="1" applyFill="1" applyBorder="1" applyAlignment="1">
      <alignment vertical="top" wrapText="1"/>
    </xf>
    <xf numFmtId="0" fontId="69" fillId="29" borderId="0" xfId="0" applyFont="1" applyFill="1" applyAlignment="1">
      <alignment vertical="top" wrapText="1"/>
    </xf>
    <xf numFmtId="0" fontId="0" fillId="0" borderId="59" xfId="0" applyBorder="1"/>
    <xf numFmtId="0" fontId="0" fillId="0" borderId="1" xfId="0" applyBorder="1" applyAlignment="1">
      <alignment wrapText="1"/>
    </xf>
    <xf numFmtId="0" fontId="0" fillId="0" borderId="1" xfId="0" applyBorder="1" applyAlignment="1">
      <alignment horizontal="center" wrapText="1"/>
    </xf>
    <xf numFmtId="165" fontId="0" fillId="0" borderId="1" xfId="2" applyNumberFormat="1" applyFont="1" applyBorder="1"/>
    <xf numFmtId="2" fontId="0" fillId="0" borderId="1" xfId="0" applyNumberFormat="1" applyBorder="1"/>
    <xf numFmtId="167" fontId="0" fillId="0" borderId="1" xfId="0" applyNumberFormat="1" applyBorder="1"/>
    <xf numFmtId="0" fontId="42" fillId="0" borderId="35" xfId="0" applyFont="1" applyBorder="1" applyAlignment="1">
      <alignment horizontal="left" vertical="top" wrapText="1"/>
    </xf>
    <xf numFmtId="0" fontId="42" fillId="0" borderId="0" xfId="0" applyFont="1" applyAlignment="1">
      <alignment horizontal="left" vertical="top" wrapText="1"/>
    </xf>
    <xf numFmtId="0" fontId="64" fillId="29" borderId="1" xfId="0" applyFont="1" applyFill="1" applyBorder="1" applyAlignment="1">
      <alignment vertical="center" wrapText="1"/>
    </xf>
    <xf numFmtId="0" fontId="0" fillId="54" borderId="0" xfId="0" applyFill="1"/>
    <xf numFmtId="0" fontId="66" fillId="29" borderId="1" xfId="0" applyFont="1" applyFill="1" applyBorder="1" applyAlignment="1">
      <alignment vertical="center" wrapText="1"/>
    </xf>
    <xf numFmtId="0" fontId="64" fillId="29" borderId="1" xfId="0" applyFont="1" applyFill="1" applyBorder="1" applyAlignment="1">
      <alignment horizontal="center" vertical="center" wrapText="1"/>
    </xf>
    <xf numFmtId="0" fontId="64" fillId="0" borderId="1" xfId="0" applyFont="1" applyBorder="1" applyAlignment="1">
      <alignment vertical="center" wrapText="1"/>
    </xf>
    <xf numFmtId="0" fontId="69" fillId="0" borderId="1" xfId="0" applyFont="1" applyBorder="1" applyAlignment="1">
      <alignment horizontal="center" vertical="center" wrapText="1"/>
    </xf>
    <xf numFmtId="0" fontId="64" fillId="0" borderId="1" xfId="0" applyFont="1" applyBorder="1" applyAlignment="1">
      <alignment horizontal="center" vertical="center" wrapText="1"/>
    </xf>
    <xf numFmtId="0" fontId="2" fillId="54" borderId="0" xfId="0" applyFont="1" applyFill="1"/>
    <xf numFmtId="0" fontId="5" fillId="54" borderId="0" xfId="0" applyFont="1" applyFill="1"/>
    <xf numFmtId="0" fontId="66" fillId="0" borderId="1" xfId="0" applyFont="1" applyBorder="1" applyAlignment="1">
      <alignment vertical="center"/>
    </xf>
    <xf numFmtId="0" fontId="66" fillId="0" borderId="1" xfId="0" applyFont="1" applyBorder="1" applyAlignment="1">
      <alignment horizontal="center" vertical="center" wrapText="1"/>
    </xf>
    <xf numFmtId="0" fontId="60" fillId="0" borderId="1" xfId="0" applyFont="1" applyBorder="1" applyAlignment="1">
      <alignment horizontal="center" vertical="center" wrapText="1"/>
    </xf>
    <xf numFmtId="0" fontId="60" fillId="0" borderId="1" xfId="0" applyFont="1" applyBorder="1" applyAlignment="1">
      <alignment vertical="center" wrapText="1"/>
    </xf>
    <xf numFmtId="1" fontId="0" fillId="29" borderId="0" xfId="0" applyNumberFormat="1" applyFill="1"/>
    <xf numFmtId="0" fontId="64" fillId="0" borderId="1" xfId="0" quotePrefix="1" applyFont="1" applyBorder="1" applyAlignment="1">
      <alignment vertical="center" wrapText="1"/>
    </xf>
    <xf numFmtId="1" fontId="0" fillId="29" borderId="11" xfId="0" applyNumberFormat="1" applyFill="1" applyBorder="1"/>
    <xf numFmtId="0" fontId="66" fillId="0" borderId="1" xfId="0" applyFont="1" applyBorder="1" applyAlignment="1">
      <alignment vertical="center" wrapText="1"/>
    </xf>
    <xf numFmtId="167" fontId="0" fillId="29" borderId="3" xfId="0" applyNumberFormat="1" applyFill="1" applyBorder="1"/>
    <xf numFmtId="167" fontId="0" fillId="29" borderId="11" xfId="0" applyNumberFormat="1" applyFill="1" applyBorder="1"/>
    <xf numFmtId="0" fontId="68" fillId="0" borderId="1" xfId="0" applyFont="1" applyBorder="1" applyAlignment="1">
      <alignment vertical="center" wrapText="1"/>
    </xf>
    <xf numFmtId="164" fontId="0" fillId="0" borderId="11" xfId="12" applyNumberFormat="1" applyFont="1" applyBorder="1"/>
    <xf numFmtId="173" fontId="4" fillId="0" borderId="53" xfId="0" applyNumberFormat="1" applyFont="1" applyBorder="1"/>
    <xf numFmtId="0" fontId="50" fillId="0" borderId="1" xfId="0" applyFont="1" applyBorder="1" applyAlignment="1">
      <alignment horizontal="center" vertical="center" wrapText="1"/>
    </xf>
    <xf numFmtId="0" fontId="60" fillId="29" borderId="1" xfId="0" applyFont="1" applyFill="1" applyBorder="1" applyAlignment="1">
      <alignment horizontal="center" vertical="center" wrapText="1"/>
    </xf>
    <xf numFmtId="0" fontId="66" fillId="0" borderId="1" xfId="12" applyNumberFormat="1" applyFont="1" applyFill="1" applyBorder="1" applyAlignment="1">
      <alignment horizontal="center" vertical="center" wrapText="1"/>
    </xf>
    <xf numFmtId="2" fontId="66" fillId="0" borderId="1" xfId="0" applyNumberFormat="1" applyFont="1" applyBorder="1" applyAlignment="1">
      <alignment horizontal="center" vertical="center" wrapText="1"/>
    </xf>
    <xf numFmtId="1" fontId="66" fillId="0" borderId="1" xfId="0" applyNumberFormat="1" applyFont="1" applyBorder="1" applyAlignment="1">
      <alignment horizontal="center" vertical="center" wrapText="1"/>
    </xf>
    <xf numFmtId="0" fontId="64" fillId="0" borderId="1" xfId="0" applyFont="1" applyBorder="1" applyAlignment="1">
      <alignment vertical="center"/>
    </xf>
    <xf numFmtId="167" fontId="66" fillId="0" borderId="1" xfId="0" applyNumberFormat="1" applyFont="1" applyBorder="1" applyAlignment="1">
      <alignment horizontal="center" vertical="center" wrapText="1"/>
    </xf>
    <xf numFmtId="0" fontId="66" fillId="0" borderId="1" xfId="0" quotePrefix="1" applyFont="1" applyBorder="1" applyAlignment="1">
      <alignment horizontal="center" vertical="center" wrapText="1"/>
    </xf>
    <xf numFmtId="0" fontId="2" fillId="43" borderId="0" xfId="0" quotePrefix="1" applyFont="1" applyFill="1"/>
    <xf numFmtId="0" fontId="43" fillId="0" borderId="3" xfId="0" applyFont="1" applyBorder="1"/>
    <xf numFmtId="1" fontId="43" fillId="0" borderId="0" xfId="0" applyNumberFormat="1" applyFont="1"/>
    <xf numFmtId="1" fontId="4" fillId="0" borderId="0" xfId="0" applyNumberFormat="1" applyFont="1"/>
    <xf numFmtId="1" fontId="4" fillId="55" borderId="0" xfId="0" applyNumberFormat="1" applyFont="1" applyFill="1"/>
    <xf numFmtId="1" fontId="4" fillId="0" borderId="11" xfId="0" applyNumberFormat="1" applyFont="1" applyBorder="1"/>
    <xf numFmtId="1" fontId="4" fillId="0" borderId="50" xfId="0" applyNumberFormat="1" applyFont="1" applyBorder="1"/>
    <xf numFmtId="0" fontId="2" fillId="43" borderId="0" xfId="0" applyFont="1" applyFill="1"/>
    <xf numFmtId="1" fontId="0" fillId="55" borderId="0" xfId="0" applyNumberFormat="1" applyFill="1"/>
    <xf numFmtId="1" fontId="0" fillId="55" borderId="50" xfId="0" applyNumberFormat="1" applyFill="1" applyBorder="1"/>
    <xf numFmtId="1" fontId="0" fillId="29" borderId="50" xfId="0" applyNumberFormat="1" applyFill="1" applyBorder="1"/>
    <xf numFmtId="1" fontId="0" fillId="0" borderId="50" xfId="0" applyNumberFormat="1" applyBorder="1" applyAlignment="1">
      <alignment horizontal="center"/>
    </xf>
    <xf numFmtId="0" fontId="0" fillId="55" borderId="0" xfId="0" applyFill="1"/>
    <xf numFmtId="1" fontId="0" fillId="0" borderId="50" xfId="0" applyNumberFormat="1" applyBorder="1"/>
    <xf numFmtId="0" fontId="0" fillId="55" borderId="50" xfId="0" applyFill="1" applyBorder="1"/>
    <xf numFmtId="0" fontId="6" fillId="0" borderId="0" xfId="0" applyFont="1"/>
    <xf numFmtId="0" fontId="4" fillId="9" borderId="0" xfId="0" applyFont="1" applyFill="1"/>
    <xf numFmtId="1" fontId="0" fillId="56" borderId="11" xfId="0" applyNumberFormat="1" applyFill="1" applyBorder="1"/>
    <xf numFmtId="0" fontId="0" fillId="56" borderId="0" xfId="0" applyFill="1"/>
    <xf numFmtId="0" fontId="4" fillId="0" borderId="6" xfId="0" applyFont="1" applyBorder="1"/>
    <xf numFmtId="1" fontId="4" fillId="0" borderId="6" xfId="0" applyNumberFormat="1" applyFont="1" applyBorder="1"/>
    <xf numFmtId="0" fontId="39" fillId="0" borderId="0" xfId="0" applyFont="1"/>
    <xf numFmtId="0" fontId="71" fillId="0" borderId="0" xfId="0" applyFont="1"/>
    <xf numFmtId="0" fontId="72" fillId="0" borderId="0" xfId="0" applyFont="1"/>
    <xf numFmtId="0" fontId="73" fillId="0" borderId="0" xfId="0" applyFont="1"/>
    <xf numFmtId="0" fontId="0" fillId="29" borderId="0" xfId="0" applyFill="1"/>
    <xf numFmtId="0" fontId="38" fillId="19" borderId="0" xfId="0" applyFont="1" applyFill="1"/>
    <xf numFmtId="0" fontId="74" fillId="0" borderId="0" xfId="0" applyFont="1" applyAlignment="1">
      <alignment horizontal="left" vertical="center" readingOrder="1"/>
    </xf>
    <xf numFmtId="0" fontId="75" fillId="0" borderId="0" xfId="0" applyFont="1" applyAlignment="1">
      <alignment horizontal="left" vertical="center" indent="4" readingOrder="1"/>
    </xf>
    <xf numFmtId="0" fontId="18" fillId="0" borderId="0" xfId="0" applyFont="1" applyAlignment="1">
      <alignment horizontal="center" vertical="center"/>
    </xf>
    <xf numFmtId="0" fontId="17" fillId="0" borderId="0" xfId="0" applyFont="1" applyAlignment="1">
      <alignment horizontal="center" vertical="center"/>
    </xf>
    <xf numFmtId="0" fontId="52" fillId="0" borderId="0" xfId="0" applyFont="1"/>
    <xf numFmtId="0" fontId="51" fillId="57" borderId="0" xfId="0" applyFont="1" applyFill="1" applyAlignment="1">
      <alignment horizontal="center" vertical="center"/>
    </xf>
    <xf numFmtId="0" fontId="51" fillId="57" borderId="0" xfId="0" applyFont="1" applyFill="1"/>
    <xf numFmtId="167" fontId="17" fillId="0" borderId="0" xfId="0" applyNumberFormat="1" applyFont="1" applyAlignment="1">
      <alignment horizontal="center" vertical="center"/>
    </xf>
    <xf numFmtId="9" fontId="18" fillId="0" borderId="11" xfId="2" applyFont="1" applyBorder="1"/>
    <xf numFmtId="0" fontId="4" fillId="12" borderId="1" xfId="0" applyFont="1" applyFill="1" applyBorder="1" applyAlignment="1">
      <alignment horizontal="center"/>
    </xf>
    <xf numFmtId="165" fontId="0" fillId="12" borderId="1" xfId="0" applyNumberFormat="1" applyFill="1" applyBorder="1" applyAlignment="1">
      <alignment horizontal="center"/>
    </xf>
    <xf numFmtId="0" fontId="40" fillId="11" borderId="0" xfId="0" applyFont="1" applyFill="1" applyAlignment="1">
      <alignment horizontal="center" vertical="center"/>
    </xf>
    <xf numFmtId="0" fontId="19" fillId="4" borderId="0" xfId="0" applyFont="1" applyFill="1" applyAlignment="1">
      <alignment horizontal="left" vertical="top" wrapText="1" indent="2"/>
    </xf>
    <xf numFmtId="0" fontId="4" fillId="2" borderId="0" xfId="0" applyFont="1" applyFill="1" applyAlignment="1">
      <alignment horizontal="center"/>
    </xf>
    <xf numFmtId="0" fontId="4" fillId="3" borderId="0" xfId="0" applyFont="1" applyFill="1" applyAlignment="1">
      <alignment horizontal="center"/>
    </xf>
    <xf numFmtId="0" fontId="0" fillId="2" borderId="0" xfId="0" quotePrefix="1" applyFill="1" applyAlignment="1">
      <alignment horizontal="left" vertical="top" wrapText="1"/>
    </xf>
    <xf numFmtId="0" fontId="0" fillId="2" borderId="0" xfId="0" applyFill="1" applyAlignment="1">
      <alignment horizontal="left" vertical="top"/>
    </xf>
    <xf numFmtId="0" fontId="0" fillId="3" borderId="0" xfId="0" quotePrefix="1" applyFill="1" applyAlignment="1">
      <alignment horizontal="left" vertical="top" wrapText="1"/>
    </xf>
    <xf numFmtId="0" fontId="0" fillId="3" borderId="0" xfId="0" applyFill="1" applyAlignment="1">
      <alignment horizontal="left" vertical="top"/>
    </xf>
    <xf numFmtId="0" fontId="0" fillId="4" borderId="0" xfId="0" applyFill="1" applyAlignment="1">
      <alignment horizontal="left" vertical="top" wrapText="1"/>
    </xf>
    <xf numFmtId="0" fontId="4" fillId="5" borderId="1" xfId="0" applyFont="1" applyFill="1" applyBorder="1" applyAlignment="1">
      <alignment horizontal="center"/>
    </xf>
    <xf numFmtId="0" fontId="28" fillId="6" borderId="1" xfId="0" applyFont="1" applyFill="1" applyBorder="1" applyAlignment="1">
      <alignment horizontal="center"/>
    </xf>
    <xf numFmtId="0" fontId="4" fillId="7" borderId="1" xfId="0" applyFont="1" applyFill="1" applyBorder="1" applyAlignment="1">
      <alignment horizontal="center"/>
    </xf>
    <xf numFmtId="0" fontId="4" fillId="12" borderId="5" xfId="0" applyFont="1" applyFill="1" applyBorder="1" applyAlignment="1">
      <alignment horizontal="center"/>
    </xf>
    <xf numFmtId="0" fontId="4" fillId="12" borderId="6" xfId="0" applyFont="1" applyFill="1" applyBorder="1" applyAlignment="1">
      <alignment horizontal="center"/>
    </xf>
    <xf numFmtId="0" fontId="4" fillId="12" borderId="7" xfId="0" applyFont="1" applyFill="1" applyBorder="1" applyAlignment="1">
      <alignment horizontal="center"/>
    </xf>
    <xf numFmtId="0" fontId="31" fillId="8" borderId="0" xfId="0" applyFont="1" applyFill="1" applyAlignment="1">
      <alignment horizontal="center"/>
    </xf>
    <xf numFmtId="0" fontId="4" fillId="7" borderId="0" xfId="0" applyFont="1" applyFill="1" applyAlignment="1">
      <alignment horizontal="center"/>
    </xf>
    <xf numFmtId="0" fontId="31" fillId="4" borderId="1" xfId="0" applyFont="1" applyFill="1" applyBorder="1" applyAlignment="1">
      <alignment horizontal="center"/>
    </xf>
    <xf numFmtId="0" fontId="34" fillId="4" borderId="1" xfId="0" applyFont="1" applyFill="1" applyBorder="1" applyAlignment="1">
      <alignment horizontal="center"/>
    </xf>
    <xf numFmtId="0" fontId="31" fillId="10" borderId="1" xfId="0" applyFont="1" applyFill="1" applyBorder="1" applyAlignment="1">
      <alignment horizontal="center"/>
    </xf>
    <xf numFmtId="0" fontId="4" fillId="2" borderId="1" xfId="0" applyFont="1" applyFill="1" applyBorder="1" applyAlignment="1">
      <alignment horizontal="center"/>
    </xf>
    <xf numFmtId="0" fontId="4" fillId="11" borderId="5" xfId="0" applyFont="1" applyFill="1" applyBorder="1" applyAlignment="1">
      <alignment horizontal="center"/>
    </xf>
    <xf numFmtId="0" fontId="4" fillId="11" borderId="6" xfId="0" applyFont="1" applyFill="1" applyBorder="1" applyAlignment="1">
      <alignment horizontal="center"/>
    </xf>
    <xf numFmtId="0" fontId="4" fillId="11" borderId="7" xfId="0" applyFont="1" applyFill="1" applyBorder="1" applyAlignment="1">
      <alignment horizontal="center"/>
    </xf>
    <xf numFmtId="164" fontId="4" fillId="5" borderId="1" xfId="1" applyNumberFormat="1" applyFont="1" applyFill="1" applyBorder="1" applyAlignment="1">
      <alignment horizontal="center" vertical="center"/>
    </xf>
    <xf numFmtId="164" fontId="37" fillId="4" borderId="1" xfId="1" applyNumberFormat="1" applyFont="1" applyFill="1" applyBorder="1" applyAlignment="1">
      <alignment horizontal="center" vertical="center"/>
    </xf>
    <xf numFmtId="164" fontId="4" fillId="12" borderId="1" xfId="1" applyNumberFormat="1" applyFont="1" applyFill="1" applyBorder="1" applyAlignment="1">
      <alignment horizontal="center" vertical="center"/>
    </xf>
    <xf numFmtId="0" fontId="20" fillId="4" borderId="0" xfId="0" applyFont="1" applyFill="1" applyAlignment="1">
      <alignment horizontal="left"/>
    </xf>
    <xf numFmtId="0" fontId="43" fillId="0" borderId="0" xfId="0" applyFont="1" applyAlignment="1">
      <alignment horizontal="left" vertical="center" wrapText="1"/>
    </xf>
    <xf numFmtId="0" fontId="43" fillId="0" borderId="0" xfId="0" applyFont="1" applyAlignment="1">
      <alignment horizontal="left" vertical="center"/>
    </xf>
    <xf numFmtId="0" fontId="4" fillId="0" borderId="0" xfId="0" applyFont="1" applyAlignment="1">
      <alignment horizontal="center"/>
    </xf>
    <xf numFmtId="0" fontId="45" fillId="0" borderId="0" xfId="0" applyFont="1" applyAlignment="1">
      <alignment horizontal="left"/>
    </xf>
    <xf numFmtId="0" fontId="43" fillId="0" borderId="0" xfId="0" applyFont="1" applyAlignment="1">
      <alignment horizontal="left" wrapText="1"/>
    </xf>
    <xf numFmtId="0" fontId="46" fillId="0" borderId="8" xfId="0" applyFont="1" applyBorder="1" applyAlignment="1">
      <alignment horizontal="center" vertical="center" textRotation="90"/>
    </xf>
    <xf numFmtId="0" fontId="13" fillId="0" borderId="2" xfId="0" applyFont="1" applyBorder="1" applyAlignment="1">
      <alignment horizontal="center" wrapText="1"/>
    </xf>
    <xf numFmtId="0" fontId="13" fillId="0" borderId="3" xfId="0" applyFont="1" applyBorder="1" applyAlignment="1">
      <alignment horizontal="center" wrapText="1"/>
    </xf>
    <xf numFmtId="0" fontId="13" fillId="0" borderId="4" xfId="0" applyFont="1" applyBorder="1" applyAlignment="1">
      <alignment horizontal="center" wrapText="1"/>
    </xf>
    <xf numFmtId="0" fontId="13" fillId="0" borderId="10" xfId="0" applyFont="1" applyBorder="1" applyAlignment="1">
      <alignment horizontal="center" wrapText="1"/>
    </xf>
    <xf numFmtId="0" fontId="13" fillId="0" borderId="11" xfId="0" applyFont="1" applyBorder="1" applyAlignment="1">
      <alignment horizontal="center" wrapText="1"/>
    </xf>
    <xf numFmtId="0" fontId="13" fillId="0" borderId="12" xfId="0" applyFont="1" applyBorder="1" applyAlignment="1">
      <alignment horizontal="center" wrapText="1"/>
    </xf>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3" fillId="0" borderId="10" xfId="0" applyFont="1" applyBorder="1" applyAlignment="1">
      <alignment horizontal="center"/>
    </xf>
    <xf numFmtId="0" fontId="13" fillId="0" borderId="11" xfId="0" applyFont="1" applyBorder="1" applyAlignment="1">
      <alignment horizontal="center"/>
    </xf>
    <xf numFmtId="0" fontId="13" fillId="0" borderId="12" xfId="0" applyFont="1" applyBorder="1" applyAlignment="1">
      <alignment horizontal="center"/>
    </xf>
    <xf numFmtId="0" fontId="13" fillId="0" borderId="9" xfId="0" applyFont="1" applyBorder="1" applyAlignment="1">
      <alignment horizontal="center" wrapText="1"/>
    </xf>
    <xf numFmtId="0" fontId="13" fillId="0" borderId="0" xfId="0" applyFont="1" applyAlignment="1">
      <alignment horizontal="center" wrapText="1"/>
    </xf>
    <xf numFmtId="0" fontId="13" fillId="0" borderId="8" xfId="0" applyFont="1" applyBorder="1" applyAlignment="1">
      <alignment horizontal="center" wrapText="1"/>
    </xf>
    <xf numFmtId="0" fontId="46" fillId="0" borderId="16" xfId="0" applyFont="1" applyBorder="1" applyAlignment="1">
      <alignment horizontal="right" vertical="center" textRotation="90" wrapText="1"/>
    </xf>
    <xf numFmtId="0" fontId="46" fillId="0" borderId="8" xfId="0" applyFont="1" applyBorder="1" applyAlignment="1">
      <alignment horizontal="right" vertical="center" textRotation="90"/>
    </xf>
    <xf numFmtId="0" fontId="50" fillId="0" borderId="19" xfId="4" applyFont="1" applyBorder="1" applyAlignment="1">
      <alignment horizontal="left" vertical="center" wrapText="1" indent="1"/>
    </xf>
    <xf numFmtId="0" fontId="50" fillId="0" borderId="0" xfId="4" applyFont="1" applyAlignment="1">
      <alignment horizontal="left" vertical="center" wrapText="1" indent="1"/>
    </xf>
    <xf numFmtId="0" fontId="35" fillId="0" borderId="0" xfId="0" applyFont="1" applyAlignment="1">
      <alignment horizontal="center" vertical="center"/>
    </xf>
    <xf numFmtId="0" fontId="47" fillId="0" borderId="0" xfId="0" applyFont="1" applyAlignment="1">
      <alignment vertical="center" indent="1"/>
    </xf>
    <xf numFmtId="0" fontId="50" fillId="0" borderId="19" xfId="4" applyFont="1" applyBorder="1" applyAlignment="1">
      <alignment horizontal="center" vertical="center" wrapText="1"/>
    </xf>
    <xf numFmtId="0" fontId="50" fillId="0" borderId="0" xfId="4" applyFont="1" applyAlignment="1">
      <alignment horizontal="center" vertical="center" wrapText="1"/>
    </xf>
    <xf numFmtId="0" fontId="50" fillId="0" borderId="17" xfId="4" applyFont="1" applyBorder="1" applyAlignment="1">
      <alignment horizontal="center" vertical="center" wrapText="1"/>
    </xf>
    <xf numFmtId="0" fontId="50" fillId="0" borderId="17" xfId="4" applyFont="1" applyBorder="1" applyAlignment="1">
      <alignment horizontal="left" vertical="center" wrapText="1" indent="1"/>
    </xf>
    <xf numFmtId="0" fontId="52" fillId="34" borderId="20" xfId="0" applyFont="1" applyFill="1" applyBorder="1" applyAlignment="1">
      <alignment horizontal="center" vertical="center" wrapText="1"/>
    </xf>
    <xf numFmtId="0" fontId="52" fillId="34" borderId="23" xfId="0" applyFont="1" applyFill="1" applyBorder="1" applyAlignment="1">
      <alignment horizontal="center" vertical="center" wrapText="1"/>
    </xf>
    <xf numFmtId="0" fontId="52" fillId="34" borderId="27" xfId="0" applyFont="1" applyFill="1" applyBorder="1" applyAlignment="1">
      <alignment horizontal="center" vertical="center" wrapText="1"/>
    </xf>
    <xf numFmtId="0" fontId="52" fillId="34" borderId="28" xfId="0" applyFont="1" applyFill="1" applyBorder="1" applyAlignment="1">
      <alignment horizontal="center" vertical="center" wrapText="1"/>
    </xf>
    <xf numFmtId="0" fontId="52" fillId="34" borderId="29" xfId="0" applyFont="1" applyFill="1" applyBorder="1" applyAlignment="1">
      <alignment horizontal="center" vertical="center" wrapText="1"/>
    </xf>
    <xf numFmtId="0" fontId="56" fillId="40" borderId="0" xfId="0" applyFont="1" applyFill="1" applyAlignment="1">
      <alignment horizontal="center"/>
    </xf>
    <xf numFmtId="0" fontId="4" fillId="41" borderId="0" xfId="0" applyFont="1" applyFill="1" applyAlignment="1">
      <alignment horizontal="center"/>
    </xf>
    <xf numFmtId="0" fontId="4" fillId="42" borderId="0" xfId="0" applyFont="1" applyFill="1" applyAlignment="1">
      <alignment horizontal="center"/>
    </xf>
    <xf numFmtId="0" fontId="58" fillId="0" borderId="43" xfId="0" applyFont="1" applyBorder="1" applyAlignment="1">
      <alignment horizontal="left" wrapText="1"/>
    </xf>
    <xf numFmtId="0" fontId="58" fillId="0" borderId="44" xfId="0" applyFont="1" applyBorder="1" applyAlignment="1">
      <alignment horizontal="left" wrapText="1"/>
    </xf>
    <xf numFmtId="0" fontId="42" fillId="0" borderId="35" xfId="0" applyFont="1" applyBorder="1"/>
    <xf numFmtId="0" fontId="42" fillId="0" borderId="0" xfId="0" applyFont="1"/>
    <xf numFmtId="0" fontId="65" fillId="29" borderId="5" xfId="3" applyFont="1" applyFill="1" applyBorder="1" applyAlignment="1" applyProtection="1">
      <alignment horizontal="center" vertical="top" wrapText="1"/>
    </xf>
    <xf numFmtId="0" fontId="0" fillId="29" borderId="6" xfId="0" applyFill="1" applyBorder="1" applyAlignment="1">
      <alignment horizontal="center" vertical="top" wrapText="1"/>
    </xf>
    <xf numFmtId="0" fontId="0" fillId="29" borderId="54" xfId="0" applyFill="1" applyBorder="1" applyAlignment="1">
      <alignment horizontal="center" vertical="top" wrapText="1"/>
    </xf>
    <xf numFmtId="0" fontId="64" fillId="29" borderId="5" xfId="0" applyFont="1" applyFill="1" applyBorder="1" applyAlignment="1">
      <alignment horizontal="center" vertical="top" wrapText="1"/>
    </xf>
    <xf numFmtId="0" fontId="64" fillId="29" borderId="7" xfId="0" applyFont="1" applyFill="1" applyBorder="1" applyAlignment="1">
      <alignment horizontal="center" vertical="top" wrapText="1"/>
    </xf>
    <xf numFmtId="49" fontId="66" fillId="29" borderId="35" xfId="12" applyNumberFormat="1" applyFont="1" applyFill="1" applyBorder="1" applyAlignment="1">
      <alignment vertical="top" wrapText="1"/>
    </xf>
    <xf numFmtId="49" fontId="66" fillId="29" borderId="0" xfId="12" applyNumberFormat="1" applyFont="1" applyFill="1" applyBorder="1" applyAlignment="1">
      <alignment vertical="top" wrapText="1"/>
    </xf>
    <xf numFmtId="43" fontId="66" fillId="29" borderId="35" xfId="12" applyFont="1" applyFill="1" applyBorder="1" applyAlignment="1">
      <alignment vertical="top" wrapText="1"/>
    </xf>
    <xf numFmtId="43" fontId="66" fillId="29" borderId="0" xfId="12" applyFont="1" applyFill="1" applyBorder="1" applyAlignment="1">
      <alignment vertical="top" wrapText="1"/>
    </xf>
    <xf numFmtId="0" fontId="0" fillId="0" borderId="35" xfId="0" applyBorder="1"/>
    <xf numFmtId="0" fontId="0" fillId="0" borderId="0" xfId="0"/>
    <xf numFmtId="0" fontId="42" fillId="0" borderId="35" xfId="0" applyFont="1" applyBorder="1" applyAlignment="1">
      <alignment horizontal="left" vertical="top" wrapText="1"/>
    </xf>
    <xf numFmtId="0" fontId="42" fillId="0" borderId="0" xfId="0" applyFont="1" applyAlignment="1">
      <alignment horizontal="left" vertical="top" wrapText="1"/>
    </xf>
    <xf numFmtId="0" fontId="0" fillId="0" borderId="35" xfId="0" applyBorder="1" applyAlignment="1">
      <alignment horizontal="left" vertical="center"/>
    </xf>
    <xf numFmtId="0" fontId="0" fillId="0" borderId="0" xfId="0" applyAlignment="1">
      <alignment horizontal="left" vertical="center"/>
    </xf>
    <xf numFmtId="0" fontId="65" fillId="29" borderId="1" xfId="3" applyFont="1" applyFill="1" applyBorder="1" applyAlignment="1" applyProtection="1">
      <alignment horizontal="center" vertical="center" wrapText="1"/>
    </xf>
    <xf numFmtId="0" fontId="0" fillId="29" borderId="1" xfId="0" applyFill="1" applyBorder="1" applyAlignment="1">
      <alignment horizontal="center" vertical="center" wrapText="1"/>
    </xf>
    <xf numFmtId="0" fontId="64" fillId="29" borderId="1" xfId="0" applyFont="1" applyFill="1" applyBorder="1" applyAlignment="1">
      <alignment horizontal="center" vertical="center" wrapText="1"/>
    </xf>
  </cellXfs>
  <cellStyles count="13">
    <cellStyle name="Comma" xfId="1" builtinId="3"/>
    <cellStyle name="Comma 2" xfId="5" xr:uid="{064E30AF-D66D-4DD2-A48B-C5D96644919D}"/>
    <cellStyle name="Comma 3" xfId="12" xr:uid="{02D4E595-C5CF-4A06-8744-54511F4A0829}"/>
    <cellStyle name="Hyperlink" xfId="3" builtinId="8"/>
    <cellStyle name="N_CalcSum" xfId="10" xr:uid="{3963CCFA-2B53-4F60-88F5-E5CDE0AA684B}"/>
    <cellStyle name="N_Comment" xfId="11" xr:uid="{8A71FA9B-FA2B-442C-B736-48A07B6B1B80}"/>
    <cellStyle name="N_Input" xfId="8" xr:uid="{B112104D-635E-4641-A73A-DC64885491C5}"/>
    <cellStyle name="N_InputCalc" xfId="7" xr:uid="{2B60D13E-E0EF-4BD2-AADA-8C9268FF4708}"/>
    <cellStyle name="N_InputWhite" xfId="6" xr:uid="{BE20F71F-C904-4F97-906C-303404C9A060}"/>
    <cellStyle name="N_Table1_Header" xfId="9" xr:uid="{B0183E09-C4E1-443D-A33E-EE1C42B6457C}"/>
    <cellStyle name="Normal" xfId="0" builtinId="0"/>
    <cellStyle name="Percent" xfId="2" builtinId="5"/>
    <cellStyle name="Standard_Data provided by OT3" xfId="4" xr:uid="{7BD6302D-C5AD-4300-8FC1-28E0D33B8B16}"/>
  </cellStyles>
  <dxfs count="1">
    <dxf>
      <font>
        <color rgb="FFFFFFFF"/>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b="1"/>
              <a:t>Aggregated Solar PV Capacities MW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'1.1.'!$C$3:$E$3</c:f>
              <c:strCache>
                <c:ptCount val="3"/>
                <c:pt idx="0">
                  <c:v>LOW</c:v>
                </c:pt>
              </c:strCache>
            </c:strRef>
          </c:tx>
          <c:spPr>
            <a:ln w="19050" cap="rnd">
              <a:solidFill>
                <a:srgbClr val="FF0000"/>
              </a:solidFill>
              <a:prstDash val="sysDash"/>
              <a:round/>
            </a:ln>
            <a:effectLst/>
          </c:spPr>
          <c:marker>
            <c:symbol val="none"/>
          </c:marker>
          <c:xVal>
            <c:numRef>
              <c:f>'1.1.'!$C$4:$E$4</c:f>
              <c:numCache>
                <c:formatCode>General</c:formatCode>
                <c:ptCount val="3"/>
                <c:pt idx="0">
                  <c:v>2030</c:v>
                </c:pt>
                <c:pt idx="1">
                  <c:v>2040</c:v>
                </c:pt>
                <c:pt idx="2">
                  <c:v>2050</c:v>
                </c:pt>
              </c:numCache>
            </c:numRef>
          </c:xVal>
          <c:yVal>
            <c:numRef>
              <c:f>'1.1.'!$C$59:$E$59</c:f>
              <c:numCache>
                <c:formatCode>_-* #,##0_-;\-* #,##0_-;_-* "-"??_-;_-@_-</c:formatCode>
                <c:ptCount val="3"/>
                <c:pt idx="0">
                  <c:v>538991.7885924197</c:v>
                </c:pt>
                <c:pt idx="1">
                  <c:v>828990.146858725</c:v>
                </c:pt>
                <c:pt idx="2">
                  <c:v>1074874.855989604</c:v>
                </c:pt>
              </c:numCache>
            </c:numRef>
          </c:yVal>
          <c:smooth val="1"/>
          <c:extLst>
            <c:ext xmlns:c16="http://schemas.microsoft.com/office/drawing/2014/chart" uri="{C3380CC4-5D6E-409C-BE32-E72D297353CC}">
              <c16:uniqueId val="{00000000-9116-4CA4-B1C9-7A647EB8B046}"/>
            </c:ext>
          </c:extLst>
        </c:ser>
        <c:ser>
          <c:idx val="1"/>
          <c:order val="1"/>
          <c:tx>
            <c:strRef>
              <c:f>'1.1.'!$F$3:$H$3</c:f>
              <c:strCache>
                <c:ptCount val="3"/>
                <c:pt idx="0">
                  <c:v>BEST ESTIMATE</c:v>
                </c:pt>
              </c:strCache>
            </c:strRef>
          </c:tx>
          <c:spPr>
            <a:ln w="19050" cap="rnd">
              <a:solidFill>
                <a:srgbClr val="00B0F0"/>
              </a:solidFill>
              <a:round/>
            </a:ln>
            <a:effectLst/>
          </c:spPr>
          <c:marker>
            <c:symbol val="none"/>
          </c:marker>
          <c:xVal>
            <c:numRef>
              <c:f>'1.1.'!$F$4:$H$4</c:f>
              <c:numCache>
                <c:formatCode>General</c:formatCode>
                <c:ptCount val="3"/>
                <c:pt idx="0">
                  <c:v>2030</c:v>
                </c:pt>
                <c:pt idx="1">
                  <c:v>2040</c:v>
                </c:pt>
                <c:pt idx="2">
                  <c:v>2050</c:v>
                </c:pt>
              </c:numCache>
            </c:numRef>
          </c:xVal>
          <c:yVal>
            <c:numRef>
              <c:f>'1.1.'!$F$59:$H$59</c:f>
              <c:numCache>
                <c:formatCode>_-* #,##0_-;\-* #,##0_-;_-* "-"??_-;_-@_-</c:formatCode>
                <c:ptCount val="3"/>
                <c:pt idx="0">
                  <c:v>671584.64700386347</c:v>
                </c:pt>
                <c:pt idx="1">
                  <c:v>1091031.004602809</c:v>
                </c:pt>
                <c:pt idx="2">
                  <c:v>1398656.3996392705</c:v>
                </c:pt>
              </c:numCache>
            </c:numRef>
          </c:yVal>
          <c:smooth val="1"/>
          <c:extLst>
            <c:ext xmlns:c16="http://schemas.microsoft.com/office/drawing/2014/chart" uri="{C3380CC4-5D6E-409C-BE32-E72D297353CC}">
              <c16:uniqueId val="{00000001-9116-4CA4-B1C9-7A647EB8B046}"/>
            </c:ext>
          </c:extLst>
        </c:ser>
        <c:ser>
          <c:idx val="2"/>
          <c:order val="2"/>
          <c:tx>
            <c:strRef>
              <c:f>'1.1.'!$I$3:$K$3</c:f>
              <c:strCache>
                <c:ptCount val="3"/>
                <c:pt idx="0">
                  <c:v>HIGH</c:v>
                </c:pt>
              </c:strCache>
            </c:strRef>
          </c:tx>
          <c:spPr>
            <a:ln w="19050" cap="rnd">
              <a:solidFill>
                <a:srgbClr val="00B050"/>
              </a:solidFill>
              <a:prstDash val="sysDash"/>
              <a:round/>
            </a:ln>
            <a:effectLst/>
          </c:spPr>
          <c:marker>
            <c:symbol val="none"/>
          </c:marker>
          <c:xVal>
            <c:numRef>
              <c:f>'1.1.'!$I$4:$K$4</c:f>
              <c:numCache>
                <c:formatCode>General</c:formatCode>
                <c:ptCount val="3"/>
                <c:pt idx="0">
                  <c:v>2030</c:v>
                </c:pt>
                <c:pt idx="1">
                  <c:v>2040</c:v>
                </c:pt>
                <c:pt idx="2">
                  <c:v>2050</c:v>
                </c:pt>
              </c:numCache>
            </c:numRef>
          </c:xVal>
          <c:yVal>
            <c:numRef>
              <c:f>'1.1.'!$I$59:$K$59</c:f>
              <c:numCache>
                <c:formatCode>_-* #,##0_-;\-* #,##0_-;_-* "-"??_-;_-@_-</c:formatCode>
                <c:ptCount val="3"/>
                <c:pt idx="0">
                  <c:v>879235.94667894195</c:v>
                </c:pt>
                <c:pt idx="1">
                  <c:v>1443110.1059453245</c:v>
                </c:pt>
                <c:pt idx="2">
                  <c:v>2261807.6628840338</c:v>
                </c:pt>
              </c:numCache>
            </c:numRef>
          </c:yVal>
          <c:smooth val="1"/>
          <c:extLst>
            <c:ext xmlns:c16="http://schemas.microsoft.com/office/drawing/2014/chart" uri="{C3380CC4-5D6E-409C-BE32-E72D297353CC}">
              <c16:uniqueId val="{00000002-9116-4CA4-B1C9-7A647EB8B046}"/>
            </c:ext>
          </c:extLst>
        </c:ser>
        <c:dLbls>
          <c:showLegendKey val="0"/>
          <c:showVal val="0"/>
          <c:showCatName val="0"/>
          <c:showSerName val="0"/>
          <c:showPercent val="0"/>
          <c:showBubbleSize val="0"/>
        </c:dLbls>
        <c:axId val="1325978448"/>
        <c:axId val="1325980112"/>
      </c:scatterChart>
      <c:valAx>
        <c:axId val="1325978448"/>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1325980112"/>
        <c:crosses val="autoZero"/>
        <c:crossBetween val="midCat"/>
        <c:majorUnit val="10"/>
      </c:valAx>
      <c:valAx>
        <c:axId val="132598011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1325978448"/>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ES" b="1"/>
              <a:t>Aggregated Wind Onshore Trajectories MW</a:t>
            </a:r>
            <a:r>
              <a:rPr lang="es-ES" b="1" baseline="0"/>
              <a:t> </a:t>
            </a:r>
            <a:endParaRPr lang="es-E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'1.2.'!$C$3:$E$3</c:f>
              <c:strCache>
                <c:ptCount val="3"/>
                <c:pt idx="0">
                  <c:v>LOW</c:v>
                </c:pt>
              </c:strCache>
            </c:strRef>
          </c:tx>
          <c:spPr>
            <a:ln w="19050" cap="rnd">
              <a:solidFill>
                <a:srgbClr val="FF0000"/>
              </a:solidFill>
              <a:prstDash val="sysDash"/>
              <a:round/>
            </a:ln>
            <a:effectLst/>
          </c:spPr>
          <c:marker>
            <c:symbol val="none"/>
          </c:marker>
          <c:xVal>
            <c:numRef>
              <c:f>'1.2.'!$C$4:$E$4</c:f>
              <c:numCache>
                <c:formatCode>General</c:formatCode>
                <c:ptCount val="3"/>
                <c:pt idx="0">
                  <c:v>2030</c:v>
                </c:pt>
                <c:pt idx="1">
                  <c:v>2040</c:v>
                </c:pt>
                <c:pt idx="2">
                  <c:v>2050</c:v>
                </c:pt>
              </c:numCache>
            </c:numRef>
          </c:xVal>
          <c:yVal>
            <c:numRef>
              <c:f>'1.2.'!$C$59:$E$59</c:f>
              <c:numCache>
                <c:formatCode>_-* #,##0_-;\-* #,##0_-;_-* "-"??_-;_-@_-</c:formatCode>
                <c:ptCount val="3"/>
                <c:pt idx="0">
                  <c:v>340795.26487608103</c:v>
                </c:pt>
                <c:pt idx="1">
                  <c:v>444202.06568892481</c:v>
                </c:pt>
                <c:pt idx="2">
                  <c:v>492283.28505687695</c:v>
                </c:pt>
              </c:numCache>
            </c:numRef>
          </c:yVal>
          <c:smooth val="1"/>
          <c:extLst>
            <c:ext xmlns:c16="http://schemas.microsoft.com/office/drawing/2014/chart" uri="{C3380CC4-5D6E-409C-BE32-E72D297353CC}">
              <c16:uniqueId val="{00000000-9495-469A-B1A4-F066E4CF116D}"/>
            </c:ext>
          </c:extLst>
        </c:ser>
        <c:ser>
          <c:idx val="1"/>
          <c:order val="1"/>
          <c:tx>
            <c:strRef>
              <c:f>'1.2.'!$F$3:$H$3</c:f>
              <c:strCache>
                <c:ptCount val="3"/>
                <c:pt idx="0">
                  <c:v>BEST ESTIMATE (BE)</c:v>
                </c:pt>
              </c:strCache>
            </c:strRef>
          </c:tx>
          <c:spPr>
            <a:ln w="19050" cap="rnd">
              <a:solidFill>
                <a:srgbClr val="00B0F0"/>
              </a:solidFill>
              <a:round/>
            </a:ln>
            <a:effectLst/>
          </c:spPr>
          <c:marker>
            <c:symbol val="none"/>
          </c:marker>
          <c:xVal>
            <c:numRef>
              <c:f>'1.2.'!$F$4:$H$4</c:f>
              <c:numCache>
                <c:formatCode>General</c:formatCode>
                <c:ptCount val="3"/>
                <c:pt idx="0">
                  <c:v>2030</c:v>
                </c:pt>
                <c:pt idx="1">
                  <c:v>2040</c:v>
                </c:pt>
                <c:pt idx="2">
                  <c:v>2050</c:v>
                </c:pt>
              </c:numCache>
            </c:numRef>
          </c:xVal>
          <c:yVal>
            <c:numRef>
              <c:f>'1.2.'!$F$59:$H$59</c:f>
              <c:numCache>
                <c:formatCode>_-* #,##0_-;\-* #,##0_-;_-* "-"??_-;_-@_-</c:formatCode>
                <c:ptCount val="3"/>
                <c:pt idx="0">
                  <c:v>391461.69060624111</c:v>
                </c:pt>
                <c:pt idx="1">
                  <c:v>552512.08312713937</c:v>
                </c:pt>
                <c:pt idx="2">
                  <c:v>618841.28562467115</c:v>
                </c:pt>
              </c:numCache>
            </c:numRef>
          </c:yVal>
          <c:smooth val="1"/>
          <c:extLst>
            <c:ext xmlns:c16="http://schemas.microsoft.com/office/drawing/2014/chart" uri="{C3380CC4-5D6E-409C-BE32-E72D297353CC}">
              <c16:uniqueId val="{00000001-9495-469A-B1A4-F066E4CF116D}"/>
            </c:ext>
          </c:extLst>
        </c:ser>
        <c:ser>
          <c:idx val="2"/>
          <c:order val="2"/>
          <c:tx>
            <c:strRef>
              <c:f>'1.2.'!$I$3:$K$3</c:f>
              <c:strCache>
                <c:ptCount val="3"/>
                <c:pt idx="0">
                  <c:v>HIGH</c:v>
                </c:pt>
              </c:strCache>
            </c:strRef>
          </c:tx>
          <c:spPr>
            <a:ln w="19050" cap="rnd">
              <a:solidFill>
                <a:srgbClr val="00B050"/>
              </a:solidFill>
              <a:prstDash val="sysDash"/>
              <a:round/>
            </a:ln>
            <a:effectLst/>
          </c:spPr>
          <c:marker>
            <c:symbol val="none"/>
          </c:marker>
          <c:xVal>
            <c:numRef>
              <c:f>'1.2.'!$I$4:$K$4</c:f>
              <c:numCache>
                <c:formatCode>General</c:formatCode>
                <c:ptCount val="3"/>
                <c:pt idx="0">
                  <c:v>2030</c:v>
                </c:pt>
                <c:pt idx="1">
                  <c:v>2040</c:v>
                </c:pt>
                <c:pt idx="2">
                  <c:v>2050</c:v>
                </c:pt>
              </c:numCache>
            </c:numRef>
          </c:xVal>
          <c:yVal>
            <c:numRef>
              <c:f>'1.2.'!$I$59:$K$59</c:f>
              <c:numCache>
                <c:formatCode>_-* #,##0_-;\-* #,##0_-;_-* "-"??_-;_-@_-</c:formatCode>
                <c:ptCount val="3"/>
                <c:pt idx="0">
                  <c:v>434919.47083637258</c:v>
                </c:pt>
                <c:pt idx="1">
                  <c:v>708631.26426989259</c:v>
                </c:pt>
                <c:pt idx="2">
                  <c:v>919055.9077134307</c:v>
                </c:pt>
              </c:numCache>
            </c:numRef>
          </c:yVal>
          <c:smooth val="1"/>
          <c:extLst>
            <c:ext xmlns:c16="http://schemas.microsoft.com/office/drawing/2014/chart" uri="{C3380CC4-5D6E-409C-BE32-E72D297353CC}">
              <c16:uniqueId val="{00000002-9495-469A-B1A4-F066E4CF116D}"/>
            </c:ext>
          </c:extLst>
        </c:ser>
        <c:dLbls>
          <c:showLegendKey val="0"/>
          <c:showVal val="0"/>
          <c:showCatName val="0"/>
          <c:showSerName val="0"/>
          <c:showPercent val="0"/>
          <c:showBubbleSize val="0"/>
        </c:dLbls>
        <c:axId val="1329761600"/>
        <c:axId val="1329759104"/>
      </c:scatterChart>
      <c:valAx>
        <c:axId val="1329761600"/>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1329759104"/>
        <c:crosses val="autoZero"/>
        <c:crossBetween val="midCat"/>
        <c:majorUnit val="10"/>
      </c:valAx>
      <c:valAx>
        <c:axId val="1329759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1329761600"/>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b="1"/>
              <a:t>Aggregated Wind Offshore Capacity MW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1"/>
          <c:order val="1"/>
          <c:tx>
            <c:strRef>
              <c:f>'1.3.'!$H$3:$L$3</c:f>
              <c:strCache>
                <c:ptCount val="5"/>
                <c:pt idx="0">
                  <c:v>BEST ESTIMATE</c:v>
                </c:pt>
              </c:strCache>
            </c:strRef>
          </c:tx>
          <c:spPr>
            <a:ln w="19050" cap="rnd">
              <a:solidFill>
                <a:srgbClr val="00B0F0"/>
              </a:solidFill>
              <a:round/>
            </a:ln>
            <a:effectLst/>
          </c:spPr>
          <c:marker>
            <c:symbol val="none"/>
          </c:marker>
          <c:xVal>
            <c:numRef>
              <c:f>'1.3.'!$H$4:$L$4</c:f>
              <c:numCache>
                <c:formatCode>General</c:formatCode>
                <c:ptCount val="5"/>
                <c:pt idx="0">
                  <c:v>2030</c:v>
                </c:pt>
                <c:pt idx="1">
                  <c:v>2035</c:v>
                </c:pt>
                <c:pt idx="2">
                  <c:v>2040</c:v>
                </c:pt>
                <c:pt idx="3">
                  <c:v>2045</c:v>
                </c:pt>
                <c:pt idx="4">
                  <c:v>2050</c:v>
                </c:pt>
              </c:numCache>
            </c:numRef>
          </c:xVal>
          <c:yVal>
            <c:numRef>
              <c:f>'1.3.'!$H$111:$L$111</c:f>
              <c:numCache>
                <c:formatCode>_-* #,##0_-;\-* #,##0_-;_-* "-"??_-;_-@_-</c:formatCode>
                <c:ptCount val="5"/>
                <c:pt idx="0">
                  <c:v>155620.37</c:v>
                </c:pt>
                <c:pt idx="1">
                  <c:v>257169.07</c:v>
                </c:pt>
                <c:pt idx="2">
                  <c:v>370083.77</c:v>
                </c:pt>
                <c:pt idx="3">
                  <c:v>401131.505</c:v>
                </c:pt>
                <c:pt idx="4">
                  <c:v>480358.29</c:v>
                </c:pt>
              </c:numCache>
            </c:numRef>
          </c:yVal>
          <c:smooth val="1"/>
          <c:extLst>
            <c:ext xmlns:c16="http://schemas.microsoft.com/office/drawing/2014/chart" uri="{C3380CC4-5D6E-409C-BE32-E72D297353CC}">
              <c16:uniqueId val="{00000000-4239-4042-895D-9DA910FF9F68}"/>
            </c:ext>
          </c:extLst>
        </c:ser>
        <c:ser>
          <c:idx val="2"/>
          <c:order val="2"/>
          <c:tx>
            <c:strRef>
              <c:f>'1.3.'!$M$3:$O$3</c:f>
              <c:strCache>
                <c:ptCount val="3"/>
                <c:pt idx="0">
                  <c:v>HIGH</c:v>
                </c:pt>
              </c:strCache>
            </c:strRef>
          </c:tx>
          <c:spPr>
            <a:ln w="19050" cap="rnd">
              <a:solidFill>
                <a:srgbClr val="00B050"/>
              </a:solidFill>
              <a:prstDash val="sysDash"/>
              <a:round/>
            </a:ln>
            <a:effectLst/>
          </c:spPr>
          <c:marker>
            <c:symbol val="none"/>
          </c:marker>
          <c:xVal>
            <c:numRef>
              <c:f>'1.3.'!$M$4:$O$4</c:f>
              <c:numCache>
                <c:formatCode>General</c:formatCode>
                <c:ptCount val="3"/>
                <c:pt idx="0">
                  <c:v>2030</c:v>
                </c:pt>
                <c:pt idx="1">
                  <c:v>2040</c:v>
                </c:pt>
                <c:pt idx="2">
                  <c:v>2050</c:v>
                </c:pt>
              </c:numCache>
            </c:numRef>
          </c:xVal>
          <c:yVal>
            <c:numRef>
              <c:f>'1.3.'!$M$111:$O$111</c:f>
              <c:numCache>
                <c:formatCode>_-* #,##0_-;\-* #,##0_-;_-* "-"??_-;_-@_-</c:formatCode>
                <c:ptCount val="3"/>
                <c:pt idx="0">
                  <c:v>345390.2496168167</c:v>
                </c:pt>
                <c:pt idx="1">
                  <c:v>567842.42572328285</c:v>
                </c:pt>
                <c:pt idx="2">
                  <c:v>782813.08375796175</c:v>
                </c:pt>
              </c:numCache>
            </c:numRef>
          </c:yVal>
          <c:smooth val="1"/>
          <c:extLst>
            <c:ext xmlns:c16="http://schemas.microsoft.com/office/drawing/2014/chart" uri="{C3380CC4-5D6E-409C-BE32-E72D297353CC}">
              <c16:uniqueId val="{00000001-4239-4042-895D-9DA910FF9F68}"/>
            </c:ext>
          </c:extLst>
        </c:ser>
        <c:dLbls>
          <c:showLegendKey val="0"/>
          <c:showVal val="0"/>
          <c:showCatName val="0"/>
          <c:showSerName val="0"/>
          <c:showPercent val="0"/>
          <c:showBubbleSize val="0"/>
        </c:dLbls>
        <c:axId val="1325610864"/>
        <c:axId val="1325605872"/>
        <c:extLst>
          <c:ext xmlns:c15="http://schemas.microsoft.com/office/drawing/2012/chart" uri="{02D57815-91ED-43cb-92C2-25804820EDAC}">
            <c15:filteredScatterSeries>
              <c15:ser>
                <c:idx val="0"/>
                <c:order val="0"/>
                <c:tx>
                  <c:strRef>
                    <c:extLst>
                      <c:ext uri="{02D57815-91ED-43cb-92C2-25804820EDAC}">
                        <c15:formulaRef>
                          <c15:sqref>'1.3.'!$C$3:$G$3</c15:sqref>
                        </c15:formulaRef>
                      </c:ext>
                    </c:extLst>
                    <c:strCache>
                      <c:ptCount val="5"/>
                      <c:pt idx="0">
                        <c:v>LOW</c:v>
                      </c:pt>
                    </c:strCache>
                  </c:strRef>
                </c:tx>
                <c:spPr>
                  <a:ln w="19050" cap="rnd">
                    <a:solidFill>
                      <a:srgbClr val="FF0000"/>
                    </a:solidFill>
                    <a:prstDash val="sysDash"/>
                    <a:round/>
                  </a:ln>
                  <a:effectLst/>
                </c:spPr>
                <c:marker>
                  <c:symbol val="none"/>
                </c:marker>
                <c:xVal>
                  <c:numRef>
                    <c:extLst>
                      <c:ext uri="{02D57815-91ED-43cb-92C2-25804820EDAC}">
                        <c15:formulaRef>
                          <c15:sqref>'1.3.'!$C$4:$G$4</c15:sqref>
                        </c15:formulaRef>
                      </c:ext>
                    </c:extLst>
                    <c:numCache>
                      <c:formatCode>General</c:formatCode>
                      <c:ptCount val="5"/>
                      <c:pt idx="0">
                        <c:v>2030</c:v>
                      </c:pt>
                      <c:pt idx="1">
                        <c:v>2035</c:v>
                      </c:pt>
                      <c:pt idx="2">
                        <c:v>2040</c:v>
                      </c:pt>
                      <c:pt idx="3">
                        <c:v>2045</c:v>
                      </c:pt>
                      <c:pt idx="4">
                        <c:v>2050</c:v>
                      </c:pt>
                    </c:numCache>
                  </c:numRef>
                </c:xVal>
                <c:yVal>
                  <c:numRef>
                    <c:extLst>
                      <c:ext uri="{02D57815-91ED-43cb-92C2-25804820EDAC}">
                        <c15:formulaRef>
                          <c15:sqref>'1.3.'!$C$111:$G$111</c15:sqref>
                        </c15:formulaRef>
                      </c:ext>
                    </c:extLst>
                    <c:numCache>
                      <c:formatCode>_-* #,##0_-;\-* #,##0_-;_-* "-"??_-;_-@_-</c:formatCode>
                      <c:ptCount val="5"/>
                      <c:pt idx="0">
                        <c:v>132235.70000000001</c:v>
                      </c:pt>
                      <c:pt idx="1">
                        <c:v>183381.55</c:v>
                      </c:pt>
                      <c:pt idx="2">
                        <c:v>303159</c:v>
                      </c:pt>
                      <c:pt idx="3">
                        <c:v>304669.09999999998</c:v>
                      </c:pt>
                      <c:pt idx="4">
                        <c:v>411623.85</c:v>
                      </c:pt>
                    </c:numCache>
                  </c:numRef>
                </c:yVal>
                <c:smooth val="1"/>
                <c:extLst>
                  <c:ext xmlns:c16="http://schemas.microsoft.com/office/drawing/2014/chart" uri="{C3380CC4-5D6E-409C-BE32-E72D297353CC}">
                    <c16:uniqueId val="{00000002-4239-4042-895D-9DA910FF9F68}"/>
                  </c:ext>
                </c:extLst>
              </c15:ser>
            </c15:filteredScatterSeries>
          </c:ext>
        </c:extLst>
      </c:scatterChart>
      <c:valAx>
        <c:axId val="1325610864"/>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1325605872"/>
        <c:crosses val="autoZero"/>
        <c:crossBetween val="midCat"/>
        <c:majorUnit val="10"/>
      </c:valAx>
      <c:valAx>
        <c:axId val="1325605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1325610864"/>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ES" b="1"/>
              <a:t>Aggregated* Nuclear Capacities MW</a:t>
            </a:r>
          </a:p>
        </c:rich>
      </c:tx>
      <c:layout>
        <c:manualLayout>
          <c:xMode val="edge"/>
          <c:yMode val="edge"/>
          <c:x val="0.27978895495205958"/>
          <c:y val="2.767527675276752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'1.4.'!$C$3:$E$3</c:f>
              <c:strCache>
                <c:ptCount val="3"/>
                <c:pt idx="0">
                  <c:v>Distributed Energy</c:v>
                </c:pt>
              </c:strCache>
            </c:strRef>
          </c:tx>
          <c:spPr>
            <a:ln w="19050" cap="rnd">
              <a:solidFill>
                <a:srgbClr val="FF0000"/>
              </a:solidFill>
              <a:prstDash val="sysDash"/>
              <a:round/>
            </a:ln>
            <a:effectLst/>
          </c:spPr>
          <c:marker>
            <c:symbol val="none"/>
          </c:marker>
          <c:xVal>
            <c:numRef>
              <c:f>'1.4.'!$C$4:$E$4</c:f>
              <c:numCache>
                <c:formatCode>General</c:formatCode>
                <c:ptCount val="3"/>
                <c:pt idx="0">
                  <c:v>2030</c:v>
                </c:pt>
                <c:pt idx="1">
                  <c:v>2040</c:v>
                </c:pt>
                <c:pt idx="2">
                  <c:v>2050</c:v>
                </c:pt>
              </c:numCache>
            </c:numRef>
          </c:xVal>
          <c:yVal>
            <c:numRef>
              <c:f>'1.4.'!$C$59:$E$59</c:f>
              <c:numCache>
                <c:formatCode>_-* #,##0_-;\-* #,##0_-;_-* "-"??_-;_-@_-</c:formatCode>
                <c:ptCount val="3"/>
                <c:pt idx="0">
                  <c:v>92306.319999999992</c:v>
                </c:pt>
                <c:pt idx="1">
                  <c:v>78452.599999999991</c:v>
                </c:pt>
                <c:pt idx="2">
                  <c:v>51260.1</c:v>
                </c:pt>
              </c:numCache>
            </c:numRef>
          </c:yVal>
          <c:smooth val="1"/>
          <c:extLst>
            <c:ext xmlns:c16="http://schemas.microsoft.com/office/drawing/2014/chart" uri="{C3380CC4-5D6E-409C-BE32-E72D297353CC}">
              <c16:uniqueId val="{00000000-F539-4892-B247-9ECA9B793175}"/>
            </c:ext>
          </c:extLst>
        </c:ser>
        <c:ser>
          <c:idx val="1"/>
          <c:order val="1"/>
          <c:tx>
            <c:strRef>
              <c:f>'1.4.'!$F$3:$H$3</c:f>
              <c:strCache>
                <c:ptCount val="3"/>
                <c:pt idx="0">
                  <c:v>National Trends+</c:v>
                </c:pt>
              </c:strCache>
            </c:strRef>
          </c:tx>
          <c:spPr>
            <a:ln w="19050" cap="rnd">
              <a:solidFill>
                <a:srgbClr val="00B0F0"/>
              </a:solidFill>
              <a:round/>
            </a:ln>
            <a:effectLst/>
          </c:spPr>
          <c:marker>
            <c:symbol val="none"/>
          </c:marker>
          <c:xVal>
            <c:numRef>
              <c:f>'1.4.'!$F$4:$H$4</c:f>
              <c:numCache>
                <c:formatCode>General</c:formatCode>
                <c:ptCount val="3"/>
                <c:pt idx="0">
                  <c:v>2030</c:v>
                </c:pt>
                <c:pt idx="1">
                  <c:v>2040</c:v>
                </c:pt>
                <c:pt idx="2">
                  <c:v>2050</c:v>
                </c:pt>
              </c:numCache>
            </c:numRef>
          </c:xVal>
          <c:yVal>
            <c:numRef>
              <c:f>'1.4.'!$F$59:$H$59</c:f>
              <c:numCache>
                <c:formatCode>_-* #,##0_-;\-* #,##0_-;_-* "-"??_-;_-@_-</c:formatCode>
                <c:ptCount val="3"/>
                <c:pt idx="0">
                  <c:v>98725.557264415853</c:v>
                </c:pt>
                <c:pt idx="1">
                  <c:v>87872.837264415852</c:v>
                </c:pt>
                <c:pt idx="2">
                  <c:v>70879.267999999996</c:v>
                </c:pt>
              </c:numCache>
            </c:numRef>
          </c:yVal>
          <c:smooth val="1"/>
          <c:extLst>
            <c:ext xmlns:c16="http://schemas.microsoft.com/office/drawing/2014/chart" uri="{C3380CC4-5D6E-409C-BE32-E72D297353CC}">
              <c16:uniqueId val="{00000001-F539-4892-B247-9ECA9B793175}"/>
            </c:ext>
          </c:extLst>
        </c:ser>
        <c:ser>
          <c:idx val="2"/>
          <c:order val="2"/>
          <c:tx>
            <c:strRef>
              <c:f>'1.4.'!$I$3:$K$3</c:f>
              <c:strCache>
                <c:ptCount val="3"/>
                <c:pt idx="0">
                  <c:v>Global Ambition</c:v>
                </c:pt>
              </c:strCache>
            </c:strRef>
          </c:tx>
          <c:spPr>
            <a:ln w="19050" cap="rnd">
              <a:solidFill>
                <a:srgbClr val="00B050"/>
              </a:solidFill>
              <a:prstDash val="sysDash"/>
              <a:round/>
            </a:ln>
            <a:effectLst/>
          </c:spPr>
          <c:marker>
            <c:symbol val="none"/>
          </c:marker>
          <c:xVal>
            <c:numRef>
              <c:f>'1.4.'!$I$4:$K$4</c:f>
              <c:numCache>
                <c:formatCode>General</c:formatCode>
                <c:ptCount val="3"/>
                <c:pt idx="0">
                  <c:v>2030</c:v>
                </c:pt>
                <c:pt idx="1">
                  <c:v>2040</c:v>
                </c:pt>
                <c:pt idx="2">
                  <c:v>2050</c:v>
                </c:pt>
              </c:numCache>
            </c:numRef>
          </c:xVal>
          <c:yVal>
            <c:numRef>
              <c:f>'1.4.'!$I$59:$K$59</c:f>
              <c:numCache>
                <c:formatCode>_-* #,##0_-;\-* #,##0_-;_-* "-"??_-;_-@_-</c:formatCode>
                <c:ptCount val="3"/>
                <c:pt idx="0">
                  <c:v>107815.55726441585</c:v>
                </c:pt>
                <c:pt idx="1">
                  <c:v>136559.63726441585</c:v>
                </c:pt>
                <c:pt idx="2">
                  <c:v>134164.26800000001</c:v>
                </c:pt>
              </c:numCache>
            </c:numRef>
          </c:yVal>
          <c:smooth val="1"/>
          <c:extLst>
            <c:ext xmlns:c16="http://schemas.microsoft.com/office/drawing/2014/chart" uri="{C3380CC4-5D6E-409C-BE32-E72D297353CC}">
              <c16:uniqueId val="{00000002-F539-4892-B247-9ECA9B793175}"/>
            </c:ext>
          </c:extLst>
        </c:ser>
        <c:dLbls>
          <c:showLegendKey val="0"/>
          <c:showVal val="0"/>
          <c:showCatName val="0"/>
          <c:showSerName val="0"/>
          <c:showPercent val="0"/>
          <c:showBubbleSize val="0"/>
        </c:dLbls>
        <c:axId val="1329850032"/>
        <c:axId val="1329855024"/>
      </c:scatterChart>
      <c:valAx>
        <c:axId val="1329850032"/>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1329855024"/>
        <c:crosses val="autoZero"/>
        <c:crossBetween val="midCat"/>
        <c:majorUnit val="10"/>
      </c:valAx>
      <c:valAx>
        <c:axId val="1329855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1329850032"/>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b="1"/>
              <a:t>Aggregated Prosumer</a:t>
            </a:r>
            <a:r>
              <a:rPr lang="es-ES" b="1" baseline="0"/>
              <a:t> Batteries Trajectories MWh</a:t>
            </a:r>
            <a:endParaRPr lang="es-E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'1.5.'!$D$3:$F$3</c:f>
              <c:strCache>
                <c:ptCount val="3"/>
                <c:pt idx="0">
                  <c:v>LOW</c:v>
                </c:pt>
              </c:strCache>
            </c:strRef>
          </c:tx>
          <c:spPr>
            <a:ln w="19050" cap="rnd">
              <a:solidFill>
                <a:srgbClr val="FF0000"/>
              </a:solidFill>
              <a:prstDash val="sysDash"/>
              <a:round/>
            </a:ln>
            <a:effectLst/>
          </c:spPr>
          <c:marker>
            <c:symbol val="none"/>
          </c:marker>
          <c:xVal>
            <c:numRef>
              <c:f>'1.5.'!$D$4:$F$4</c:f>
              <c:numCache>
                <c:formatCode>General</c:formatCode>
                <c:ptCount val="3"/>
                <c:pt idx="0">
                  <c:v>2030</c:v>
                </c:pt>
                <c:pt idx="1">
                  <c:v>2040</c:v>
                </c:pt>
                <c:pt idx="2">
                  <c:v>2050</c:v>
                </c:pt>
              </c:numCache>
            </c:numRef>
          </c:xVal>
          <c:yVal>
            <c:numRef>
              <c:f>'1.5.'!$D$60:$F$60</c:f>
              <c:numCache>
                <c:formatCode>_-* #,##0_-;\-* #,##0_-;_-* "-"??_-;_-@_-</c:formatCode>
                <c:ptCount val="3"/>
                <c:pt idx="0">
                  <c:v>89267.675760503349</c:v>
                </c:pt>
                <c:pt idx="1">
                  <c:v>225654.85289363423</c:v>
                </c:pt>
                <c:pt idx="2">
                  <c:v>326743.46434068994</c:v>
                </c:pt>
              </c:numCache>
            </c:numRef>
          </c:yVal>
          <c:smooth val="1"/>
          <c:extLst>
            <c:ext xmlns:c16="http://schemas.microsoft.com/office/drawing/2014/chart" uri="{C3380CC4-5D6E-409C-BE32-E72D297353CC}">
              <c16:uniqueId val="{00000000-73B7-415A-A1F5-BC11191B2586}"/>
            </c:ext>
          </c:extLst>
        </c:ser>
        <c:ser>
          <c:idx val="1"/>
          <c:order val="1"/>
          <c:tx>
            <c:strRef>
              <c:f>'1.5.'!$G$3:$I$3</c:f>
              <c:strCache>
                <c:ptCount val="3"/>
                <c:pt idx="0">
                  <c:v>BE</c:v>
                </c:pt>
              </c:strCache>
            </c:strRef>
          </c:tx>
          <c:spPr>
            <a:ln w="19050" cap="rnd">
              <a:solidFill>
                <a:srgbClr val="00B0F0"/>
              </a:solidFill>
              <a:round/>
            </a:ln>
            <a:effectLst/>
          </c:spPr>
          <c:marker>
            <c:symbol val="none"/>
          </c:marker>
          <c:xVal>
            <c:numRef>
              <c:f>'1.5.'!$G$4:$I$4</c:f>
              <c:numCache>
                <c:formatCode>General</c:formatCode>
                <c:ptCount val="3"/>
                <c:pt idx="0">
                  <c:v>2030</c:v>
                </c:pt>
                <c:pt idx="1">
                  <c:v>2040</c:v>
                </c:pt>
                <c:pt idx="2">
                  <c:v>2050</c:v>
                </c:pt>
              </c:numCache>
            </c:numRef>
          </c:xVal>
          <c:yVal>
            <c:numRef>
              <c:f>'1.5.'!$G$60:$I$60</c:f>
              <c:numCache>
                <c:formatCode>_-* #,##0_-;\-* #,##0_-;_-* "-"??_-;_-@_-</c:formatCode>
                <c:ptCount val="3"/>
                <c:pt idx="0">
                  <c:v>89267.675760503349</c:v>
                </c:pt>
                <c:pt idx="1">
                  <c:v>225654.85289363423</c:v>
                </c:pt>
                <c:pt idx="2">
                  <c:v>326743.46434068994</c:v>
                </c:pt>
              </c:numCache>
            </c:numRef>
          </c:yVal>
          <c:smooth val="1"/>
          <c:extLst>
            <c:ext xmlns:c16="http://schemas.microsoft.com/office/drawing/2014/chart" uri="{C3380CC4-5D6E-409C-BE32-E72D297353CC}">
              <c16:uniqueId val="{00000001-73B7-415A-A1F5-BC11191B2586}"/>
            </c:ext>
          </c:extLst>
        </c:ser>
        <c:ser>
          <c:idx val="2"/>
          <c:order val="2"/>
          <c:tx>
            <c:strRef>
              <c:f>'1.5.'!$J$3:$L$3</c:f>
              <c:strCache>
                <c:ptCount val="3"/>
                <c:pt idx="0">
                  <c:v>HIGH</c:v>
                </c:pt>
              </c:strCache>
            </c:strRef>
          </c:tx>
          <c:spPr>
            <a:ln w="19050" cap="rnd">
              <a:solidFill>
                <a:srgbClr val="00B050"/>
              </a:solidFill>
              <a:prstDash val="sysDash"/>
              <a:round/>
            </a:ln>
            <a:effectLst/>
          </c:spPr>
          <c:marker>
            <c:symbol val="none"/>
          </c:marker>
          <c:xVal>
            <c:numRef>
              <c:f>'1.5.'!$J$4:$L$4</c:f>
              <c:numCache>
                <c:formatCode>General</c:formatCode>
                <c:ptCount val="3"/>
                <c:pt idx="0">
                  <c:v>2030</c:v>
                </c:pt>
                <c:pt idx="1">
                  <c:v>2040</c:v>
                </c:pt>
                <c:pt idx="2">
                  <c:v>2050</c:v>
                </c:pt>
              </c:numCache>
            </c:numRef>
          </c:xVal>
          <c:yVal>
            <c:numRef>
              <c:f>'1.5.'!$J$60:$L$60</c:f>
              <c:numCache>
                <c:formatCode>_-* #,##0_-;\-* #,##0_-;_-* "-"??_-;_-@_-</c:formatCode>
                <c:ptCount val="3"/>
                <c:pt idx="0">
                  <c:v>325832.60499898496</c:v>
                </c:pt>
                <c:pt idx="1">
                  <c:v>707612.83904666337</c:v>
                </c:pt>
                <c:pt idx="2">
                  <c:v>1296573.9411298686</c:v>
                </c:pt>
              </c:numCache>
            </c:numRef>
          </c:yVal>
          <c:smooth val="1"/>
          <c:extLst>
            <c:ext xmlns:c16="http://schemas.microsoft.com/office/drawing/2014/chart" uri="{C3380CC4-5D6E-409C-BE32-E72D297353CC}">
              <c16:uniqueId val="{00000002-73B7-415A-A1F5-BC11191B2586}"/>
            </c:ext>
          </c:extLst>
        </c:ser>
        <c:dLbls>
          <c:showLegendKey val="0"/>
          <c:showVal val="0"/>
          <c:showCatName val="0"/>
          <c:showSerName val="0"/>
          <c:showPercent val="0"/>
          <c:showBubbleSize val="0"/>
        </c:dLbls>
        <c:axId val="2059560768"/>
        <c:axId val="2059561184"/>
      </c:scatterChart>
      <c:valAx>
        <c:axId val="2059560768"/>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2059561184"/>
        <c:crosses val="autoZero"/>
        <c:crossBetween val="midCat"/>
      </c:valAx>
      <c:valAx>
        <c:axId val="205956118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2059560768"/>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Aggregated Utility Batteries Trajectories </a:t>
            </a:r>
          </a:p>
          <a:p>
            <a:pPr>
              <a:defRPr b="1"/>
            </a:pPr>
            <a:r>
              <a:rPr lang="en-US" b="1"/>
              <a:t>MWh</a:t>
            </a:r>
          </a:p>
        </c:rich>
      </c:tx>
      <c:layout>
        <c:manualLayout>
          <c:xMode val="edge"/>
          <c:yMode val="edge"/>
          <c:x val="0.24123656562544513"/>
          <c:y val="2.779708130646282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scatterChart>
        <c:scatterStyle val="smoothMarker"/>
        <c:varyColors val="0"/>
        <c:ser>
          <c:idx val="0"/>
          <c:order val="0"/>
          <c:tx>
            <c:strRef>
              <c:f>'1.6.'!$D$3:$F$3</c:f>
              <c:strCache>
                <c:ptCount val="3"/>
                <c:pt idx="0">
                  <c:v> LOW </c:v>
                </c:pt>
              </c:strCache>
            </c:strRef>
          </c:tx>
          <c:spPr>
            <a:ln w="19050" cap="rnd">
              <a:solidFill>
                <a:srgbClr val="FF0000"/>
              </a:solidFill>
              <a:prstDash val="sysDash"/>
              <a:round/>
            </a:ln>
            <a:effectLst/>
          </c:spPr>
          <c:marker>
            <c:symbol val="none"/>
          </c:marker>
          <c:xVal>
            <c:numRef>
              <c:f>'1.6.'!$D$4:$F$4</c:f>
              <c:numCache>
                <c:formatCode>General</c:formatCode>
                <c:ptCount val="3"/>
                <c:pt idx="0">
                  <c:v>2030</c:v>
                </c:pt>
                <c:pt idx="1">
                  <c:v>2040</c:v>
                </c:pt>
                <c:pt idx="2">
                  <c:v>2050</c:v>
                </c:pt>
              </c:numCache>
            </c:numRef>
          </c:xVal>
          <c:yVal>
            <c:numRef>
              <c:f>'1.6.'!$D$60:$F$60</c:f>
              <c:numCache>
                <c:formatCode>_-* #,##0_-;\-* #,##0_-;_-* "-"??_-;_-@_-</c:formatCode>
                <c:ptCount val="3"/>
                <c:pt idx="0">
                  <c:v>220507.28505678126</c:v>
                </c:pt>
                <c:pt idx="1">
                  <c:v>603174.64297900465</c:v>
                </c:pt>
                <c:pt idx="2">
                  <c:v>887870.52735738759</c:v>
                </c:pt>
              </c:numCache>
            </c:numRef>
          </c:yVal>
          <c:smooth val="1"/>
          <c:extLst>
            <c:ext xmlns:c16="http://schemas.microsoft.com/office/drawing/2014/chart" uri="{C3380CC4-5D6E-409C-BE32-E72D297353CC}">
              <c16:uniqueId val="{00000000-505C-438E-817A-6D647FD6CE71}"/>
            </c:ext>
          </c:extLst>
        </c:ser>
        <c:ser>
          <c:idx val="1"/>
          <c:order val="1"/>
          <c:tx>
            <c:strRef>
              <c:f>'1.6.'!$G$3:$I$3</c:f>
              <c:strCache>
                <c:ptCount val="3"/>
                <c:pt idx="0">
                  <c:v> BE </c:v>
                </c:pt>
              </c:strCache>
            </c:strRef>
          </c:tx>
          <c:spPr>
            <a:ln w="19050" cap="rnd">
              <a:solidFill>
                <a:srgbClr val="00B0F0"/>
              </a:solidFill>
              <a:round/>
            </a:ln>
            <a:effectLst/>
          </c:spPr>
          <c:marker>
            <c:symbol val="none"/>
          </c:marker>
          <c:xVal>
            <c:numRef>
              <c:f>'1.6.'!$G$4:$I$4</c:f>
              <c:numCache>
                <c:formatCode>General</c:formatCode>
                <c:ptCount val="3"/>
                <c:pt idx="0">
                  <c:v>2030</c:v>
                </c:pt>
                <c:pt idx="1">
                  <c:v>2040</c:v>
                </c:pt>
                <c:pt idx="2">
                  <c:v>2050</c:v>
                </c:pt>
              </c:numCache>
            </c:numRef>
          </c:xVal>
          <c:yVal>
            <c:numRef>
              <c:f>'1.6.'!$G$60:$I$60</c:f>
              <c:numCache>
                <c:formatCode>_-* #,##0_-;\-* #,##0_-;_-* "-"??_-;_-@_-</c:formatCode>
                <c:ptCount val="3"/>
                <c:pt idx="0">
                  <c:v>220507.28505678126</c:v>
                </c:pt>
                <c:pt idx="1">
                  <c:v>603174.64297900465</c:v>
                </c:pt>
                <c:pt idx="2">
                  <c:v>887870.52735738759</c:v>
                </c:pt>
              </c:numCache>
            </c:numRef>
          </c:yVal>
          <c:smooth val="1"/>
          <c:extLst>
            <c:ext xmlns:c16="http://schemas.microsoft.com/office/drawing/2014/chart" uri="{C3380CC4-5D6E-409C-BE32-E72D297353CC}">
              <c16:uniqueId val="{00000001-505C-438E-817A-6D647FD6CE71}"/>
            </c:ext>
          </c:extLst>
        </c:ser>
        <c:ser>
          <c:idx val="2"/>
          <c:order val="2"/>
          <c:tx>
            <c:strRef>
              <c:f>'1.6.'!$J$3:$L$3</c:f>
              <c:strCache>
                <c:ptCount val="3"/>
                <c:pt idx="0">
                  <c:v> HIGH </c:v>
                </c:pt>
              </c:strCache>
            </c:strRef>
          </c:tx>
          <c:spPr>
            <a:ln w="19050" cap="rnd">
              <a:solidFill>
                <a:srgbClr val="00B050"/>
              </a:solidFill>
              <a:prstDash val="sysDash"/>
              <a:round/>
            </a:ln>
            <a:effectLst/>
          </c:spPr>
          <c:marker>
            <c:symbol val="none"/>
          </c:marker>
          <c:xVal>
            <c:numRef>
              <c:f>'1.6.'!$J$4:$L$4</c:f>
              <c:numCache>
                <c:formatCode>General</c:formatCode>
                <c:ptCount val="3"/>
                <c:pt idx="0">
                  <c:v>2030</c:v>
                </c:pt>
                <c:pt idx="1">
                  <c:v>2040</c:v>
                </c:pt>
                <c:pt idx="2">
                  <c:v>2050</c:v>
                </c:pt>
              </c:numCache>
            </c:numRef>
          </c:xVal>
          <c:yVal>
            <c:numRef>
              <c:f>'1.6.'!$J$60:$L$60</c:f>
              <c:numCache>
                <c:formatCode>_-* #,##0_-;\-* #,##0_-;_-* "-"??_-;_-@_-</c:formatCode>
                <c:ptCount val="3"/>
                <c:pt idx="0">
                  <c:v>421647.66779616912</c:v>
                </c:pt>
                <c:pt idx="1">
                  <c:v>980458.19007581729</c:v>
                </c:pt>
                <c:pt idx="2">
                  <c:v>1646613.1018308226</c:v>
                </c:pt>
              </c:numCache>
            </c:numRef>
          </c:yVal>
          <c:smooth val="1"/>
          <c:extLst>
            <c:ext xmlns:c16="http://schemas.microsoft.com/office/drawing/2014/chart" uri="{C3380CC4-5D6E-409C-BE32-E72D297353CC}">
              <c16:uniqueId val="{00000002-505C-438E-817A-6D647FD6CE71}"/>
            </c:ext>
          </c:extLst>
        </c:ser>
        <c:dLbls>
          <c:showLegendKey val="0"/>
          <c:showVal val="0"/>
          <c:showCatName val="0"/>
          <c:showSerName val="0"/>
          <c:showPercent val="0"/>
          <c:showBubbleSize val="0"/>
        </c:dLbls>
        <c:axId val="2059560768"/>
        <c:axId val="2059561184"/>
      </c:scatterChart>
      <c:valAx>
        <c:axId val="2059560768"/>
        <c:scaling>
          <c:orientation val="minMax"/>
          <c:max val="2050"/>
          <c:min val="20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BE"/>
          </a:p>
        </c:txPr>
        <c:crossAx val="2059561184"/>
        <c:crosses val="autoZero"/>
        <c:crossBetween val="midCat"/>
      </c:valAx>
      <c:valAx>
        <c:axId val="205956118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2059560768"/>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E"/>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169209</xdr:colOff>
      <xdr:row>5</xdr:row>
      <xdr:rowOff>121024</xdr:rowOff>
    </xdr:from>
    <xdr:to>
      <xdr:col>11</xdr:col>
      <xdr:colOff>341997</xdr:colOff>
      <xdr:row>23</xdr:row>
      <xdr:rowOff>120089</xdr:rowOff>
    </xdr:to>
    <xdr:pic>
      <xdr:nvPicPr>
        <xdr:cNvPr id="3" name="Picture 2">
          <a:extLst>
            <a:ext uri="{FF2B5EF4-FFF2-40B4-BE49-F238E27FC236}">
              <a16:creationId xmlns:a16="http://schemas.microsoft.com/office/drawing/2014/main" id="{1BDE17FD-8FCE-B42B-F985-9A915E0E0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9444" y="1017495"/>
          <a:ext cx="5618847" cy="32263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15</xdr:col>
      <xdr:colOff>714057</xdr:colOff>
      <xdr:row>4</xdr:row>
      <xdr:rowOff>50482</xdr:rowOff>
    </xdr:from>
    <xdr:to>
      <xdr:col>21</xdr:col>
      <xdr:colOff>553402</xdr:colOff>
      <xdr:row>19</xdr:row>
      <xdr:rowOff>101917</xdr:rowOff>
    </xdr:to>
    <xdr:graphicFrame macro="">
      <xdr:nvGraphicFramePr>
        <xdr:cNvPr id="2" name="Gráfico 1">
          <a:extLst>
            <a:ext uri="{FF2B5EF4-FFF2-40B4-BE49-F238E27FC236}">
              <a16:creationId xmlns:a16="http://schemas.microsoft.com/office/drawing/2014/main" id="{1C22F00F-8592-411C-97C8-9AD7DBB941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46672</xdr:colOff>
      <xdr:row>5</xdr:row>
      <xdr:rowOff>66357</xdr:rowOff>
    </xdr:from>
    <xdr:to>
      <xdr:col>17</xdr:col>
      <xdr:colOff>684847</xdr:colOff>
      <xdr:row>20</xdr:row>
      <xdr:rowOff>126047</xdr:rowOff>
    </xdr:to>
    <xdr:graphicFrame macro="">
      <xdr:nvGraphicFramePr>
        <xdr:cNvPr id="2" name="Gráfico 1">
          <a:extLst>
            <a:ext uri="{FF2B5EF4-FFF2-40B4-BE49-F238E27FC236}">
              <a16:creationId xmlns:a16="http://schemas.microsoft.com/office/drawing/2014/main" id="{ADA5319E-ABAA-45A2-9354-C43C07BD55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454143</xdr:colOff>
      <xdr:row>3</xdr:row>
      <xdr:rowOff>30222</xdr:rowOff>
    </xdr:from>
    <xdr:to>
      <xdr:col>21</xdr:col>
      <xdr:colOff>265547</xdr:colOff>
      <xdr:row>18</xdr:row>
      <xdr:rowOff>58797</xdr:rowOff>
    </xdr:to>
    <xdr:graphicFrame macro="">
      <xdr:nvGraphicFramePr>
        <xdr:cNvPr id="2" name="Gráfico 3">
          <a:extLst>
            <a:ext uri="{FF2B5EF4-FFF2-40B4-BE49-F238E27FC236}">
              <a16:creationId xmlns:a16="http://schemas.microsoft.com/office/drawing/2014/main" id="{649F6349-E658-40BE-B4D0-2C077CB54F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791527</xdr:colOff>
      <xdr:row>2</xdr:row>
      <xdr:rowOff>79057</xdr:rowOff>
    </xdr:from>
    <xdr:to>
      <xdr:col>18</xdr:col>
      <xdr:colOff>658177</xdr:colOff>
      <xdr:row>17</xdr:row>
      <xdr:rowOff>111442</xdr:rowOff>
    </xdr:to>
    <xdr:graphicFrame macro="">
      <xdr:nvGraphicFramePr>
        <xdr:cNvPr id="2" name="Gráfico 1">
          <a:extLst>
            <a:ext uri="{FF2B5EF4-FFF2-40B4-BE49-F238E27FC236}">
              <a16:creationId xmlns:a16="http://schemas.microsoft.com/office/drawing/2014/main" id="{1451F9C5-A218-48BE-BCA1-B95954E01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493395</xdr:colOff>
      <xdr:row>3</xdr:row>
      <xdr:rowOff>21272</xdr:rowOff>
    </xdr:from>
    <xdr:to>
      <xdr:col>18</xdr:col>
      <xdr:colOff>313055</xdr:colOff>
      <xdr:row>18</xdr:row>
      <xdr:rowOff>48577</xdr:rowOff>
    </xdr:to>
    <xdr:graphicFrame macro="">
      <xdr:nvGraphicFramePr>
        <xdr:cNvPr id="2" name="Gráfico 1">
          <a:extLst>
            <a:ext uri="{FF2B5EF4-FFF2-40B4-BE49-F238E27FC236}">
              <a16:creationId xmlns:a16="http://schemas.microsoft.com/office/drawing/2014/main" id="{F1D15288-0A9A-4FC2-A815-62E77B3B5F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13</xdr:col>
      <xdr:colOff>85725</xdr:colOff>
      <xdr:row>4</xdr:row>
      <xdr:rowOff>161925</xdr:rowOff>
    </xdr:from>
    <xdr:to>
      <xdr:col>18</xdr:col>
      <xdr:colOff>716280</xdr:colOff>
      <xdr:row>20</xdr:row>
      <xdr:rowOff>7620</xdr:rowOff>
    </xdr:to>
    <xdr:graphicFrame macro="">
      <xdr:nvGraphicFramePr>
        <xdr:cNvPr id="2" name="Gráfico 1">
          <a:extLst>
            <a:ext uri="{FF2B5EF4-FFF2-40B4-BE49-F238E27FC236}">
              <a16:creationId xmlns:a16="http://schemas.microsoft.com/office/drawing/2014/main" id="{E35F9857-0616-45D7-B5DC-5387DBD80A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457200</xdr:colOff>
      <xdr:row>15</xdr:row>
      <xdr:rowOff>121094</xdr:rowOff>
    </xdr:from>
    <xdr:to>
      <xdr:col>2</xdr:col>
      <xdr:colOff>466725</xdr:colOff>
      <xdr:row>29</xdr:row>
      <xdr:rowOff>78896</xdr:rowOff>
    </xdr:to>
    <xdr:pic>
      <xdr:nvPicPr>
        <xdr:cNvPr id="2" name="Picture 1">
          <a:extLst>
            <a:ext uri="{FF2B5EF4-FFF2-40B4-BE49-F238E27FC236}">
              <a16:creationId xmlns:a16="http://schemas.microsoft.com/office/drawing/2014/main" id="{8D5F1B77-D809-A300-F9AA-CFAC4C0FB552}"/>
            </a:ext>
          </a:extLst>
        </xdr:cNvPr>
        <xdr:cNvPicPr>
          <a:picLocks noChangeAspect="1"/>
        </xdr:cNvPicPr>
      </xdr:nvPicPr>
      <xdr:blipFill>
        <a:blip xmlns:r="http://schemas.openxmlformats.org/officeDocument/2006/relationships" r:embed="rId1"/>
        <a:stretch>
          <a:fillRect/>
        </a:stretch>
      </xdr:blipFill>
      <xdr:spPr>
        <a:xfrm>
          <a:off x="981075" y="2473769"/>
          <a:ext cx="6248400" cy="2491452"/>
        </a:xfrm>
        <a:prstGeom prst="rect">
          <a:avLst/>
        </a:prstGeom>
      </xdr:spPr>
    </xdr:pic>
    <xdr:clientData/>
  </xdr:twoCellAnchor>
  <xdr:twoCellAnchor editAs="oneCell">
    <xdr:from>
      <xdr:col>1</xdr:col>
      <xdr:colOff>419100</xdr:colOff>
      <xdr:row>31</xdr:row>
      <xdr:rowOff>95250</xdr:rowOff>
    </xdr:from>
    <xdr:to>
      <xdr:col>3</xdr:col>
      <xdr:colOff>1139825</xdr:colOff>
      <xdr:row>54</xdr:row>
      <xdr:rowOff>96671</xdr:rowOff>
    </xdr:to>
    <xdr:pic>
      <xdr:nvPicPr>
        <xdr:cNvPr id="3" name="Picture 2">
          <a:extLst>
            <a:ext uri="{FF2B5EF4-FFF2-40B4-BE49-F238E27FC236}">
              <a16:creationId xmlns:a16="http://schemas.microsoft.com/office/drawing/2014/main" id="{2D17F0E0-F286-F874-DF65-689AE48885C6}"/>
            </a:ext>
          </a:extLst>
        </xdr:cNvPr>
        <xdr:cNvPicPr>
          <a:picLocks noChangeAspect="1"/>
        </xdr:cNvPicPr>
      </xdr:nvPicPr>
      <xdr:blipFill>
        <a:blip xmlns:r="http://schemas.openxmlformats.org/officeDocument/2006/relationships" r:embed="rId2"/>
        <a:stretch>
          <a:fillRect/>
        </a:stretch>
      </xdr:blipFill>
      <xdr:spPr>
        <a:xfrm>
          <a:off x="942975" y="5343525"/>
          <a:ext cx="9474200" cy="416384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552450</xdr:colOff>
      <xdr:row>3</xdr:row>
      <xdr:rowOff>19049</xdr:rowOff>
    </xdr:from>
    <xdr:to>
      <xdr:col>15</xdr:col>
      <xdr:colOff>276225</xdr:colOff>
      <xdr:row>51</xdr:row>
      <xdr:rowOff>100853</xdr:rowOff>
    </xdr:to>
    <xdr:sp macro="" textlink="">
      <xdr:nvSpPr>
        <xdr:cNvPr id="7" name="TextBox 1">
          <a:extLst>
            <a:ext uri="{FF2B5EF4-FFF2-40B4-BE49-F238E27FC236}">
              <a16:creationId xmlns:a16="http://schemas.microsoft.com/office/drawing/2014/main" id="{D5A59655-012A-4BF4-81DE-FF2756297D55}"/>
            </a:ext>
          </a:extLst>
        </xdr:cNvPr>
        <xdr:cNvSpPr txBox="1"/>
      </xdr:nvSpPr>
      <xdr:spPr>
        <a:xfrm>
          <a:off x="552450" y="668990"/>
          <a:ext cx="9304804" cy="86879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400" b="1"/>
            <a:t>Commodity prices</a:t>
          </a:r>
        </a:p>
        <a:p>
          <a:r>
            <a:rPr lang="en-GB" sz="1400" i="0">
              <a:solidFill>
                <a:schemeClr val="dk1"/>
              </a:solidFill>
              <a:effectLst/>
              <a:latin typeface="+mn-lt"/>
              <a:ea typeface="+mn-ea"/>
              <a:cs typeface="+mn-cs"/>
            </a:rPr>
            <a:t>It has been prioritized to have as few sources for commodity prices as possible. Commodity prices for different energy carriers are typically related, and therefore it is seen essential to collect them from the same source, as it represents one whole picture of the future price level. Must of the prises used for TYNDP 2024 is collected from EIAs report World Energy Outlook 2022. However, a few prices has to be found in other sources. These are the prices for lignite, biomethane, oil shale and imported ammonia. The prices used in this cycle, is shown in the tab “3.1. (</a:t>
          </a:r>
          <a:r>
            <a:rPr lang="en-GB" sz="1400" b="0" i="0">
              <a:solidFill>
                <a:schemeClr val="dk1"/>
              </a:solidFill>
              <a:effectLst/>
              <a:latin typeface="+mn-lt"/>
              <a:ea typeface="+mn-ea"/>
              <a:cs typeface="+mn-cs"/>
            </a:rPr>
            <a:t>price matrix 2024)</a:t>
          </a:r>
          <a:r>
            <a:rPr lang="en-GB" sz="1400" i="0">
              <a:solidFill>
                <a:schemeClr val="dk1"/>
              </a:solidFill>
              <a:effectLst/>
              <a:latin typeface="+mn-lt"/>
              <a:ea typeface="+mn-ea"/>
              <a:cs typeface="+mn-cs"/>
            </a:rPr>
            <a:t>”. For each price the respective source is given.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p>
        <a:p>
          <a:r>
            <a:rPr lang="da-DK" sz="1400" b="1">
              <a:solidFill>
                <a:schemeClr val="dk1"/>
              </a:solidFill>
              <a:effectLst/>
              <a:latin typeface="+mn-lt"/>
              <a:ea typeface="+mn-ea"/>
              <a:cs typeface="+mn-cs"/>
            </a:rPr>
            <a:t>Notes and explanations</a:t>
          </a:r>
        </a:p>
        <a:p>
          <a:endParaRPr lang="da-DK" sz="1400" b="1">
            <a:solidFill>
              <a:schemeClr val="dk1"/>
            </a:solidFill>
            <a:effectLst/>
            <a:latin typeface="+mn-lt"/>
            <a:ea typeface="+mn-ea"/>
            <a:cs typeface="+mn-cs"/>
          </a:endParaRPr>
        </a:p>
        <a:p>
          <a:r>
            <a:rPr lang="da-DK" sz="1400" b="1">
              <a:solidFill>
                <a:schemeClr val="dk1"/>
              </a:solidFill>
              <a:effectLst/>
              <a:latin typeface="+mn-lt"/>
              <a:ea typeface="+mn-ea"/>
              <a:cs typeface="+mn-cs"/>
            </a:rPr>
            <a:t>Prices</a:t>
          </a:r>
          <a:r>
            <a:rPr lang="da-DK" sz="1400" b="1" baseline="0">
              <a:solidFill>
                <a:schemeClr val="dk1"/>
              </a:solidFill>
              <a:effectLst/>
              <a:latin typeface="+mn-lt"/>
              <a:ea typeface="+mn-ea"/>
              <a:cs typeface="+mn-cs"/>
            </a:rPr>
            <a:t> from WEO</a:t>
          </a:r>
          <a:endParaRPr lang="en-BE" sz="1400" b="1">
            <a:solidFill>
              <a:schemeClr val="dk1"/>
            </a:solidFill>
            <a:effectLst/>
            <a:latin typeface="+mn-lt"/>
            <a:ea typeface="+mn-ea"/>
            <a:cs typeface="+mn-cs"/>
          </a:endParaRPr>
        </a:p>
        <a:p>
          <a:r>
            <a:rPr lang="en-GB" sz="1400" i="0">
              <a:solidFill>
                <a:schemeClr val="dk1"/>
              </a:solidFill>
              <a:effectLst/>
              <a:latin typeface="+mn-lt"/>
              <a:ea typeface="+mn-ea"/>
              <a:cs typeface="+mn-cs"/>
            </a:rPr>
            <a:t>IEA has only provided prices for 2030 and 2050. Therefore interpolation has been used for the prices in 2040. IEA has not provided prices for “light oil” and “heavy oil”. These prices has ben derived from the “crude oil” price.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endParaRPr lang="en-BE" sz="1400">
            <a:solidFill>
              <a:schemeClr val="dk1"/>
            </a:solidFill>
            <a:effectLst/>
            <a:latin typeface="+mn-lt"/>
            <a:ea typeface="+mn-ea"/>
            <a:cs typeface="+mn-cs"/>
          </a:endParaRPr>
        </a:p>
        <a:p>
          <a:r>
            <a:rPr lang="en-GB" sz="1400" b="1" i="0">
              <a:solidFill>
                <a:schemeClr val="dk1"/>
              </a:solidFill>
              <a:effectLst/>
              <a:latin typeface="+mn-lt"/>
              <a:ea typeface="+mn-ea"/>
              <a:cs typeface="+mn-cs"/>
            </a:rPr>
            <a:t>Biomethane</a:t>
          </a:r>
        </a:p>
        <a:p>
          <a:r>
            <a:rPr lang="en-GB" sz="1400" i="0">
              <a:solidFill>
                <a:schemeClr val="dk1"/>
              </a:solidFill>
              <a:effectLst/>
              <a:latin typeface="+mn-lt"/>
              <a:ea typeface="+mn-ea"/>
              <a:cs typeface="+mn-cs"/>
            </a:rPr>
            <a:t>The price for biomethane is calculated based on CAPEX and OPEX numbers from the Danish technology catalogue. The calculation and assumptions are shown in the two tabs “3.6. (biogas + upgrade)” and “3.7. (Thermal gasification)”. it is calculated as discounted cash flows with a 5% discount rate. The final price for biomethane is considered as a blend of these two gasses, based on the respective shares of the potentials for each in EU. The final price is calculated in the tab “3.5. </a:t>
          </a:r>
        </a:p>
        <a:p>
          <a:r>
            <a:rPr lang="en-GB" sz="1400" i="0">
              <a:solidFill>
                <a:schemeClr val="dk1"/>
              </a:solidFill>
              <a:effectLst/>
              <a:latin typeface="+mn-lt"/>
              <a:ea typeface="+mn-ea"/>
              <a:cs typeface="+mn-cs"/>
            </a:rPr>
            <a:t>(biomethane cost overview)”.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p>
        <a:p>
          <a:r>
            <a:rPr lang="en-GB" sz="1400" b="1" i="0">
              <a:solidFill>
                <a:schemeClr val="dk1"/>
              </a:solidFill>
              <a:effectLst/>
              <a:latin typeface="+mn-lt"/>
              <a:ea typeface="+mn-ea"/>
              <a:cs typeface="+mn-cs"/>
            </a:rPr>
            <a:t>Amonia</a:t>
          </a:r>
          <a:endParaRPr lang="en-BE" sz="1400" b="1">
            <a:solidFill>
              <a:schemeClr val="dk1"/>
            </a:solidFill>
            <a:effectLst/>
            <a:latin typeface="+mn-lt"/>
            <a:ea typeface="+mn-ea"/>
            <a:cs typeface="+mn-cs"/>
          </a:endParaRPr>
        </a:p>
        <a:p>
          <a:r>
            <a:rPr lang="en-GB" sz="1400" i="0">
              <a:solidFill>
                <a:schemeClr val="dk1"/>
              </a:solidFill>
              <a:effectLst/>
              <a:latin typeface="+mn-lt"/>
              <a:ea typeface="+mn-ea"/>
              <a:cs typeface="+mn-cs"/>
            </a:rPr>
            <a:t>For ammonia a tool developed by EWI is used to calculate the price. The assumptions for the tool input and the source is shown in the tab “3.3.</a:t>
          </a:r>
          <a:r>
            <a:rPr lang="en-GB" sz="1400" i="0" baseline="0">
              <a:solidFill>
                <a:schemeClr val="dk1"/>
              </a:solidFill>
              <a:effectLst/>
              <a:latin typeface="+mn-lt"/>
              <a:ea typeface="+mn-ea"/>
              <a:cs typeface="+mn-cs"/>
            </a:rPr>
            <a:t> (</a:t>
          </a:r>
          <a:r>
            <a:rPr lang="en-GB" sz="1400" i="0">
              <a:solidFill>
                <a:schemeClr val="dk1"/>
              </a:solidFill>
              <a:effectLst/>
              <a:latin typeface="+mn-lt"/>
              <a:ea typeface="+mn-ea"/>
              <a:cs typeface="+mn-cs"/>
            </a:rPr>
            <a:t>Import costs of Amonia)”.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endParaRPr lang="en-BE" sz="1400">
            <a:solidFill>
              <a:schemeClr val="dk1"/>
            </a:solidFill>
            <a:effectLst/>
            <a:latin typeface="+mn-lt"/>
            <a:ea typeface="+mn-ea"/>
            <a:cs typeface="+mn-cs"/>
          </a:endParaRPr>
        </a:p>
        <a:p>
          <a:r>
            <a:rPr lang="en-GB" sz="1400" b="1" i="0">
              <a:solidFill>
                <a:schemeClr val="dk1"/>
              </a:solidFill>
              <a:effectLst/>
              <a:latin typeface="+mn-lt"/>
              <a:ea typeface="+mn-ea"/>
              <a:cs typeface="+mn-cs"/>
            </a:rPr>
            <a:t>Lignite</a:t>
          </a:r>
        </a:p>
        <a:p>
          <a:r>
            <a:rPr lang="en-GB" sz="1400" i="0">
              <a:solidFill>
                <a:schemeClr val="dk1"/>
              </a:solidFill>
              <a:effectLst/>
              <a:latin typeface="+mn-lt"/>
              <a:ea typeface="+mn-ea"/>
              <a:cs typeface="+mn-cs"/>
            </a:rPr>
            <a:t>There is</a:t>
          </a:r>
          <a:r>
            <a:rPr lang="en-GB" sz="1400" i="0" baseline="0">
              <a:solidFill>
                <a:schemeClr val="dk1"/>
              </a:solidFill>
              <a:effectLst/>
              <a:latin typeface="+mn-lt"/>
              <a:ea typeface="+mn-ea"/>
              <a:cs typeface="+mn-cs"/>
            </a:rPr>
            <a:t> no price given for lignite in the WEO. </a:t>
          </a:r>
          <a:r>
            <a:rPr lang="en-GB" sz="1400" i="0">
              <a:solidFill>
                <a:schemeClr val="dk1"/>
              </a:solidFill>
              <a:effectLst/>
              <a:latin typeface="+mn-lt"/>
              <a:ea typeface="+mn-ea"/>
              <a:cs typeface="+mn-cs"/>
            </a:rPr>
            <a:t>For lignite is used same price as in the TYNDP 2022 cycle. The source for lighnite is available in the price matrix.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p>
        <a:p>
          <a:r>
            <a:rPr lang="en-GB" sz="1400" b="1" i="0">
              <a:solidFill>
                <a:schemeClr val="dk1"/>
              </a:solidFill>
              <a:effectLst/>
              <a:latin typeface="+mn-lt"/>
              <a:ea typeface="+mn-ea"/>
              <a:cs typeface="+mn-cs"/>
            </a:rPr>
            <a:t>Shale oil</a:t>
          </a:r>
          <a:endParaRPr lang="en-BE" sz="1400" b="1">
            <a:solidFill>
              <a:schemeClr val="dk1"/>
            </a:solidFill>
            <a:effectLst/>
            <a:latin typeface="+mn-lt"/>
            <a:ea typeface="+mn-ea"/>
            <a:cs typeface="+mn-cs"/>
          </a:endParaRPr>
        </a:p>
        <a:p>
          <a:r>
            <a:rPr lang="en-GB" sz="1400" i="0">
              <a:solidFill>
                <a:schemeClr val="dk1"/>
              </a:solidFill>
              <a:effectLst/>
              <a:latin typeface="+mn-lt"/>
              <a:ea typeface="+mn-ea"/>
              <a:cs typeface="+mn-cs"/>
            </a:rPr>
            <a:t>The use of Oil shale is minimal in EU. There is no world price on oil shale. The TSOs has provided the price. In 2024 oil shale price is considered to have the same price as in last cycle. </a:t>
          </a:r>
          <a:endParaRPr lang="en-BE" sz="1400">
            <a:solidFill>
              <a:schemeClr val="dk1"/>
            </a:solidFill>
            <a:effectLst/>
            <a:latin typeface="+mn-lt"/>
            <a:ea typeface="+mn-ea"/>
            <a:cs typeface="+mn-cs"/>
          </a:endParaRPr>
        </a:p>
        <a:p>
          <a:r>
            <a:rPr lang="en-GB" sz="1400" i="0">
              <a:solidFill>
                <a:schemeClr val="dk1"/>
              </a:solidFill>
              <a:effectLst/>
              <a:latin typeface="+mn-lt"/>
              <a:ea typeface="+mn-ea"/>
              <a:cs typeface="+mn-cs"/>
            </a:rPr>
            <a:t> </a:t>
          </a:r>
        </a:p>
        <a:p>
          <a:r>
            <a:rPr lang="en-GB" sz="1400" b="1" i="0">
              <a:solidFill>
                <a:schemeClr val="dk1"/>
              </a:solidFill>
              <a:effectLst/>
              <a:latin typeface="+mn-lt"/>
              <a:ea typeface="+mn-ea"/>
              <a:cs typeface="+mn-cs"/>
            </a:rPr>
            <a:t>Price for blended gas</a:t>
          </a:r>
          <a:endParaRPr lang="en-BE" sz="1400" b="1">
            <a:solidFill>
              <a:schemeClr val="dk1"/>
            </a:solidFill>
            <a:effectLst/>
            <a:latin typeface="+mn-lt"/>
            <a:ea typeface="+mn-ea"/>
            <a:cs typeface="+mn-cs"/>
          </a:endParaRPr>
        </a:p>
        <a:p>
          <a:r>
            <a:rPr lang="en-GB" sz="1400" i="0">
              <a:solidFill>
                <a:schemeClr val="dk1"/>
              </a:solidFill>
              <a:effectLst/>
              <a:latin typeface="+mn-lt"/>
              <a:ea typeface="+mn-ea"/>
              <a:cs typeface="+mn-cs"/>
            </a:rPr>
            <a:t>A blended gas price is used in the modeling. The blended price is calculated by the supply shares of methane, biomethane and synthetic methane, multiplied with the respectively prices for the gases. These calculation is shown in the tab “gas blends”. The blended gasprice will </a:t>
          </a:r>
          <a:r>
            <a:rPr lang="en-GB" sz="1400" i="0">
              <a:solidFill>
                <a:sysClr val="windowText" lastClr="000000"/>
              </a:solidFill>
              <a:effectLst/>
              <a:latin typeface="+mn-lt"/>
              <a:ea typeface="+mn-ea"/>
              <a:cs typeface="+mn-cs"/>
            </a:rPr>
            <a:t>deffer</a:t>
          </a:r>
          <a:r>
            <a:rPr lang="en-GB" sz="1400" i="0" baseline="0">
              <a:solidFill>
                <a:sysClr val="windowText" lastClr="000000"/>
              </a:solidFill>
              <a:effectLst/>
              <a:latin typeface="+mn-lt"/>
              <a:ea typeface="+mn-ea"/>
              <a:cs typeface="+mn-cs"/>
            </a:rPr>
            <a:t> between the scenarios. </a:t>
          </a:r>
          <a:r>
            <a:rPr lang="en-GB" sz="1400" i="0">
              <a:solidFill>
                <a:sysClr val="windowText" lastClr="000000"/>
              </a:solidFill>
              <a:effectLst/>
              <a:latin typeface="+mn-lt"/>
              <a:ea typeface="+mn-ea"/>
              <a:cs typeface="+mn-cs"/>
            </a:rPr>
            <a:t>   </a:t>
          </a:r>
        </a:p>
        <a:p>
          <a:endParaRPr lang="en-GB" sz="1400" i="0">
            <a:solidFill>
              <a:schemeClr val="dk1"/>
            </a:solidFill>
            <a:effectLst/>
            <a:latin typeface="+mn-lt"/>
            <a:ea typeface="+mn-ea"/>
            <a:cs typeface="+mn-cs"/>
          </a:endParaRPr>
        </a:p>
        <a:p>
          <a:endParaRPr lang="da-DK" sz="1100" b="1"/>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12699</xdr:colOff>
      <xdr:row>1</xdr:row>
      <xdr:rowOff>149226</xdr:rowOff>
    </xdr:from>
    <xdr:to>
      <xdr:col>17</xdr:col>
      <xdr:colOff>215900</xdr:colOff>
      <xdr:row>17</xdr:row>
      <xdr:rowOff>6351</xdr:rowOff>
    </xdr:to>
    <xdr:sp macro="" textlink="">
      <xdr:nvSpPr>
        <xdr:cNvPr id="2" name="TextBox 1">
          <a:extLst>
            <a:ext uri="{FF2B5EF4-FFF2-40B4-BE49-F238E27FC236}">
              <a16:creationId xmlns:a16="http://schemas.microsoft.com/office/drawing/2014/main" id="{EFB14723-7FBC-4AD8-9048-39FD7DC8F8AD}"/>
            </a:ext>
          </a:extLst>
        </xdr:cNvPr>
        <xdr:cNvSpPr txBox="1"/>
      </xdr:nvSpPr>
      <xdr:spPr>
        <a:xfrm>
          <a:off x="622299" y="444501"/>
          <a:ext cx="9956801" cy="2752725"/>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400" b="1"/>
            <a:t>Import potentials for Hydrogen</a:t>
          </a:r>
        </a:p>
        <a:p>
          <a:r>
            <a:rPr lang="da-DK" sz="1400"/>
            <a:t>- To make a total picture of the hydrogen import</a:t>
          </a:r>
          <a:r>
            <a:rPr lang="da-DK" sz="1400" baseline="0"/>
            <a:t> potentials to EU, data from several studies has been used. The reason so many studies are needed, is that the studies has a different focus. PCI project has e.g. focus on the near </a:t>
          </a:r>
          <a:r>
            <a:rPr lang="da-DK" sz="1400" baseline="0">
              <a:solidFill>
                <a:schemeClr val="dk1"/>
              </a:solidFill>
              <a:effectLst/>
              <a:latin typeface="+mn-lt"/>
              <a:ea typeface="+mn-ea"/>
              <a:cs typeface="+mn-cs"/>
            </a:rPr>
            <a:t> future </a:t>
          </a:r>
          <a:r>
            <a:rPr lang="da-DK" sz="1400" baseline="0"/>
            <a:t>(next ten years) while the IRENA study has foucus on supplies for 2050. The final potential is made by taking the maximum value from each region for 2030, 2040 and 2050. By doing this, the potential shall be seen as the absolut maximum potential. </a:t>
          </a:r>
        </a:p>
        <a:p>
          <a:r>
            <a:rPr lang="da-DK" sz="1400" baseline="0"/>
            <a:t>Only deviation from this methodology is that interpolation between 2030 and 2040 values has been used for shipped H2 in 2040. This has been done, since no relevant value was available, and to create a logical shape of the import potential for shipped H2.</a:t>
          </a:r>
          <a:br>
            <a:rPr lang="da-DK" sz="1400" baseline="0"/>
          </a:br>
          <a:br>
            <a:rPr lang="da-DK" sz="1400" baseline="0"/>
          </a:br>
          <a:r>
            <a:rPr lang="da-DK" sz="1400" baseline="0"/>
            <a:t>- The H2 imports will be modelled with ex-ante capacities (import potentials) &amp; costs for each importer country:</a:t>
          </a:r>
          <a:br>
            <a:rPr lang="da-DK" sz="1400" baseline="0"/>
          </a:br>
          <a:r>
            <a:rPr lang="da-DK" sz="1400" baseline="0"/>
            <a:t>----&gt; The H2 import potentials will be same for both deviation scenario (4.1.).</a:t>
          </a:r>
        </a:p>
        <a:p>
          <a:r>
            <a:rPr lang="da-DK" sz="1400" baseline="0"/>
            <a:t>----&gt; The H2 import costs will be differentiated among deviation scenairo (4.3.). </a:t>
          </a:r>
          <a:endParaRPr lang="da-DK" sz="1400" baseline="0">
            <a:solidFill>
              <a:srgbClr val="FF0000"/>
            </a:solidFill>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Fernandez-Alonso Lopez, Ramiro" id="{8F6EB20F-17E0-48EF-9EDF-BFFA5EA9D2D2}" userId="S::Ramiro.FernandezAlonso@ree.es::2d0a5afb-c304-4e62-aa1d-b0bfe95b0b7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81" dT="2023-02-27T15:17:21.22" personId="{8F6EB20F-17E0-48EF-9EDF-BFFA5EA9D2D2}" id="{39AF0CCD-EB19-4C82-B118-F2B699CA6381}">
    <text>HIGH: 72.500 MW including extra input 20 GW in ONDP.</text>
  </threadedComment>
</ThreadedComment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eur-lex.europa.eu/resource.html?uri=cellar:749e04bb-f8c5-11ea-991b-01aa75ed71a1.0001.02/DOC_2&amp;format=PDF" TargetMode="External"/><Relationship Id="rId7" Type="http://schemas.openxmlformats.org/officeDocument/2006/relationships/printerSettings" Target="../printerSettings/printerSettings1.bin"/><Relationship Id="rId2" Type="http://schemas.openxmlformats.org/officeDocument/2006/relationships/hyperlink" Target="https://www.solarpowereurope.org/insights/market-outlooks/100-renewable-europe-study" TargetMode="External"/><Relationship Id="rId1" Type="http://schemas.openxmlformats.org/officeDocument/2006/relationships/hyperlink" Target="https://www.pac-scenarios.eu/fileadmin/user_upload/PAC_C2.7_Energy_supply_-_Mobilising_solar_energy.pdf" TargetMode="External"/><Relationship Id="rId6" Type="http://schemas.openxmlformats.org/officeDocument/2006/relationships/hyperlink" Target="https://op.europa.eu/en/publication-detail/-/publication/91d2091a-27bf-11eb-9d7e-01aa75ed71a1/language-en" TargetMode="External"/><Relationship Id="rId5" Type="http://schemas.openxmlformats.org/officeDocument/2006/relationships/hyperlink" Target="https://windeurope.org/intelligence-platform/product/our-energy-our-future/" TargetMode="External"/><Relationship Id="rId4" Type="http://schemas.openxmlformats.org/officeDocument/2006/relationships/hyperlink" Target="https://data.jrc.ec.europa.eu/collection/id-00138"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8" Type="http://schemas.openxmlformats.org/officeDocument/2006/relationships/hyperlink" Target="https://ens.dk/sites/ens.dk/files/Energioer/cost_performance_data_offshore_hydrogen_production.pdf" TargetMode="External"/><Relationship Id="rId3" Type="http://schemas.openxmlformats.org/officeDocument/2006/relationships/hyperlink" Target="https://ens.dk/sites/ens.dk/files/Vindenergi/final_report_-_screening_of_possible_hub_concepts_to_integrate_offshore_wind_capacity_in_the_north_sea.pdf" TargetMode="External"/><Relationship Id="rId7" Type="http://schemas.openxmlformats.org/officeDocument/2006/relationships/hyperlink" Target="https://ehb.eu/files/downloads/EHB-Analysing-the-future-demand-supply-and-transport-of-hydrogen-June-2021-v3.pdf" TargetMode="External"/><Relationship Id="rId2" Type="http://schemas.openxmlformats.org/officeDocument/2006/relationships/hyperlink" Target="https://ens.dk/en/our-services/projections-and-models/technology-data/technology-catalogue-transport-energy" TargetMode="External"/><Relationship Id="rId1" Type="http://schemas.openxmlformats.org/officeDocument/2006/relationships/hyperlink" Target="https://ens.dk/en/our-services/projections-and-models/technology-data/technology-data-generation-electricity-and" TargetMode="External"/><Relationship Id="rId6" Type="http://schemas.openxmlformats.org/officeDocument/2006/relationships/hyperlink" Target="https://ehb.eu/files/downloads/ehb-report-220428-17h00-interactive-1.pdf" TargetMode="External"/><Relationship Id="rId11" Type="http://schemas.openxmlformats.org/officeDocument/2006/relationships/drawing" Target="../drawings/drawing8.xml"/><Relationship Id="rId5" Type="http://schemas.openxmlformats.org/officeDocument/2006/relationships/hyperlink" Target="https://ens.dk/en/our-services/projections-and-models/technology-data/technology-data-renewable-fuels" TargetMode="External"/><Relationship Id="rId10" Type="http://schemas.openxmlformats.org/officeDocument/2006/relationships/printerSettings" Target="../printerSettings/printerSettings4.bin"/><Relationship Id="rId4" Type="http://schemas.openxmlformats.org/officeDocument/2006/relationships/hyperlink" Target="https://www.netzentwicklungsplan.de/sites/default/files/paragraphs-files/NEP_2035_V2021_2_Entwurf_Teil1.pdf" TargetMode="External"/><Relationship Id="rId9" Type="http://schemas.openxmlformats.org/officeDocument/2006/relationships/hyperlink" Target="https://atb.nrel.gov/electricity/2022/technologie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hyperlink" Target="https://www.eia.gov/electricity/annual/html/epa_08_04.html"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2AD7-20F7-42F5-8C63-2CE9847CDEE6}">
  <sheetPr>
    <tabColor theme="9"/>
  </sheetPr>
  <dimension ref="B1:D27"/>
  <sheetViews>
    <sheetView workbookViewId="0">
      <selection activeCell="C30" sqref="C30"/>
    </sheetView>
  </sheetViews>
  <sheetFormatPr defaultRowHeight="15"/>
  <cols>
    <col min="1" max="1" width="3.140625" customWidth="1"/>
    <col min="2" max="2" width="3.5703125" customWidth="1"/>
    <col min="3" max="3" width="61" customWidth="1"/>
  </cols>
  <sheetData>
    <row r="1" spans="2:3">
      <c r="C1" s="455" t="s">
        <v>0</v>
      </c>
    </row>
    <row r="2" spans="2:3">
      <c r="C2" s="455"/>
    </row>
    <row r="3" spans="2:3">
      <c r="C3" s="455"/>
    </row>
    <row r="5" spans="2:3">
      <c r="B5" s="11" t="s">
        <v>1</v>
      </c>
      <c r="C5" s="11" t="s">
        <v>2</v>
      </c>
    </row>
    <row r="6" spans="2:3">
      <c r="B6" s="11">
        <v>1</v>
      </c>
      <c r="C6" s="11" t="s">
        <v>3</v>
      </c>
    </row>
    <row r="7" spans="2:3">
      <c r="B7" s="11"/>
      <c r="C7" s="33" t="s">
        <v>4</v>
      </c>
    </row>
    <row r="8" spans="2:3">
      <c r="B8" s="11"/>
      <c r="C8" s="33" t="s">
        <v>5</v>
      </c>
    </row>
    <row r="9" spans="2:3">
      <c r="B9" s="11"/>
      <c r="C9" s="33" t="s">
        <v>6</v>
      </c>
    </row>
    <row r="10" spans="2:3">
      <c r="B10" s="11"/>
      <c r="C10" s="33" t="s">
        <v>7</v>
      </c>
    </row>
    <row r="11" spans="2:3">
      <c r="B11" s="11"/>
      <c r="C11" s="33" t="s">
        <v>8</v>
      </c>
    </row>
    <row r="12" spans="2:3">
      <c r="B12" s="11"/>
      <c r="C12" s="33" t="s">
        <v>9</v>
      </c>
    </row>
    <row r="13" spans="2:3">
      <c r="B13" s="11">
        <v>2</v>
      </c>
      <c r="C13" s="11" t="s">
        <v>10</v>
      </c>
    </row>
    <row r="14" spans="2:3">
      <c r="B14" s="11"/>
      <c r="C14" s="33" t="s">
        <v>11</v>
      </c>
    </row>
    <row r="15" spans="2:3">
      <c r="B15" s="11"/>
      <c r="C15" s="33" t="s">
        <v>12</v>
      </c>
    </row>
    <row r="16" spans="2:3">
      <c r="B16" s="11">
        <v>3</v>
      </c>
      <c r="C16" s="11" t="s">
        <v>13</v>
      </c>
    </row>
    <row r="17" spans="2:4">
      <c r="B17" s="11"/>
      <c r="C17" t="s">
        <v>14</v>
      </c>
    </row>
    <row r="18" spans="2:4">
      <c r="B18" s="11"/>
      <c r="C18" t="s">
        <v>15</v>
      </c>
    </row>
    <row r="19" spans="2:4">
      <c r="B19" s="11"/>
      <c r="C19" t="s">
        <v>16</v>
      </c>
    </row>
    <row r="20" spans="2:4">
      <c r="B20" s="137"/>
      <c r="C20" s="146" t="s">
        <v>17</v>
      </c>
    </row>
    <row r="21" spans="2:4">
      <c r="B21" s="137"/>
      <c r="C21" s="146" t="s">
        <v>18</v>
      </c>
      <c r="D21" s="440"/>
    </row>
    <row r="22" spans="2:4">
      <c r="B22" s="137"/>
      <c r="C22" s="146" t="s">
        <v>19</v>
      </c>
      <c r="D22" s="440"/>
    </row>
    <row r="23" spans="2:4">
      <c r="B23" s="137"/>
      <c r="C23" s="146" t="s">
        <v>20</v>
      </c>
    </row>
    <row r="24" spans="2:4">
      <c r="B24" s="137">
        <v>4</v>
      </c>
      <c r="C24" s="137" t="s">
        <v>21</v>
      </c>
      <c r="D24" s="440"/>
    </row>
    <row r="25" spans="2:4">
      <c r="B25" s="137"/>
      <c r="C25" s="146" t="s">
        <v>22</v>
      </c>
    </row>
    <row r="26" spans="2:4">
      <c r="B26" s="137"/>
      <c r="C26" s="146" t="s">
        <v>23</v>
      </c>
      <c r="D26" s="440"/>
    </row>
    <row r="27" spans="2:4">
      <c r="B27" s="146"/>
      <c r="C27" s="146" t="s">
        <v>24</v>
      </c>
    </row>
  </sheetData>
  <mergeCells count="1">
    <mergeCell ref="C1:C3"/>
  </mergeCells>
  <pageMargins left="0.7" right="0.7" top="0.75" bottom="0.75" header="0.3" footer="0.3"/>
  <headerFooter>
    <oddFooter>&amp;C_x000D_&amp;1#&amp;"Calibri"&amp;10&amp;K000000 ISC - Uso INTERNO / 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835EF-4B01-4A06-949D-1CC766B478B9}">
  <sheetPr>
    <tabColor theme="4"/>
  </sheetPr>
  <dimension ref="B3:Q37"/>
  <sheetViews>
    <sheetView topLeftCell="A10" zoomScaleNormal="100" workbookViewId="0">
      <selection activeCell="E44" sqref="E44"/>
    </sheetView>
  </sheetViews>
  <sheetFormatPr defaultRowHeight="15"/>
  <sheetData>
    <row r="3" spans="2:17">
      <c r="B3" s="456" t="s">
        <v>25</v>
      </c>
      <c r="C3" s="456"/>
      <c r="D3" s="456"/>
      <c r="E3" s="456"/>
      <c r="F3" s="456"/>
      <c r="G3" s="456"/>
      <c r="H3" s="456"/>
      <c r="I3" s="456"/>
      <c r="J3" s="456"/>
      <c r="K3" s="456"/>
      <c r="L3" s="456"/>
      <c r="M3" s="456"/>
    </row>
    <row r="4" spans="2:17">
      <c r="B4" s="456"/>
      <c r="C4" s="456"/>
      <c r="D4" s="456"/>
      <c r="E4" s="456"/>
      <c r="F4" s="456"/>
      <c r="G4" s="456"/>
      <c r="H4" s="456"/>
      <c r="I4" s="456"/>
      <c r="J4" s="456"/>
      <c r="K4" s="456"/>
      <c r="L4" s="456"/>
      <c r="M4" s="456"/>
    </row>
    <row r="5" spans="2:17">
      <c r="B5" s="456"/>
      <c r="C5" s="456"/>
      <c r="D5" s="456"/>
      <c r="E5" s="456"/>
      <c r="F5" s="456"/>
      <c r="G5" s="456"/>
      <c r="H5" s="456"/>
      <c r="I5" s="456"/>
      <c r="J5" s="456"/>
      <c r="K5" s="456"/>
      <c r="L5" s="456"/>
      <c r="M5" s="456"/>
    </row>
    <row r="6" spans="2:17">
      <c r="B6" s="456"/>
      <c r="C6" s="456"/>
      <c r="D6" s="456"/>
      <c r="E6" s="456"/>
      <c r="F6" s="456"/>
      <c r="G6" s="456"/>
      <c r="H6" s="456"/>
      <c r="I6" s="456"/>
      <c r="J6" s="456"/>
      <c r="K6" s="456"/>
      <c r="L6" s="456"/>
      <c r="M6" s="456"/>
    </row>
    <row r="7" spans="2:17">
      <c r="B7" s="456"/>
      <c r="C7" s="456"/>
      <c r="D7" s="456"/>
      <c r="E7" s="456"/>
      <c r="F7" s="456"/>
      <c r="G7" s="456"/>
      <c r="H7" s="456"/>
      <c r="I7" s="456"/>
      <c r="J7" s="456"/>
      <c r="K7" s="456"/>
      <c r="L7" s="456"/>
      <c r="M7" s="456"/>
    </row>
    <row r="8" spans="2:17">
      <c r="B8" s="456"/>
      <c r="C8" s="456"/>
      <c r="D8" s="456"/>
      <c r="E8" s="456"/>
      <c r="F8" s="456"/>
      <c r="G8" s="456"/>
      <c r="H8" s="456"/>
      <c r="I8" s="456"/>
      <c r="J8" s="456"/>
      <c r="K8" s="456"/>
      <c r="L8" s="456"/>
      <c r="M8" s="456"/>
      <c r="Q8" s="6"/>
    </row>
    <row r="9" spans="2:17">
      <c r="B9" s="456"/>
      <c r="C9" s="456"/>
      <c r="D9" s="456"/>
      <c r="E9" s="456"/>
      <c r="F9" s="456"/>
      <c r="G9" s="456"/>
      <c r="H9" s="456"/>
      <c r="I9" s="456"/>
      <c r="J9" s="456"/>
      <c r="K9" s="456"/>
      <c r="L9" s="456"/>
      <c r="M9" s="456"/>
    </row>
    <row r="10" spans="2:17">
      <c r="B10" s="456"/>
      <c r="C10" s="456"/>
      <c r="D10" s="456"/>
      <c r="E10" s="456"/>
      <c r="F10" s="456"/>
      <c r="G10" s="456"/>
      <c r="H10" s="456"/>
      <c r="I10" s="456"/>
      <c r="J10" s="456"/>
      <c r="K10" s="456"/>
      <c r="L10" s="456"/>
      <c r="M10" s="456"/>
    </row>
    <row r="11" spans="2:17">
      <c r="B11" s="456"/>
      <c r="C11" s="456"/>
      <c r="D11" s="456"/>
      <c r="E11" s="456"/>
      <c r="F11" s="456"/>
      <c r="G11" s="456"/>
      <c r="H11" s="456"/>
      <c r="I11" s="456"/>
      <c r="J11" s="456"/>
      <c r="K11" s="456"/>
      <c r="L11" s="456"/>
      <c r="M11" s="456"/>
    </row>
    <row r="12" spans="2:17">
      <c r="B12" s="456"/>
      <c r="C12" s="456"/>
      <c r="D12" s="456"/>
      <c r="E12" s="456"/>
      <c r="F12" s="456"/>
      <c r="G12" s="456"/>
      <c r="H12" s="456"/>
      <c r="I12" s="456"/>
      <c r="J12" s="456"/>
      <c r="K12" s="456"/>
      <c r="L12" s="456"/>
      <c r="M12" s="456"/>
    </row>
    <row r="13" spans="2:17">
      <c r="B13" s="456"/>
      <c r="C13" s="456"/>
      <c r="D13" s="456"/>
      <c r="E13" s="456"/>
      <c r="F13" s="456"/>
      <c r="G13" s="456"/>
      <c r="H13" s="456"/>
      <c r="I13" s="456"/>
      <c r="J13" s="456"/>
      <c r="K13" s="456"/>
      <c r="L13" s="456"/>
      <c r="M13" s="456"/>
    </row>
    <row r="14" spans="2:17">
      <c r="B14" s="456"/>
      <c r="C14" s="456"/>
      <c r="D14" s="456"/>
      <c r="E14" s="456"/>
      <c r="F14" s="456"/>
      <c r="G14" s="456"/>
      <c r="H14" s="456"/>
      <c r="I14" s="456"/>
      <c r="J14" s="456"/>
      <c r="K14" s="456"/>
      <c r="L14" s="456"/>
      <c r="M14" s="456"/>
    </row>
    <row r="15" spans="2:17">
      <c r="B15" s="456"/>
      <c r="C15" s="456"/>
      <c r="D15" s="456"/>
      <c r="E15" s="456"/>
      <c r="F15" s="456"/>
      <c r="G15" s="456"/>
      <c r="H15" s="456"/>
      <c r="I15" s="456"/>
      <c r="J15" s="456"/>
      <c r="K15" s="456"/>
      <c r="L15" s="456"/>
      <c r="M15" s="456"/>
    </row>
    <row r="16" spans="2:17">
      <c r="B16" s="456"/>
      <c r="C16" s="456"/>
      <c r="D16" s="456"/>
      <c r="E16" s="456"/>
      <c r="F16" s="456"/>
      <c r="G16" s="456"/>
      <c r="H16" s="456"/>
      <c r="I16" s="456"/>
      <c r="J16" s="456"/>
      <c r="K16" s="456"/>
      <c r="L16" s="456"/>
      <c r="M16" s="456"/>
    </row>
    <row r="17" spans="2:13">
      <c r="B17" s="456"/>
      <c r="C17" s="456"/>
      <c r="D17" s="456"/>
      <c r="E17" s="456"/>
      <c r="F17" s="456"/>
      <c r="G17" s="456"/>
      <c r="H17" s="456"/>
      <c r="I17" s="456"/>
      <c r="J17" s="456"/>
      <c r="K17" s="456"/>
      <c r="L17" s="456"/>
      <c r="M17" s="456"/>
    </row>
    <row r="18" spans="2:13">
      <c r="B18" s="456"/>
      <c r="C18" s="456"/>
      <c r="D18" s="456"/>
      <c r="E18" s="456"/>
      <c r="F18" s="456"/>
      <c r="G18" s="456"/>
      <c r="H18" s="456"/>
      <c r="I18" s="456"/>
      <c r="J18" s="456"/>
      <c r="K18" s="456"/>
      <c r="L18" s="456"/>
      <c r="M18" s="456"/>
    </row>
    <row r="19" spans="2:13">
      <c r="B19" s="456"/>
      <c r="C19" s="456"/>
      <c r="D19" s="456"/>
      <c r="E19" s="456"/>
      <c r="F19" s="456"/>
      <c r="G19" s="456"/>
      <c r="H19" s="456"/>
      <c r="I19" s="456"/>
      <c r="J19" s="456"/>
      <c r="K19" s="456"/>
      <c r="L19" s="456"/>
      <c r="M19" s="456"/>
    </row>
    <row r="20" spans="2:13">
      <c r="B20" s="456"/>
      <c r="C20" s="456"/>
      <c r="D20" s="456"/>
      <c r="E20" s="456"/>
      <c r="F20" s="456"/>
      <c r="G20" s="456"/>
      <c r="H20" s="456"/>
      <c r="I20" s="456"/>
      <c r="J20" s="456"/>
      <c r="K20" s="456"/>
      <c r="L20" s="456"/>
      <c r="M20" s="456"/>
    </row>
    <row r="21" spans="2:13">
      <c r="B21" s="456"/>
      <c r="C21" s="456"/>
      <c r="D21" s="456"/>
      <c r="E21" s="456"/>
      <c r="F21" s="456"/>
      <c r="G21" s="456"/>
      <c r="H21" s="456"/>
      <c r="I21" s="456"/>
      <c r="J21" s="456"/>
      <c r="K21" s="456"/>
      <c r="L21" s="456"/>
      <c r="M21" s="456"/>
    </row>
    <row r="22" spans="2:13">
      <c r="B22" s="456"/>
      <c r="C22" s="456"/>
      <c r="D22" s="456"/>
      <c r="E22" s="456"/>
      <c r="F22" s="456"/>
      <c r="G22" s="456"/>
      <c r="H22" s="456"/>
      <c r="I22" s="456"/>
      <c r="J22" s="456"/>
      <c r="K22" s="456"/>
      <c r="L22" s="456"/>
      <c r="M22" s="456"/>
    </row>
    <row r="23" spans="2:13">
      <c r="B23" s="456"/>
      <c r="C23" s="456"/>
      <c r="D23" s="456"/>
      <c r="E23" s="456"/>
      <c r="F23" s="456"/>
      <c r="G23" s="456"/>
      <c r="H23" s="456"/>
      <c r="I23" s="456"/>
      <c r="J23" s="456"/>
      <c r="K23" s="456"/>
      <c r="L23" s="456"/>
      <c r="M23" s="456"/>
    </row>
    <row r="24" spans="2:13">
      <c r="B24" s="456"/>
      <c r="C24" s="456"/>
      <c r="D24" s="456"/>
      <c r="E24" s="456"/>
      <c r="F24" s="456"/>
      <c r="G24" s="456"/>
      <c r="H24" s="456"/>
      <c r="I24" s="456"/>
      <c r="J24" s="456"/>
      <c r="K24" s="456"/>
      <c r="L24" s="456"/>
      <c r="M24" s="456"/>
    </row>
    <row r="25" spans="2:13">
      <c r="B25" s="456"/>
      <c r="C25" s="456"/>
      <c r="D25" s="456"/>
      <c r="E25" s="456"/>
      <c r="F25" s="456"/>
      <c r="G25" s="456"/>
      <c r="H25" s="456"/>
      <c r="I25" s="456"/>
      <c r="J25" s="456"/>
      <c r="K25" s="456"/>
      <c r="L25" s="456"/>
      <c r="M25" s="456"/>
    </row>
    <row r="26" spans="2:13">
      <c r="B26" s="457" t="s">
        <v>26</v>
      </c>
      <c r="C26" s="457"/>
      <c r="D26" s="457"/>
      <c r="E26" s="457"/>
      <c r="F26" s="457"/>
      <c r="G26" s="457"/>
      <c r="H26" s="458" t="s">
        <v>27</v>
      </c>
      <c r="I26" s="458"/>
      <c r="J26" s="458"/>
      <c r="K26" s="458"/>
      <c r="L26" s="458"/>
      <c r="M26" s="458"/>
    </row>
    <row r="27" spans="2:13">
      <c r="B27" s="459" t="s">
        <v>28</v>
      </c>
      <c r="C27" s="460"/>
      <c r="D27" s="460"/>
      <c r="E27" s="460"/>
      <c r="F27" s="460"/>
      <c r="G27" s="460"/>
      <c r="H27" s="461" t="s">
        <v>29</v>
      </c>
      <c r="I27" s="462"/>
      <c r="J27" s="462"/>
      <c r="K27" s="462"/>
      <c r="L27" s="462"/>
      <c r="M27" s="462"/>
    </row>
    <row r="28" spans="2:13">
      <c r="B28" s="460"/>
      <c r="C28" s="460"/>
      <c r="D28" s="460"/>
      <c r="E28" s="460"/>
      <c r="F28" s="460"/>
      <c r="G28" s="460"/>
      <c r="H28" s="462"/>
      <c r="I28" s="462"/>
      <c r="J28" s="462"/>
      <c r="K28" s="462"/>
      <c r="L28" s="462"/>
      <c r="M28" s="462"/>
    </row>
    <row r="29" spans="2:13">
      <c r="B29" s="460"/>
      <c r="C29" s="460"/>
      <c r="D29" s="460"/>
      <c r="E29" s="460"/>
      <c r="F29" s="460"/>
      <c r="G29" s="460"/>
      <c r="H29" s="462"/>
      <c r="I29" s="462"/>
      <c r="J29" s="462"/>
      <c r="K29" s="462"/>
      <c r="L29" s="462"/>
      <c r="M29" s="462"/>
    </row>
    <row r="30" spans="2:13">
      <c r="B30" s="460"/>
      <c r="C30" s="460"/>
      <c r="D30" s="460"/>
      <c r="E30" s="460"/>
      <c r="F30" s="460"/>
      <c r="G30" s="460"/>
      <c r="H30" s="462"/>
      <c r="I30" s="462"/>
      <c r="J30" s="462"/>
      <c r="K30" s="462"/>
      <c r="L30" s="462"/>
      <c r="M30" s="462"/>
    </row>
    <row r="31" spans="2:13">
      <c r="B31" s="460"/>
      <c r="C31" s="460"/>
      <c r="D31" s="460"/>
      <c r="E31" s="460"/>
      <c r="F31" s="460"/>
      <c r="G31" s="460"/>
      <c r="H31" s="462"/>
      <c r="I31" s="462"/>
      <c r="J31" s="462"/>
      <c r="K31" s="462"/>
      <c r="L31" s="462"/>
      <c r="M31" s="462"/>
    </row>
    <row r="32" spans="2:13">
      <c r="B32" s="460"/>
      <c r="C32" s="460"/>
      <c r="D32" s="460"/>
      <c r="E32" s="460"/>
      <c r="F32" s="460"/>
      <c r="G32" s="460"/>
      <c r="H32" s="462"/>
      <c r="I32" s="462"/>
      <c r="J32" s="462"/>
      <c r="K32" s="462"/>
      <c r="L32" s="462"/>
      <c r="M32" s="462"/>
    </row>
    <row r="33" spans="2:13">
      <c r="B33" s="460"/>
      <c r="C33" s="460"/>
      <c r="D33" s="460"/>
      <c r="E33" s="460"/>
      <c r="F33" s="460"/>
      <c r="G33" s="460"/>
      <c r="H33" s="462"/>
      <c r="I33" s="462"/>
      <c r="J33" s="462"/>
      <c r="K33" s="462"/>
      <c r="L33" s="462"/>
      <c r="M33" s="462"/>
    </row>
    <row r="34" spans="2:13">
      <c r="B34" s="460"/>
      <c r="C34" s="460"/>
      <c r="D34" s="460"/>
      <c r="E34" s="460"/>
      <c r="F34" s="460"/>
      <c r="G34" s="460"/>
      <c r="H34" s="462"/>
      <c r="I34" s="462"/>
      <c r="J34" s="462"/>
      <c r="K34" s="462"/>
      <c r="L34" s="462"/>
      <c r="M34" s="462"/>
    </row>
    <row r="35" spans="2:13">
      <c r="B35" s="460"/>
      <c r="C35" s="460"/>
      <c r="D35" s="460"/>
      <c r="E35" s="460"/>
      <c r="F35" s="460"/>
      <c r="G35" s="460"/>
      <c r="H35" s="462"/>
      <c r="I35" s="462"/>
      <c r="J35" s="462"/>
      <c r="K35" s="462"/>
      <c r="L35" s="462"/>
      <c r="M35" s="462"/>
    </row>
    <row r="36" spans="2:13">
      <c r="B36" s="460"/>
      <c r="C36" s="460"/>
      <c r="D36" s="460"/>
      <c r="E36" s="460"/>
      <c r="F36" s="460"/>
      <c r="G36" s="460"/>
      <c r="H36" s="462"/>
      <c r="I36" s="462"/>
      <c r="J36" s="462"/>
      <c r="K36" s="462"/>
      <c r="L36" s="462"/>
      <c r="M36" s="462"/>
    </row>
    <row r="37" spans="2:13">
      <c r="B37" s="460"/>
      <c r="C37" s="460"/>
      <c r="D37" s="460"/>
      <c r="E37" s="460"/>
      <c r="F37" s="460"/>
      <c r="G37" s="460"/>
      <c r="H37" s="462"/>
      <c r="I37" s="462"/>
      <c r="J37" s="462"/>
      <c r="K37" s="462"/>
      <c r="L37" s="462"/>
      <c r="M37" s="462"/>
    </row>
  </sheetData>
  <mergeCells count="5">
    <mergeCell ref="B3:M25"/>
    <mergeCell ref="B26:G26"/>
    <mergeCell ref="H26:M26"/>
    <mergeCell ref="B27:G37"/>
    <mergeCell ref="H27:M37"/>
  </mergeCells>
  <pageMargins left="0.7" right="0.7" top="0.75" bottom="0.75" header="0.3" footer="0.3"/>
  <headerFooter>
    <oddFooter>&amp;C_x000D_&amp;1#&amp;"Calibri"&amp;10&amp;K000000 ISC - Uso INTERNO / INTERNAL Use</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658E1-E895-49CB-93ED-C358E74E76AB}">
  <sheetPr>
    <tabColor theme="5"/>
  </sheetPr>
  <dimension ref="B1:X27"/>
  <sheetViews>
    <sheetView topLeftCell="A3" zoomScale="90" zoomScaleNormal="90" workbookViewId="0">
      <selection activeCell="B21" sqref="B21"/>
    </sheetView>
  </sheetViews>
  <sheetFormatPr defaultRowHeight="15"/>
  <cols>
    <col min="1" max="1" width="3.85546875" customWidth="1"/>
    <col min="2" max="2" width="8.28515625" customWidth="1"/>
  </cols>
  <sheetData>
    <row r="1" spans="2:24" ht="23.25">
      <c r="B1" s="438" t="s">
        <v>30</v>
      </c>
    </row>
    <row r="3" spans="2:24" ht="39.950000000000003" customHeight="1">
      <c r="B3" s="463" t="s">
        <v>31</v>
      </c>
      <c r="C3" s="463"/>
      <c r="D3" s="463"/>
      <c r="E3" s="463"/>
      <c r="F3" s="463"/>
      <c r="G3" s="463"/>
      <c r="H3" s="463"/>
      <c r="I3" s="463"/>
      <c r="J3" s="463"/>
      <c r="K3" s="463"/>
      <c r="L3" s="463"/>
      <c r="M3" s="463"/>
      <c r="N3" s="463"/>
      <c r="O3" s="463"/>
      <c r="P3" s="463"/>
      <c r="Q3" s="463"/>
      <c r="R3" s="463"/>
      <c r="S3" s="463"/>
      <c r="T3" s="463"/>
      <c r="U3" s="463"/>
      <c r="V3" s="463"/>
      <c r="W3" s="463"/>
      <c r="X3" s="463"/>
    </row>
    <row r="4" spans="2:24" ht="39.950000000000003" customHeight="1">
      <c r="B4" s="463"/>
      <c r="C4" s="463"/>
      <c r="D4" s="463"/>
      <c r="E4" s="463"/>
      <c r="F4" s="463"/>
      <c r="G4" s="463"/>
      <c r="H4" s="463"/>
      <c r="I4" s="463"/>
      <c r="J4" s="463"/>
      <c r="K4" s="463"/>
      <c r="L4" s="463"/>
      <c r="M4" s="463"/>
      <c r="N4" s="463"/>
      <c r="O4" s="463"/>
      <c r="P4" s="463"/>
      <c r="Q4" s="463"/>
      <c r="R4" s="463"/>
      <c r="S4" s="463"/>
      <c r="T4" s="463"/>
      <c r="U4" s="463"/>
      <c r="V4" s="463"/>
      <c r="W4" s="463"/>
      <c r="X4" s="463"/>
    </row>
    <row r="5" spans="2:24" ht="39.950000000000003" customHeight="1">
      <c r="B5" s="463"/>
      <c r="C5" s="463"/>
      <c r="D5" s="463"/>
      <c r="E5" s="463"/>
      <c r="F5" s="463"/>
      <c r="G5" s="463"/>
      <c r="H5" s="463"/>
      <c r="I5" s="463"/>
      <c r="J5" s="463"/>
      <c r="K5" s="463"/>
      <c r="L5" s="463"/>
      <c r="M5" s="463"/>
      <c r="N5" s="463"/>
      <c r="O5" s="463"/>
      <c r="P5" s="463"/>
      <c r="Q5" s="463"/>
      <c r="R5" s="463"/>
      <c r="S5" s="463"/>
      <c r="T5" s="463"/>
      <c r="U5" s="463"/>
      <c r="V5" s="463"/>
      <c r="W5" s="463"/>
      <c r="X5" s="463"/>
    </row>
    <row r="6" spans="2:24" ht="39.950000000000003" customHeight="1">
      <c r="B6" s="463"/>
      <c r="C6" s="463"/>
      <c r="D6" s="463"/>
      <c r="E6" s="463"/>
      <c r="F6" s="463"/>
      <c r="G6" s="463"/>
      <c r="H6" s="463"/>
      <c r="I6" s="463"/>
      <c r="J6" s="463"/>
      <c r="K6" s="463"/>
      <c r="L6" s="463"/>
      <c r="M6" s="463"/>
      <c r="N6" s="463"/>
      <c r="O6" s="463"/>
      <c r="P6" s="463"/>
      <c r="Q6" s="463"/>
      <c r="R6" s="463"/>
      <c r="S6" s="463"/>
      <c r="T6" s="463"/>
      <c r="U6" s="463"/>
      <c r="V6" s="463"/>
      <c r="W6" s="463"/>
      <c r="X6" s="463"/>
    </row>
    <row r="7" spans="2:24" ht="39.950000000000003" customHeight="1">
      <c r="B7" s="463"/>
      <c r="C7" s="463"/>
      <c r="D7" s="463"/>
      <c r="E7" s="463"/>
      <c r="F7" s="463"/>
      <c r="G7" s="463"/>
      <c r="H7" s="463"/>
      <c r="I7" s="463"/>
      <c r="J7" s="463"/>
      <c r="K7" s="463"/>
      <c r="L7" s="463"/>
      <c r="M7" s="463"/>
      <c r="N7" s="463"/>
      <c r="O7" s="463"/>
      <c r="P7" s="463"/>
      <c r="Q7" s="463"/>
      <c r="R7" s="463"/>
      <c r="S7" s="463"/>
      <c r="T7" s="463"/>
      <c r="U7" s="463"/>
      <c r="V7" s="463"/>
      <c r="W7" s="463"/>
      <c r="X7" s="463"/>
    </row>
    <row r="8" spans="2:24" ht="39.950000000000003" customHeight="1">
      <c r="B8" s="463"/>
      <c r="C8" s="463"/>
      <c r="D8" s="463"/>
      <c r="E8" s="463"/>
      <c r="F8" s="463"/>
      <c r="G8" s="463"/>
      <c r="H8" s="463"/>
      <c r="I8" s="463"/>
      <c r="J8" s="463"/>
      <c r="K8" s="463"/>
      <c r="L8" s="463"/>
      <c r="M8" s="463"/>
      <c r="N8" s="463"/>
      <c r="O8" s="463"/>
      <c r="P8" s="463"/>
      <c r="Q8" s="463"/>
      <c r="R8" s="463"/>
      <c r="S8" s="463"/>
      <c r="T8" s="463"/>
      <c r="U8" s="463"/>
      <c r="V8" s="463"/>
      <c r="W8" s="463"/>
      <c r="X8" s="463"/>
    </row>
    <row r="9" spans="2:24" ht="39.950000000000003" customHeight="1">
      <c r="B9" s="463"/>
      <c r="C9" s="463"/>
      <c r="D9" s="463"/>
      <c r="E9" s="463"/>
      <c r="F9" s="463"/>
      <c r="G9" s="463"/>
      <c r="H9" s="463"/>
      <c r="I9" s="463"/>
      <c r="J9" s="463"/>
      <c r="K9" s="463"/>
      <c r="L9" s="463"/>
      <c r="M9" s="463"/>
      <c r="N9" s="463"/>
      <c r="O9" s="463"/>
      <c r="P9" s="463"/>
      <c r="Q9" s="463"/>
      <c r="R9" s="463"/>
      <c r="S9" s="463"/>
      <c r="T9" s="463"/>
      <c r="U9" s="463"/>
      <c r="V9" s="463"/>
      <c r="W9" s="463"/>
      <c r="X9" s="463"/>
    </row>
    <row r="10" spans="2:24" ht="39.950000000000003" customHeight="1">
      <c r="B10" s="463"/>
      <c r="C10" s="463"/>
      <c r="D10" s="463"/>
      <c r="E10" s="463"/>
      <c r="F10" s="463"/>
      <c r="G10" s="463"/>
      <c r="H10" s="463"/>
      <c r="I10" s="463"/>
      <c r="J10" s="463"/>
      <c r="K10" s="463"/>
      <c r="L10" s="463"/>
      <c r="M10" s="463"/>
      <c r="N10" s="463"/>
      <c r="O10" s="463"/>
      <c r="P10" s="463"/>
      <c r="Q10" s="463"/>
      <c r="R10" s="463"/>
      <c r="S10" s="463"/>
      <c r="T10" s="463"/>
      <c r="U10" s="463"/>
      <c r="V10" s="463"/>
      <c r="W10" s="463"/>
      <c r="X10" s="463"/>
    </row>
    <row r="11" spans="2:24" ht="39.950000000000003" customHeight="1">
      <c r="B11" s="463"/>
      <c r="C11" s="463"/>
      <c r="D11" s="463"/>
      <c r="E11" s="463"/>
      <c r="F11" s="463"/>
      <c r="G11" s="463"/>
      <c r="H11" s="463"/>
      <c r="I11" s="463"/>
      <c r="J11" s="463"/>
      <c r="K11" s="463"/>
      <c r="L11" s="463"/>
      <c r="M11" s="463"/>
      <c r="N11" s="463"/>
      <c r="O11" s="463"/>
      <c r="P11" s="463"/>
      <c r="Q11" s="463"/>
      <c r="R11" s="463"/>
      <c r="S11" s="463"/>
      <c r="T11" s="463"/>
      <c r="U11" s="463"/>
      <c r="V11" s="463"/>
      <c r="W11" s="463"/>
      <c r="X11" s="463"/>
    </row>
    <row r="12" spans="2:24" ht="39.950000000000003" customHeight="1">
      <c r="B12" s="463"/>
      <c r="C12" s="463"/>
      <c r="D12" s="463"/>
      <c r="E12" s="463"/>
      <c r="F12" s="463"/>
      <c r="G12" s="463"/>
      <c r="H12" s="463"/>
      <c r="I12" s="463"/>
      <c r="J12" s="463"/>
      <c r="K12" s="463"/>
      <c r="L12" s="463"/>
      <c r="M12" s="463"/>
      <c r="N12" s="463"/>
      <c r="O12" s="463"/>
      <c r="P12" s="463"/>
      <c r="Q12" s="463"/>
      <c r="R12" s="463"/>
      <c r="S12" s="463"/>
      <c r="T12" s="463"/>
      <c r="U12" s="463"/>
      <c r="V12" s="463"/>
      <c r="W12" s="463"/>
      <c r="X12" s="463"/>
    </row>
    <row r="13" spans="2:24" ht="39.950000000000003" customHeight="1">
      <c r="B13" s="463"/>
      <c r="C13" s="463"/>
      <c r="D13" s="463"/>
      <c r="E13" s="463"/>
      <c r="F13" s="463"/>
      <c r="G13" s="463"/>
      <c r="H13" s="463"/>
      <c r="I13" s="463"/>
      <c r="J13" s="463"/>
      <c r="K13" s="463"/>
      <c r="L13" s="463"/>
      <c r="M13" s="463"/>
      <c r="N13" s="463"/>
      <c r="O13" s="463"/>
      <c r="P13" s="463"/>
      <c r="Q13" s="463"/>
      <c r="R13" s="463"/>
      <c r="S13" s="463"/>
      <c r="T13" s="463"/>
      <c r="U13" s="463"/>
      <c r="V13" s="463"/>
      <c r="W13" s="463"/>
      <c r="X13" s="463"/>
    </row>
    <row r="14" spans="2:24" ht="39.950000000000003" customHeight="1">
      <c r="B14" s="463"/>
      <c r="C14" s="463"/>
      <c r="D14" s="463"/>
      <c r="E14" s="463"/>
      <c r="F14" s="463"/>
      <c r="G14" s="463"/>
      <c r="H14" s="463"/>
      <c r="I14" s="463"/>
      <c r="J14" s="463"/>
      <c r="K14" s="463"/>
      <c r="L14" s="463"/>
      <c r="M14" s="463"/>
      <c r="N14" s="463"/>
      <c r="O14" s="463"/>
      <c r="P14" s="463"/>
      <c r="Q14" s="463"/>
      <c r="R14" s="463"/>
      <c r="S14" s="463"/>
      <c r="T14" s="463"/>
      <c r="U14" s="463"/>
      <c r="V14" s="463"/>
      <c r="W14" s="463"/>
      <c r="X14" s="463"/>
    </row>
    <row r="15" spans="2:24" ht="39.950000000000003" customHeight="1">
      <c r="B15" s="463"/>
      <c r="C15" s="463"/>
      <c r="D15" s="463"/>
      <c r="E15" s="463"/>
      <c r="F15" s="463"/>
      <c r="G15" s="463"/>
      <c r="H15" s="463"/>
      <c r="I15" s="463"/>
      <c r="J15" s="463"/>
      <c r="K15" s="463"/>
      <c r="L15" s="463"/>
      <c r="M15" s="463"/>
      <c r="N15" s="463"/>
      <c r="O15" s="463"/>
      <c r="P15" s="463"/>
      <c r="Q15" s="463"/>
      <c r="R15" s="463"/>
      <c r="S15" s="463"/>
      <c r="T15" s="463"/>
      <c r="U15" s="463"/>
      <c r="V15" s="463"/>
      <c r="W15" s="463"/>
      <c r="X15" s="463"/>
    </row>
    <row r="16" spans="2:24" ht="39.950000000000003" customHeight="1">
      <c r="B16" s="463"/>
      <c r="C16" s="463"/>
      <c r="D16" s="463"/>
      <c r="E16" s="463"/>
      <c r="F16" s="463"/>
      <c r="G16" s="463"/>
      <c r="H16" s="463"/>
      <c r="I16" s="463"/>
      <c r="J16" s="463"/>
      <c r="K16" s="463"/>
      <c r="L16" s="463"/>
      <c r="M16" s="463"/>
      <c r="N16" s="463"/>
      <c r="O16" s="463"/>
      <c r="P16" s="463"/>
      <c r="Q16" s="463"/>
      <c r="R16" s="463"/>
      <c r="S16" s="463"/>
      <c r="T16" s="463"/>
      <c r="U16" s="463"/>
      <c r="V16" s="463"/>
      <c r="W16" s="463"/>
      <c r="X16" s="463"/>
    </row>
    <row r="17" spans="2:24" ht="39.950000000000003" customHeight="1">
      <c r="B17" s="463"/>
      <c r="C17" s="463"/>
      <c r="D17" s="463"/>
      <c r="E17" s="463"/>
      <c r="F17" s="463"/>
      <c r="G17" s="463"/>
      <c r="H17" s="463"/>
      <c r="I17" s="463"/>
      <c r="J17" s="463"/>
      <c r="K17" s="463"/>
      <c r="L17" s="463"/>
      <c r="M17" s="463"/>
      <c r="N17" s="463"/>
      <c r="O17" s="463"/>
      <c r="P17" s="463"/>
      <c r="Q17" s="463"/>
      <c r="R17" s="463"/>
      <c r="S17" s="463"/>
      <c r="T17" s="463"/>
      <c r="U17" s="463"/>
      <c r="V17" s="463"/>
      <c r="W17" s="463"/>
      <c r="X17" s="463"/>
    </row>
    <row r="18" spans="2:24" ht="18" customHeight="1">
      <c r="B18" s="463"/>
      <c r="C18" s="463"/>
      <c r="D18" s="463"/>
      <c r="E18" s="463"/>
      <c r="F18" s="463"/>
      <c r="G18" s="463"/>
      <c r="H18" s="463"/>
      <c r="I18" s="463"/>
      <c r="J18" s="463"/>
      <c r="K18" s="463"/>
      <c r="L18" s="463"/>
      <c r="M18" s="463"/>
      <c r="N18" s="463"/>
      <c r="O18" s="463"/>
      <c r="P18" s="463"/>
      <c r="Q18" s="463"/>
      <c r="R18" s="463"/>
      <c r="S18" s="463"/>
      <c r="T18" s="463"/>
      <c r="U18" s="463"/>
      <c r="V18" s="463"/>
      <c r="W18" s="463"/>
      <c r="X18" s="463"/>
    </row>
    <row r="19" spans="2:24" ht="5.0999999999999996" customHeight="1">
      <c r="B19" s="3"/>
      <c r="C19" s="3"/>
      <c r="D19" s="3"/>
      <c r="E19" s="3"/>
      <c r="F19" s="3"/>
      <c r="G19" s="3"/>
      <c r="H19" s="3"/>
      <c r="I19" s="3"/>
      <c r="J19" s="3"/>
      <c r="K19" s="3"/>
      <c r="L19" s="3"/>
      <c r="M19" s="3"/>
      <c r="N19" s="3"/>
      <c r="O19" s="3"/>
      <c r="P19" s="3"/>
      <c r="Q19" s="3"/>
      <c r="R19" s="3"/>
      <c r="S19" s="3"/>
    </row>
    <row r="20" spans="2:24">
      <c r="B20" t="s">
        <v>32</v>
      </c>
    </row>
    <row r="21" spans="2:24">
      <c r="B21" t="s">
        <v>33</v>
      </c>
    </row>
    <row r="22" spans="2:24">
      <c r="B22" s="5" t="s">
        <v>34</v>
      </c>
    </row>
    <row r="23" spans="2:24">
      <c r="B23" s="5" t="s">
        <v>35</v>
      </c>
    </row>
    <row r="24" spans="2:24">
      <c r="B24" s="5" t="s">
        <v>36</v>
      </c>
    </row>
    <row r="25" spans="2:24">
      <c r="B25" s="5" t="s">
        <v>37</v>
      </c>
    </row>
    <row r="26" spans="2:24">
      <c r="B26" s="5" t="s">
        <v>38</v>
      </c>
    </row>
    <row r="27" spans="2:24">
      <c r="B27" s="4" t="s">
        <v>39</v>
      </c>
    </row>
  </sheetData>
  <mergeCells count="1">
    <mergeCell ref="B3:X18"/>
  </mergeCells>
  <hyperlinks>
    <hyperlink ref="B22" r:id="rId1" display="https://www.pac-scenarios.eu/fileadmin/user_upload/PAC_C2.7_Energy_supply_-_Mobilising_solar_energy.pdf" xr:uid="{A20BEAD6-92D6-4B07-B7E2-619A2230D6BA}"/>
    <hyperlink ref="B23" r:id="rId2" display="https://www.solarpowereurope.org/insights/market-outlooks/100-renewable-europe-study" xr:uid="{F9C2A671-56F7-4012-B54B-60C16B271AB8}"/>
    <hyperlink ref="B24" r:id="rId3" display="https://eur-lex.europa.eu/resource.html?uri=cellar:749e04bb-f8c5-11ea-991b-01aa75ed71a1.0001.02/DOC_2&amp;format=PDF" xr:uid="{C01D9A2D-23F2-4E70-BFB7-B34E2FB09638}"/>
    <hyperlink ref="B25" r:id="rId4" display="https://data.jrc.ec.europa.eu/collection/id-00138" xr:uid="{EF3E58B4-D07B-401D-B942-20BF24AC6E18}"/>
    <hyperlink ref="B26" r:id="rId5" display="https://windeurope.org/intelligence-platform/product/our-energy-our-future/" xr:uid="{E6DFA301-65B2-4943-ABF8-226FA99CFAE1}"/>
    <hyperlink ref="B27" r:id="rId6" display="https://op.europa.eu/en/publication-detail/-/publication/91d2091a-27bf-11eb-9d7e-01aa75ed71a1/language-en" xr:uid="{C49301E0-6B32-451A-9DB6-457E4064B799}"/>
  </hyperlinks>
  <pageMargins left="0.7" right="0.7" top="0.75" bottom="0.75" header="0.3" footer="0.3"/>
  <pageSetup paperSize="9" orientation="portrait" r:id="rId7"/>
  <headerFooter>
    <oddFooter>&amp;C_x000D_&amp;1#&amp;"Calibri"&amp;10&amp;K000000 ISC - Uso INTERNO / INTERNAL Use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BDB8E-621E-4BA1-A402-BA09DD136D2C}">
  <sheetPr codeName="Hoja7">
    <tabColor theme="7"/>
  </sheetPr>
  <dimension ref="B1:Q65"/>
  <sheetViews>
    <sheetView topLeftCell="A27" workbookViewId="0">
      <selection activeCell="F16" sqref="F16"/>
    </sheetView>
  </sheetViews>
  <sheetFormatPr defaultColWidth="11.42578125" defaultRowHeight="15"/>
  <cols>
    <col min="1" max="1" width="2.5703125" customWidth="1"/>
    <col min="2" max="2" width="7.5703125" style="2" bestFit="1" customWidth="1"/>
    <col min="3" max="4" width="8.5703125" style="2" bestFit="1" customWidth="1"/>
    <col min="5" max="5" width="10.140625" style="2" bestFit="1" customWidth="1"/>
    <col min="6" max="6" width="9.140625" style="21" bestFit="1" customWidth="1"/>
    <col min="7" max="8" width="10.85546875" style="21" bestFit="1" customWidth="1"/>
    <col min="9" max="9" width="8.5703125" style="2" bestFit="1" customWidth="1"/>
    <col min="10" max="11" width="10.140625" style="2" bestFit="1" customWidth="1"/>
    <col min="12" max="12" width="2.85546875" customWidth="1"/>
    <col min="13" max="15" width="13.42578125" style="2" customWidth="1"/>
  </cols>
  <sheetData>
    <row r="1" spans="2:15" ht="23.25">
      <c r="B1" s="438" t="s">
        <v>4</v>
      </c>
    </row>
    <row r="3" spans="2:15">
      <c r="B3" s="7" t="s">
        <v>40</v>
      </c>
      <c r="C3" s="464" t="s">
        <v>41</v>
      </c>
      <c r="D3" s="464"/>
      <c r="E3" s="464"/>
      <c r="F3" s="465" t="s">
        <v>42</v>
      </c>
      <c r="G3" s="465"/>
      <c r="H3" s="465"/>
      <c r="I3" s="466" t="s">
        <v>43</v>
      </c>
      <c r="J3" s="466"/>
      <c r="K3" s="466"/>
      <c r="M3" s="467" t="s">
        <v>44</v>
      </c>
      <c r="N3" s="468"/>
      <c r="O3" s="469"/>
    </row>
    <row r="4" spans="2:15">
      <c r="B4" s="7" t="s">
        <v>45</v>
      </c>
      <c r="C4" s="8">
        <v>2030</v>
      </c>
      <c r="D4" s="8">
        <v>2040</v>
      </c>
      <c r="E4" s="8">
        <v>2050</v>
      </c>
      <c r="F4" s="9">
        <v>2030</v>
      </c>
      <c r="G4" s="9">
        <v>2040</v>
      </c>
      <c r="H4" s="9">
        <v>2050</v>
      </c>
      <c r="I4" s="10">
        <v>2030</v>
      </c>
      <c r="J4" s="10">
        <v>2040</v>
      </c>
      <c r="K4" s="10">
        <v>2050</v>
      </c>
      <c r="M4" s="453">
        <v>2030</v>
      </c>
      <c r="N4" s="453">
        <v>2040</v>
      </c>
      <c r="O4" s="453">
        <v>2050</v>
      </c>
    </row>
    <row r="5" spans="2:15">
      <c r="B5" s="7" t="s">
        <v>46</v>
      </c>
      <c r="C5" s="12">
        <f>F5</f>
        <v>500</v>
      </c>
      <c r="D5" s="12">
        <f>G5</f>
        <v>1000</v>
      </c>
      <c r="E5" s="12">
        <f>H5</f>
        <v>1000</v>
      </c>
      <c r="F5" s="13">
        <v>500</v>
      </c>
      <c r="G5" s="13">
        <v>1000</v>
      </c>
      <c r="H5" s="13">
        <v>1000</v>
      </c>
      <c r="I5" s="14">
        <f>F5</f>
        <v>500</v>
      </c>
      <c r="J5" s="14">
        <f>G5</f>
        <v>1000</v>
      </c>
      <c r="K5" s="14">
        <f>H5</f>
        <v>1000</v>
      </c>
      <c r="M5" s="454">
        <v>0.75127244668285487</v>
      </c>
      <c r="N5" s="454">
        <v>0.71772699861362965</v>
      </c>
      <c r="O5" s="454">
        <v>0.68443392313892237</v>
      </c>
    </row>
    <row r="6" spans="2:15">
      <c r="B6" s="7" t="s">
        <v>47</v>
      </c>
      <c r="C6" s="12">
        <v>12000</v>
      </c>
      <c r="D6" s="12">
        <v>12000</v>
      </c>
      <c r="E6" s="12">
        <v>12000</v>
      </c>
      <c r="F6" s="13">
        <v>25000</v>
      </c>
      <c r="G6" s="13">
        <v>30000</v>
      </c>
      <c r="H6" s="13">
        <v>52000</v>
      </c>
      <c r="I6" s="14">
        <v>30000</v>
      </c>
      <c r="J6" s="14">
        <v>52000</v>
      </c>
      <c r="K6" s="14">
        <v>272000</v>
      </c>
      <c r="M6" s="454">
        <v>0.44868594619820773</v>
      </c>
      <c r="N6" s="454">
        <v>0.48347408046093288</v>
      </c>
      <c r="O6" s="454">
        <v>0.47480070408244901</v>
      </c>
    </row>
    <row r="7" spans="2:15">
      <c r="B7" s="7" t="s">
        <v>48</v>
      </c>
      <c r="C7" s="12">
        <f>F7</f>
        <v>504.8</v>
      </c>
      <c r="D7" s="12">
        <f>G7</f>
        <v>1409.8</v>
      </c>
      <c r="E7" s="12">
        <f>H7</f>
        <v>1959.8</v>
      </c>
      <c r="F7" s="13">
        <v>504.8</v>
      </c>
      <c r="G7" s="13">
        <v>1409.8</v>
      </c>
      <c r="H7" s="13">
        <v>1959.8</v>
      </c>
      <c r="I7" s="14">
        <f>F7</f>
        <v>504.8</v>
      </c>
      <c r="J7" s="14">
        <f>G7</f>
        <v>1409.8</v>
      </c>
      <c r="K7" s="14">
        <f>H7</f>
        <v>1959.8</v>
      </c>
      <c r="M7" s="454">
        <v>0.90095087163232968</v>
      </c>
      <c r="N7" s="454">
        <v>0.92906795290112076</v>
      </c>
      <c r="O7" s="454">
        <v>0.92346157771201143</v>
      </c>
    </row>
    <row r="8" spans="2:15">
      <c r="B8" s="7" t="s">
        <v>49</v>
      </c>
      <c r="C8" s="12">
        <v>13300</v>
      </c>
      <c r="D8" s="12">
        <v>23651.0573811016</v>
      </c>
      <c r="E8" s="12">
        <v>44490.875300867818</v>
      </c>
      <c r="F8" s="13">
        <v>13300</v>
      </c>
      <c r="G8" s="13">
        <v>23651.0573811016</v>
      </c>
      <c r="H8" s="13">
        <v>44490.875300867818</v>
      </c>
      <c r="I8" s="14">
        <v>13300</v>
      </c>
      <c r="J8" s="14">
        <v>23651.0573811016</v>
      </c>
      <c r="K8" s="14">
        <v>44490.875300867818</v>
      </c>
      <c r="M8" s="454">
        <v>0.43303084381626783</v>
      </c>
      <c r="N8" s="454">
        <v>0.4417719351686894</v>
      </c>
      <c r="O8" s="454">
        <v>0.4392526991734037</v>
      </c>
    </row>
    <row r="9" spans="2:15">
      <c r="B9" s="7" t="s">
        <v>50</v>
      </c>
      <c r="C9" s="12">
        <v>2500</v>
      </c>
      <c r="D9" s="12">
        <v>3000</v>
      </c>
      <c r="E9" s="12">
        <v>4000</v>
      </c>
      <c r="F9" s="13">
        <v>3816</v>
      </c>
      <c r="G9" s="13">
        <v>4407</v>
      </c>
      <c r="H9" s="13">
        <v>5000</v>
      </c>
      <c r="I9" s="14">
        <v>5500</v>
      </c>
      <c r="J9" s="14">
        <v>6000</v>
      </c>
      <c r="K9" s="14">
        <v>7000</v>
      </c>
      <c r="M9" s="454">
        <v>0.75127244668285487</v>
      </c>
      <c r="N9" s="454">
        <v>0.71772699861362965</v>
      </c>
      <c r="O9" s="454">
        <v>0.68443392313892237</v>
      </c>
    </row>
    <row r="10" spans="2:15">
      <c r="B10" s="7" t="s">
        <v>51</v>
      </c>
      <c r="C10" s="12">
        <v>7650</v>
      </c>
      <c r="D10" s="12">
        <v>10100</v>
      </c>
      <c r="E10" s="12">
        <v>13312</v>
      </c>
      <c r="F10" s="13">
        <v>9770.2685714285708</v>
      </c>
      <c r="G10" s="13">
        <v>24071.130974802381</v>
      </c>
      <c r="H10" s="13">
        <v>37511.652858035042</v>
      </c>
      <c r="I10" s="14">
        <v>12210</v>
      </c>
      <c r="J10" s="14">
        <v>30090</v>
      </c>
      <c r="K10" s="14">
        <v>44567</v>
      </c>
      <c r="M10" s="454">
        <v>0.59465338341332741</v>
      </c>
      <c r="N10" s="454">
        <v>0.59248129247971426</v>
      </c>
      <c r="O10" s="454">
        <v>0.58158095682498878</v>
      </c>
    </row>
    <row r="11" spans="2:15">
      <c r="B11" s="7" t="s">
        <v>52</v>
      </c>
      <c r="C11" s="12">
        <v>804</v>
      </c>
      <c r="D11" s="12">
        <v>1540</v>
      </c>
      <c r="E11" s="12">
        <v>1210</v>
      </c>
      <c r="F11" s="13">
        <v>852</v>
      </c>
      <c r="G11" s="13">
        <v>1892</v>
      </c>
      <c r="H11" s="13">
        <v>1686</v>
      </c>
      <c r="I11" s="14">
        <v>1070</v>
      </c>
      <c r="J11" s="14">
        <v>2200</v>
      </c>
      <c r="K11" s="14">
        <v>2200</v>
      </c>
      <c r="M11" s="454">
        <v>0.75127244668285487</v>
      </c>
      <c r="N11" s="454">
        <v>0.71772699861362965</v>
      </c>
      <c r="O11" s="454">
        <v>0.68443392313892237</v>
      </c>
    </row>
    <row r="12" spans="2:15">
      <c r="B12" s="7" t="s">
        <v>53</v>
      </c>
      <c r="C12" s="12">
        <v>8132.9054400000005</v>
      </c>
      <c r="D12" s="12">
        <v>10004.959800000001</v>
      </c>
      <c r="E12" s="12">
        <v>10738.25676</v>
      </c>
      <c r="F12" s="13">
        <v>11405.7</v>
      </c>
      <c r="G12" s="13">
        <v>13238.2</v>
      </c>
      <c r="H12" s="13">
        <v>14976.1</v>
      </c>
      <c r="I12" s="14">
        <v>11405.7</v>
      </c>
      <c r="J12" s="14">
        <v>15853.000000000009</v>
      </c>
      <c r="K12" s="14">
        <v>20300</v>
      </c>
      <c r="M12" s="454">
        <v>0.66999833416625021</v>
      </c>
      <c r="N12" s="454">
        <v>0.67000045323382329</v>
      </c>
      <c r="O12" s="454">
        <v>0.67000086804975933</v>
      </c>
    </row>
    <row r="13" spans="2:15">
      <c r="B13" s="7" t="s">
        <v>54</v>
      </c>
      <c r="C13" s="12">
        <v>215000</v>
      </c>
      <c r="D13" s="12">
        <v>365875</v>
      </c>
      <c r="E13" s="12">
        <v>434125</v>
      </c>
      <c r="F13" s="13">
        <v>215002</v>
      </c>
      <c r="G13" s="13">
        <v>365875.4</v>
      </c>
      <c r="H13" s="13">
        <v>434126.64</v>
      </c>
      <c r="I13" s="14">
        <v>215000</v>
      </c>
      <c r="J13" s="14">
        <v>382750</v>
      </c>
      <c r="K13" s="14">
        <v>507250</v>
      </c>
      <c r="M13" s="454">
        <v>0.45116789611259428</v>
      </c>
      <c r="N13" s="454">
        <v>0.47044808150534306</v>
      </c>
      <c r="O13" s="454">
        <v>0.47423173569813637</v>
      </c>
    </row>
    <row r="14" spans="2:15">
      <c r="B14" s="7" t="s">
        <v>55</v>
      </c>
      <c r="C14" s="12">
        <v>0</v>
      </c>
      <c r="D14" s="12">
        <v>0</v>
      </c>
      <c r="E14" s="12">
        <v>0</v>
      </c>
      <c r="F14" s="13">
        <v>0</v>
      </c>
      <c r="G14" s="13">
        <v>0</v>
      </c>
      <c r="H14" s="13">
        <v>0</v>
      </c>
      <c r="I14" s="14">
        <v>0</v>
      </c>
      <c r="J14" s="14">
        <v>0</v>
      </c>
      <c r="K14" s="14">
        <v>0</v>
      </c>
      <c r="M14" s="454"/>
      <c r="N14" s="454"/>
      <c r="O14" s="454"/>
    </row>
    <row r="15" spans="2:15">
      <c r="B15" s="7" t="s">
        <v>56</v>
      </c>
      <c r="C15" s="12">
        <v>1995</v>
      </c>
      <c r="D15" s="12">
        <v>2943</v>
      </c>
      <c r="E15" s="12">
        <v>2943</v>
      </c>
      <c r="F15" s="13">
        <v>4884.9399999999996</v>
      </c>
      <c r="G15" s="13">
        <v>7876.0229200596768</v>
      </c>
      <c r="H15" s="13">
        <v>10211.817006351501</v>
      </c>
      <c r="I15" s="14">
        <v>14461.842979749163</v>
      </c>
      <c r="J15" s="14">
        <v>14461.842979749163</v>
      </c>
      <c r="K15" s="14">
        <v>14461.842979749163</v>
      </c>
      <c r="M15" s="454">
        <v>0.92481914022500611</v>
      </c>
      <c r="N15" s="454">
        <v>0.90502196155809711</v>
      </c>
      <c r="O15" s="454">
        <v>0.87097530723410577</v>
      </c>
    </row>
    <row r="16" spans="2:15">
      <c r="B16" s="7" t="s">
        <v>57</v>
      </c>
      <c r="C16" s="12">
        <v>0</v>
      </c>
      <c r="D16" s="12">
        <v>0</v>
      </c>
      <c r="E16" s="12">
        <v>0</v>
      </c>
      <c r="F16" s="13">
        <v>0</v>
      </c>
      <c r="G16" s="13">
        <v>0</v>
      </c>
      <c r="H16" s="13">
        <v>0</v>
      </c>
      <c r="I16" s="14">
        <v>0</v>
      </c>
      <c r="J16" s="14">
        <v>0</v>
      </c>
      <c r="K16" s="14">
        <v>0</v>
      </c>
      <c r="M16" s="454"/>
      <c r="N16" s="454"/>
      <c r="O16" s="454"/>
    </row>
    <row r="17" spans="2:17">
      <c r="B17" s="7" t="s">
        <v>58</v>
      </c>
      <c r="C17" s="12">
        <v>2929</v>
      </c>
      <c r="D17" s="12">
        <v>4351</v>
      </c>
      <c r="E17" s="12">
        <v>4351</v>
      </c>
      <c r="F17" s="13">
        <v>12859.47</v>
      </c>
      <c r="G17" s="13">
        <v>19096.107079940321</v>
      </c>
      <c r="H17" s="13">
        <v>23899.792993648502</v>
      </c>
      <c r="I17" s="14">
        <v>47809.55923427298</v>
      </c>
      <c r="J17" s="14">
        <v>47809.55923427298</v>
      </c>
      <c r="K17" s="14">
        <v>47809.55923427298</v>
      </c>
      <c r="M17" s="454">
        <v>0.92481914022500611</v>
      </c>
      <c r="N17" s="454">
        <v>0.90502196155809722</v>
      </c>
      <c r="O17" s="454">
        <v>0.87097530723410588</v>
      </c>
    </row>
    <row r="18" spans="2:17">
      <c r="B18" s="7" t="s">
        <v>59</v>
      </c>
      <c r="C18" s="12">
        <v>1000</v>
      </c>
      <c r="D18" s="12">
        <v>1200</v>
      </c>
      <c r="E18" s="12">
        <v>1700</v>
      </c>
      <c r="F18" s="13">
        <v>1160</v>
      </c>
      <c r="G18" s="13">
        <v>1700</v>
      </c>
      <c r="H18" s="13">
        <v>2500</v>
      </c>
      <c r="I18" s="14">
        <v>1500</v>
      </c>
      <c r="J18" s="14">
        <v>3300</v>
      </c>
      <c r="K18" s="14">
        <v>4000</v>
      </c>
      <c r="M18" s="454">
        <v>0.82410075205625122</v>
      </c>
      <c r="N18" s="454">
        <v>0.73562093510565851</v>
      </c>
      <c r="O18" s="454">
        <v>0.68765013028518407</v>
      </c>
    </row>
    <row r="19" spans="2:17">
      <c r="B19" s="7" t="s">
        <v>60</v>
      </c>
      <c r="C19" s="12">
        <v>42937.5</v>
      </c>
      <c r="D19" s="12">
        <v>72187.5</v>
      </c>
      <c r="E19" s="12">
        <v>101437.5</v>
      </c>
      <c r="F19" s="13">
        <v>53550</v>
      </c>
      <c r="G19" s="13">
        <v>79983</v>
      </c>
      <c r="H19" s="13">
        <v>107046</v>
      </c>
      <c r="I19" s="14">
        <v>96050</v>
      </c>
      <c r="J19" s="14">
        <v>119983</v>
      </c>
      <c r="K19" s="14">
        <v>147046</v>
      </c>
      <c r="M19" s="454">
        <v>0.76563877566418581</v>
      </c>
      <c r="N19" s="454">
        <v>0.64656689310067961</v>
      </c>
      <c r="O19" s="454">
        <v>0.58977403023022024</v>
      </c>
    </row>
    <row r="20" spans="2:17">
      <c r="B20" s="7" t="s">
        <v>61</v>
      </c>
      <c r="C20" s="12">
        <v>3000</v>
      </c>
      <c r="D20" s="12">
        <v>7000</v>
      </c>
      <c r="E20" s="12">
        <v>9000</v>
      </c>
      <c r="F20" s="13">
        <v>10695.1871657754</v>
      </c>
      <c r="G20" s="13">
        <v>21390.374331550789</v>
      </c>
      <c r="H20" s="13">
        <v>32085.56149732618</v>
      </c>
      <c r="I20" s="14">
        <v>20000</v>
      </c>
      <c r="J20" s="14">
        <v>45000</v>
      </c>
      <c r="K20" s="14">
        <v>80000</v>
      </c>
      <c r="M20" s="454">
        <v>0.6555319450369631</v>
      </c>
      <c r="N20" s="454">
        <v>0.51958148266776627</v>
      </c>
      <c r="O20" s="454">
        <v>0.49054922058174516</v>
      </c>
    </row>
    <row r="21" spans="2:17">
      <c r="B21" s="7" t="s">
        <v>62</v>
      </c>
      <c r="C21" s="12">
        <v>23000</v>
      </c>
      <c r="D21" s="12">
        <v>47000</v>
      </c>
      <c r="E21" s="12">
        <v>80000</v>
      </c>
      <c r="F21" s="13">
        <v>43441</v>
      </c>
      <c r="G21" s="13">
        <v>76823.099999999991</v>
      </c>
      <c r="H21" s="13">
        <v>115110</v>
      </c>
      <c r="I21" s="14">
        <v>52500</v>
      </c>
      <c r="J21" s="14">
        <v>143000</v>
      </c>
      <c r="K21" s="14">
        <v>250000</v>
      </c>
      <c r="M21" s="454">
        <v>0.59465338341332741</v>
      </c>
      <c r="N21" s="454">
        <v>0.59248129247971426</v>
      </c>
      <c r="O21" s="454">
        <v>0.58158095682498878</v>
      </c>
      <c r="Q21" s="26" t="s">
        <v>63</v>
      </c>
    </row>
    <row r="22" spans="2:17">
      <c r="B22" s="7" t="s">
        <v>64</v>
      </c>
      <c r="C22" s="12">
        <v>8000</v>
      </c>
      <c r="D22" s="12">
        <v>12000</v>
      </c>
      <c r="E22" s="12">
        <v>15000</v>
      </c>
      <c r="F22" s="13">
        <v>13363.001</v>
      </c>
      <c r="G22" s="13">
        <v>25000.001</v>
      </c>
      <c r="H22" s="13">
        <v>35800.001000000004</v>
      </c>
      <c r="I22" s="14">
        <v>15000</v>
      </c>
      <c r="J22" s="14">
        <v>27000</v>
      </c>
      <c r="K22" s="14">
        <v>44000</v>
      </c>
      <c r="M22" s="454">
        <v>0.75127244668285487</v>
      </c>
      <c r="N22" s="454">
        <v>0.71772699861362965</v>
      </c>
      <c r="O22" s="454">
        <v>0.68443392313892237</v>
      </c>
    </row>
    <row r="23" spans="2:17">
      <c r="B23" s="7" t="s">
        <v>65</v>
      </c>
      <c r="C23" s="12">
        <v>350</v>
      </c>
      <c r="D23" s="12">
        <v>400</v>
      </c>
      <c r="E23" s="12">
        <v>500</v>
      </c>
      <c r="F23" s="13">
        <v>500</v>
      </c>
      <c r="G23" s="13">
        <v>800</v>
      </c>
      <c r="H23" s="13">
        <v>1000</v>
      </c>
      <c r="I23" s="14">
        <v>2500</v>
      </c>
      <c r="J23" s="14">
        <v>2500</v>
      </c>
      <c r="K23" s="14">
        <v>2500</v>
      </c>
      <c r="M23" s="454">
        <v>0.75127244668285487</v>
      </c>
      <c r="N23" s="454">
        <v>0.71772699861362965</v>
      </c>
      <c r="O23" s="454">
        <v>0.68443392313892237</v>
      </c>
    </row>
    <row r="24" spans="2:17">
      <c r="B24" s="7" t="s">
        <v>66</v>
      </c>
      <c r="C24" s="12">
        <v>1413.55</v>
      </c>
      <c r="D24" s="12">
        <v>1600</v>
      </c>
      <c r="E24" s="12">
        <v>2000</v>
      </c>
      <c r="F24" s="13">
        <v>1413.55</v>
      </c>
      <c r="G24" s="13">
        <v>1600</v>
      </c>
      <c r="H24" s="13">
        <v>2000</v>
      </c>
      <c r="I24" s="14">
        <v>1663</v>
      </c>
      <c r="J24" s="14">
        <v>2000</v>
      </c>
      <c r="K24" s="14">
        <v>2500</v>
      </c>
      <c r="M24" s="454">
        <v>0.75127244668285487</v>
      </c>
      <c r="N24" s="454">
        <v>0.71772699861362965</v>
      </c>
      <c r="O24" s="454">
        <v>0.68443392313892237</v>
      </c>
    </row>
    <row r="25" spans="2:17">
      <c r="B25" s="7" t="s">
        <v>67</v>
      </c>
      <c r="C25" s="12">
        <v>9592.5265260714241</v>
      </c>
      <c r="D25" s="12">
        <v>13964.083181071417</v>
      </c>
      <c r="E25" s="12">
        <v>17160.653756071413</v>
      </c>
      <c r="F25" s="13">
        <v>10717.611546071421</v>
      </c>
      <c r="G25" s="13">
        <v>16909.23620107141</v>
      </c>
      <c r="H25" s="13">
        <v>20025.066676071408</v>
      </c>
      <c r="I25" s="14">
        <v>14328.717838571421</v>
      </c>
      <c r="J25" s="14">
        <v>18754.04850857141</v>
      </c>
      <c r="K25" s="14">
        <v>23396.075108571396</v>
      </c>
      <c r="M25" s="454">
        <v>0.75171328381958036</v>
      </c>
      <c r="N25" s="454">
        <v>0.78173751273061232</v>
      </c>
      <c r="O25" s="454">
        <v>0.76428226669967558</v>
      </c>
    </row>
    <row r="26" spans="2:17">
      <c r="B26" s="7" t="s">
        <v>68</v>
      </c>
      <c r="C26" s="12">
        <v>1000</v>
      </c>
      <c r="D26" s="12">
        <f>C26</f>
        <v>1000</v>
      </c>
      <c r="E26" s="12">
        <f>D26</f>
        <v>1000</v>
      </c>
      <c r="F26" s="13">
        <v>1608</v>
      </c>
      <c r="G26" s="13">
        <v>0</v>
      </c>
      <c r="H26" s="13">
        <v>0</v>
      </c>
      <c r="I26" s="14">
        <v>3900</v>
      </c>
      <c r="J26" s="14">
        <f>I26</f>
        <v>3900</v>
      </c>
      <c r="K26" s="14">
        <f>J26</f>
        <v>3900</v>
      </c>
      <c r="M26" s="454">
        <v>0.93283582089552242</v>
      </c>
      <c r="N26" s="454">
        <v>0.4417719351686894</v>
      </c>
      <c r="O26" s="454">
        <v>0.4392526991734037</v>
      </c>
    </row>
    <row r="27" spans="2:17">
      <c r="B27" s="7" t="s">
        <v>69</v>
      </c>
      <c r="C27" s="12">
        <v>1444</v>
      </c>
      <c r="D27" s="12">
        <v>1605</v>
      </c>
      <c r="E27" s="12">
        <v>6532</v>
      </c>
      <c r="F27" s="13">
        <v>1604.5971459999971</v>
      </c>
      <c r="G27" s="13">
        <v>6531.5971459999964</v>
      </c>
      <c r="H27" s="13">
        <v>6531.5971459999964</v>
      </c>
      <c r="I27" s="14">
        <v>1685</v>
      </c>
      <c r="J27" s="14">
        <v>7185</v>
      </c>
      <c r="K27" s="14">
        <v>14428</v>
      </c>
      <c r="M27" s="454">
        <v>0.68553032313569995</v>
      </c>
      <c r="N27" s="454">
        <v>0.89947372268632597</v>
      </c>
      <c r="O27" s="454">
        <v>0.89947372268632597</v>
      </c>
    </row>
    <row r="28" spans="2:17">
      <c r="B28" s="7" t="s">
        <v>70</v>
      </c>
      <c r="C28" s="12">
        <v>4249</v>
      </c>
      <c r="D28" s="12">
        <v>4721</v>
      </c>
      <c r="E28" s="12">
        <v>7209</v>
      </c>
      <c r="F28" s="13">
        <v>4720.9625848999913</v>
      </c>
      <c r="G28" s="13">
        <v>7208.9625848999922</v>
      </c>
      <c r="H28" s="13">
        <v>7208.9625848999922</v>
      </c>
      <c r="I28" s="14">
        <v>4957</v>
      </c>
      <c r="J28" s="14">
        <v>7930</v>
      </c>
      <c r="K28" s="14">
        <v>15925</v>
      </c>
      <c r="M28" s="454">
        <v>0.59309938379003579</v>
      </c>
      <c r="N28" s="454">
        <v>0.63809458654081974</v>
      </c>
      <c r="O28" s="454">
        <v>0.63809458654081974</v>
      </c>
    </row>
    <row r="29" spans="2:17">
      <c r="B29" s="7" t="s">
        <v>71</v>
      </c>
      <c r="C29" s="12">
        <v>13385</v>
      </c>
      <c r="D29" s="12">
        <v>14873</v>
      </c>
      <c r="E29" s="12">
        <v>24394</v>
      </c>
      <c r="F29" s="13">
        <v>14872.503048699969</v>
      </c>
      <c r="G29" s="13">
        <v>24393.503048699971</v>
      </c>
      <c r="H29" s="13">
        <v>24393.503048699971</v>
      </c>
      <c r="I29" s="14">
        <v>15616</v>
      </c>
      <c r="J29" s="14">
        <v>26833</v>
      </c>
      <c r="K29" s="14">
        <v>53886</v>
      </c>
      <c r="M29" s="454">
        <v>0.7463437703561453</v>
      </c>
      <c r="N29" s="454">
        <v>0.77877293646893531</v>
      </c>
      <c r="O29" s="454">
        <v>0.77877293646893531</v>
      </c>
    </row>
    <row r="30" spans="2:17">
      <c r="B30" s="7" t="s">
        <v>72</v>
      </c>
      <c r="C30" s="12">
        <v>19814</v>
      </c>
      <c r="D30" s="12">
        <v>22016</v>
      </c>
      <c r="E30" s="12">
        <v>32496</v>
      </c>
      <c r="F30" s="13">
        <v>22015.894375599699</v>
      </c>
      <c r="G30" s="13">
        <v>32495.894375599699</v>
      </c>
      <c r="H30" s="13">
        <v>32495.894375599699</v>
      </c>
      <c r="I30" s="14">
        <v>23117</v>
      </c>
      <c r="J30" s="14">
        <v>35745</v>
      </c>
      <c r="K30" s="14">
        <v>71784</v>
      </c>
      <c r="M30" s="454">
        <v>0.45421729544101724</v>
      </c>
      <c r="N30" s="454">
        <v>0.49236989187206287</v>
      </c>
      <c r="O30" s="454">
        <v>0.49236989187206287</v>
      </c>
    </row>
    <row r="31" spans="2:17">
      <c r="B31" s="7" t="s">
        <v>73</v>
      </c>
      <c r="C31" s="12">
        <v>14482</v>
      </c>
      <c r="D31" s="12">
        <v>16091</v>
      </c>
      <c r="E31" s="12">
        <v>19323</v>
      </c>
      <c r="F31" s="13">
        <v>16091.417540399971</v>
      </c>
      <c r="G31" s="13">
        <v>19323.417540399969</v>
      </c>
      <c r="H31" s="13">
        <v>19323.417540399969</v>
      </c>
      <c r="I31" s="14">
        <v>16896</v>
      </c>
      <c r="J31" s="14">
        <v>21256</v>
      </c>
      <c r="K31" s="14">
        <v>42686</v>
      </c>
      <c r="M31" s="454">
        <v>0.90197149900314089</v>
      </c>
      <c r="N31" s="454">
        <v>0.89352724298905839</v>
      </c>
      <c r="O31" s="454">
        <v>0.89352724298905839</v>
      </c>
    </row>
    <row r="32" spans="2:17">
      <c r="B32" s="7" t="s">
        <v>74</v>
      </c>
      <c r="C32" s="12">
        <v>5528</v>
      </c>
      <c r="D32" s="12">
        <v>6142</v>
      </c>
      <c r="E32" s="12">
        <v>10206</v>
      </c>
      <c r="F32" s="13">
        <v>6141.9030851999742</v>
      </c>
      <c r="G32" s="13">
        <v>10205.903085199971</v>
      </c>
      <c r="H32" s="13">
        <v>10205.903085199971</v>
      </c>
      <c r="I32" s="14">
        <v>6449</v>
      </c>
      <c r="J32" s="14">
        <v>11226</v>
      </c>
      <c r="K32" s="14">
        <v>22545</v>
      </c>
      <c r="M32" s="454">
        <v>0.91176951546080443</v>
      </c>
      <c r="N32" s="454">
        <v>0.93122577401133322</v>
      </c>
      <c r="O32" s="454">
        <v>0.93122577401133322</v>
      </c>
    </row>
    <row r="33" spans="2:15">
      <c r="B33" s="7" t="s">
        <v>75</v>
      </c>
      <c r="C33" s="12">
        <v>8187</v>
      </c>
      <c r="D33" s="12">
        <v>9097</v>
      </c>
      <c r="E33" s="12">
        <v>13013</v>
      </c>
      <c r="F33" s="13">
        <v>9096.9878383999512</v>
      </c>
      <c r="G33" s="13">
        <v>13012.987838399949</v>
      </c>
      <c r="H33" s="13">
        <v>13012.987838399949</v>
      </c>
      <c r="I33" s="14">
        <v>9552</v>
      </c>
      <c r="J33" s="14">
        <v>14314</v>
      </c>
      <c r="K33" s="14">
        <v>28746</v>
      </c>
      <c r="M33" s="454">
        <v>0.86841932080558992</v>
      </c>
      <c r="N33" s="454">
        <v>0.87604784862395735</v>
      </c>
      <c r="O33" s="454">
        <v>0.87604784862395735</v>
      </c>
    </row>
    <row r="34" spans="2:15">
      <c r="B34" s="7" t="s">
        <v>76</v>
      </c>
      <c r="C34" s="12">
        <v>5000</v>
      </c>
      <c r="D34" s="12">
        <v>5320</v>
      </c>
      <c r="E34" s="12">
        <v>5900</v>
      </c>
      <c r="F34" s="13">
        <v>5000</v>
      </c>
      <c r="G34" s="13">
        <v>5320</v>
      </c>
      <c r="H34" s="13">
        <v>5900</v>
      </c>
      <c r="I34" s="14">
        <v>5000.3</v>
      </c>
      <c r="J34" s="14">
        <v>5600.3</v>
      </c>
      <c r="K34" s="14">
        <v>5900.3</v>
      </c>
      <c r="M34" s="454">
        <v>0.82410075205625122</v>
      </c>
      <c r="N34" s="454">
        <v>0.73562093510565851</v>
      </c>
      <c r="O34" s="454">
        <v>0.68765013028518407</v>
      </c>
    </row>
    <row r="35" spans="2:15">
      <c r="B35" s="7" t="s">
        <v>77</v>
      </c>
      <c r="C35" s="12">
        <v>0</v>
      </c>
      <c r="D35" s="12">
        <v>0</v>
      </c>
      <c r="E35" s="12">
        <v>0</v>
      </c>
      <c r="F35" s="13">
        <v>0</v>
      </c>
      <c r="G35" s="13">
        <v>0</v>
      </c>
      <c r="H35" s="13">
        <v>0</v>
      </c>
      <c r="I35" s="14">
        <v>0</v>
      </c>
      <c r="J35" s="14">
        <v>0</v>
      </c>
      <c r="K35" s="14">
        <v>0</v>
      </c>
      <c r="M35" s="454"/>
      <c r="N35" s="454"/>
      <c r="O35" s="454"/>
    </row>
    <row r="36" spans="2:15">
      <c r="B36" s="7" t="s">
        <v>78</v>
      </c>
      <c r="C36" s="12">
        <v>0</v>
      </c>
      <c r="D36" s="12">
        <v>0</v>
      </c>
      <c r="E36" s="12">
        <v>0</v>
      </c>
      <c r="F36" s="13">
        <v>0</v>
      </c>
      <c r="G36" s="13">
        <v>0</v>
      </c>
      <c r="H36" s="13">
        <v>0</v>
      </c>
      <c r="I36" s="14">
        <v>0</v>
      </c>
      <c r="J36" s="14">
        <v>0</v>
      </c>
      <c r="K36" s="14">
        <v>0</v>
      </c>
      <c r="M36" s="454"/>
      <c r="N36" s="454"/>
      <c r="O36" s="454"/>
    </row>
    <row r="37" spans="2:15">
      <c r="B37" s="7" t="s">
        <v>79</v>
      </c>
      <c r="C37" s="12">
        <v>540.59999999999991</v>
      </c>
      <c r="D37" s="12">
        <v>790.59999999999991</v>
      </c>
      <c r="E37" s="12">
        <v>1032.4000000000001</v>
      </c>
      <c r="F37" s="13">
        <v>608.49999999999977</v>
      </c>
      <c r="G37" s="13">
        <v>857.39999999999986</v>
      </c>
      <c r="H37" s="13">
        <v>1032.4000000000001</v>
      </c>
      <c r="I37" s="14">
        <v>983.49999999999977</v>
      </c>
      <c r="J37" s="14">
        <v>1800.3999999999999</v>
      </c>
      <c r="K37" s="14">
        <v>2175.3999999999996</v>
      </c>
      <c r="M37" s="454">
        <v>0.30139687756778971</v>
      </c>
      <c r="N37" s="454">
        <v>0.30020993701889437</v>
      </c>
      <c r="O37" s="454">
        <v>0.27353738860906629</v>
      </c>
    </row>
    <row r="38" spans="2:15">
      <c r="B38" s="7" t="s">
        <v>80</v>
      </c>
      <c r="C38" s="12">
        <v>0</v>
      </c>
      <c r="D38" s="12">
        <v>0</v>
      </c>
      <c r="E38" s="12">
        <v>0</v>
      </c>
      <c r="F38" s="13">
        <v>0</v>
      </c>
      <c r="G38" s="13">
        <v>0</v>
      </c>
      <c r="H38" s="13">
        <v>0</v>
      </c>
      <c r="I38" s="14">
        <v>0</v>
      </c>
      <c r="J38" s="14">
        <v>0</v>
      </c>
      <c r="K38" s="14">
        <v>0</v>
      </c>
      <c r="M38" s="454"/>
      <c r="N38" s="454"/>
      <c r="O38" s="454"/>
    </row>
    <row r="39" spans="2:15">
      <c r="B39" s="7" t="s">
        <v>81</v>
      </c>
      <c r="C39" s="12">
        <v>200</v>
      </c>
      <c r="D39" s="12">
        <v>770.88176049275955</v>
      </c>
      <c r="E39" s="12">
        <v>1143.18562363148</v>
      </c>
      <c r="F39" s="13">
        <v>300</v>
      </c>
      <c r="G39" s="13">
        <v>1000</v>
      </c>
      <c r="H39" s="13">
        <v>1500</v>
      </c>
      <c r="I39" s="14">
        <v>500</v>
      </c>
      <c r="J39" s="14">
        <v>1101.259657846799</v>
      </c>
      <c r="K39" s="14">
        <v>2078.5193156935989</v>
      </c>
      <c r="M39" s="454">
        <v>0.93152092035883038</v>
      </c>
      <c r="N39" s="454">
        <v>0.87047638784550418</v>
      </c>
      <c r="O39" s="454">
        <v>0.87047638784550418</v>
      </c>
    </row>
    <row r="40" spans="2:15">
      <c r="B40" s="7" t="s">
        <v>82</v>
      </c>
      <c r="C40" s="12">
        <f>F40</f>
        <v>31.5</v>
      </c>
      <c r="D40" s="12">
        <f>G40</f>
        <v>31.5</v>
      </c>
      <c r="E40" s="12">
        <f>H40</f>
        <v>31.5</v>
      </c>
      <c r="F40" s="13">
        <v>31.5</v>
      </c>
      <c r="G40" s="13">
        <v>31.5</v>
      </c>
      <c r="H40" s="13">
        <v>31.5</v>
      </c>
      <c r="I40" s="14">
        <f>F40</f>
        <v>31.5</v>
      </c>
      <c r="J40" s="14">
        <f>G40</f>
        <v>31.5</v>
      </c>
      <c r="K40" s="14">
        <f>H40</f>
        <v>31.5</v>
      </c>
      <c r="M40" s="454">
        <v>0.75127244668285487</v>
      </c>
      <c r="N40" s="454">
        <v>0.71772699861362965</v>
      </c>
      <c r="O40" s="454">
        <v>0.68443392313892237</v>
      </c>
    </row>
    <row r="41" spans="2:15">
      <c r="B41" s="7" t="s">
        <v>83</v>
      </c>
      <c r="C41" s="12">
        <v>275</v>
      </c>
      <c r="D41" s="12">
        <v>806</v>
      </c>
      <c r="E41" s="12">
        <v>806</v>
      </c>
      <c r="F41" s="13">
        <v>630</v>
      </c>
      <c r="G41" s="13">
        <v>1400</v>
      </c>
      <c r="H41" s="13">
        <v>1400</v>
      </c>
      <c r="I41" s="14">
        <v>2326</v>
      </c>
      <c r="J41" s="14">
        <v>3951</v>
      </c>
      <c r="K41" s="14">
        <v>3951</v>
      </c>
      <c r="M41" s="454">
        <v>0.68253968253968256</v>
      </c>
      <c r="N41" s="454">
        <v>0.7142857142857143</v>
      </c>
      <c r="O41" s="454">
        <v>0.7142857142857143</v>
      </c>
    </row>
    <row r="42" spans="2:15">
      <c r="B42" s="7" t="s">
        <v>84</v>
      </c>
      <c r="C42" s="12">
        <v>266</v>
      </c>
      <c r="D42" s="12">
        <v>266</v>
      </c>
      <c r="E42" s="12">
        <v>266</v>
      </c>
      <c r="F42" s="13">
        <v>282</v>
      </c>
      <c r="G42" s="13">
        <v>328</v>
      </c>
      <c r="H42" s="13">
        <v>328</v>
      </c>
      <c r="I42" s="14">
        <v>282</v>
      </c>
      <c r="J42" s="14">
        <v>328</v>
      </c>
      <c r="K42" s="14">
        <v>328</v>
      </c>
      <c r="M42" s="454">
        <v>0.75127244668285487</v>
      </c>
      <c r="N42" s="454">
        <v>0.71772699861362965</v>
      </c>
      <c r="O42" s="454">
        <v>0.68443392313892237</v>
      </c>
    </row>
    <row r="43" spans="2:15">
      <c r="B43" s="7" t="s">
        <v>85</v>
      </c>
      <c r="C43" s="12">
        <v>41964.43161764706</v>
      </c>
      <c r="D43" s="12">
        <v>68245.349756958793</v>
      </c>
      <c r="E43" s="12">
        <v>99983.269569932789</v>
      </c>
      <c r="F43" s="13">
        <v>59317.087499999994</v>
      </c>
      <c r="G43" s="13">
        <v>102414.20000000001</v>
      </c>
      <c r="H43" s="13">
        <v>145494.77000000002</v>
      </c>
      <c r="I43" s="14">
        <v>76104.481617647063</v>
      </c>
      <c r="J43" s="14">
        <v>126139.41727407376</v>
      </c>
      <c r="K43" s="14">
        <v>183097.77703517003</v>
      </c>
      <c r="M43" s="454">
        <v>0.28994338250248353</v>
      </c>
      <c r="N43" s="454">
        <v>0.30799619070331236</v>
      </c>
      <c r="O43" s="454">
        <v>0.31437994048667833</v>
      </c>
    </row>
    <row r="44" spans="2:15">
      <c r="B44" s="7" t="s">
        <v>86</v>
      </c>
      <c r="C44" s="12">
        <v>780</v>
      </c>
      <c r="D44" s="12">
        <v>1000</v>
      </c>
      <c r="E44" s="12">
        <v>1300</v>
      </c>
      <c r="F44" s="13">
        <v>780</v>
      </c>
      <c r="G44" s="13">
        <v>1400</v>
      </c>
      <c r="H44" s="13">
        <v>1500</v>
      </c>
      <c r="I44" s="14">
        <v>780</v>
      </c>
      <c r="J44" s="14">
        <v>2200</v>
      </c>
      <c r="K44" s="14">
        <v>2700</v>
      </c>
      <c r="M44" s="454">
        <v>0.82410075205625122</v>
      </c>
      <c r="N44" s="454">
        <v>0.73562093510565851</v>
      </c>
      <c r="O44" s="454">
        <v>0.68765013028518407</v>
      </c>
    </row>
    <row r="45" spans="2:15">
      <c r="B45" s="7" t="s">
        <v>87</v>
      </c>
      <c r="C45" s="12">
        <v>0</v>
      </c>
      <c r="D45" s="12">
        <v>0</v>
      </c>
      <c r="E45" s="12">
        <v>0</v>
      </c>
      <c r="F45" s="13">
        <v>0</v>
      </c>
      <c r="G45" s="13">
        <v>0</v>
      </c>
      <c r="H45" s="13">
        <v>0</v>
      </c>
      <c r="I45" s="14">
        <v>0</v>
      </c>
      <c r="J45" s="14">
        <v>0</v>
      </c>
      <c r="K45" s="14">
        <v>0</v>
      </c>
      <c r="M45" s="454"/>
      <c r="N45" s="454"/>
      <c r="O45" s="454"/>
    </row>
    <row r="46" spans="2:15">
      <c r="B46" s="7" t="s">
        <v>88</v>
      </c>
      <c r="C46" s="12">
        <v>4370</v>
      </c>
      <c r="D46" s="12">
        <v>9740</v>
      </c>
      <c r="E46" s="12">
        <v>10640</v>
      </c>
      <c r="F46" s="13">
        <v>4370</v>
      </c>
      <c r="G46" s="13">
        <v>9740</v>
      </c>
      <c r="H46" s="13">
        <v>10640</v>
      </c>
      <c r="I46" s="14">
        <v>4370</v>
      </c>
      <c r="J46" s="14">
        <v>18100</v>
      </c>
      <c r="K46" s="14">
        <v>20300</v>
      </c>
      <c r="M46" s="454">
        <v>0.82410075205625122</v>
      </c>
      <c r="N46" s="454">
        <v>0.73562093510565851</v>
      </c>
      <c r="O46" s="454">
        <v>0.68765013028518407</v>
      </c>
    </row>
    <row r="47" spans="2:15">
      <c r="B47" s="7" t="s">
        <v>89</v>
      </c>
      <c r="C47" s="12">
        <v>13885</v>
      </c>
      <c r="D47" s="12">
        <v>15897</v>
      </c>
      <c r="E47" s="12">
        <v>20000</v>
      </c>
      <c r="F47" s="13">
        <v>21663</v>
      </c>
      <c r="G47" s="13">
        <v>26000</v>
      </c>
      <c r="H47" s="13">
        <v>30000</v>
      </c>
      <c r="I47" s="14">
        <v>33000</v>
      </c>
      <c r="J47" s="14">
        <v>65000</v>
      </c>
      <c r="K47" s="14">
        <v>96000</v>
      </c>
      <c r="M47" s="454">
        <v>0.43303084381626783</v>
      </c>
      <c r="N47" s="454">
        <v>0.4417719351686894</v>
      </c>
      <c r="O47" s="454">
        <v>0.4392526991734037</v>
      </c>
    </row>
    <row r="48" spans="2:15">
      <c r="B48" s="7" t="s">
        <v>90</v>
      </c>
      <c r="C48" s="12">
        <v>11675.448008701331</v>
      </c>
      <c r="D48" s="12">
        <v>13393.564979100511</v>
      </c>
      <c r="E48" s="12">
        <v>13393.564979100511</v>
      </c>
      <c r="F48" s="13">
        <v>11675.448008701331</v>
      </c>
      <c r="G48" s="13">
        <v>13705.82390970883</v>
      </c>
      <c r="H48" s="13">
        <v>13705.82390970883</v>
      </c>
      <c r="I48" s="14">
        <v>11675.448008701331</v>
      </c>
      <c r="J48" s="14">
        <v>13705.82390970883</v>
      </c>
      <c r="K48" s="14">
        <v>13705.82390970883</v>
      </c>
      <c r="M48" s="454">
        <v>0.957265193735651</v>
      </c>
      <c r="N48" s="454">
        <v>0.93539068387697921</v>
      </c>
      <c r="O48" s="454">
        <v>0.93539068387697921</v>
      </c>
    </row>
    <row r="49" spans="2:15">
      <c r="B49" s="7" t="s">
        <v>91</v>
      </c>
      <c r="C49" s="12">
        <v>5054</v>
      </c>
      <c r="D49" s="12">
        <v>8300</v>
      </c>
      <c r="E49" s="12">
        <v>10300</v>
      </c>
      <c r="F49" s="13">
        <v>8300</v>
      </c>
      <c r="G49" s="13">
        <v>12800</v>
      </c>
      <c r="H49" s="13">
        <v>14500</v>
      </c>
      <c r="I49" s="14">
        <v>9700</v>
      </c>
      <c r="J49" s="14">
        <v>14500</v>
      </c>
      <c r="K49" s="14">
        <v>16500</v>
      </c>
      <c r="M49" s="454">
        <v>0.59465338341332741</v>
      </c>
      <c r="N49" s="454">
        <v>0.59248129247971426</v>
      </c>
      <c r="O49" s="454">
        <v>0.58158095682498878</v>
      </c>
    </row>
    <row r="50" spans="2:15">
      <c r="B50" s="7" t="s">
        <v>92</v>
      </c>
      <c r="C50" s="12">
        <v>605.85</v>
      </c>
      <c r="D50" s="12">
        <v>605.85</v>
      </c>
      <c r="E50" s="12">
        <v>605.85</v>
      </c>
      <c r="F50" s="13">
        <v>794.85</v>
      </c>
      <c r="G50" s="13">
        <v>794.85</v>
      </c>
      <c r="H50" s="13">
        <v>794.85</v>
      </c>
      <c r="I50" s="14">
        <v>794.85</v>
      </c>
      <c r="J50" s="14">
        <v>794.85</v>
      </c>
      <c r="K50" s="14">
        <v>794.85</v>
      </c>
      <c r="M50" s="454">
        <v>0.6806315657042209</v>
      </c>
      <c r="N50" s="454">
        <v>0.6806315657042209</v>
      </c>
      <c r="O50" s="454">
        <v>0.6806315657042209</v>
      </c>
    </row>
    <row r="51" spans="2:15">
      <c r="B51" s="7" t="s">
        <v>93</v>
      </c>
      <c r="C51" s="12">
        <v>19</v>
      </c>
      <c r="D51" s="12">
        <v>34</v>
      </c>
      <c r="E51" s="12">
        <v>34</v>
      </c>
      <c r="F51" s="13">
        <v>346.28019514468781</v>
      </c>
      <c r="G51" s="13">
        <v>692.5603902893755</v>
      </c>
      <c r="H51" s="13">
        <v>1038.8405854340631</v>
      </c>
      <c r="I51" s="14">
        <v>1000</v>
      </c>
      <c r="J51" s="14">
        <v>2000</v>
      </c>
      <c r="K51" s="14">
        <v>3000</v>
      </c>
      <c r="M51" s="454">
        <v>0.82410075205625122</v>
      </c>
      <c r="N51" s="454">
        <v>0.73562093510565851</v>
      </c>
      <c r="O51" s="454">
        <v>0.68765013028518407</v>
      </c>
    </row>
    <row r="52" spans="2:15">
      <c r="B52" s="7" t="s">
        <v>94</v>
      </c>
      <c r="C52" s="12">
        <v>103</v>
      </c>
      <c r="D52" s="12">
        <v>254</v>
      </c>
      <c r="E52" s="12">
        <v>254</v>
      </c>
      <c r="F52" s="13">
        <v>333.88621852888008</v>
      </c>
      <c r="G52" s="13">
        <v>667.77243705776016</v>
      </c>
      <c r="H52" s="13">
        <v>1001.65865558664</v>
      </c>
      <c r="I52" s="14">
        <v>2000</v>
      </c>
      <c r="J52" s="14">
        <v>4000</v>
      </c>
      <c r="K52" s="14">
        <v>6000</v>
      </c>
      <c r="M52" s="454">
        <v>0.82410075205625122</v>
      </c>
      <c r="N52" s="454">
        <v>0.73562093510565851</v>
      </c>
      <c r="O52" s="454">
        <v>0.68765013028518407</v>
      </c>
    </row>
    <row r="53" spans="2:15">
      <c r="B53" s="7" t="s">
        <v>95</v>
      </c>
      <c r="C53" s="12">
        <v>1523</v>
      </c>
      <c r="D53" s="12">
        <v>3160</v>
      </c>
      <c r="E53" s="12">
        <v>3160</v>
      </c>
      <c r="F53" s="13">
        <v>4851.6922345340436</v>
      </c>
      <c r="G53" s="13">
        <v>9703.3844690680889</v>
      </c>
      <c r="H53" s="13">
        <v>14555.076703602141</v>
      </c>
      <c r="I53" s="14">
        <v>9800</v>
      </c>
      <c r="J53" s="14">
        <v>23250</v>
      </c>
      <c r="K53" s="14">
        <v>28650</v>
      </c>
      <c r="M53" s="454">
        <v>0.82410075205625122</v>
      </c>
      <c r="N53" s="454">
        <v>0.73562093510565851</v>
      </c>
      <c r="O53" s="454">
        <v>0.68765013028518407</v>
      </c>
    </row>
    <row r="54" spans="2:15">
      <c r="B54" s="7" t="s">
        <v>96</v>
      </c>
      <c r="C54" s="12">
        <v>650</v>
      </c>
      <c r="D54" s="12">
        <v>1350</v>
      </c>
      <c r="E54" s="12">
        <v>1350</v>
      </c>
      <c r="F54" s="13">
        <v>2116.188944479522</v>
      </c>
      <c r="G54" s="13">
        <v>4232.377888959043</v>
      </c>
      <c r="H54" s="13">
        <v>6348.5668334385646</v>
      </c>
      <c r="I54" s="14">
        <v>4200</v>
      </c>
      <c r="J54" s="14">
        <v>9600</v>
      </c>
      <c r="K54" s="14">
        <v>11850</v>
      </c>
      <c r="M54" s="454">
        <v>0.82410075205625122</v>
      </c>
      <c r="N54" s="454">
        <v>0.73562093510565851</v>
      </c>
      <c r="O54" s="454">
        <v>0.68765013028518407</v>
      </c>
    </row>
    <row r="55" spans="2:15">
      <c r="B55" s="7" t="s">
        <v>97</v>
      </c>
      <c r="C55" s="12">
        <v>1060</v>
      </c>
      <c r="D55" s="12">
        <v>1910</v>
      </c>
      <c r="E55" s="12">
        <v>2720</v>
      </c>
      <c r="F55" s="13">
        <v>2750</v>
      </c>
      <c r="G55" s="13">
        <v>5250</v>
      </c>
      <c r="H55" s="13">
        <v>6980</v>
      </c>
      <c r="I55" s="14">
        <v>2860</v>
      </c>
      <c r="J55" s="14">
        <v>5744</v>
      </c>
      <c r="K55" s="14">
        <v>7411</v>
      </c>
      <c r="M55" s="454">
        <v>0.59465338341332741</v>
      </c>
      <c r="N55" s="454">
        <v>0.59248129247971426</v>
      </c>
      <c r="O55" s="454">
        <v>0.58158095682498878</v>
      </c>
    </row>
    <row r="56" spans="2:15">
      <c r="B56" s="7" t="s">
        <v>98</v>
      </c>
      <c r="C56" s="12">
        <v>1500</v>
      </c>
      <c r="D56" s="12">
        <v>2000</v>
      </c>
      <c r="E56" s="12">
        <v>2500</v>
      </c>
      <c r="F56" s="13">
        <v>1500</v>
      </c>
      <c r="G56" s="13">
        <v>2880</v>
      </c>
      <c r="H56" s="13">
        <v>4375</v>
      </c>
      <c r="I56" s="14">
        <v>1500</v>
      </c>
      <c r="J56" s="14">
        <v>3250</v>
      </c>
      <c r="K56" s="14">
        <v>5000</v>
      </c>
      <c r="M56" s="454">
        <v>0.43303084381626783</v>
      </c>
      <c r="N56" s="454">
        <v>0.4417719351686894</v>
      </c>
      <c r="O56" s="454">
        <v>0.4392526991734037</v>
      </c>
    </row>
    <row r="57" spans="2:15">
      <c r="B57" s="7" t="s">
        <v>99</v>
      </c>
      <c r="C57" s="12">
        <v>24346.677</v>
      </c>
      <c r="D57" s="12">
        <v>25890</v>
      </c>
      <c r="E57" s="12">
        <v>25890</v>
      </c>
      <c r="F57" s="13">
        <v>34425.42</v>
      </c>
      <c r="G57" s="13">
        <v>59287.44</v>
      </c>
      <c r="H57" s="13">
        <v>79287.34</v>
      </c>
      <c r="I57" s="14">
        <v>72207.247000000018</v>
      </c>
      <c r="J57" s="14">
        <v>72207.247000000018</v>
      </c>
      <c r="K57" s="14">
        <v>79287.34</v>
      </c>
      <c r="M57" s="454">
        <v>0.41923119601736158</v>
      </c>
      <c r="N57" s="454">
        <v>0.47281869481967848</v>
      </c>
      <c r="O57" s="454">
        <v>0.51246781642567407</v>
      </c>
    </row>
    <row r="58" spans="2:15">
      <c r="B58" s="7" t="s">
        <v>100</v>
      </c>
      <c r="C58" s="12">
        <v>414</v>
      </c>
      <c r="D58" s="12">
        <v>414</v>
      </c>
      <c r="E58" s="12">
        <v>414</v>
      </c>
      <c r="F58" s="13">
        <v>591</v>
      </c>
      <c r="G58" s="13">
        <v>591</v>
      </c>
      <c r="H58" s="13">
        <v>591</v>
      </c>
      <c r="I58" s="14">
        <v>615</v>
      </c>
      <c r="J58" s="14">
        <v>615</v>
      </c>
      <c r="K58" s="14">
        <v>615</v>
      </c>
      <c r="M58" s="454">
        <v>0.70050761421319796</v>
      </c>
      <c r="N58" s="454">
        <v>0.4417719351686894</v>
      </c>
      <c r="O58" s="454">
        <v>0.4392526991734037</v>
      </c>
    </row>
    <row r="59" spans="2:15">
      <c r="B59" s="7" t="s">
        <v>101</v>
      </c>
      <c r="C59" s="17">
        <f>SUM(C4:C58)</f>
        <v>538991.7885924197</v>
      </c>
      <c r="D59" s="17">
        <f t="shared" ref="D59:K59" si="0">SUM(D4:D58)</f>
        <v>828990.146858725</v>
      </c>
      <c r="E59" s="17">
        <f t="shared" si="0"/>
        <v>1074874.855989604</v>
      </c>
      <c r="F59" s="18">
        <f t="shared" si="0"/>
        <v>671584.64700386347</v>
      </c>
      <c r="G59" s="18">
        <f t="shared" si="0"/>
        <v>1091031.004602809</v>
      </c>
      <c r="H59" s="18">
        <f t="shared" si="0"/>
        <v>1398656.3996392705</v>
      </c>
      <c r="I59" s="19">
        <f t="shared" si="0"/>
        <v>879235.94667894195</v>
      </c>
      <c r="J59" s="19">
        <f t="shared" si="0"/>
        <v>1443110.1059453245</v>
      </c>
      <c r="K59" s="19">
        <f t="shared" si="0"/>
        <v>2261807.6628840338</v>
      </c>
    </row>
    <row r="64" spans="2:15">
      <c r="F64" s="20"/>
      <c r="G64" s="20"/>
      <c r="H64" s="20"/>
      <c r="I64" s="1"/>
    </row>
    <row r="65" spans="6:9">
      <c r="F65" s="20"/>
      <c r="G65" s="20"/>
      <c r="H65" s="20"/>
      <c r="I65" s="1"/>
    </row>
  </sheetData>
  <mergeCells count="4">
    <mergeCell ref="C3:E3"/>
    <mergeCell ref="F3:H3"/>
    <mergeCell ref="I3:K3"/>
    <mergeCell ref="M3:O3"/>
  </mergeCells>
  <pageMargins left="0.7" right="0.7" top="0.75" bottom="0.75" header="0.3" footer="0.3"/>
  <headerFooter>
    <oddFooter>&amp;C_x000D_&amp;1#&amp;"Calibri"&amp;10&amp;K000000 ISC - Uso INTERNO / INTERNAL Use</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E711-3677-4888-AC30-15C0958AD30F}">
  <sheetPr codeName="Hoja6">
    <tabColor theme="7"/>
  </sheetPr>
  <dimension ref="B1:N59"/>
  <sheetViews>
    <sheetView workbookViewId="0">
      <selection activeCell="G58" sqref="G58"/>
    </sheetView>
  </sheetViews>
  <sheetFormatPr defaultColWidth="11.42578125" defaultRowHeight="15"/>
  <cols>
    <col min="1" max="1" width="1.5703125" customWidth="1"/>
    <col min="2" max="2" width="7.5703125" bestFit="1" customWidth="1"/>
    <col min="3" max="5" width="8.5703125" style="2" bestFit="1" customWidth="1"/>
    <col min="6" max="8" width="11.42578125" style="2"/>
    <col min="9" max="11" width="8.5703125" style="2" bestFit="1" customWidth="1"/>
  </cols>
  <sheetData>
    <row r="1" spans="2:14" ht="23.25">
      <c r="B1" s="438" t="s">
        <v>5</v>
      </c>
    </row>
    <row r="3" spans="2:14">
      <c r="B3" s="7" t="s">
        <v>40</v>
      </c>
      <c r="C3" s="457" t="s">
        <v>41</v>
      </c>
      <c r="D3" s="457"/>
      <c r="E3" s="457"/>
      <c r="F3" s="470" t="s">
        <v>102</v>
      </c>
      <c r="G3" s="470"/>
      <c r="H3" s="470"/>
      <c r="I3" s="471" t="s">
        <v>43</v>
      </c>
      <c r="J3" s="471"/>
      <c r="K3" s="471"/>
    </row>
    <row r="4" spans="2:14">
      <c r="B4" s="11" t="s">
        <v>45</v>
      </c>
      <c r="C4" s="22">
        <v>2030</v>
      </c>
      <c r="D4" s="22">
        <v>2040</v>
      </c>
      <c r="E4" s="22">
        <v>2050</v>
      </c>
      <c r="F4" s="23">
        <v>2030</v>
      </c>
      <c r="G4" s="23">
        <v>2040</v>
      </c>
      <c r="H4" s="23">
        <v>2050</v>
      </c>
      <c r="I4" s="10">
        <v>2030</v>
      </c>
      <c r="J4" s="10">
        <v>2040</v>
      </c>
      <c r="K4" s="10">
        <v>2050</v>
      </c>
      <c r="L4" s="11"/>
    </row>
    <row r="5" spans="2:14">
      <c r="B5" s="11" t="s">
        <v>46</v>
      </c>
      <c r="C5" s="24">
        <f>F5</f>
        <v>200</v>
      </c>
      <c r="D5" s="24">
        <f>G5</f>
        <v>400</v>
      </c>
      <c r="E5" s="24">
        <f>H5</f>
        <v>400</v>
      </c>
      <c r="F5" s="25">
        <v>200</v>
      </c>
      <c r="G5" s="25">
        <v>400</v>
      </c>
      <c r="H5" s="25">
        <v>400</v>
      </c>
      <c r="I5" s="14">
        <f>F5</f>
        <v>200</v>
      </c>
      <c r="J5" s="14">
        <f>G5</f>
        <v>400</v>
      </c>
      <c r="K5" s="14">
        <f>H5</f>
        <v>400</v>
      </c>
    </row>
    <row r="6" spans="2:14">
      <c r="B6" s="11" t="s">
        <v>47</v>
      </c>
      <c r="C6" s="24">
        <v>7500.0008342981546</v>
      </c>
      <c r="D6" s="24">
        <v>7500</v>
      </c>
      <c r="E6" s="24">
        <v>7500</v>
      </c>
      <c r="F6" s="25">
        <v>9056.0245587106674</v>
      </c>
      <c r="G6" s="25">
        <v>16000</v>
      </c>
      <c r="H6" s="25">
        <v>32939</v>
      </c>
      <c r="I6" s="14">
        <v>11096</v>
      </c>
      <c r="J6" s="14">
        <v>32939</v>
      </c>
      <c r="K6" s="14">
        <v>41144.901610017892</v>
      </c>
    </row>
    <row r="7" spans="2:14">
      <c r="B7" s="11" t="s">
        <v>48</v>
      </c>
      <c r="C7" s="24">
        <f>F7</f>
        <v>652</v>
      </c>
      <c r="D7" s="24">
        <f>G7</f>
        <v>1382</v>
      </c>
      <c r="E7" s="24">
        <f>H7</f>
        <v>1882</v>
      </c>
      <c r="F7" s="25">
        <v>652</v>
      </c>
      <c r="G7" s="25">
        <v>1382</v>
      </c>
      <c r="H7" s="25">
        <v>1882</v>
      </c>
      <c r="I7" s="14">
        <f>F7</f>
        <v>652</v>
      </c>
      <c r="J7" s="14">
        <f>G7</f>
        <v>1382</v>
      </c>
      <c r="K7" s="14">
        <f>H7</f>
        <v>1882</v>
      </c>
    </row>
    <row r="8" spans="2:14">
      <c r="B8" s="11" t="s">
        <v>49</v>
      </c>
      <c r="C8" s="24">
        <v>5014</v>
      </c>
      <c r="D8" s="24">
        <v>7242.7499999999991</v>
      </c>
      <c r="E8" s="24">
        <v>8840.25</v>
      </c>
      <c r="F8" s="25">
        <v>5014</v>
      </c>
      <c r="G8" s="25">
        <v>7242.7499999999991</v>
      </c>
      <c r="H8" s="25">
        <v>8840.25</v>
      </c>
      <c r="I8" s="14">
        <v>5014</v>
      </c>
      <c r="J8" s="14">
        <v>7242.7499999999991</v>
      </c>
      <c r="K8" s="14">
        <v>8840.25</v>
      </c>
    </row>
    <row r="9" spans="2:14">
      <c r="B9" s="11" t="s">
        <v>50</v>
      </c>
      <c r="C9" s="24">
        <v>800</v>
      </c>
      <c r="D9" s="24">
        <v>1200</v>
      </c>
      <c r="E9" s="24">
        <v>2550</v>
      </c>
      <c r="F9" s="25">
        <v>1225</v>
      </c>
      <c r="G9" s="25">
        <v>2088</v>
      </c>
      <c r="H9" s="25">
        <v>4777</v>
      </c>
      <c r="I9" s="14">
        <v>1600</v>
      </c>
      <c r="J9" s="14">
        <v>3000</v>
      </c>
      <c r="K9" s="14">
        <v>6000</v>
      </c>
      <c r="N9" s="16"/>
    </row>
    <row r="10" spans="2:14">
      <c r="B10" s="11" t="s">
        <v>51</v>
      </c>
      <c r="C10" s="24">
        <v>180</v>
      </c>
      <c r="D10" s="24">
        <v>180</v>
      </c>
      <c r="E10" s="24">
        <v>1498</v>
      </c>
      <c r="F10" s="25">
        <v>310</v>
      </c>
      <c r="G10" s="25">
        <v>1150</v>
      </c>
      <c r="H10" s="25">
        <v>2222.740353893771</v>
      </c>
      <c r="I10" s="14">
        <v>310</v>
      </c>
      <c r="J10" s="14">
        <v>1150</v>
      </c>
      <c r="K10" s="14">
        <v>2223</v>
      </c>
    </row>
    <row r="11" spans="2:14">
      <c r="B11" s="11" t="s">
        <v>52</v>
      </c>
      <c r="C11" s="24">
        <v>157.5</v>
      </c>
      <c r="D11" s="24">
        <v>157.5</v>
      </c>
      <c r="E11" s="24">
        <v>147.5</v>
      </c>
      <c r="F11" s="25">
        <v>197.5</v>
      </c>
      <c r="G11" s="25">
        <v>197.5</v>
      </c>
      <c r="H11" s="25">
        <v>157.5</v>
      </c>
      <c r="I11" s="14">
        <v>200</v>
      </c>
      <c r="J11" s="14">
        <v>300</v>
      </c>
      <c r="K11" s="14">
        <v>400</v>
      </c>
    </row>
    <row r="12" spans="2:14">
      <c r="B12" s="11" t="s">
        <v>53</v>
      </c>
      <c r="C12" s="24">
        <v>741</v>
      </c>
      <c r="D12" s="24">
        <v>1141.47</v>
      </c>
      <c r="E12" s="24">
        <v>1661.22</v>
      </c>
      <c r="F12" s="25">
        <v>958.3</v>
      </c>
      <c r="G12" s="25">
        <v>2500</v>
      </c>
      <c r="H12" s="25">
        <v>2500</v>
      </c>
      <c r="I12" s="14">
        <v>958.32000000000016</v>
      </c>
      <c r="J12" s="14">
        <v>2500.0000000000009</v>
      </c>
      <c r="K12" s="14">
        <v>2500.0000000000009</v>
      </c>
    </row>
    <row r="13" spans="2:14">
      <c r="B13" s="11" t="s">
        <v>54</v>
      </c>
      <c r="C13" s="24">
        <v>115000</v>
      </c>
      <c r="D13" s="24">
        <v>158875</v>
      </c>
      <c r="E13" s="24">
        <v>161125</v>
      </c>
      <c r="F13" s="25">
        <v>115000.7</v>
      </c>
      <c r="G13" s="25">
        <v>158878.29</v>
      </c>
      <c r="H13" s="25">
        <v>161129.51999999999</v>
      </c>
      <c r="I13" s="14">
        <v>115000</v>
      </c>
      <c r="J13" s="14">
        <v>168500</v>
      </c>
      <c r="K13" s="14">
        <v>191500</v>
      </c>
    </row>
    <row r="14" spans="2:14">
      <c r="B14" s="11" t="s">
        <v>55</v>
      </c>
      <c r="C14" s="24">
        <v>0</v>
      </c>
      <c r="D14" s="24">
        <v>0</v>
      </c>
      <c r="E14" s="24">
        <v>0</v>
      </c>
      <c r="F14" s="25">
        <v>0</v>
      </c>
      <c r="G14" s="25">
        <v>0</v>
      </c>
      <c r="H14" s="25">
        <v>0</v>
      </c>
      <c r="I14" s="14">
        <v>0</v>
      </c>
      <c r="J14" s="14">
        <v>0</v>
      </c>
      <c r="K14" s="14">
        <v>0</v>
      </c>
    </row>
    <row r="15" spans="2:14">
      <c r="B15" s="11" t="s">
        <v>56</v>
      </c>
      <c r="C15" s="24">
        <v>500</v>
      </c>
      <c r="D15" s="24">
        <v>500</v>
      </c>
      <c r="E15" s="24">
        <v>500</v>
      </c>
      <c r="F15" s="25">
        <v>1155.3842</v>
      </c>
      <c r="G15" s="25">
        <v>1020.9452</v>
      </c>
      <c r="H15" s="25">
        <v>1096.7632000000001</v>
      </c>
      <c r="I15" s="14">
        <v>1995.4137147075724</v>
      </c>
      <c r="J15" s="14">
        <v>1995.4137147075724</v>
      </c>
      <c r="K15" s="14">
        <v>1995.4137147075724</v>
      </c>
    </row>
    <row r="16" spans="2:14">
      <c r="B16" s="11" t="s">
        <v>57</v>
      </c>
      <c r="C16" s="24">
        <v>0</v>
      </c>
      <c r="D16" s="24">
        <v>0</v>
      </c>
      <c r="E16" s="24">
        <v>0</v>
      </c>
      <c r="F16" s="25">
        <v>0</v>
      </c>
      <c r="G16" s="25">
        <v>0</v>
      </c>
      <c r="H16" s="25">
        <v>0</v>
      </c>
      <c r="I16" s="14">
        <v>0</v>
      </c>
      <c r="J16" s="14">
        <v>0</v>
      </c>
      <c r="K16" s="14">
        <v>0</v>
      </c>
    </row>
    <row r="17" spans="2:14">
      <c r="B17" s="11" t="s">
        <v>58</v>
      </c>
      <c r="C17" s="24">
        <v>3500</v>
      </c>
      <c r="D17" s="24">
        <v>3500</v>
      </c>
      <c r="E17" s="24">
        <v>3500</v>
      </c>
      <c r="F17" s="25">
        <v>6150.2277999999997</v>
      </c>
      <c r="G17" s="25">
        <v>4925.4898000000003</v>
      </c>
      <c r="H17" s="25">
        <v>4974.5918000000001</v>
      </c>
      <c r="I17" s="14">
        <v>10504.586285292426</v>
      </c>
      <c r="J17" s="14">
        <v>10504.586285292426</v>
      </c>
      <c r="K17" s="14">
        <v>10504.586285292426</v>
      </c>
    </row>
    <row r="18" spans="2:14">
      <c r="B18" s="11" t="s">
        <v>59</v>
      </c>
      <c r="C18" s="24">
        <v>634</v>
      </c>
      <c r="D18" s="24">
        <v>696</v>
      </c>
      <c r="E18" s="24">
        <v>1000</v>
      </c>
      <c r="F18" s="25">
        <v>696</v>
      </c>
      <c r="G18" s="25">
        <v>1000</v>
      </c>
      <c r="H18" s="25">
        <v>1000</v>
      </c>
      <c r="I18" s="14">
        <v>1200</v>
      </c>
      <c r="J18" s="14">
        <v>2500</v>
      </c>
      <c r="K18" s="14">
        <v>3700</v>
      </c>
    </row>
    <row r="19" spans="2:14">
      <c r="B19" s="11" t="s">
        <v>60</v>
      </c>
      <c r="C19" s="24">
        <v>45400</v>
      </c>
      <c r="D19" s="24">
        <v>65400</v>
      </c>
      <c r="E19" s="24">
        <v>75400</v>
      </c>
      <c r="F19" s="25">
        <v>50900</v>
      </c>
      <c r="G19" s="25">
        <v>83736.224297064589</v>
      </c>
      <c r="H19" s="25">
        <v>79418.510297064597</v>
      </c>
      <c r="I19" s="14">
        <v>57200</v>
      </c>
      <c r="J19" s="14">
        <v>92900</v>
      </c>
      <c r="K19" s="14">
        <v>104418</v>
      </c>
      <c r="N19" s="16"/>
    </row>
    <row r="20" spans="2:14">
      <c r="B20" s="11" t="s">
        <v>61</v>
      </c>
      <c r="C20" s="24">
        <v>13000</v>
      </c>
      <c r="D20" s="24">
        <v>13000</v>
      </c>
      <c r="E20" s="24">
        <v>13000</v>
      </c>
      <c r="F20" s="25">
        <v>25424.0288135593</v>
      </c>
      <c r="G20" s="25">
        <v>54221.611475409802</v>
      </c>
      <c r="H20" s="25">
        <v>68750.3</v>
      </c>
      <c r="I20" s="14">
        <v>26000</v>
      </c>
      <c r="J20" s="14">
        <v>66000</v>
      </c>
      <c r="K20" s="14">
        <v>106000</v>
      </c>
    </row>
    <row r="21" spans="2:14">
      <c r="B21" s="11" t="s">
        <v>62</v>
      </c>
      <c r="C21" s="24">
        <v>28000</v>
      </c>
      <c r="D21" s="24">
        <v>30500</v>
      </c>
      <c r="E21" s="24">
        <v>40000</v>
      </c>
      <c r="F21" s="25">
        <v>35959</v>
      </c>
      <c r="G21" s="25">
        <v>47079.899999999987</v>
      </c>
      <c r="H21" s="25">
        <v>58809.999999999993</v>
      </c>
      <c r="I21" s="14">
        <v>39000</v>
      </c>
      <c r="J21" s="14">
        <v>61000</v>
      </c>
      <c r="K21" s="14">
        <v>80000</v>
      </c>
    </row>
    <row r="22" spans="2:14">
      <c r="B22" s="11" t="s">
        <v>64</v>
      </c>
      <c r="C22" s="24">
        <v>6588.811070916744</v>
      </c>
      <c r="D22" s="24">
        <v>29801.30598892492</v>
      </c>
      <c r="E22" s="24">
        <v>42567.275356877071</v>
      </c>
      <c r="F22" s="25">
        <v>7200</v>
      </c>
      <c r="G22" s="25">
        <v>7900</v>
      </c>
      <c r="H22" s="25">
        <v>8700</v>
      </c>
      <c r="I22" s="14">
        <v>7751.5424363726397</v>
      </c>
      <c r="J22" s="14">
        <v>42573.294269892751</v>
      </c>
      <c r="K22" s="14">
        <v>77395.046103412853</v>
      </c>
      <c r="M22" s="26" t="s">
        <v>63</v>
      </c>
    </row>
    <row r="23" spans="2:14">
      <c r="B23" s="11" t="s">
        <v>65</v>
      </c>
      <c r="C23" s="24">
        <v>500</v>
      </c>
      <c r="D23" s="24">
        <v>800</v>
      </c>
      <c r="E23" s="24">
        <v>1000</v>
      </c>
      <c r="F23" s="25">
        <v>800</v>
      </c>
      <c r="G23" s="25">
        <v>1100</v>
      </c>
      <c r="H23" s="25">
        <v>1300</v>
      </c>
      <c r="I23" s="14">
        <v>2500</v>
      </c>
      <c r="J23" s="14">
        <v>2500</v>
      </c>
      <c r="K23" s="14">
        <v>2500</v>
      </c>
    </row>
    <row r="24" spans="2:14">
      <c r="B24" s="11" t="s">
        <v>66</v>
      </c>
      <c r="C24" s="24">
        <v>1500</v>
      </c>
      <c r="D24" s="24">
        <v>2000</v>
      </c>
      <c r="E24" s="24">
        <v>2500</v>
      </c>
      <c r="F24" s="25">
        <v>1800</v>
      </c>
      <c r="G24" s="25">
        <v>2500</v>
      </c>
      <c r="H24" s="25">
        <v>2980.95</v>
      </c>
      <c r="I24" s="14">
        <v>1800</v>
      </c>
      <c r="J24" s="14">
        <v>2500</v>
      </c>
      <c r="K24" s="14">
        <v>3000</v>
      </c>
      <c r="N24" s="16"/>
    </row>
    <row r="25" spans="2:14">
      <c r="B25" s="11" t="s">
        <v>67</v>
      </c>
      <c r="C25" s="24">
        <v>334.29</v>
      </c>
      <c r="D25" s="24">
        <v>0</v>
      </c>
      <c r="E25" s="24">
        <v>0</v>
      </c>
      <c r="F25" s="25">
        <v>334.29</v>
      </c>
      <c r="G25" s="25">
        <v>334.29</v>
      </c>
      <c r="H25" s="25">
        <v>334.29</v>
      </c>
      <c r="I25" s="14">
        <v>334.29</v>
      </c>
      <c r="J25" s="14">
        <v>334.29</v>
      </c>
      <c r="K25" s="14">
        <v>334.29</v>
      </c>
      <c r="N25" s="16"/>
    </row>
    <row r="26" spans="2:14">
      <c r="B26" s="11" t="s">
        <v>68</v>
      </c>
      <c r="C26" s="24">
        <v>5600</v>
      </c>
      <c r="D26" s="24">
        <f>C26</f>
        <v>5600</v>
      </c>
      <c r="E26" s="24">
        <f>D26</f>
        <v>5600</v>
      </c>
      <c r="F26" s="25">
        <v>5700</v>
      </c>
      <c r="G26" s="25">
        <v>5700</v>
      </c>
      <c r="H26" s="25">
        <v>5700</v>
      </c>
      <c r="I26" s="14">
        <v>7000</v>
      </c>
      <c r="J26" s="14">
        <f>I26</f>
        <v>7000</v>
      </c>
      <c r="K26" s="14">
        <f>J26</f>
        <v>7000</v>
      </c>
    </row>
    <row r="27" spans="2:14">
      <c r="B27" s="11" t="s">
        <v>69</v>
      </c>
      <c r="C27" s="24">
        <v>1623</v>
      </c>
      <c r="D27" s="24">
        <v>1803</v>
      </c>
      <c r="E27" s="24">
        <v>1803</v>
      </c>
      <c r="F27" s="25">
        <v>1802.8197700000001</v>
      </c>
      <c r="G27" s="25">
        <v>1802.8197700000001</v>
      </c>
      <c r="H27" s="25">
        <v>1802.8197700000001</v>
      </c>
      <c r="I27" s="14">
        <v>1893</v>
      </c>
      <c r="J27" s="14">
        <v>1983</v>
      </c>
      <c r="K27" s="14">
        <v>3156</v>
      </c>
    </row>
    <row r="28" spans="2:14">
      <c r="B28" s="11" t="s">
        <v>70</v>
      </c>
      <c r="C28" s="24">
        <v>382</v>
      </c>
      <c r="D28" s="24">
        <v>424</v>
      </c>
      <c r="E28" s="24">
        <v>659</v>
      </c>
      <c r="F28" s="25">
        <v>424</v>
      </c>
      <c r="G28" s="25">
        <v>659</v>
      </c>
      <c r="H28" s="25">
        <v>659</v>
      </c>
      <c r="I28" s="14">
        <v>445</v>
      </c>
      <c r="J28" s="14">
        <v>725</v>
      </c>
      <c r="K28" s="14">
        <v>1153</v>
      </c>
    </row>
    <row r="29" spans="2:14">
      <c r="B29" s="11" t="s">
        <v>71</v>
      </c>
      <c r="C29" s="24">
        <v>2801</v>
      </c>
      <c r="D29" s="24">
        <v>3112</v>
      </c>
      <c r="E29" s="24">
        <v>5498</v>
      </c>
      <c r="F29" s="25">
        <v>3112</v>
      </c>
      <c r="G29" s="25">
        <v>5498.0000000000018</v>
      </c>
      <c r="H29" s="25">
        <v>5498.0000000000018</v>
      </c>
      <c r="I29" s="14">
        <v>3268</v>
      </c>
      <c r="J29" s="14">
        <v>6048</v>
      </c>
      <c r="K29" s="14">
        <v>9623</v>
      </c>
    </row>
    <row r="30" spans="2:14">
      <c r="B30" s="11" t="s">
        <v>72</v>
      </c>
      <c r="C30" s="24">
        <v>254</v>
      </c>
      <c r="D30" s="24">
        <v>282</v>
      </c>
      <c r="E30" s="24">
        <v>1022</v>
      </c>
      <c r="F30" s="25">
        <v>282</v>
      </c>
      <c r="G30" s="25">
        <v>1022</v>
      </c>
      <c r="H30" s="25">
        <v>1022</v>
      </c>
      <c r="I30" s="14">
        <v>296</v>
      </c>
      <c r="J30" s="14">
        <v>1124</v>
      </c>
      <c r="K30" s="14">
        <v>1789</v>
      </c>
    </row>
    <row r="31" spans="2:14">
      <c r="B31" s="11" t="s">
        <v>73</v>
      </c>
      <c r="C31" s="24">
        <v>7180</v>
      </c>
      <c r="D31" s="24">
        <v>7978</v>
      </c>
      <c r="E31" s="24">
        <v>7979</v>
      </c>
      <c r="F31" s="25">
        <v>7978</v>
      </c>
      <c r="G31" s="25">
        <v>7978</v>
      </c>
      <c r="H31" s="25">
        <v>7978</v>
      </c>
      <c r="I31" s="14">
        <v>8377</v>
      </c>
      <c r="J31" s="14">
        <v>8776</v>
      </c>
      <c r="K31" s="14">
        <v>13964</v>
      </c>
    </row>
    <row r="32" spans="2:14">
      <c r="B32" s="11" t="s">
        <v>74</v>
      </c>
      <c r="C32" s="24">
        <v>1674</v>
      </c>
      <c r="D32" s="24">
        <v>1860</v>
      </c>
      <c r="E32" s="24">
        <v>1861</v>
      </c>
      <c r="F32" s="25">
        <v>1860</v>
      </c>
      <c r="G32" s="25">
        <v>1860</v>
      </c>
      <c r="H32" s="25">
        <v>1860</v>
      </c>
      <c r="I32" s="14">
        <v>1953</v>
      </c>
      <c r="J32" s="14">
        <v>2046</v>
      </c>
      <c r="K32" s="14">
        <v>3256</v>
      </c>
    </row>
    <row r="33" spans="2:14">
      <c r="B33" s="11" t="s">
        <v>75</v>
      </c>
      <c r="C33" s="24">
        <v>2657</v>
      </c>
      <c r="D33" s="24">
        <v>2952</v>
      </c>
      <c r="E33" s="24">
        <v>4246</v>
      </c>
      <c r="F33" s="25">
        <v>2952</v>
      </c>
      <c r="G33" s="25">
        <v>4246</v>
      </c>
      <c r="H33" s="25">
        <v>4246</v>
      </c>
      <c r="I33" s="14">
        <v>3100</v>
      </c>
      <c r="J33" s="14">
        <v>4671</v>
      </c>
      <c r="K33" s="14">
        <v>7432</v>
      </c>
    </row>
    <row r="34" spans="2:14">
      <c r="B34" s="11" t="s">
        <v>76</v>
      </c>
      <c r="C34" s="24">
        <v>5000</v>
      </c>
      <c r="D34" s="24">
        <v>5430</v>
      </c>
      <c r="E34" s="24">
        <v>5650</v>
      </c>
      <c r="F34" s="25">
        <v>5000</v>
      </c>
      <c r="G34" s="25">
        <v>5430</v>
      </c>
      <c r="H34" s="25">
        <v>5650</v>
      </c>
      <c r="I34" s="14">
        <v>5000</v>
      </c>
      <c r="J34" s="14">
        <v>5430</v>
      </c>
      <c r="K34" s="14">
        <v>5650</v>
      </c>
      <c r="N34" s="16"/>
    </row>
    <row r="35" spans="2:14">
      <c r="B35" s="11" t="s">
        <v>77</v>
      </c>
      <c r="C35" s="24">
        <v>0</v>
      </c>
      <c r="D35" s="24">
        <v>0</v>
      </c>
      <c r="E35" s="24">
        <v>0</v>
      </c>
      <c r="F35" s="25">
        <v>0</v>
      </c>
      <c r="G35" s="25">
        <v>0</v>
      </c>
      <c r="H35" s="25">
        <v>0</v>
      </c>
      <c r="I35" s="14">
        <v>0</v>
      </c>
      <c r="J35" s="14">
        <v>0</v>
      </c>
      <c r="K35" s="14">
        <v>0</v>
      </c>
      <c r="N35" s="16"/>
    </row>
    <row r="36" spans="2:14">
      <c r="B36" s="11" t="s">
        <v>78</v>
      </c>
      <c r="C36" s="24">
        <v>0</v>
      </c>
      <c r="D36" s="24">
        <v>0</v>
      </c>
      <c r="E36" s="24">
        <v>0</v>
      </c>
      <c r="F36" s="25">
        <v>0</v>
      </c>
      <c r="G36" s="25">
        <v>0</v>
      </c>
      <c r="H36" s="25">
        <v>0</v>
      </c>
      <c r="I36" s="14">
        <v>0</v>
      </c>
      <c r="J36" s="14">
        <v>0</v>
      </c>
      <c r="K36" s="14">
        <v>0</v>
      </c>
      <c r="N36" s="16"/>
    </row>
    <row r="37" spans="2:14">
      <c r="B37" s="11" t="s">
        <v>79</v>
      </c>
      <c r="C37" s="24">
        <v>0</v>
      </c>
      <c r="D37" s="24">
        <v>0</v>
      </c>
      <c r="E37" s="24">
        <v>0</v>
      </c>
      <c r="F37" s="25">
        <v>0</v>
      </c>
      <c r="G37" s="25">
        <v>0</v>
      </c>
      <c r="H37" s="25">
        <v>0</v>
      </c>
      <c r="I37" s="14">
        <v>0</v>
      </c>
      <c r="J37" s="14">
        <v>0</v>
      </c>
      <c r="K37" s="14">
        <v>0</v>
      </c>
      <c r="N37" s="16"/>
    </row>
    <row r="38" spans="2:14">
      <c r="B38" s="11" t="s">
        <v>80</v>
      </c>
      <c r="C38" s="24">
        <v>0</v>
      </c>
      <c r="D38" s="24">
        <v>0</v>
      </c>
      <c r="E38" s="24">
        <v>0</v>
      </c>
      <c r="F38" s="25">
        <v>0</v>
      </c>
      <c r="G38" s="25">
        <v>0</v>
      </c>
      <c r="H38" s="25">
        <v>0</v>
      </c>
      <c r="I38" s="14">
        <v>0</v>
      </c>
      <c r="J38" s="14">
        <v>0</v>
      </c>
      <c r="K38" s="14">
        <v>0</v>
      </c>
      <c r="N38" s="16"/>
    </row>
    <row r="39" spans="2:14">
      <c r="B39" s="11" t="s">
        <v>81</v>
      </c>
      <c r="C39" s="24">
        <v>250</v>
      </c>
      <c r="D39" s="24">
        <v>330</v>
      </c>
      <c r="E39" s="24">
        <v>400</v>
      </c>
      <c r="F39" s="25">
        <v>400</v>
      </c>
      <c r="G39" s="25">
        <v>500</v>
      </c>
      <c r="H39" s="25">
        <v>600</v>
      </c>
      <c r="I39" s="14">
        <v>450</v>
      </c>
      <c r="J39" s="14">
        <v>550</v>
      </c>
      <c r="K39" s="14">
        <v>650</v>
      </c>
      <c r="N39" s="16"/>
    </row>
    <row r="40" spans="2:14">
      <c r="B40" s="11" t="s">
        <v>82</v>
      </c>
      <c r="C40" s="24">
        <v>0</v>
      </c>
      <c r="D40" s="24">
        <v>0</v>
      </c>
      <c r="E40" s="24">
        <v>0</v>
      </c>
      <c r="F40" s="25">
        <v>0</v>
      </c>
      <c r="G40" s="25">
        <v>0</v>
      </c>
      <c r="H40" s="25">
        <v>0</v>
      </c>
      <c r="I40" s="14">
        <v>0</v>
      </c>
      <c r="J40" s="14">
        <v>0</v>
      </c>
      <c r="K40" s="14">
        <v>0</v>
      </c>
    </row>
    <row r="41" spans="2:14">
      <c r="B41" s="11" t="s">
        <v>83</v>
      </c>
      <c r="C41" s="24">
        <v>180</v>
      </c>
      <c r="D41" s="24">
        <v>440</v>
      </c>
      <c r="E41" s="24">
        <v>440</v>
      </c>
      <c r="F41" s="25">
        <v>410</v>
      </c>
      <c r="G41" s="25">
        <v>750</v>
      </c>
      <c r="H41" s="25">
        <v>750</v>
      </c>
      <c r="I41" s="14">
        <v>1100</v>
      </c>
      <c r="J41" s="14">
        <v>1500</v>
      </c>
      <c r="K41" s="14">
        <v>1500</v>
      </c>
    </row>
    <row r="42" spans="2:14">
      <c r="B42" s="11" t="s">
        <v>84</v>
      </c>
      <c r="C42" s="24">
        <v>0</v>
      </c>
      <c r="D42" s="24">
        <v>0</v>
      </c>
      <c r="E42" s="24">
        <v>0</v>
      </c>
      <c r="F42" s="25">
        <v>0</v>
      </c>
      <c r="G42" s="25">
        <v>0</v>
      </c>
      <c r="H42" s="25">
        <v>0</v>
      </c>
      <c r="I42" s="14">
        <v>0</v>
      </c>
      <c r="J42" s="14">
        <v>0</v>
      </c>
      <c r="K42" s="14">
        <v>0</v>
      </c>
    </row>
    <row r="43" spans="2:14">
      <c r="B43" s="11" t="s">
        <v>85</v>
      </c>
      <c r="C43" s="24">
        <v>7500</v>
      </c>
      <c r="D43" s="24">
        <v>8700</v>
      </c>
      <c r="E43" s="24">
        <v>10000</v>
      </c>
      <c r="F43" s="25">
        <v>9100.0495699411495</v>
      </c>
      <c r="G43" s="25">
        <v>11425.049569941148</v>
      </c>
      <c r="H43" s="25">
        <v>13750.049569941144</v>
      </c>
      <c r="I43" s="14">
        <v>10300</v>
      </c>
      <c r="J43" s="14">
        <v>15100</v>
      </c>
      <c r="K43" s="14">
        <v>20000</v>
      </c>
    </row>
    <row r="44" spans="2:14">
      <c r="B44" s="11" t="s">
        <v>86</v>
      </c>
      <c r="C44" s="24">
        <v>2401.4</v>
      </c>
      <c r="D44" s="24">
        <v>2428.5</v>
      </c>
      <c r="E44" s="24">
        <v>2428.5</v>
      </c>
      <c r="F44" s="25">
        <v>2401.4</v>
      </c>
      <c r="G44" s="25">
        <v>2428.5</v>
      </c>
      <c r="H44" s="25">
        <v>2628.5</v>
      </c>
      <c r="I44" s="14">
        <v>2401.4</v>
      </c>
      <c r="J44" s="14">
        <v>2428.5</v>
      </c>
      <c r="K44" s="14">
        <v>2628.5</v>
      </c>
    </row>
    <row r="45" spans="2:14">
      <c r="B45" s="11" t="s">
        <v>87</v>
      </c>
      <c r="C45" s="24">
        <v>1156.8</v>
      </c>
      <c r="D45" s="24">
        <v>1619</v>
      </c>
      <c r="E45" s="24">
        <v>1669</v>
      </c>
      <c r="F45" s="25">
        <v>1156.8</v>
      </c>
      <c r="G45" s="25">
        <v>1619</v>
      </c>
      <c r="H45" s="25">
        <v>1819</v>
      </c>
      <c r="I45" s="14">
        <v>1156.8</v>
      </c>
      <c r="J45" s="14">
        <v>3419</v>
      </c>
      <c r="K45" s="14">
        <v>3419</v>
      </c>
    </row>
    <row r="46" spans="2:14">
      <c r="B46" s="11" t="s">
        <v>88</v>
      </c>
      <c r="C46" s="24">
        <v>1797.9</v>
      </c>
      <c r="D46" s="24">
        <v>2060.6999999999998</v>
      </c>
      <c r="E46" s="24">
        <v>2260.6999999999998</v>
      </c>
      <c r="F46" s="25">
        <v>1797.9</v>
      </c>
      <c r="G46" s="25">
        <v>2060.6999999999998</v>
      </c>
      <c r="H46" s="25">
        <v>2260.6999999999998</v>
      </c>
      <c r="I46" s="14">
        <v>1797.9</v>
      </c>
      <c r="J46" s="14">
        <v>2260.6999999999998</v>
      </c>
      <c r="K46" s="14">
        <v>2260.6999999999998</v>
      </c>
    </row>
    <row r="47" spans="2:14">
      <c r="B47" s="11" t="s">
        <v>89</v>
      </c>
      <c r="C47" s="24">
        <v>10806</v>
      </c>
      <c r="D47" s="24">
        <v>10806</v>
      </c>
      <c r="E47" s="24">
        <v>10806</v>
      </c>
      <c r="F47" s="25">
        <v>13767.84</v>
      </c>
      <c r="G47" s="25">
        <v>13767.84</v>
      </c>
      <c r="H47" s="25">
        <v>13767.84</v>
      </c>
      <c r="I47" s="14">
        <v>19000</v>
      </c>
      <c r="J47" s="14">
        <v>40000</v>
      </c>
      <c r="K47" s="14">
        <v>62000</v>
      </c>
    </row>
    <row r="48" spans="2:14">
      <c r="B48" s="11" t="s">
        <v>90</v>
      </c>
      <c r="C48" s="24">
        <v>8699.5</v>
      </c>
      <c r="D48" s="24">
        <v>10463</v>
      </c>
      <c r="E48" s="24">
        <v>10463</v>
      </c>
      <c r="F48" s="25">
        <v>8699.5</v>
      </c>
      <c r="G48" s="25">
        <v>10852.5</v>
      </c>
      <c r="H48" s="25">
        <v>10852.5</v>
      </c>
      <c r="I48" s="14">
        <v>8699.5</v>
      </c>
      <c r="J48" s="14">
        <v>10852.5</v>
      </c>
      <c r="K48" s="14">
        <v>10852.5</v>
      </c>
    </row>
    <row r="49" spans="2:14">
      <c r="B49" s="11" t="s">
        <v>91</v>
      </c>
      <c r="C49" s="24">
        <v>5255</v>
      </c>
      <c r="D49" s="24">
        <v>6000</v>
      </c>
      <c r="E49" s="24">
        <v>6000</v>
      </c>
      <c r="F49" s="25">
        <v>6000</v>
      </c>
      <c r="G49" s="25">
        <v>8000</v>
      </c>
      <c r="H49" s="25">
        <v>8300</v>
      </c>
      <c r="I49" s="14">
        <v>6500</v>
      </c>
      <c r="J49" s="14">
        <v>8500</v>
      </c>
      <c r="K49" s="14">
        <v>9000</v>
      </c>
    </row>
    <row r="50" spans="2:14">
      <c r="B50" s="11" t="s">
        <v>92</v>
      </c>
      <c r="C50" s="24">
        <v>4282.25</v>
      </c>
      <c r="D50" s="24">
        <v>4282.25</v>
      </c>
      <c r="E50" s="24">
        <v>4282.25</v>
      </c>
      <c r="F50" s="25">
        <v>4812.1499999999996</v>
      </c>
      <c r="G50" s="25">
        <v>4812.1499999999996</v>
      </c>
      <c r="H50" s="25">
        <v>4812.1499999999996</v>
      </c>
      <c r="I50" s="14">
        <v>4812.1499999999996</v>
      </c>
      <c r="J50" s="14">
        <v>4812.1499999999996</v>
      </c>
      <c r="K50" s="14">
        <v>4812.1499999999996</v>
      </c>
    </row>
    <row r="51" spans="2:14">
      <c r="B51" s="11" t="s">
        <v>93</v>
      </c>
      <c r="C51" s="24">
        <v>2930</v>
      </c>
      <c r="D51" s="24">
        <v>3670</v>
      </c>
      <c r="E51" s="24">
        <v>3670</v>
      </c>
      <c r="F51" s="25">
        <v>3580.5430008005669</v>
      </c>
      <c r="G51" s="25">
        <v>6500</v>
      </c>
      <c r="H51" s="25">
        <v>9473.3333333333339</v>
      </c>
      <c r="I51" s="14">
        <v>4200</v>
      </c>
      <c r="J51" s="14">
        <v>6700</v>
      </c>
      <c r="K51" s="14">
        <v>10600</v>
      </c>
    </row>
    <row r="52" spans="2:14">
      <c r="B52" s="11" t="s">
        <v>94</v>
      </c>
      <c r="C52" s="24">
        <v>7000</v>
      </c>
      <c r="D52" s="24">
        <v>7500</v>
      </c>
      <c r="E52" s="24">
        <v>8200</v>
      </c>
      <c r="F52" s="25">
        <v>8280.4476577003134</v>
      </c>
      <c r="G52" s="25">
        <v>10000</v>
      </c>
      <c r="H52" s="25">
        <v>10573.33333333333</v>
      </c>
      <c r="I52" s="14">
        <v>9900</v>
      </c>
      <c r="J52" s="14">
        <v>15800</v>
      </c>
      <c r="K52" s="14">
        <v>20800</v>
      </c>
    </row>
    <row r="53" spans="2:14">
      <c r="B53" s="11" t="s">
        <v>95</v>
      </c>
      <c r="C53" s="24">
        <v>3868.2232708662141</v>
      </c>
      <c r="D53" s="24">
        <v>4320</v>
      </c>
      <c r="E53" s="24">
        <v>4320</v>
      </c>
      <c r="F53" s="25">
        <v>3868.2232708662141</v>
      </c>
      <c r="G53" s="25">
        <v>3900</v>
      </c>
      <c r="H53" s="25">
        <v>5910.666666666667</v>
      </c>
      <c r="I53" s="14">
        <v>4900</v>
      </c>
      <c r="J53" s="14">
        <v>8500</v>
      </c>
      <c r="K53" s="14">
        <v>11500</v>
      </c>
      <c r="N53" s="16"/>
    </row>
    <row r="54" spans="2:14">
      <c r="B54" s="11" t="s">
        <v>96</v>
      </c>
      <c r="C54" s="24">
        <v>2000</v>
      </c>
      <c r="D54" s="24">
        <v>2370</v>
      </c>
      <c r="E54" s="24">
        <v>2370</v>
      </c>
      <c r="F54" s="25">
        <v>2222.9385092293969</v>
      </c>
      <c r="G54" s="25">
        <v>2222.9385092293969</v>
      </c>
      <c r="H54" s="25">
        <v>2222.9385092293969</v>
      </c>
      <c r="I54" s="14">
        <v>2600</v>
      </c>
      <c r="J54" s="14">
        <v>3900</v>
      </c>
      <c r="K54" s="14">
        <v>6200</v>
      </c>
    </row>
    <row r="55" spans="2:14">
      <c r="B55" s="11" t="s">
        <v>97</v>
      </c>
      <c r="C55" s="24">
        <v>60</v>
      </c>
      <c r="D55" s="24">
        <v>120</v>
      </c>
      <c r="E55" s="24">
        <v>64</v>
      </c>
      <c r="F55" s="25">
        <v>122.4434554334554</v>
      </c>
      <c r="G55" s="25">
        <v>305.50450549450562</v>
      </c>
      <c r="H55" s="25">
        <v>386.46879120879129</v>
      </c>
      <c r="I55" s="14">
        <v>151</v>
      </c>
      <c r="J55" s="14">
        <v>339</v>
      </c>
      <c r="K55" s="14">
        <v>418</v>
      </c>
    </row>
    <row r="56" spans="2:14">
      <c r="B56" s="11" t="s">
        <v>98</v>
      </c>
      <c r="C56" s="24">
        <v>715</v>
      </c>
      <c r="D56" s="24">
        <v>855</v>
      </c>
      <c r="E56" s="24">
        <v>1000</v>
      </c>
      <c r="F56" s="25">
        <v>715</v>
      </c>
      <c r="G56" s="25">
        <v>1225</v>
      </c>
      <c r="H56" s="25">
        <v>1750</v>
      </c>
      <c r="I56" s="14">
        <v>715</v>
      </c>
      <c r="J56" s="14">
        <v>1355</v>
      </c>
      <c r="K56" s="14">
        <v>2000</v>
      </c>
    </row>
    <row r="57" spans="2:14">
      <c r="B57" s="11" t="s">
        <v>99</v>
      </c>
      <c r="C57" s="24">
        <v>22270.589699999899</v>
      </c>
      <c r="D57" s="24">
        <v>22270.589699999899</v>
      </c>
      <c r="E57" s="24">
        <v>22270.589699999899</v>
      </c>
      <c r="F57" s="25">
        <v>29733.18</v>
      </c>
      <c r="G57" s="25">
        <v>42040.08</v>
      </c>
      <c r="H57" s="25">
        <v>50104.57</v>
      </c>
      <c r="I57" s="14">
        <v>39037.568399999902</v>
      </c>
      <c r="J57" s="14">
        <v>42040.08</v>
      </c>
      <c r="K57" s="14">
        <v>50104.57</v>
      </c>
    </row>
    <row r="58" spans="2:14">
      <c r="B58" s="11" t="s">
        <v>100</v>
      </c>
      <c r="C58" s="24">
        <v>2250</v>
      </c>
      <c r="D58" s="24">
        <v>2250</v>
      </c>
      <c r="E58" s="24">
        <v>2250</v>
      </c>
      <c r="F58" s="25">
        <v>2250</v>
      </c>
      <c r="G58" s="25">
        <v>2250</v>
      </c>
      <c r="H58" s="25">
        <v>2250</v>
      </c>
      <c r="I58" s="14">
        <v>2550</v>
      </c>
      <c r="J58" s="14">
        <v>2550</v>
      </c>
      <c r="K58" s="14">
        <v>2550</v>
      </c>
    </row>
    <row r="59" spans="2:14">
      <c r="B59" s="11" t="s">
        <v>101</v>
      </c>
      <c r="C59" s="27">
        <f>SUM(C5:C58)</f>
        <v>340795.26487608103</v>
      </c>
      <c r="D59" s="27">
        <f t="shared" ref="D59:K59" si="0">SUM(D5:D58)</f>
        <v>444202.06568892481</v>
      </c>
      <c r="E59" s="27">
        <f t="shared" si="0"/>
        <v>492283.28505687695</v>
      </c>
      <c r="F59" s="28">
        <f t="shared" si="0"/>
        <v>391461.69060624111</v>
      </c>
      <c r="G59" s="28">
        <f t="shared" si="0"/>
        <v>552512.08312713937</v>
      </c>
      <c r="H59" s="28">
        <f t="shared" si="0"/>
        <v>618841.28562467115</v>
      </c>
      <c r="I59" s="19">
        <f t="shared" si="0"/>
        <v>434919.47083637258</v>
      </c>
      <c r="J59" s="19">
        <f t="shared" si="0"/>
        <v>708631.26426989259</v>
      </c>
      <c r="K59" s="19">
        <f t="shared" si="0"/>
        <v>919055.9077134307</v>
      </c>
    </row>
  </sheetData>
  <mergeCells count="3">
    <mergeCell ref="C3:E3"/>
    <mergeCell ref="F3:H3"/>
    <mergeCell ref="I3:K3"/>
  </mergeCells>
  <pageMargins left="0.7" right="0.7" top="0.75" bottom="0.75" header="0.3" footer="0.3"/>
  <headerFooter>
    <oddFooter>&amp;C_x000D_&amp;1#&amp;"Calibri"&amp;10&amp;K000000 ISC - Uso INTERNO / INTERNAL Use</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DC69B-0FC1-4009-B657-FB7A288BB02C}">
  <sheetPr codeName="Hoja8">
    <tabColor theme="7"/>
  </sheetPr>
  <dimension ref="A1:Q111"/>
  <sheetViews>
    <sheetView zoomScaleNormal="100" workbookViewId="0">
      <selection activeCell="B1" sqref="B1"/>
    </sheetView>
  </sheetViews>
  <sheetFormatPr defaultColWidth="11.42578125" defaultRowHeight="15"/>
  <cols>
    <col min="1" max="1" width="5.5703125" customWidth="1"/>
    <col min="2" max="2" width="7.5703125" bestFit="1" customWidth="1"/>
    <col min="3" max="7" width="9" bestFit="1" customWidth="1"/>
    <col min="8" max="11" width="9.85546875" style="33" bestFit="1" customWidth="1"/>
    <col min="12" max="12" width="9.85546875" style="33" customWidth="1"/>
    <col min="13" max="15" width="9" bestFit="1" customWidth="1"/>
  </cols>
  <sheetData>
    <row r="1" spans="1:15" ht="23.25">
      <c r="B1" s="438" t="s">
        <v>6</v>
      </c>
    </row>
    <row r="3" spans="1:15">
      <c r="B3" s="7" t="s">
        <v>40</v>
      </c>
      <c r="C3" s="464" t="s">
        <v>41</v>
      </c>
      <c r="D3" s="464"/>
      <c r="E3" s="464"/>
      <c r="F3" s="464"/>
      <c r="G3" s="464"/>
      <c r="H3" s="472" t="s">
        <v>42</v>
      </c>
      <c r="I3" s="472"/>
      <c r="J3" s="472"/>
      <c r="K3" s="472"/>
      <c r="L3" s="472"/>
      <c r="M3" s="466" t="s">
        <v>43</v>
      </c>
      <c r="N3" s="466"/>
      <c r="O3" s="466"/>
    </row>
    <row r="4" spans="1:15">
      <c r="A4" t="s">
        <v>103</v>
      </c>
      <c r="B4" s="11" t="s">
        <v>45</v>
      </c>
      <c r="C4" s="8">
        <v>2030</v>
      </c>
      <c r="D4" s="8">
        <v>2035</v>
      </c>
      <c r="E4" s="8">
        <v>2040</v>
      </c>
      <c r="F4" s="8">
        <v>2045</v>
      </c>
      <c r="G4" s="8">
        <v>2050</v>
      </c>
      <c r="H4" s="29">
        <v>2030</v>
      </c>
      <c r="I4" s="29">
        <v>2035</v>
      </c>
      <c r="J4" s="29">
        <v>2040</v>
      </c>
      <c r="K4" s="29">
        <v>2045</v>
      </c>
      <c r="L4" s="29">
        <v>2050</v>
      </c>
      <c r="M4" s="10">
        <v>2030</v>
      </c>
      <c r="N4" s="10">
        <v>2040</v>
      </c>
      <c r="O4" s="10">
        <v>2050</v>
      </c>
    </row>
    <row r="5" spans="1:15">
      <c r="B5" s="11" t="s">
        <v>46</v>
      </c>
      <c r="C5" s="12">
        <v>0</v>
      </c>
      <c r="D5" s="12">
        <v>0</v>
      </c>
      <c r="E5" s="12">
        <v>0</v>
      </c>
      <c r="F5" s="12">
        <v>0</v>
      </c>
      <c r="G5" s="12">
        <v>0</v>
      </c>
      <c r="H5" s="30">
        <v>0</v>
      </c>
      <c r="I5" s="30">
        <v>0</v>
      </c>
      <c r="J5" s="30">
        <v>0</v>
      </c>
      <c r="K5" s="30">
        <v>0</v>
      </c>
      <c r="L5" s="30">
        <v>0</v>
      </c>
      <c r="M5" s="14"/>
      <c r="N5" s="14"/>
      <c r="O5" s="14"/>
    </row>
    <row r="6" spans="1:15">
      <c r="B6" s="11" t="s">
        <v>47</v>
      </c>
      <c r="C6" s="12">
        <v>0</v>
      </c>
      <c r="D6" s="12">
        <v>0</v>
      </c>
      <c r="E6" s="12">
        <v>0</v>
      </c>
      <c r="F6" s="12">
        <v>0</v>
      </c>
      <c r="G6" s="12">
        <v>0</v>
      </c>
      <c r="H6" s="30">
        <v>0</v>
      </c>
      <c r="I6" s="30">
        <v>0</v>
      </c>
      <c r="J6" s="30">
        <v>0</v>
      </c>
      <c r="K6" s="30">
        <v>0</v>
      </c>
      <c r="L6" s="30">
        <v>0</v>
      </c>
      <c r="M6" s="14"/>
      <c r="N6" s="14"/>
      <c r="O6" s="14"/>
    </row>
    <row r="7" spans="1:15">
      <c r="B7" s="11" t="s">
        <v>48</v>
      </c>
      <c r="C7" s="12">
        <v>0</v>
      </c>
      <c r="D7" s="12">
        <v>0</v>
      </c>
      <c r="E7" s="12">
        <v>0</v>
      </c>
      <c r="F7" s="12">
        <v>0</v>
      </c>
      <c r="G7" s="12">
        <v>0</v>
      </c>
      <c r="H7" s="30">
        <v>0</v>
      </c>
      <c r="I7" s="30">
        <v>0</v>
      </c>
      <c r="J7" s="30">
        <v>0</v>
      </c>
      <c r="K7" s="30">
        <v>0</v>
      </c>
      <c r="L7" s="30">
        <v>0</v>
      </c>
      <c r="M7" s="14"/>
      <c r="N7" s="14"/>
      <c r="O7" s="14"/>
    </row>
    <row r="8" spans="1:15">
      <c r="A8" t="s">
        <v>104</v>
      </c>
      <c r="B8" s="11" t="s">
        <v>104</v>
      </c>
      <c r="C8" s="12">
        <v>2960</v>
      </c>
      <c r="D8" s="12">
        <v>5760</v>
      </c>
      <c r="E8" s="12">
        <v>7960</v>
      </c>
      <c r="F8" s="12">
        <v>7960</v>
      </c>
      <c r="G8" s="12">
        <v>7960</v>
      </c>
      <c r="H8" s="30">
        <v>2960</v>
      </c>
      <c r="I8" s="30">
        <v>5760</v>
      </c>
      <c r="J8" s="30">
        <v>7960</v>
      </c>
      <c r="K8" s="30">
        <v>7960</v>
      </c>
      <c r="L8" s="30">
        <v>7960</v>
      </c>
      <c r="M8" s="14">
        <v>5800</v>
      </c>
      <c r="N8" s="14">
        <v>8000</v>
      </c>
      <c r="O8" s="14">
        <v>8000</v>
      </c>
    </row>
    <row r="9" spans="1:15">
      <c r="B9" s="11" t="s">
        <v>105</v>
      </c>
      <c r="C9" s="12">
        <v>0</v>
      </c>
      <c r="D9" s="12">
        <v>0</v>
      </c>
      <c r="E9" s="12">
        <v>0</v>
      </c>
      <c r="F9" s="12">
        <v>0</v>
      </c>
      <c r="G9" s="12">
        <v>0</v>
      </c>
      <c r="H9" s="30">
        <v>0</v>
      </c>
      <c r="I9" s="30">
        <v>0</v>
      </c>
      <c r="J9" s="30">
        <v>0</v>
      </c>
      <c r="K9" s="30">
        <v>0</v>
      </c>
      <c r="L9" s="30">
        <v>0</v>
      </c>
      <c r="M9" s="14"/>
      <c r="N9" s="14"/>
      <c r="O9" s="14"/>
    </row>
    <row r="10" spans="1:15">
      <c r="B10" s="11" t="s">
        <v>106</v>
      </c>
      <c r="C10" s="12">
        <v>0</v>
      </c>
      <c r="D10" s="12">
        <v>0</v>
      </c>
      <c r="E10" s="12">
        <v>0</v>
      </c>
      <c r="F10" s="12">
        <v>0</v>
      </c>
      <c r="G10" s="12">
        <v>0</v>
      </c>
      <c r="H10" s="30">
        <v>0</v>
      </c>
      <c r="I10" s="30">
        <v>0</v>
      </c>
      <c r="J10" s="30">
        <v>0</v>
      </c>
      <c r="K10" s="30">
        <v>0</v>
      </c>
      <c r="L10" s="30">
        <v>0</v>
      </c>
      <c r="M10" s="14"/>
      <c r="N10" s="14"/>
      <c r="O10" s="14"/>
    </row>
    <row r="11" spans="1:15">
      <c r="B11" s="11" t="s">
        <v>107</v>
      </c>
      <c r="C11" s="12">
        <v>0</v>
      </c>
      <c r="D11" s="12">
        <v>0</v>
      </c>
      <c r="E11" s="12">
        <v>0</v>
      </c>
      <c r="F11" s="12">
        <v>0</v>
      </c>
      <c r="G11" s="12">
        <v>0</v>
      </c>
      <c r="H11" s="30">
        <v>0</v>
      </c>
      <c r="I11" s="30">
        <v>0</v>
      </c>
      <c r="J11" s="30">
        <v>0</v>
      </c>
      <c r="K11" s="30">
        <v>0</v>
      </c>
      <c r="L11" s="30">
        <v>0</v>
      </c>
      <c r="M11" s="14"/>
      <c r="N11" s="14">
        <v>298.56687898089172</v>
      </c>
      <c r="O11" s="14">
        <v>597.13375796178343</v>
      </c>
    </row>
    <row r="12" spans="1:15">
      <c r="B12" s="11" t="s">
        <v>51</v>
      </c>
      <c r="C12" s="12">
        <v>0</v>
      </c>
      <c r="D12" s="12">
        <v>0</v>
      </c>
      <c r="E12" s="12">
        <v>0</v>
      </c>
      <c r="F12" s="12">
        <v>0</v>
      </c>
      <c r="G12" s="12">
        <v>0</v>
      </c>
      <c r="H12" s="30">
        <v>0</v>
      </c>
      <c r="I12" s="30">
        <v>0</v>
      </c>
      <c r="J12" s="30">
        <v>0</v>
      </c>
      <c r="K12" s="30">
        <v>0</v>
      </c>
      <c r="L12" s="30">
        <v>0</v>
      </c>
      <c r="M12" s="14">
        <v>0</v>
      </c>
      <c r="N12" s="14">
        <v>0</v>
      </c>
      <c r="O12" s="14">
        <v>0</v>
      </c>
    </row>
    <row r="13" spans="1:15">
      <c r="B13" s="11" t="s">
        <v>52</v>
      </c>
      <c r="C13" s="12">
        <v>0</v>
      </c>
      <c r="D13" s="12">
        <v>0</v>
      </c>
      <c r="E13" s="12">
        <v>0</v>
      </c>
      <c r="F13" s="12">
        <v>0</v>
      </c>
      <c r="G13" s="12">
        <v>0</v>
      </c>
      <c r="H13" s="30">
        <v>0</v>
      </c>
      <c r="I13" s="30">
        <v>0</v>
      </c>
      <c r="J13" s="30">
        <v>0</v>
      </c>
      <c r="K13" s="30">
        <v>0</v>
      </c>
      <c r="L13" s="30">
        <v>0</v>
      </c>
      <c r="M13" s="14"/>
      <c r="N13" s="14"/>
      <c r="O13" s="14"/>
    </row>
    <row r="14" spans="1:15">
      <c r="B14" s="11" t="s">
        <v>53</v>
      </c>
      <c r="C14" s="12">
        <v>0</v>
      </c>
      <c r="D14" s="12">
        <v>0</v>
      </c>
      <c r="E14" s="12">
        <v>0</v>
      </c>
      <c r="F14" s="12">
        <v>0</v>
      </c>
      <c r="G14" s="12">
        <v>0</v>
      </c>
      <c r="H14" s="30">
        <v>0</v>
      </c>
      <c r="I14" s="30">
        <v>0</v>
      </c>
      <c r="J14" s="30">
        <v>0</v>
      </c>
      <c r="K14" s="30">
        <v>0</v>
      </c>
      <c r="L14" s="30">
        <v>0</v>
      </c>
      <c r="M14" s="14"/>
      <c r="N14" s="14"/>
      <c r="O14" s="14"/>
    </row>
    <row r="15" spans="1:15">
      <c r="A15" t="s">
        <v>108</v>
      </c>
      <c r="B15" s="11" t="s">
        <v>108</v>
      </c>
      <c r="C15" s="12">
        <v>7548.75</v>
      </c>
      <c r="D15" s="12">
        <v>7548.75</v>
      </c>
      <c r="E15" s="12">
        <v>7486.75</v>
      </c>
      <c r="F15" s="12">
        <v>4576.75</v>
      </c>
      <c r="G15" s="12">
        <v>2699.75</v>
      </c>
      <c r="H15" s="30">
        <v>7548.75</v>
      </c>
      <c r="I15" s="30">
        <v>7548.75</v>
      </c>
      <c r="J15" s="30">
        <v>7486.75</v>
      </c>
      <c r="K15" s="30">
        <v>4576.75</v>
      </c>
      <c r="L15" s="30">
        <v>2699.75</v>
      </c>
      <c r="M15" s="14">
        <v>7548.75</v>
      </c>
      <c r="N15" s="14">
        <v>7486.75</v>
      </c>
      <c r="O15" s="14">
        <v>2699.75</v>
      </c>
    </row>
    <row r="16" spans="1:15">
      <c r="A16" t="s">
        <v>109</v>
      </c>
      <c r="B16" s="11" t="s">
        <v>109</v>
      </c>
      <c r="C16" s="12">
        <v>18868</v>
      </c>
      <c r="D16" s="12">
        <v>26868</v>
      </c>
      <c r="E16" s="12">
        <v>26468</v>
      </c>
      <c r="F16" s="12">
        <v>25680</v>
      </c>
      <c r="G16" s="12">
        <v>24780</v>
      </c>
      <c r="H16" s="30">
        <v>18868</v>
      </c>
      <c r="I16" s="30">
        <v>26868</v>
      </c>
      <c r="J16" s="30">
        <v>26468</v>
      </c>
      <c r="K16" s="30">
        <v>25680</v>
      </c>
      <c r="L16" s="30">
        <v>24780</v>
      </c>
      <c r="M16" s="14">
        <v>10868</v>
      </c>
      <c r="N16" s="14">
        <v>26868</v>
      </c>
      <c r="O16" s="14">
        <v>24780</v>
      </c>
    </row>
    <row r="17" spans="1:17">
      <c r="A17" t="s">
        <v>110</v>
      </c>
      <c r="B17" s="11" t="s">
        <v>110</v>
      </c>
      <c r="C17" s="12">
        <v>4104.55</v>
      </c>
      <c r="D17" s="12">
        <v>12000</v>
      </c>
      <c r="E17" s="12">
        <v>26000</v>
      </c>
      <c r="F17" s="12">
        <v>36000</v>
      </c>
      <c r="G17" s="12">
        <v>38000</v>
      </c>
      <c r="H17" s="30">
        <v>4104.55</v>
      </c>
      <c r="I17" s="30">
        <v>12000</v>
      </c>
      <c r="J17" s="30">
        <v>26000</v>
      </c>
      <c r="K17" s="30">
        <v>36000</v>
      </c>
      <c r="L17" s="30">
        <v>38000</v>
      </c>
      <c r="M17" s="14">
        <v>0</v>
      </c>
      <c r="N17" s="14">
        <v>24000</v>
      </c>
      <c r="O17" s="14">
        <v>38000</v>
      </c>
    </row>
    <row r="18" spans="1:17">
      <c r="A18" t="s">
        <v>111</v>
      </c>
      <c r="B18" s="11" t="s">
        <v>111</v>
      </c>
      <c r="C18" s="12">
        <v>3000</v>
      </c>
      <c r="D18" s="12">
        <v>5104.55</v>
      </c>
      <c r="E18" s="12">
        <v>5104.55</v>
      </c>
      <c r="F18" s="12">
        <v>4023.25</v>
      </c>
      <c r="G18" s="12">
        <v>3300</v>
      </c>
      <c r="H18" s="30">
        <v>3000</v>
      </c>
      <c r="I18" s="30">
        <v>5104.55</v>
      </c>
      <c r="J18" s="30">
        <v>5104.55</v>
      </c>
      <c r="K18" s="30">
        <v>4023.25</v>
      </c>
      <c r="L18" s="30">
        <v>3300</v>
      </c>
      <c r="M18" s="14">
        <v>1768.25</v>
      </c>
      <c r="N18" s="14">
        <v>6068.25</v>
      </c>
      <c r="O18" s="14">
        <v>4600</v>
      </c>
    </row>
    <row r="19" spans="1:17">
      <c r="B19" s="11" t="s">
        <v>112</v>
      </c>
      <c r="C19" s="12">
        <v>0</v>
      </c>
      <c r="D19" s="12">
        <v>0</v>
      </c>
      <c r="E19" s="12">
        <v>0</v>
      </c>
      <c r="F19" s="12">
        <v>0</v>
      </c>
      <c r="G19" s="12">
        <v>0</v>
      </c>
      <c r="H19" s="30">
        <v>0</v>
      </c>
      <c r="I19" s="30">
        <v>0</v>
      </c>
      <c r="J19" s="30">
        <v>0</v>
      </c>
      <c r="K19" s="30">
        <v>0</v>
      </c>
      <c r="L19" s="30">
        <v>0</v>
      </c>
      <c r="M19" s="14"/>
      <c r="N19" s="14"/>
      <c r="O19" s="14"/>
    </row>
    <row r="20" spans="1:17">
      <c r="B20" s="11" t="s">
        <v>113</v>
      </c>
      <c r="C20" s="12">
        <v>0</v>
      </c>
      <c r="D20" s="12">
        <v>0</v>
      </c>
      <c r="E20" s="12">
        <v>0</v>
      </c>
      <c r="F20" s="12">
        <v>0</v>
      </c>
      <c r="G20" s="12">
        <v>0</v>
      </c>
      <c r="H20" s="30">
        <v>0</v>
      </c>
      <c r="I20" s="30">
        <v>0</v>
      </c>
      <c r="J20" s="30">
        <v>0</v>
      </c>
      <c r="K20" s="30">
        <v>0</v>
      </c>
      <c r="L20" s="30">
        <v>0</v>
      </c>
      <c r="M20" s="14"/>
      <c r="N20" s="14"/>
      <c r="O20" s="14"/>
      <c r="Q20" s="26" t="s">
        <v>63</v>
      </c>
    </row>
    <row r="21" spans="1:17">
      <c r="B21" s="11" t="s">
        <v>114</v>
      </c>
      <c r="C21" s="12">
        <v>0</v>
      </c>
      <c r="D21" s="12">
        <v>0</v>
      </c>
      <c r="E21" s="12">
        <v>0</v>
      </c>
      <c r="F21" s="12">
        <v>0</v>
      </c>
      <c r="G21" s="12">
        <v>0</v>
      </c>
      <c r="H21" s="30">
        <v>0</v>
      </c>
      <c r="I21" s="30">
        <v>0</v>
      </c>
      <c r="J21" s="30">
        <v>0</v>
      </c>
      <c r="K21" s="30">
        <v>0</v>
      </c>
      <c r="L21" s="30">
        <v>0</v>
      </c>
      <c r="M21" s="14"/>
      <c r="N21" s="14"/>
      <c r="O21" s="14"/>
    </row>
    <row r="22" spans="1:17">
      <c r="B22" s="11" t="s">
        <v>115</v>
      </c>
      <c r="C22" s="12">
        <v>0</v>
      </c>
      <c r="D22" s="12">
        <v>0</v>
      </c>
      <c r="E22" s="12">
        <v>0</v>
      </c>
      <c r="F22" s="12">
        <v>0</v>
      </c>
      <c r="G22" s="12">
        <v>0</v>
      </c>
      <c r="H22" s="30">
        <v>0</v>
      </c>
      <c r="I22" s="30">
        <v>0</v>
      </c>
      <c r="J22" s="30">
        <v>0</v>
      </c>
      <c r="K22" s="30">
        <v>0</v>
      </c>
      <c r="L22" s="30">
        <v>0</v>
      </c>
      <c r="M22" s="14"/>
      <c r="N22" s="14"/>
      <c r="O22" s="14"/>
    </row>
    <row r="23" spans="1:17">
      <c r="B23" s="11" t="s">
        <v>116</v>
      </c>
      <c r="C23" s="12">
        <v>0</v>
      </c>
      <c r="D23" s="12">
        <v>0</v>
      </c>
      <c r="E23" s="12">
        <v>0</v>
      </c>
      <c r="F23" s="12">
        <v>0</v>
      </c>
      <c r="G23" s="12">
        <v>0</v>
      </c>
      <c r="H23" s="30">
        <v>0</v>
      </c>
      <c r="I23" s="30">
        <v>0</v>
      </c>
      <c r="J23" s="30">
        <v>0</v>
      </c>
      <c r="K23" s="30">
        <v>0</v>
      </c>
      <c r="L23" s="30">
        <v>0</v>
      </c>
      <c r="M23" s="14"/>
      <c r="N23" s="14"/>
      <c r="O23" s="14"/>
    </row>
    <row r="24" spans="1:17">
      <c r="B24" s="11" t="s">
        <v>55</v>
      </c>
      <c r="C24" s="12">
        <v>0</v>
      </c>
      <c r="D24" s="12">
        <v>0</v>
      </c>
      <c r="E24" s="12">
        <v>0</v>
      </c>
      <c r="F24" s="12">
        <v>0</v>
      </c>
      <c r="G24" s="12">
        <v>0</v>
      </c>
      <c r="H24" s="30">
        <v>0</v>
      </c>
      <c r="I24" s="30">
        <v>0</v>
      </c>
      <c r="J24" s="30">
        <v>0</v>
      </c>
      <c r="K24" s="30">
        <v>0</v>
      </c>
      <c r="L24" s="30">
        <v>0</v>
      </c>
      <c r="M24" s="14">
        <v>336</v>
      </c>
      <c r="N24" s="14">
        <v>288</v>
      </c>
      <c r="O24" s="14">
        <v>0</v>
      </c>
      <c r="Q24" s="11" t="s">
        <v>117</v>
      </c>
    </row>
    <row r="25" spans="1:17">
      <c r="A25" t="s">
        <v>118</v>
      </c>
      <c r="B25" s="11" t="s">
        <v>56</v>
      </c>
      <c r="C25" s="12">
        <v>1923.4</v>
      </c>
      <c r="D25" s="12">
        <v>1923.4</v>
      </c>
      <c r="E25" s="12">
        <v>1923.3999999999999</v>
      </c>
      <c r="F25" s="12">
        <v>1923.3999999999999</v>
      </c>
      <c r="G25" s="12">
        <v>1923.3999999999999</v>
      </c>
      <c r="H25" s="30">
        <v>1923.4</v>
      </c>
      <c r="I25" s="30">
        <v>1923.4</v>
      </c>
      <c r="J25" s="30">
        <v>1923.3999999999999</v>
      </c>
      <c r="K25" s="30">
        <v>1923.3999999999999</v>
      </c>
      <c r="L25" s="30">
        <v>1923.3999999999999</v>
      </c>
      <c r="M25" s="14">
        <v>9404.8000000000011</v>
      </c>
      <c r="N25" s="14">
        <v>9404.8000000000011</v>
      </c>
      <c r="O25" s="14">
        <v>9404.8000000000011</v>
      </c>
      <c r="Q25" s="11" t="s">
        <v>119</v>
      </c>
    </row>
    <row r="26" spans="1:17">
      <c r="A26" t="s">
        <v>56</v>
      </c>
      <c r="B26" s="11" t="s">
        <v>118</v>
      </c>
      <c r="C26" s="12">
        <v>0</v>
      </c>
      <c r="D26" s="12">
        <v>3000</v>
      </c>
      <c r="E26" s="12">
        <v>3000</v>
      </c>
      <c r="F26" s="12">
        <v>3000</v>
      </c>
      <c r="G26" s="12">
        <v>3000</v>
      </c>
      <c r="H26" s="30">
        <v>0</v>
      </c>
      <c r="I26" s="30">
        <v>3000</v>
      </c>
      <c r="J26" s="30">
        <v>3000</v>
      </c>
      <c r="K26" s="30">
        <v>3000</v>
      </c>
      <c r="L26" s="30">
        <v>3000</v>
      </c>
      <c r="M26" s="14">
        <v>7484.8</v>
      </c>
      <c r="N26" s="14">
        <v>7484.8</v>
      </c>
      <c r="O26" s="14">
        <v>7484.8</v>
      </c>
    </row>
    <row r="27" spans="1:17">
      <c r="A27" t="s">
        <v>57</v>
      </c>
      <c r="B27" s="11" t="s">
        <v>57</v>
      </c>
      <c r="C27" s="12">
        <v>604.79999999999995</v>
      </c>
      <c r="D27" s="12">
        <v>1604.8</v>
      </c>
      <c r="E27" s="12">
        <v>1604.8</v>
      </c>
      <c r="F27" s="12">
        <v>1604.8</v>
      </c>
      <c r="G27" s="12">
        <v>1604.8</v>
      </c>
      <c r="H27" s="30">
        <v>604.79999999999995</v>
      </c>
      <c r="I27" s="30">
        <v>1604.8</v>
      </c>
      <c r="J27" s="30">
        <v>1604.8</v>
      </c>
      <c r="K27" s="30">
        <v>1604.8</v>
      </c>
      <c r="L27" s="30">
        <v>1604.8</v>
      </c>
      <c r="M27" s="14">
        <v>2025.6000000000004</v>
      </c>
      <c r="N27" s="14">
        <v>2025.6000000000004</v>
      </c>
      <c r="O27" s="14">
        <v>2025.6000000000004</v>
      </c>
    </row>
    <row r="28" spans="1:17">
      <c r="A28" t="s">
        <v>120</v>
      </c>
      <c r="B28" s="11" t="s">
        <v>58</v>
      </c>
      <c r="C28" s="12">
        <v>5722.4</v>
      </c>
      <c r="D28" s="12">
        <v>12722.400000000001</v>
      </c>
      <c r="E28" s="12">
        <v>20722.400000000001</v>
      </c>
      <c r="F28" s="12">
        <v>26722.400000000001</v>
      </c>
      <c r="G28" s="12">
        <v>36722.399999999994</v>
      </c>
      <c r="H28" s="30">
        <v>5722.4</v>
      </c>
      <c r="I28" s="30">
        <v>12722.400000000001</v>
      </c>
      <c r="J28" s="30">
        <v>20722.400000000001</v>
      </c>
      <c r="K28" s="30">
        <v>26722.400000000001</v>
      </c>
      <c r="L28" s="30">
        <v>36722.399999999994</v>
      </c>
      <c r="M28" s="14">
        <v>100246.40000000001</v>
      </c>
      <c r="N28" s="14">
        <v>100246.40000000001</v>
      </c>
      <c r="O28" s="14">
        <v>100246.40000000001</v>
      </c>
    </row>
    <row r="29" spans="1:17">
      <c r="A29" t="s">
        <v>59</v>
      </c>
      <c r="B29" s="11" t="s">
        <v>59</v>
      </c>
      <c r="C29" s="12">
        <v>1000</v>
      </c>
      <c r="D29" s="12">
        <v>1000</v>
      </c>
      <c r="E29" s="12">
        <v>3500</v>
      </c>
      <c r="F29" s="12">
        <v>3500</v>
      </c>
      <c r="G29" s="12">
        <v>7000</v>
      </c>
      <c r="H29" s="30">
        <v>1000</v>
      </c>
      <c r="I29" s="30">
        <v>1000</v>
      </c>
      <c r="J29" s="30">
        <v>3500</v>
      </c>
      <c r="K29" s="30">
        <v>3500</v>
      </c>
      <c r="L29" s="30">
        <v>7000</v>
      </c>
      <c r="M29" s="14">
        <v>1000</v>
      </c>
      <c r="N29" s="14">
        <v>7000</v>
      </c>
      <c r="O29" s="14">
        <v>10000</v>
      </c>
    </row>
    <row r="30" spans="1:17">
      <c r="A30" t="s">
        <v>121</v>
      </c>
      <c r="B30" s="11" t="s">
        <v>121</v>
      </c>
      <c r="C30" s="12">
        <v>850</v>
      </c>
      <c r="D30" s="12">
        <v>850</v>
      </c>
      <c r="E30" s="12">
        <v>1100</v>
      </c>
      <c r="F30" s="12">
        <v>1100</v>
      </c>
      <c r="G30" s="12">
        <v>1100</v>
      </c>
      <c r="H30" s="30">
        <v>850</v>
      </c>
      <c r="I30" s="30">
        <v>850</v>
      </c>
      <c r="J30" s="30">
        <v>1100</v>
      </c>
      <c r="K30" s="30">
        <v>1100</v>
      </c>
      <c r="L30" s="30">
        <v>1100</v>
      </c>
      <c r="M30" s="14">
        <v>1300</v>
      </c>
      <c r="N30" s="14">
        <v>4400</v>
      </c>
      <c r="O30" s="14">
        <v>8600</v>
      </c>
    </row>
    <row r="31" spans="1:17">
      <c r="A31" t="s">
        <v>122</v>
      </c>
      <c r="B31" s="11" t="s">
        <v>122</v>
      </c>
      <c r="C31" s="12">
        <v>300</v>
      </c>
      <c r="D31" s="12">
        <v>300</v>
      </c>
      <c r="E31" s="12">
        <v>300</v>
      </c>
      <c r="F31" s="12">
        <v>300</v>
      </c>
      <c r="G31" s="12">
        <v>300</v>
      </c>
      <c r="H31" s="30">
        <v>300</v>
      </c>
      <c r="I31" s="30">
        <v>300</v>
      </c>
      <c r="J31" s="30">
        <v>300</v>
      </c>
      <c r="K31" s="30">
        <v>300</v>
      </c>
      <c r="L31" s="30">
        <v>300</v>
      </c>
      <c r="M31" s="14">
        <v>400</v>
      </c>
      <c r="N31" s="14">
        <v>1700</v>
      </c>
      <c r="O31" s="14">
        <v>3300</v>
      </c>
    </row>
    <row r="32" spans="1:17">
      <c r="B32" s="11" t="s">
        <v>123</v>
      </c>
      <c r="C32" s="12">
        <v>0</v>
      </c>
      <c r="D32" s="12">
        <v>0</v>
      </c>
      <c r="E32" s="12">
        <v>0</v>
      </c>
      <c r="F32" s="12">
        <v>0</v>
      </c>
      <c r="G32" s="12">
        <v>0</v>
      </c>
      <c r="H32" s="30">
        <v>0</v>
      </c>
      <c r="I32" s="30">
        <v>0</v>
      </c>
      <c r="J32" s="30">
        <v>0</v>
      </c>
      <c r="K32" s="30">
        <v>0</v>
      </c>
      <c r="L32" s="30">
        <v>0</v>
      </c>
      <c r="M32" s="14">
        <v>0</v>
      </c>
      <c r="N32" s="14">
        <v>0</v>
      </c>
      <c r="O32" s="14">
        <v>0</v>
      </c>
    </row>
    <row r="33" spans="1:15">
      <c r="B33" s="11" t="s">
        <v>124</v>
      </c>
      <c r="C33" s="12">
        <v>0</v>
      </c>
      <c r="D33" s="12">
        <v>0</v>
      </c>
      <c r="E33" s="12">
        <v>0</v>
      </c>
      <c r="F33" s="12">
        <v>0</v>
      </c>
      <c r="G33" s="12">
        <v>0</v>
      </c>
      <c r="H33" s="30">
        <v>0</v>
      </c>
      <c r="I33" s="30">
        <v>0</v>
      </c>
      <c r="J33" s="30">
        <v>0</v>
      </c>
      <c r="K33" s="30">
        <v>0</v>
      </c>
      <c r="L33" s="30">
        <v>0</v>
      </c>
      <c r="M33" s="14">
        <v>0</v>
      </c>
      <c r="N33" s="14">
        <v>0</v>
      </c>
      <c r="O33" s="14">
        <v>0</v>
      </c>
    </row>
    <row r="34" spans="1:15">
      <c r="B34" s="11" t="s">
        <v>125</v>
      </c>
      <c r="C34" s="12">
        <v>0</v>
      </c>
      <c r="D34" s="12">
        <v>0</v>
      </c>
      <c r="E34" s="12">
        <v>0</v>
      </c>
      <c r="F34" s="12">
        <v>0</v>
      </c>
      <c r="G34" s="12">
        <v>0</v>
      </c>
      <c r="H34" s="30">
        <v>0</v>
      </c>
      <c r="I34" s="30">
        <v>0</v>
      </c>
      <c r="J34" s="30">
        <v>0</v>
      </c>
      <c r="K34" s="30">
        <v>0</v>
      </c>
      <c r="L34" s="30">
        <v>0</v>
      </c>
      <c r="M34" s="14">
        <v>0</v>
      </c>
      <c r="N34" s="14">
        <v>0</v>
      </c>
      <c r="O34" s="14">
        <v>0</v>
      </c>
    </row>
    <row r="35" spans="1:15">
      <c r="A35" t="s">
        <v>126</v>
      </c>
      <c r="B35" s="11" t="s">
        <v>126</v>
      </c>
      <c r="C35" s="12">
        <v>900</v>
      </c>
      <c r="D35" s="12">
        <v>900</v>
      </c>
      <c r="E35" s="12">
        <v>900</v>
      </c>
      <c r="F35" s="12">
        <v>900</v>
      </c>
      <c r="G35" s="12">
        <v>900</v>
      </c>
      <c r="H35" s="30">
        <v>900</v>
      </c>
      <c r="I35" s="30">
        <v>900</v>
      </c>
      <c r="J35" s="30">
        <v>900</v>
      </c>
      <c r="K35" s="30">
        <v>900</v>
      </c>
      <c r="L35" s="30">
        <v>900</v>
      </c>
      <c r="M35" s="14">
        <v>1100</v>
      </c>
      <c r="N35" s="14">
        <v>1100</v>
      </c>
      <c r="O35" s="14">
        <v>1200</v>
      </c>
    </row>
    <row r="36" spans="1:15">
      <c r="B36" s="11" t="s">
        <v>127</v>
      </c>
      <c r="C36" s="12">
        <v>0</v>
      </c>
      <c r="D36" s="12">
        <v>0</v>
      </c>
      <c r="E36" s="12">
        <v>0</v>
      </c>
      <c r="F36" s="12">
        <v>0</v>
      </c>
      <c r="G36" s="12">
        <v>0</v>
      </c>
      <c r="H36" s="30">
        <v>0</v>
      </c>
      <c r="I36" s="30">
        <v>0</v>
      </c>
      <c r="J36" s="30">
        <v>0</v>
      </c>
      <c r="K36" s="30">
        <v>0</v>
      </c>
      <c r="L36" s="30">
        <v>0</v>
      </c>
      <c r="M36" s="14">
        <v>0</v>
      </c>
      <c r="N36" s="14">
        <v>0</v>
      </c>
      <c r="O36" s="14">
        <v>0</v>
      </c>
    </row>
    <row r="37" spans="1:15">
      <c r="B37" s="11" t="s">
        <v>128</v>
      </c>
      <c r="C37" s="12">
        <v>0</v>
      </c>
      <c r="D37" s="12">
        <v>0</v>
      </c>
      <c r="E37" s="12">
        <v>0</v>
      </c>
      <c r="F37" s="12">
        <v>0</v>
      </c>
      <c r="G37" s="12">
        <v>0</v>
      </c>
      <c r="H37" s="30">
        <v>0</v>
      </c>
      <c r="I37" s="30">
        <v>0</v>
      </c>
      <c r="J37" s="30">
        <v>0</v>
      </c>
      <c r="K37" s="30">
        <v>0</v>
      </c>
      <c r="L37" s="30">
        <v>0</v>
      </c>
      <c r="M37" s="14">
        <v>0</v>
      </c>
      <c r="N37" s="14">
        <v>0</v>
      </c>
      <c r="O37" s="14">
        <v>0</v>
      </c>
    </row>
    <row r="38" spans="1:15">
      <c r="A38" t="s">
        <v>129</v>
      </c>
      <c r="B38" s="11" t="s">
        <v>129</v>
      </c>
      <c r="C38" s="12">
        <v>250</v>
      </c>
      <c r="D38" s="12">
        <v>250</v>
      </c>
      <c r="E38" s="12">
        <v>250</v>
      </c>
      <c r="F38" s="12">
        <v>250</v>
      </c>
      <c r="G38" s="12">
        <v>250</v>
      </c>
      <c r="H38" s="30">
        <v>250</v>
      </c>
      <c r="I38" s="30">
        <v>250</v>
      </c>
      <c r="J38" s="30">
        <v>250</v>
      </c>
      <c r="K38" s="30">
        <v>250</v>
      </c>
      <c r="L38" s="30">
        <v>250</v>
      </c>
      <c r="M38" s="14">
        <v>300</v>
      </c>
      <c r="N38" s="14">
        <v>1000</v>
      </c>
      <c r="O38" s="14">
        <v>1900</v>
      </c>
    </row>
    <row r="39" spans="1:15">
      <c r="A39" t="s">
        <v>130</v>
      </c>
      <c r="B39" s="11" t="s">
        <v>130</v>
      </c>
      <c r="C39" s="12">
        <v>250</v>
      </c>
      <c r="D39" s="12">
        <v>250</v>
      </c>
      <c r="E39" s="12">
        <v>250</v>
      </c>
      <c r="F39" s="12">
        <v>250</v>
      </c>
      <c r="G39" s="12">
        <v>250</v>
      </c>
      <c r="H39" s="30">
        <v>250</v>
      </c>
      <c r="I39" s="30">
        <v>250</v>
      </c>
      <c r="J39" s="30">
        <v>250</v>
      </c>
      <c r="K39" s="30">
        <v>250</v>
      </c>
      <c r="L39" s="30">
        <v>250</v>
      </c>
      <c r="M39" s="14">
        <v>300</v>
      </c>
      <c r="N39" s="14">
        <v>1200</v>
      </c>
      <c r="O39" s="14">
        <v>2400</v>
      </c>
    </row>
    <row r="40" spans="1:15">
      <c r="B40" s="11" t="s">
        <v>131</v>
      </c>
      <c r="C40" s="12">
        <v>0</v>
      </c>
      <c r="D40" s="12">
        <v>0</v>
      </c>
      <c r="E40" s="12">
        <v>0</v>
      </c>
      <c r="F40" s="12">
        <v>0</v>
      </c>
      <c r="G40" s="12">
        <v>0</v>
      </c>
      <c r="H40" s="30">
        <v>0</v>
      </c>
      <c r="I40" s="30">
        <v>0</v>
      </c>
      <c r="J40" s="30">
        <v>0</v>
      </c>
      <c r="K40" s="30">
        <v>0</v>
      </c>
      <c r="L40" s="30">
        <v>0</v>
      </c>
      <c r="M40" s="14">
        <v>0</v>
      </c>
      <c r="N40" s="14">
        <v>0</v>
      </c>
      <c r="O40" s="14">
        <v>0</v>
      </c>
    </row>
    <row r="41" spans="1:15">
      <c r="B41" s="11" t="s">
        <v>132</v>
      </c>
      <c r="C41" s="12">
        <v>0</v>
      </c>
      <c r="D41" s="12">
        <v>0</v>
      </c>
      <c r="E41" s="12">
        <v>0</v>
      </c>
      <c r="F41" s="12">
        <v>0</v>
      </c>
      <c r="G41" s="12">
        <v>0</v>
      </c>
      <c r="H41" s="30">
        <v>0</v>
      </c>
      <c r="I41" s="30">
        <v>0</v>
      </c>
      <c r="J41" s="30">
        <v>0</v>
      </c>
      <c r="K41" s="30">
        <v>0</v>
      </c>
      <c r="L41" s="30">
        <v>0</v>
      </c>
      <c r="M41" s="14">
        <v>0</v>
      </c>
      <c r="N41" s="14">
        <v>0</v>
      </c>
      <c r="O41" s="14">
        <v>0</v>
      </c>
    </row>
    <row r="42" spans="1:15">
      <c r="A42" t="s">
        <v>133</v>
      </c>
      <c r="B42" s="11" t="s">
        <v>133</v>
      </c>
      <c r="C42" s="12">
        <v>0</v>
      </c>
      <c r="D42" s="12">
        <v>186.47</v>
      </c>
      <c r="E42" s="12">
        <v>616.16</v>
      </c>
      <c r="F42" s="12">
        <v>1521.71</v>
      </c>
      <c r="G42" s="12">
        <v>2427.2600000000007</v>
      </c>
      <c r="H42" s="30">
        <v>0</v>
      </c>
      <c r="I42" s="30">
        <v>186.47</v>
      </c>
      <c r="J42" s="30">
        <v>616.16</v>
      </c>
      <c r="K42" s="30">
        <v>1521.71</v>
      </c>
      <c r="L42" s="30">
        <v>2427.2600000000007</v>
      </c>
      <c r="M42" s="14">
        <v>0</v>
      </c>
      <c r="N42" s="14">
        <v>4259.2122951104529</v>
      </c>
      <c r="O42" s="14">
        <v>12818.973227276971</v>
      </c>
    </row>
    <row r="43" spans="1:15">
      <c r="A43" t="s">
        <v>134</v>
      </c>
      <c r="B43" s="11" t="s">
        <v>134</v>
      </c>
      <c r="C43" s="12">
        <v>1250</v>
      </c>
      <c r="D43" s="12">
        <v>2970.18</v>
      </c>
      <c r="E43" s="12">
        <v>4447.1400000000003</v>
      </c>
      <c r="F43" s="12">
        <v>7163.79</v>
      </c>
      <c r="G43" s="12">
        <v>9880.44</v>
      </c>
      <c r="H43" s="30">
        <v>1250</v>
      </c>
      <c r="I43" s="30">
        <v>2970.18</v>
      </c>
      <c r="J43" s="30">
        <v>4447.1400000000003</v>
      </c>
      <c r="K43" s="30">
        <v>7163.79</v>
      </c>
      <c r="L43" s="30">
        <v>9880.44</v>
      </c>
      <c r="M43" s="14">
        <v>7000</v>
      </c>
      <c r="N43" s="14">
        <v>30740.78770488955</v>
      </c>
      <c r="O43" s="14">
        <v>52181.026772723031</v>
      </c>
    </row>
    <row r="44" spans="1:15">
      <c r="B44" s="11" t="s">
        <v>135</v>
      </c>
      <c r="C44" s="12">
        <v>0</v>
      </c>
      <c r="D44" s="12">
        <v>0</v>
      </c>
      <c r="E44" s="12">
        <v>0</v>
      </c>
      <c r="F44" s="12">
        <v>0</v>
      </c>
      <c r="G44" s="12">
        <v>0</v>
      </c>
      <c r="H44" s="30">
        <v>0</v>
      </c>
      <c r="I44" s="30">
        <v>0</v>
      </c>
      <c r="J44" s="30">
        <v>0</v>
      </c>
      <c r="K44" s="30">
        <v>0</v>
      </c>
      <c r="L44" s="30">
        <v>0</v>
      </c>
      <c r="M44" s="14">
        <v>0</v>
      </c>
      <c r="N44" s="14">
        <v>0</v>
      </c>
      <c r="O44" s="14">
        <v>0</v>
      </c>
    </row>
    <row r="45" spans="1:15">
      <c r="A45" t="s">
        <v>136</v>
      </c>
      <c r="B45" s="11" t="s">
        <v>136</v>
      </c>
      <c r="C45" s="12">
        <v>60</v>
      </c>
      <c r="D45" s="12">
        <v>310</v>
      </c>
      <c r="E45" s="12">
        <v>810</v>
      </c>
      <c r="F45" s="12">
        <v>810</v>
      </c>
      <c r="G45" s="12">
        <v>4810</v>
      </c>
      <c r="H45" s="30">
        <v>60</v>
      </c>
      <c r="I45" s="30">
        <v>310</v>
      </c>
      <c r="J45" s="30">
        <v>810</v>
      </c>
      <c r="K45" s="30">
        <v>810</v>
      </c>
      <c r="L45" s="30">
        <v>4810</v>
      </c>
      <c r="M45" s="14">
        <v>70.009075250495428</v>
      </c>
      <c r="N45" s="14">
        <v>3122.6270072046377</v>
      </c>
      <c r="O45" s="14">
        <v>7567.6476580297449</v>
      </c>
    </row>
    <row r="46" spans="1:15">
      <c r="A46" t="s">
        <v>137</v>
      </c>
      <c r="B46" s="11" t="s">
        <v>137</v>
      </c>
      <c r="C46" s="12">
        <v>25</v>
      </c>
      <c r="D46" s="12">
        <v>275</v>
      </c>
      <c r="E46" s="12">
        <v>2775</v>
      </c>
      <c r="F46" s="12">
        <v>2775</v>
      </c>
      <c r="G46" s="12">
        <v>2775</v>
      </c>
      <c r="H46" s="30">
        <v>25</v>
      </c>
      <c r="I46" s="30">
        <v>275</v>
      </c>
      <c r="J46" s="30">
        <v>2775</v>
      </c>
      <c r="K46" s="30">
        <v>2775</v>
      </c>
      <c r="L46" s="30">
        <v>2775</v>
      </c>
      <c r="M46" s="14">
        <v>29.170448021039768</v>
      </c>
      <c r="N46" s="14">
        <v>3083.7330765099182</v>
      </c>
      <c r="O46" s="14">
        <v>5306.243401922472</v>
      </c>
    </row>
    <row r="47" spans="1:15">
      <c r="A47" t="s">
        <v>138</v>
      </c>
      <c r="B47" s="11" t="s">
        <v>138</v>
      </c>
      <c r="C47" s="12">
        <v>500</v>
      </c>
      <c r="D47" s="12">
        <v>1700</v>
      </c>
      <c r="E47" s="12">
        <v>4100</v>
      </c>
      <c r="F47" s="12">
        <v>4100</v>
      </c>
      <c r="G47" s="12">
        <v>8100</v>
      </c>
      <c r="H47" s="30">
        <v>500</v>
      </c>
      <c r="I47" s="30">
        <v>1700</v>
      </c>
      <c r="J47" s="30">
        <v>4100</v>
      </c>
      <c r="K47" s="30">
        <v>4100</v>
      </c>
      <c r="L47" s="30">
        <v>8100</v>
      </c>
      <c r="M47" s="14">
        <v>583.40896042079532</v>
      </c>
      <c r="N47" s="14">
        <v>6778.6564925082885</v>
      </c>
      <c r="O47" s="14">
        <v>13446.187468745949</v>
      </c>
    </row>
    <row r="48" spans="1:15">
      <c r="B48" s="11" t="s">
        <v>139</v>
      </c>
      <c r="C48" s="12">
        <v>0</v>
      </c>
      <c r="D48" s="12">
        <v>0</v>
      </c>
      <c r="E48" s="12">
        <v>0</v>
      </c>
      <c r="F48" s="12">
        <v>0</v>
      </c>
      <c r="G48" s="12">
        <v>0</v>
      </c>
      <c r="H48" s="30">
        <v>0</v>
      </c>
      <c r="I48" s="30">
        <v>0</v>
      </c>
      <c r="J48" s="30">
        <v>0</v>
      </c>
      <c r="K48" s="30">
        <v>0</v>
      </c>
      <c r="L48" s="30">
        <v>0</v>
      </c>
      <c r="M48" s="14">
        <v>0</v>
      </c>
      <c r="N48" s="14">
        <v>0</v>
      </c>
      <c r="O48" s="14">
        <v>0</v>
      </c>
    </row>
    <row r="49" spans="1:15">
      <c r="B49" s="11" t="s">
        <v>140</v>
      </c>
      <c r="C49" s="12">
        <v>0</v>
      </c>
      <c r="D49" s="12">
        <v>0</v>
      </c>
      <c r="E49" s="12">
        <v>0</v>
      </c>
      <c r="F49" s="12">
        <v>0</v>
      </c>
      <c r="G49" s="12">
        <v>0</v>
      </c>
      <c r="H49" s="30">
        <v>0</v>
      </c>
      <c r="I49" s="30">
        <v>0</v>
      </c>
      <c r="J49" s="30">
        <v>0</v>
      </c>
      <c r="K49" s="30">
        <v>0</v>
      </c>
      <c r="L49" s="30">
        <v>0</v>
      </c>
      <c r="M49" s="14">
        <v>0</v>
      </c>
      <c r="N49" s="14">
        <v>0</v>
      </c>
      <c r="O49" s="14">
        <v>0</v>
      </c>
    </row>
    <row r="50" spans="1:15">
      <c r="B50" s="11" t="s">
        <v>141</v>
      </c>
      <c r="C50" s="12">
        <v>0</v>
      </c>
      <c r="D50" s="12">
        <v>0</v>
      </c>
      <c r="E50" s="12">
        <v>0</v>
      </c>
      <c r="F50" s="12">
        <v>0</v>
      </c>
      <c r="G50" s="12">
        <v>0</v>
      </c>
      <c r="H50" s="30">
        <v>0</v>
      </c>
      <c r="I50" s="30">
        <v>0</v>
      </c>
      <c r="J50" s="30">
        <v>0</v>
      </c>
      <c r="K50" s="30">
        <v>0</v>
      </c>
      <c r="L50" s="30">
        <v>0</v>
      </c>
      <c r="M50" s="14">
        <v>0</v>
      </c>
      <c r="N50" s="14">
        <v>0</v>
      </c>
      <c r="O50" s="14">
        <v>0</v>
      </c>
    </row>
    <row r="51" spans="1:15">
      <c r="A51" t="s">
        <v>142</v>
      </c>
      <c r="B51" s="11" t="s">
        <v>142</v>
      </c>
      <c r="C51" s="12">
        <v>1258</v>
      </c>
      <c r="D51" s="12">
        <v>1258</v>
      </c>
      <c r="E51" s="12">
        <v>3758</v>
      </c>
      <c r="F51" s="12">
        <v>3758</v>
      </c>
      <c r="G51" s="12">
        <v>9758</v>
      </c>
      <c r="H51" s="30">
        <v>1258</v>
      </c>
      <c r="I51" s="30">
        <v>1258</v>
      </c>
      <c r="J51" s="30">
        <v>3758</v>
      </c>
      <c r="K51" s="30">
        <v>3758</v>
      </c>
      <c r="L51" s="30">
        <v>9758</v>
      </c>
      <c r="M51" s="14">
        <v>1467.856944418721</v>
      </c>
      <c r="N51" s="14">
        <v>1953.5865760376346</v>
      </c>
      <c r="O51" s="14">
        <v>15288.648528512957</v>
      </c>
    </row>
    <row r="52" spans="1:15">
      <c r="A52" t="s">
        <v>143</v>
      </c>
      <c r="B52" s="11" t="s">
        <v>143</v>
      </c>
      <c r="C52" s="12">
        <v>450</v>
      </c>
      <c r="D52" s="12">
        <v>2950</v>
      </c>
      <c r="E52" s="12">
        <v>2950</v>
      </c>
      <c r="F52" s="12">
        <v>2950</v>
      </c>
      <c r="G52" s="12">
        <v>2950</v>
      </c>
      <c r="H52" s="30">
        <v>450</v>
      </c>
      <c r="I52" s="30">
        <v>2950</v>
      </c>
      <c r="J52" s="30">
        <v>2950</v>
      </c>
      <c r="K52" s="30">
        <v>2950</v>
      </c>
      <c r="L52" s="30">
        <v>2950</v>
      </c>
      <c r="M52" s="14">
        <v>525.0680643787158</v>
      </c>
      <c r="N52" s="14">
        <v>3278.2027299835163</v>
      </c>
      <c r="O52" s="14">
        <v>3278.2027299835163</v>
      </c>
    </row>
    <row r="53" spans="1:15">
      <c r="B53" s="11" t="s">
        <v>144</v>
      </c>
      <c r="C53" s="12">
        <v>0</v>
      </c>
      <c r="D53" s="12">
        <v>0</v>
      </c>
      <c r="E53" s="12">
        <v>0</v>
      </c>
      <c r="F53" s="12">
        <v>0</v>
      </c>
      <c r="G53" s="12">
        <v>0</v>
      </c>
      <c r="H53" s="30">
        <v>0</v>
      </c>
      <c r="I53" s="30">
        <v>0</v>
      </c>
      <c r="J53" s="30">
        <v>0</v>
      </c>
      <c r="K53" s="30">
        <v>0</v>
      </c>
      <c r="L53" s="30">
        <v>0</v>
      </c>
      <c r="M53" s="14">
        <v>0</v>
      </c>
      <c r="N53" s="14">
        <v>0</v>
      </c>
      <c r="O53" s="14">
        <v>0</v>
      </c>
    </row>
    <row r="54" spans="1:15">
      <c r="B54" s="11" t="s">
        <v>145</v>
      </c>
      <c r="C54" s="12">
        <v>0</v>
      </c>
      <c r="D54" s="12">
        <v>0</v>
      </c>
      <c r="E54" s="12">
        <v>0</v>
      </c>
      <c r="F54" s="12">
        <v>0</v>
      </c>
      <c r="G54" s="12">
        <v>0</v>
      </c>
      <c r="H54" s="30">
        <v>0</v>
      </c>
      <c r="I54" s="30">
        <v>0</v>
      </c>
      <c r="J54" s="30">
        <v>0</v>
      </c>
      <c r="K54" s="30">
        <v>0</v>
      </c>
      <c r="L54" s="30">
        <v>0</v>
      </c>
      <c r="M54" s="14">
        <v>0</v>
      </c>
      <c r="N54" s="14">
        <v>0</v>
      </c>
      <c r="O54" s="14">
        <v>0</v>
      </c>
    </row>
    <row r="55" spans="1:15">
      <c r="B55" s="11" t="s">
        <v>146</v>
      </c>
      <c r="C55" s="12">
        <v>0</v>
      </c>
      <c r="D55" s="12">
        <v>0</v>
      </c>
      <c r="E55" s="12">
        <v>0</v>
      </c>
      <c r="F55" s="12">
        <v>0</v>
      </c>
      <c r="G55" s="12">
        <v>0</v>
      </c>
      <c r="H55" s="30">
        <v>0</v>
      </c>
      <c r="I55" s="30">
        <v>0</v>
      </c>
      <c r="J55" s="30">
        <v>0</v>
      </c>
      <c r="K55" s="30">
        <v>0</v>
      </c>
      <c r="L55" s="30">
        <v>0</v>
      </c>
      <c r="M55" s="14">
        <v>0</v>
      </c>
      <c r="N55" s="14">
        <v>0</v>
      </c>
      <c r="O55" s="14">
        <v>0</v>
      </c>
    </row>
    <row r="56" spans="1:15">
      <c r="A56" t="s">
        <v>147</v>
      </c>
      <c r="B56" s="11" t="s">
        <v>147</v>
      </c>
      <c r="C56" s="12">
        <v>1600</v>
      </c>
      <c r="D56" s="12">
        <v>1600</v>
      </c>
      <c r="E56" s="12">
        <v>7600</v>
      </c>
      <c r="F56" s="12">
        <v>7600</v>
      </c>
      <c r="G56" s="12">
        <v>11600</v>
      </c>
      <c r="H56" s="30">
        <v>1600</v>
      </c>
      <c r="I56" s="30">
        <v>1600</v>
      </c>
      <c r="J56" s="30">
        <v>7600</v>
      </c>
      <c r="K56" s="30">
        <v>7600</v>
      </c>
      <c r="L56" s="30">
        <v>11600</v>
      </c>
      <c r="M56" s="14">
        <v>1866.9086733465451</v>
      </c>
      <c r="N56" s="14">
        <v>8445.5392365677035</v>
      </c>
      <c r="O56" s="14">
        <v>15113.070212805364</v>
      </c>
    </row>
    <row r="57" spans="1:15">
      <c r="B57" s="11" t="s">
        <v>148</v>
      </c>
      <c r="C57" s="12">
        <v>0</v>
      </c>
      <c r="D57" s="12">
        <v>0</v>
      </c>
      <c r="E57" s="12">
        <v>0</v>
      </c>
      <c r="F57" s="12">
        <v>0</v>
      </c>
      <c r="G57" s="12">
        <v>0</v>
      </c>
      <c r="H57" s="30">
        <v>0</v>
      </c>
      <c r="I57" s="30">
        <v>0</v>
      </c>
      <c r="J57" s="30">
        <v>0</v>
      </c>
      <c r="K57" s="30">
        <v>0</v>
      </c>
      <c r="L57" s="30">
        <v>0</v>
      </c>
      <c r="M57" s="14">
        <v>0</v>
      </c>
      <c r="N57" s="14">
        <v>0</v>
      </c>
      <c r="O57" s="14">
        <v>0</v>
      </c>
    </row>
    <row r="58" spans="1:15">
      <c r="A58" t="s">
        <v>149</v>
      </c>
      <c r="B58" s="11" t="s">
        <v>149</v>
      </c>
      <c r="C58" s="12">
        <v>0</v>
      </c>
      <c r="D58" s="12">
        <v>200</v>
      </c>
      <c r="E58" s="12">
        <v>200</v>
      </c>
      <c r="F58" s="12">
        <v>200</v>
      </c>
      <c r="G58" s="12">
        <v>200</v>
      </c>
      <c r="H58" s="30">
        <v>0</v>
      </c>
      <c r="I58" s="30">
        <v>200</v>
      </c>
      <c r="J58" s="30">
        <v>200</v>
      </c>
      <c r="K58" s="30">
        <v>200</v>
      </c>
      <c r="L58" s="30">
        <v>200</v>
      </c>
      <c r="M58" s="14">
        <v>200</v>
      </c>
      <c r="N58" s="14">
        <v>200</v>
      </c>
      <c r="O58" s="14">
        <v>200</v>
      </c>
    </row>
    <row r="59" spans="1:15">
      <c r="A59" t="s">
        <v>150</v>
      </c>
      <c r="B59" s="11" t="s">
        <v>150</v>
      </c>
      <c r="C59" s="12">
        <v>2700</v>
      </c>
      <c r="D59" s="12">
        <v>8450</v>
      </c>
      <c r="E59" s="12">
        <v>8450</v>
      </c>
      <c r="F59" s="12">
        <v>14750</v>
      </c>
      <c r="G59" s="12">
        <v>14750</v>
      </c>
      <c r="H59" s="30">
        <v>2700</v>
      </c>
      <c r="I59" s="30">
        <v>8450</v>
      </c>
      <c r="J59" s="30">
        <v>8450</v>
      </c>
      <c r="K59" s="30">
        <v>14750</v>
      </c>
      <c r="L59" s="30">
        <v>14750</v>
      </c>
      <c r="M59" s="14">
        <v>2700</v>
      </c>
      <c r="N59" s="14">
        <v>14950</v>
      </c>
      <c r="O59" s="14">
        <v>19000</v>
      </c>
    </row>
    <row r="60" spans="1:15">
      <c r="A60" t="s">
        <v>65</v>
      </c>
      <c r="B60" s="11" t="s">
        <v>65</v>
      </c>
      <c r="C60" s="12">
        <v>0</v>
      </c>
      <c r="D60" s="12">
        <v>0</v>
      </c>
      <c r="E60" s="12">
        <v>1550</v>
      </c>
      <c r="F60" s="12">
        <v>2550</v>
      </c>
      <c r="G60" s="12">
        <v>2550</v>
      </c>
      <c r="H60" s="30">
        <v>0</v>
      </c>
      <c r="I60" s="30">
        <v>0</v>
      </c>
      <c r="J60" s="30">
        <v>1550</v>
      </c>
      <c r="K60" s="30">
        <v>2550</v>
      </c>
      <c r="L60" s="30">
        <v>2550</v>
      </c>
      <c r="M60" s="14">
        <v>0</v>
      </c>
      <c r="N60" s="14">
        <v>1550</v>
      </c>
      <c r="O60" s="14">
        <v>2550</v>
      </c>
    </row>
    <row r="61" spans="1:15">
      <c r="B61" s="11" t="s">
        <v>151</v>
      </c>
      <c r="C61" s="12">
        <v>0</v>
      </c>
      <c r="D61" s="12">
        <v>0</v>
      </c>
      <c r="E61" s="12">
        <v>0</v>
      </c>
      <c r="F61" s="12">
        <v>0</v>
      </c>
      <c r="G61" s="12">
        <v>0</v>
      </c>
      <c r="H61" s="30">
        <v>0</v>
      </c>
      <c r="I61" s="30">
        <v>0</v>
      </c>
      <c r="J61" s="30">
        <v>0</v>
      </c>
      <c r="K61" s="30">
        <v>0</v>
      </c>
      <c r="L61" s="30">
        <v>0</v>
      </c>
      <c r="M61" s="14">
        <v>510</v>
      </c>
      <c r="N61" s="14">
        <v>1200</v>
      </c>
      <c r="O61" s="14">
        <v>3000</v>
      </c>
    </row>
    <row r="62" spans="1:15">
      <c r="B62" s="11" t="s">
        <v>152</v>
      </c>
      <c r="C62" s="12">
        <v>0</v>
      </c>
      <c r="D62" s="12">
        <v>0</v>
      </c>
      <c r="E62" s="12">
        <v>0</v>
      </c>
      <c r="F62" s="12">
        <v>0</v>
      </c>
      <c r="G62" s="12">
        <v>0</v>
      </c>
      <c r="H62" s="30">
        <v>0</v>
      </c>
      <c r="I62" s="30">
        <v>0</v>
      </c>
      <c r="J62" s="30">
        <v>0</v>
      </c>
      <c r="K62" s="30">
        <v>0</v>
      </c>
      <c r="L62" s="30">
        <v>0</v>
      </c>
      <c r="M62" s="14"/>
      <c r="N62" s="14"/>
      <c r="O62" s="14"/>
    </row>
    <row r="63" spans="1:15">
      <c r="B63" s="11" t="s">
        <v>67</v>
      </c>
      <c r="C63" s="12">
        <v>0</v>
      </c>
      <c r="D63" s="12">
        <v>0</v>
      </c>
      <c r="E63" s="12">
        <v>0</v>
      </c>
      <c r="F63" s="12">
        <v>0</v>
      </c>
      <c r="G63" s="12">
        <v>0</v>
      </c>
      <c r="H63" s="30">
        <v>0</v>
      </c>
      <c r="I63" s="30">
        <v>0</v>
      </c>
      <c r="J63" s="30">
        <v>0</v>
      </c>
      <c r="K63" s="30">
        <v>0</v>
      </c>
      <c r="L63" s="30">
        <v>0</v>
      </c>
      <c r="M63" s="14"/>
      <c r="N63" s="14"/>
      <c r="O63" s="14"/>
    </row>
    <row r="64" spans="1:15">
      <c r="A64" t="s">
        <v>68</v>
      </c>
      <c r="B64" s="11" t="s">
        <v>68</v>
      </c>
      <c r="C64" s="12">
        <v>5174</v>
      </c>
      <c r="D64" s="12">
        <v>11000</v>
      </c>
      <c r="E64" s="12">
        <v>20000</v>
      </c>
      <c r="F64" s="12">
        <v>27000</v>
      </c>
      <c r="G64" s="12">
        <v>35000</v>
      </c>
      <c r="H64" s="30">
        <v>5174</v>
      </c>
      <c r="I64" s="30">
        <v>11000</v>
      </c>
      <c r="J64" s="30">
        <v>20000</v>
      </c>
      <c r="K64" s="30">
        <v>27000</v>
      </c>
      <c r="L64" s="30">
        <v>35000</v>
      </c>
      <c r="M64" s="14">
        <v>5174</v>
      </c>
      <c r="N64" s="14">
        <v>20000</v>
      </c>
      <c r="O64" s="14">
        <v>35000</v>
      </c>
    </row>
    <row r="65" spans="1:15">
      <c r="A65" t="s">
        <v>69</v>
      </c>
      <c r="B65" s="11" t="s">
        <v>69</v>
      </c>
      <c r="C65" s="12">
        <v>0</v>
      </c>
      <c r="D65" s="12">
        <v>1003</v>
      </c>
      <c r="E65" s="12">
        <v>1700</v>
      </c>
      <c r="F65" s="12">
        <v>1700</v>
      </c>
      <c r="G65" s="12">
        <v>1700</v>
      </c>
      <c r="H65" s="30">
        <v>0</v>
      </c>
      <c r="I65" s="30">
        <v>1003</v>
      </c>
      <c r="J65" s="30">
        <v>1700</v>
      </c>
      <c r="K65" s="30">
        <v>1700</v>
      </c>
      <c r="L65" s="30">
        <v>1700</v>
      </c>
      <c r="M65" s="14">
        <v>0</v>
      </c>
      <c r="N65" s="14">
        <v>1870</v>
      </c>
      <c r="O65" s="14">
        <v>3248</v>
      </c>
    </row>
    <row r="66" spans="1:15">
      <c r="A66" t="s">
        <v>70</v>
      </c>
      <c r="B66" s="11" t="s">
        <v>70</v>
      </c>
      <c r="C66" s="12">
        <v>399.99999999999994</v>
      </c>
      <c r="D66" s="12">
        <v>1521</v>
      </c>
      <c r="E66" s="12">
        <v>2300</v>
      </c>
      <c r="F66" s="12">
        <v>2300</v>
      </c>
      <c r="G66" s="12">
        <v>2300</v>
      </c>
      <c r="H66" s="30">
        <v>399.99999999999994</v>
      </c>
      <c r="I66" s="30">
        <v>1521</v>
      </c>
      <c r="J66" s="30">
        <v>2300</v>
      </c>
      <c r="K66" s="30">
        <v>2300</v>
      </c>
      <c r="L66" s="30">
        <v>2300</v>
      </c>
      <c r="M66" s="14">
        <v>420</v>
      </c>
      <c r="N66" s="14">
        <v>2530</v>
      </c>
      <c r="O66" s="14">
        <v>4395</v>
      </c>
    </row>
    <row r="67" spans="1:15">
      <c r="A67" t="s">
        <v>71</v>
      </c>
      <c r="B67" s="11" t="s">
        <v>71</v>
      </c>
      <c r="C67" s="12">
        <v>900</v>
      </c>
      <c r="D67" s="12">
        <v>1313</v>
      </c>
      <c r="E67" s="12">
        <v>1600</v>
      </c>
      <c r="F67" s="12">
        <v>1600</v>
      </c>
      <c r="G67" s="12">
        <v>1600</v>
      </c>
      <c r="H67" s="30">
        <v>900</v>
      </c>
      <c r="I67" s="30">
        <v>1313</v>
      </c>
      <c r="J67" s="30">
        <v>1600</v>
      </c>
      <c r="K67" s="30">
        <v>1600</v>
      </c>
      <c r="L67" s="30">
        <v>1600</v>
      </c>
      <c r="M67" s="14">
        <v>945</v>
      </c>
      <c r="N67" s="14">
        <v>1760</v>
      </c>
      <c r="O67" s="14">
        <v>3057</v>
      </c>
    </row>
    <row r="68" spans="1:15">
      <c r="A68" t="s">
        <v>72</v>
      </c>
      <c r="B68" s="11" t="s">
        <v>72</v>
      </c>
      <c r="C68" s="12">
        <v>600</v>
      </c>
      <c r="D68" s="12">
        <v>777</v>
      </c>
      <c r="E68" s="12">
        <v>900</v>
      </c>
      <c r="F68" s="12">
        <v>900</v>
      </c>
      <c r="G68" s="12">
        <v>900</v>
      </c>
      <c r="H68" s="30">
        <v>600</v>
      </c>
      <c r="I68" s="30">
        <v>777</v>
      </c>
      <c r="J68" s="30">
        <v>900</v>
      </c>
      <c r="K68" s="30">
        <v>900</v>
      </c>
      <c r="L68" s="30">
        <v>900</v>
      </c>
      <c r="M68" s="14">
        <v>630</v>
      </c>
      <c r="N68" s="14">
        <v>990</v>
      </c>
      <c r="O68" s="14">
        <v>1720</v>
      </c>
    </row>
    <row r="69" spans="1:15">
      <c r="A69" t="s">
        <v>73</v>
      </c>
      <c r="B69" s="11" t="s">
        <v>73</v>
      </c>
      <c r="C69" s="12">
        <v>3800</v>
      </c>
      <c r="D69" s="12">
        <v>5215.9999999999991</v>
      </c>
      <c r="E69" s="12">
        <v>6199.9999999999991</v>
      </c>
      <c r="F69" s="12">
        <v>6199.9999999999991</v>
      </c>
      <c r="G69" s="12">
        <v>6200</v>
      </c>
      <c r="H69" s="30">
        <v>3800</v>
      </c>
      <c r="I69" s="30">
        <v>5215.9999999999991</v>
      </c>
      <c r="J69" s="30">
        <v>6199.9999999999991</v>
      </c>
      <c r="K69" s="30">
        <v>6199.9999999999991</v>
      </c>
      <c r="L69" s="30">
        <v>6200</v>
      </c>
      <c r="M69" s="14">
        <v>3990</v>
      </c>
      <c r="N69" s="14">
        <v>6820</v>
      </c>
      <c r="O69" s="14">
        <v>11847</v>
      </c>
    </row>
    <row r="70" spans="1:15">
      <c r="A70" t="s">
        <v>74</v>
      </c>
      <c r="B70" s="11" t="s">
        <v>74</v>
      </c>
      <c r="C70" s="12">
        <v>1399.9999999999998</v>
      </c>
      <c r="D70" s="12">
        <v>2108</v>
      </c>
      <c r="E70" s="12">
        <v>2600</v>
      </c>
      <c r="F70" s="12">
        <v>2600</v>
      </c>
      <c r="G70" s="12">
        <v>2600</v>
      </c>
      <c r="H70" s="30">
        <v>1399.9999999999998</v>
      </c>
      <c r="I70" s="30">
        <v>2108</v>
      </c>
      <c r="J70" s="30">
        <v>2600</v>
      </c>
      <c r="K70" s="30">
        <v>2600</v>
      </c>
      <c r="L70" s="30">
        <v>2600</v>
      </c>
      <c r="M70" s="14">
        <v>1470</v>
      </c>
      <c r="N70" s="14">
        <v>2860</v>
      </c>
      <c r="O70" s="14">
        <v>4968</v>
      </c>
    </row>
    <row r="71" spans="1:15">
      <c r="A71" t="s">
        <v>75</v>
      </c>
      <c r="B71" s="11" t="s">
        <v>75</v>
      </c>
      <c r="C71" s="12">
        <v>1399.9999999999998</v>
      </c>
      <c r="D71" s="12">
        <v>2462</v>
      </c>
      <c r="E71" s="12">
        <v>3200</v>
      </c>
      <c r="F71" s="12">
        <v>3200</v>
      </c>
      <c r="G71" s="12">
        <v>3200</v>
      </c>
      <c r="H71" s="30">
        <v>1399.9999999999998</v>
      </c>
      <c r="I71" s="30">
        <v>2462</v>
      </c>
      <c r="J71" s="30">
        <v>3200</v>
      </c>
      <c r="K71" s="30">
        <v>3200</v>
      </c>
      <c r="L71" s="30">
        <v>3200</v>
      </c>
      <c r="M71" s="14">
        <v>1470</v>
      </c>
      <c r="N71" s="14">
        <v>3520</v>
      </c>
      <c r="O71" s="14">
        <v>6115</v>
      </c>
    </row>
    <row r="72" spans="1:15">
      <c r="A72" t="s">
        <v>76</v>
      </c>
      <c r="B72" s="11" t="s">
        <v>76</v>
      </c>
      <c r="C72" s="12">
        <v>1400</v>
      </c>
      <c r="D72" s="12">
        <v>1400</v>
      </c>
      <c r="E72" s="12">
        <v>2800</v>
      </c>
      <c r="F72" s="12">
        <v>2800</v>
      </c>
      <c r="G72" s="12">
        <v>4500</v>
      </c>
      <c r="H72" s="30">
        <v>1400</v>
      </c>
      <c r="I72" s="30">
        <v>1400</v>
      </c>
      <c r="J72" s="30">
        <v>2800</v>
      </c>
      <c r="K72" s="30">
        <v>2800</v>
      </c>
      <c r="L72" s="30">
        <v>4500</v>
      </c>
      <c r="M72" s="14">
        <v>1568.627450980392</v>
      </c>
      <c r="N72" s="14">
        <v>2784.3137254901958</v>
      </c>
      <c r="O72" s="14">
        <v>4500</v>
      </c>
    </row>
    <row r="73" spans="1:15">
      <c r="B73" s="11" t="s">
        <v>77</v>
      </c>
      <c r="C73" s="12">
        <v>0</v>
      </c>
      <c r="D73" s="12">
        <v>0</v>
      </c>
      <c r="E73" s="12">
        <v>0</v>
      </c>
      <c r="F73" s="12">
        <v>0</v>
      </c>
      <c r="G73" s="12">
        <v>0</v>
      </c>
      <c r="H73" s="30">
        <v>0</v>
      </c>
      <c r="I73" s="30">
        <v>0</v>
      </c>
      <c r="J73" s="30">
        <v>0</v>
      </c>
      <c r="K73" s="30">
        <v>0</v>
      </c>
      <c r="L73" s="30">
        <v>0</v>
      </c>
      <c r="M73" s="14"/>
      <c r="N73" s="14"/>
      <c r="O73" s="14"/>
    </row>
    <row r="74" spans="1:15">
      <c r="B74" s="11" t="s">
        <v>78</v>
      </c>
      <c r="C74" s="12">
        <v>0</v>
      </c>
      <c r="D74" s="12">
        <v>0</v>
      </c>
      <c r="E74" s="12">
        <v>0</v>
      </c>
      <c r="F74" s="12">
        <v>0</v>
      </c>
      <c r="G74" s="12">
        <v>0</v>
      </c>
      <c r="H74" s="30">
        <v>0</v>
      </c>
      <c r="I74" s="30">
        <v>0</v>
      </c>
      <c r="J74" s="30">
        <v>0</v>
      </c>
      <c r="K74" s="30">
        <v>0</v>
      </c>
      <c r="L74" s="30">
        <v>0</v>
      </c>
      <c r="M74" s="14"/>
      <c r="N74" s="14"/>
      <c r="O74" s="14"/>
    </row>
    <row r="75" spans="1:15">
      <c r="B75" s="11" t="s">
        <v>79</v>
      </c>
      <c r="C75" s="12">
        <v>0</v>
      </c>
      <c r="D75" s="12">
        <v>0</v>
      </c>
      <c r="E75" s="12">
        <v>0</v>
      </c>
      <c r="F75" s="12">
        <v>0</v>
      </c>
      <c r="G75" s="12">
        <v>0</v>
      </c>
      <c r="H75" s="30">
        <v>0</v>
      </c>
      <c r="I75" s="30">
        <v>0</v>
      </c>
      <c r="J75" s="30">
        <v>0</v>
      </c>
      <c r="K75" s="30">
        <v>0</v>
      </c>
      <c r="L75" s="30">
        <v>0</v>
      </c>
      <c r="M75" s="14"/>
      <c r="N75" s="14"/>
      <c r="O75" s="14"/>
    </row>
    <row r="76" spans="1:15">
      <c r="B76" s="11" t="s">
        <v>80</v>
      </c>
      <c r="C76" s="12">
        <v>0</v>
      </c>
      <c r="D76" s="12">
        <v>0</v>
      </c>
      <c r="E76" s="12">
        <v>0</v>
      </c>
      <c r="F76" s="12">
        <v>0</v>
      </c>
      <c r="G76" s="12">
        <v>0</v>
      </c>
      <c r="H76" s="30">
        <v>0</v>
      </c>
      <c r="I76" s="30">
        <v>0</v>
      </c>
      <c r="J76" s="30">
        <v>0</v>
      </c>
      <c r="K76" s="30">
        <v>0</v>
      </c>
      <c r="L76" s="30">
        <v>0</v>
      </c>
      <c r="M76" s="14">
        <v>0</v>
      </c>
      <c r="N76" s="14">
        <v>0</v>
      </c>
      <c r="O76" s="14">
        <v>0</v>
      </c>
    </row>
    <row r="77" spans="1:15">
      <c r="A77" t="s">
        <v>81</v>
      </c>
      <c r="B77" s="11" t="s">
        <v>81</v>
      </c>
      <c r="C77" s="12">
        <v>500</v>
      </c>
      <c r="D77" s="12">
        <v>500</v>
      </c>
      <c r="E77" s="12">
        <v>1000</v>
      </c>
      <c r="F77" s="12">
        <v>1000</v>
      </c>
      <c r="G77" s="12">
        <v>2000</v>
      </c>
      <c r="H77" s="30">
        <v>500</v>
      </c>
      <c r="I77" s="30">
        <v>500</v>
      </c>
      <c r="J77" s="30">
        <v>1000</v>
      </c>
      <c r="K77" s="30">
        <v>1000</v>
      </c>
      <c r="L77" s="30">
        <v>2000</v>
      </c>
      <c r="M77" s="14">
        <v>1000</v>
      </c>
      <c r="N77" s="14">
        <v>2000</v>
      </c>
      <c r="O77" s="14">
        <v>14000</v>
      </c>
    </row>
    <row r="78" spans="1:15">
      <c r="B78" s="11" t="s">
        <v>82</v>
      </c>
      <c r="C78" s="12">
        <v>0</v>
      </c>
      <c r="D78" s="12">
        <v>0</v>
      </c>
      <c r="E78" s="12">
        <v>0</v>
      </c>
      <c r="F78" s="12">
        <v>0</v>
      </c>
      <c r="G78" s="12">
        <v>0</v>
      </c>
      <c r="H78" s="30">
        <v>0</v>
      </c>
      <c r="I78" s="30">
        <v>0</v>
      </c>
      <c r="J78" s="30">
        <v>0</v>
      </c>
      <c r="K78" s="30">
        <v>0</v>
      </c>
      <c r="L78" s="30">
        <v>0</v>
      </c>
      <c r="M78" s="14"/>
      <c r="N78" s="14"/>
      <c r="O78" s="14"/>
    </row>
    <row r="79" spans="1:15">
      <c r="B79" s="11" t="s">
        <v>83</v>
      </c>
      <c r="C79" s="12">
        <v>0</v>
      </c>
      <c r="D79" s="12">
        <v>0</v>
      </c>
      <c r="E79" s="12">
        <v>0</v>
      </c>
      <c r="F79" s="12">
        <v>0</v>
      </c>
      <c r="G79" s="12">
        <v>0</v>
      </c>
      <c r="H79" s="30">
        <v>0</v>
      </c>
      <c r="I79" s="30">
        <v>0</v>
      </c>
      <c r="J79" s="30">
        <v>0</v>
      </c>
      <c r="K79" s="30">
        <v>0</v>
      </c>
      <c r="L79" s="30">
        <v>0</v>
      </c>
      <c r="M79" s="14"/>
      <c r="N79" s="14"/>
      <c r="O79" s="14"/>
    </row>
    <row r="80" spans="1:15">
      <c r="B80" s="11" t="s">
        <v>84</v>
      </c>
      <c r="C80" s="12">
        <v>0</v>
      </c>
      <c r="D80" s="12">
        <v>0</v>
      </c>
      <c r="E80" s="12">
        <v>0</v>
      </c>
      <c r="F80" s="12">
        <v>0</v>
      </c>
      <c r="G80" s="12">
        <v>0</v>
      </c>
      <c r="H80" s="30">
        <v>50</v>
      </c>
      <c r="I80" s="30">
        <f>(H80+J80)/2</f>
        <v>225</v>
      </c>
      <c r="J80" s="30">
        <v>400</v>
      </c>
      <c r="K80" s="30">
        <v>400</v>
      </c>
      <c r="L80" s="30">
        <v>400</v>
      </c>
      <c r="M80" s="14">
        <v>50</v>
      </c>
      <c r="N80" s="14">
        <v>400</v>
      </c>
      <c r="O80" s="14">
        <v>400</v>
      </c>
    </row>
    <row r="81" spans="1:15">
      <c r="A81" t="s">
        <v>153</v>
      </c>
      <c r="B81" s="11" t="s">
        <v>153</v>
      </c>
      <c r="C81" s="12">
        <v>600</v>
      </c>
      <c r="D81" s="12">
        <v>1300</v>
      </c>
      <c r="E81" s="12">
        <v>1300</v>
      </c>
      <c r="F81" s="12">
        <v>1300</v>
      </c>
      <c r="G81" s="12">
        <v>5300</v>
      </c>
      <c r="H81" s="30">
        <v>600</v>
      </c>
      <c r="I81" s="30">
        <v>1300</v>
      </c>
      <c r="J81" s="30">
        <v>1300</v>
      </c>
      <c r="K81" s="30">
        <v>1300</v>
      </c>
      <c r="L81" s="30">
        <v>5300</v>
      </c>
      <c r="M81" s="14">
        <v>600</v>
      </c>
      <c r="N81" s="14">
        <v>2608.8560885608854</v>
      </c>
      <c r="O81" s="14">
        <v>3392.2750742781318</v>
      </c>
    </row>
    <row r="82" spans="1:15">
      <c r="A82" t="s">
        <v>154</v>
      </c>
      <c r="B82" s="11" t="s">
        <v>154</v>
      </c>
      <c r="C82" s="12">
        <v>4300</v>
      </c>
      <c r="D82" s="12">
        <v>10000</v>
      </c>
      <c r="E82" s="12">
        <v>29300</v>
      </c>
      <c r="F82" s="12">
        <v>29300</v>
      </c>
      <c r="G82" s="12">
        <v>43300</v>
      </c>
      <c r="H82" s="30">
        <v>4300</v>
      </c>
      <c r="I82" s="30">
        <v>10000</v>
      </c>
      <c r="J82" s="30">
        <v>29300</v>
      </c>
      <c r="K82" s="30">
        <v>29300</v>
      </c>
      <c r="L82" s="30">
        <v>43300</v>
      </c>
      <c r="M82" s="14">
        <v>4700</v>
      </c>
      <c r="N82" s="14">
        <v>10568.529256721138</v>
      </c>
      <c r="O82" s="14">
        <v>17965.211872962758</v>
      </c>
    </row>
    <row r="83" spans="1:15">
      <c r="A83" t="s">
        <v>155</v>
      </c>
      <c r="B83" s="11" t="s">
        <v>155</v>
      </c>
      <c r="C83" s="12">
        <v>10000</v>
      </c>
      <c r="D83" s="12">
        <v>4300</v>
      </c>
      <c r="E83" s="12">
        <v>6300</v>
      </c>
      <c r="F83" s="12">
        <v>6300</v>
      </c>
      <c r="G83" s="12">
        <v>6300</v>
      </c>
      <c r="H83" s="30">
        <v>10000</v>
      </c>
      <c r="I83" s="30">
        <v>4300</v>
      </c>
      <c r="J83" s="30">
        <v>6300</v>
      </c>
      <c r="K83" s="30">
        <v>6300</v>
      </c>
      <c r="L83" s="30">
        <v>6300</v>
      </c>
      <c r="M83" s="14">
        <v>4668</v>
      </c>
      <c r="N83" s="14">
        <v>8755.1080653663685</v>
      </c>
      <c r="O83" s="14">
        <v>13497.100989413564</v>
      </c>
    </row>
    <row r="84" spans="1:15">
      <c r="A84" t="s">
        <v>156</v>
      </c>
      <c r="B84" s="11" t="s">
        <v>156</v>
      </c>
      <c r="C84" s="12">
        <v>1400</v>
      </c>
      <c r="D84" s="12">
        <v>12000</v>
      </c>
      <c r="E84" s="12">
        <v>12000</v>
      </c>
      <c r="F84" s="12">
        <v>12000</v>
      </c>
      <c r="G84" s="12">
        <v>16000</v>
      </c>
      <c r="H84" s="30">
        <v>1400</v>
      </c>
      <c r="I84" s="30">
        <v>12000</v>
      </c>
      <c r="J84" s="30">
        <v>12000</v>
      </c>
      <c r="K84" s="30">
        <v>12000</v>
      </c>
      <c r="L84" s="30">
        <v>16000</v>
      </c>
      <c r="M84" s="14">
        <v>12000</v>
      </c>
      <c r="N84" s="14">
        <v>24837.374802319453</v>
      </c>
      <c r="O84" s="14">
        <v>32295.84330919895</v>
      </c>
    </row>
    <row r="85" spans="1:15">
      <c r="A85" t="s">
        <v>157</v>
      </c>
      <c r="B85" s="11" t="s">
        <v>157</v>
      </c>
      <c r="C85" s="12">
        <v>0</v>
      </c>
      <c r="D85" s="12">
        <v>1400</v>
      </c>
      <c r="E85" s="12">
        <v>1400</v>
      </c>
      <c r="F85" s="12">
        <v>1400</v>
      </c>
      <c r="G85" s="12">
        <v>1400</v>
      </c>
      <c r="H85" s="30">
        <v>0</v>
      </c>
      <c r="I85" s="30">
        <v>1400</v>
      </c>
      <c r="J85" s="30">
        <v>1400</v>
      </c>
      <c r="K85" s="30">
        <v>1400</v>
      </c>
      <c r="L85" s="30">
        <v>1400</v>
      </c>
      <c r="M85" s="14">
        <v>1502.5</v>
      </c>
      <c r="N85" s="14">
        <v>3730.1317870321559</v>
      </c>
      <c r="O85" s="14">
        <v>4849.568754146595</v>
      </c>
    </row>
    <row r="86" spans="1:15">
      <c r="A86" t="s">
        <v>86</v>
      </c>
      <c r="B86" s="11" t="s">
        <v>86</v>
      </c>
      <c r="C86" s="12">
        <v>0</v>
      </c>
      <c r="D86" s="12">
        <v>0</v>
      </c>
      <c r="E86" s="12">
        <v>2000</v>
      </c>
      <c r="F86" s="12">
        <v>2000</v>
      </c>
      <c r="G86" s="12">
        <v>2000</v>
      </c>
      <c r="H86" s="30">
        <v>0</v>
      </c>
      <c r="I86" s="30">
        <v>0</v>
      </c>
      <c r="J86" s="30">
        <v>2000</v>
      </c>
      <c r="K86" s="30">
        <v>2000</v>
      </c>
      <c r="L86" s="30">
        <v>2000</v>
      </c>
      <c r="M86" s="14">
        <v>0</v>
      </c>
      <c r="N86" s="14">
        <v>3000</v>
      </c>
      <c r="O86" s="14">
        <v>3000</v>
      </c>
    </row>
    <row r="87" spans="1:15">
      <c r="A87" t="s">
        <v>87</v>
      </c>
      <c r="B87" s="11" t="s">
        <v>87</v>
      </c>
      <c r="C87" s="12">
        <v>0</v>
      </c>
      <c r="D87" s="12">
        <v>0</v>
      </c>
      <c r="E87" s="12">
        <v>500</v>
      </c>
      <c r="F87" s="12">
        <v>500</v>
      </c>
      <c r="G87" s="12">
        <v>500</v>
      </c>
      <c r="H87" s="30">
        <v>0</v>
      </c>
      <c r="I87" s="30">
        <v>0</v>
      </c>
      <c r="J87" s="30">
        <v>500</v>
      </c>
      <c r="K87" s="30">
        <v>500</v>
      </c>
      <c r="L87" s="30">
        <v>500</v>
      </c>
      <c r="M87" s="14">
        <v>0</v>
      </c>
      <c r="N87" s="14">
        <v>2000</v>
      </c>
      <c r="O87" s="14">
        <v>4000</v>
      </c>
    </row>
    <row r="88" spans="1:15">
      <c r="B88" s="11" t="s">
        <v>158</v>
      </c>
      <c r="C88" s="12">
        <v>0</v>
      </c>
      <c r="D88" s="12">
        <v>0</v>
      </c>
      <c r="E88" s="12">
        <v>0</v>
      </c>
      <c r="F88" s="12">
        <v>0</v>
      </c>
      <c r="G88" s="12">
        <v>0</v>
      </c>
      <c r="H88" s="30">
        <v>0</v>
      </c>
      <c r="I88" s="30">
        <v>0</v>
      </c>
      <c r="J88" s="30">
        <v>0</v>
      </c>
      <c r="K88" s="30">
        <v>0</v>
      </c>
      <c r="L88" s="30">
        <v>0</v>
      </c>
      <c r="M88" s="14">
        <v>0</v>
      </c>
      <c r="N88" s="14">
        <v>0</v>
      </c>
      <c r="O88" s="14">
        <v>0</v>
      </c>
    </row>
    <row r="89" spans="1:15">
      <c r="A89" t="s">
        <v>159</v>
      </c>
      <c r="B89" s="11" t="s">
        <v>159</v>
      </c>
      <c r="C89" s="12">
        <v>1500</v>
      </c>
      <c r="D89" s="12">
        <v>1500</v>
      </c>
      <c r="E89" s="12">
        <v>1500</v>
      </c>
      <c r="F89" s="12">
        <v>1500</v>
      </c>
      <c r="G89" s="12">
        <v>1500</v>
      </c>
      <c r="H89" s="30">
        <v>1500</v>
      </c>
      <c r="I89" s="30">
        <v>1500</v>
      </c>
      <c r="J89" s="30">
        <v>1500</v>
      </c>
      <c r="K89" s="30">
        <v>1500</v>
      </c>
      <c r="L89" s="30">
        <v>1500</v>
      </c>
      <c r="M89" s="14">
        <v>0</v>
      </c>
      <c r="N89" s="14">
        <v>2500</v>
      </c>
      <c r="O89" s="14">
        <v>2500</v>
      </c>
    </row>
    <row r="90" spans="1:15">
      <c r="A90" t="s">
        <v>160</v>
      </c>
      <c r="B90" s="11" t="s">
        <v>160</v>
      </c>
      <c r="C90" s="12">
        <v>1500</v>
      </c>
      <c r="D90" s="12">
        <v>3000</v>
      </c>
      <c r="E90" s="12">
        <v>5000</v>
      </c>
      <c r="F90" s="12">
        <v>5000</v>
      </c>
      <c r="G90" s="12">
        <v>5000</v>
      </c>
      <c r="H90" s="30">
        <v>1500</v>
      </c>
      <c r="I90" s="30">
        <v>3000</v>
      </c>
      <c r="J90" s="30">
        <v>5000</v>
      </c>
      <c r="K90" s="30">
        <v>5000</v>
      </c>
      <c r="L90" s="30">
        <v>5000</v>
      </c>
      <c r="M90" s="14">
        <v>1500</v>
      </c>
      <c r="N90" s="14">
        <v>4500</v>
      </c>
      <c r="O90" s="14">
        <v>6000</v>
      </c>
    </row>
    <row r="91" spans="1:15">
      <c r="A91" t="s">
        <v>161</v>
      </c>
      <c r="B91" s="11" t="s">
        <v>161</v>
      </c>
      <c r="C91" s="12">
        <v>0</v>
      </c>
      <c r="D91" s="12">
        <v>1500</v>
      </c>
      <c r="E91" s="12">
        <v>1500</v>
      </c>
      <c r="F91" s="12">
        <v>1500</v>
      </c>
      <c r="G91" s="12">
        <v>1500</v>
      </c>
      <c r="H91" s="30">
        <v>0</v>
      </c>
      <c r="I91" s="30">
        <v>1500</v>
      </c>
      <c r="J91" s="30">
        <v>1500</v>
      </c>
      <c r="K91" s="30">
        <v>1500</v>
      </c>
      <c r="L91" s="30">
        <v>1500</v>
      </c>
      <c r="M91" s="14">
        <v>0</v>
      </c>
      <c r="N91" s="14">
        <v>2500</v>
      </c>
      <c r="O91" s="14">
        <v>3000</v>
      </c>
    </row>
    <row r="92" spans="1:15">
      <c r="B92" s="11" t="s">
        <v>162</v>
      </c>
      <c r="C92" s="12">
        <v>0</v>
      </c>
      <c r="D92" s="12">
        <v>0</v>
      </c>
      <c r="E92" s="12">
        <v>0</v>
      </c>
      <c r="F92" s="12">
        <v>0</v>
      </c>
      <c r="G92" s="12">
        <v>0</v>
      </c>
      <c r="H92" s="30">
        <v>0</v>
      </c>
      <c r="I92" s="30">
        <v>0</v>
      </c>
      <c r="J92" s="30">
        <v>0</v>
      </c>
      <c r="K92" s="30">
        <v>0</v>
      </c>
      <c r="L92" s="30">
        <v>0</v>
      </c>
      <c r="M92" s="14"/>
      <c r="N92" s="14"/>
      <c r="O92" s="14"/>
    </row>
    <row r="93" spans="1:15">
      <c r="B93" s="11" t="s">
        <v>163</v>
      </c>
      <c r="C93" s="12">
        <v>0</v>
      </c>
      <c r="D93" s="12">
        <v>0</v>
      </c>
      <c r="E93" s="12">
        <v>0</v>
      </c>
      <c r="F93" s="12">
        <v>0</v>
      </c>
      <c r="G93" s="12">
        <v>0</v>
      </c>
      <c r="H93" s="30">
        <v>0</v>
      </c>
      <c r="I93" s="30">
        <v>0</v>
      </c>
      <c r="J93" s="30">
        <v>0</v>
      </c>
      <c r="K93" s="30">
        <v>0</v>
      </c>
      <c r="L93" s="30">
        <v>0</v>
      </c>
      <c r="M93" s="14"/>
      <c r="N93" s="14"/>
      <c r="O93" s="14"/>
    </row>
    <row r="94" spans="1:15">
      <c r="B94" s="11" t="s">
        <v>164</v>
      </c>
      <c r="C94" s="12">
        <v>0</v>
      </c>
      <c r="D94" s="12">
        <v>0</v>
      </c>
      <c r="E94" s="12">
        <v>0</v>
      </c>
      <c r="F94" s="12">
        <v>0</v>
      </c>
      <c r="G94" s="12">
        <v>0</v>
      </c>
      <c r="H94" s="30">
        <v>0</v>
      </c>
      <c r="I94" s="30">
        <v>0</v>
      </c>
      <c r="J94" s="30">
        <v>0</v>
      </c>
      <c r="K94" s="30">
        <v>0</v>
      </c>
      <c r="L94" s="30">
        <v>0</v>
      </c>
      <c r="M94" s="14"/>
      <c r="N94" s="14"/>
      <c r="O94" s="14"/>
    </row>
    <row r="95" spans="1:15">
      <c r="B95" s="11" t="s">
        <v>165</v>
      </c>
      <c r="C95" s="12">
        <v>0</v>
      </c>
      <c r="D95" s="12">
        <v>0</v>
      </c>
      <c r="E95" s="12">
        <v>0</v>
      </c>
      <c r="F95" s="12">
        <v>0</v>
      </c>
      <c r="G95" s="12">
        <v>0</v>
      </c>
      <c r="H95" s="30">
        <v>0</v>
      </c>
      <c r="I95" s="30">
        <v>0</v>
      </c>
      <c r="J95" s="30">
        <v>0</v>
      </c>
      <c r="K95" s="30">
        <v>0</v>
      </c>
      <c r="L95" s="30">
        <v>0</v>
      </c>
      <c r="M95" s="14"/>
      <c r="N95" s="14"/>
      <c r="O95" s="14"/>
    </row>
    <row r="96" spans="1:15">
      <c r="A96" t="s">
        <v>166</v>
      </c>
      <c r="B96" s="11" t="s">
        <v>166</v>
      </c>
      <c r="C96" s="12">
        <v>10004</v>
      </c>
      <c r="D96" s="12">
        <v>10900</v>
      </c>
      <c r="E96" s="12">
        <v>10900</v>
      </c>
      <c r="F96" s="12">
        <v>10900</v>
      </c>
      <c r="G96" s="12">
        <v>10900</v>
      </c>
      <c r="H96" s="30">
        <v>10004</v>
      </c>
      <c r="I96" s="30">
        <v>10900</v>
      </c>
      <c r="J96" s="30">
        <v>10900</v>
      </c>
      <c r="K96" s="30">
        <v>10900</v>
      </c>
      <c r="L96" s="30">
        <v>10900</v>
      </c>
      <c r="M96" s="14">
        <v>10900</v>
      </c>
      <c r="N96" s="14">
        <v>21800</v>
      </c>
      <c r="O96" s="14">
        <v>35000</v>
      </c>
    </row>
    <row r="97" spans="1:15">
      <c r="B97" s="11" t="s">
        <v>167</v>
      </c>
      <c r="C97" s="12">
        <v>0</v>
      </c>
      <c r="D97" s="12">
        <v>0</v>
      </c>
      <c r="E97" s="12">
        <v>0</v>
      </c>
      <c r="F97" s="12">
        <v>0</v>
      </c>
      <c r="G97" s="12">
        <v>0</v>
      </c>
      <c r="H97" s="30">
        <v>0</v>
      </c>
      <c r="I97" s="30">
        <v>0</v>
      </c>
      <c r="J97" s="30">
        <v>0</v>
      </c>
      <c r="K97" s="30">
        <v>0</v>
      </c>
      <c r="L97" s="30">
        <v>0</v>
      </c>
      <c r="M97" s="14">
        <v>246.5</v>
      </c>
      <c r="N97" s="14">
        <v>754</v>
      </c>
      <c r="O97" s="14">
        <v>754</v>
      </c>
    </row>
    <row r="98" spans="1:15">
      <c r="B98" s="11" t="s">
        <v>168</v>
      </c>
      <c r="C98" s="12">
        <v>0</v>
      </c>
      <c r="D98" s="12">
        <v>0</v>
      </c>
      <c r="E98" s="12">
        <v>0</v>
      </c>
      <c r="F98" s="12">
        <v>0</v>
      </c>
      <c r="G98" s="12">
        <v>0</v>
      </c>
      <c r="H98" s="30">
        <v>0</v>
      </c>
      <c r="I98" s="30">
        <v>0</v>
      </c>
      <c r="J98" s="30">
        <v>0</v>
      </c>
      <c r="K98" s="30">
        <v>0</v>
      </c>
      <c r="L98" s="30">
        <v>0</v>
      </c>
      <c r="M98" s="14">
        <v>0</v>
      </c>
      <c r="N98" s="14">
        <v>0</v>
      </c>
      <c r="O98" s="14">
        <v>0</v>
      </c>
    </row>
    <row r="99" spans="1:15">
      <c r="B99" s="11" t="s">
        <v>169</v>
      </c>
      <c r="C99" s="12">
        <v>0</v>
      </c>
      <c r="D99" s="12">
        <v>0</v>
      </c>
      <c r="E99" s="12">
        <v>0</v>
      </c>
      <c r="F99" s="12">
        <v>0</v>
      </c>
      <c r="G99" s="12">
        <v>0</v>
      </c>
      <c r="H99" s="30">
        <v>0</v>
      </c>
      <c r="I99" s="30">
        <v>0</v>
      </c>
      <c r="J99" s="30">
        <v>0</v>
      </c>
      <c r="K99" s="30">
        <v>0</v>
      </c>
      <c r="L99" s="30">
        <v>0</v>
      </c>
      <c r="M99" s="14"/>
      <c r="N99" s="14"/>
      <c r="O99" s="14"/>
    </row>
    <row r="100" spans="1:15">
      <c r="B100" s="11" t="s">
        <v>170</v>
      </c>
      <c r="C100" s="12">
        <v>0</v>
      </c>
      <c r="D100" s="12">
        <v>0</v>
      </c>
      <c r="E100" s="12">
        <v>0</v>
      </c>
      <c r="F100" s="12">
        <v>0</v>
      </c>
      <c r="G100" s="12">
        <v>0</v>
      </c>
      <c r="H100" s="30">
        <v>0</v>
      </c>
      <c r="I100" s="30">
        <v>0</v>
      </c>
      <c r="J100" s="30">
        <v>0</v>
      </c>
      <c r="K100" s="30">
        <v>0</v>
      </c>
      <c r="L100" s="30">
        <v>0</v>
      </c>
      <c r="M100" s="14"/>
      <c r="N100" s="14"/>
      <c r="O100" s="14"/>
    </row>
    <row r="101" spans="1:15">
      <c r="A101" t="s">
        <v>171</v>
      </c>
      <c r="B101" s="11" t="s">
        <v>171</v>
      </c>
      <c r="C101" s="12">
        <v>1500</v>
      </c>
      <c r="D101" s="12">
        <v>2000</v>
      </c>
      <c r="E101" s="12">
        <v>2500</v>
      </c>
      <c r="F101" s="12">
        <v>3500</v>
      </c>
      <c r="G101" s="12">
        <v>3500</v>
      </c>
      <c r="H101" s="30">
        <v>1500</v>
      </c>
      <c r="I101" s="30">
        <v>2000</v>
      </c>
      <c r="J101" s="30">
        <v>2500</v>
      </c>
      <c r="K101" s="30">
        <v>3500</v>
      </c>
      <c r="L101" s="30">
        <v>3500</v>
      </c>
      <c r="M101" s="14">
        <v>2000</v>
      </c>
      <c r="N101" s="14">
        <v>3000</v>
      </c>
      <c r="O101" s="14">
        <v>4000</v>
      </c>
    </row>
    <row r="102" spans="1:15">
      <c r="B102" s="11" t="s">
        <v>92</v>
      </c>
      <c r="C102" s="12">
        <v>0</v>
      </c>
      <c r="D102" s="12">
        <v>0</v>
      </c>
      <c r="E102" s="12">
        <v>0</v>
      </c>
      <c r="F102" s="12">
        <v>0</v>
      </c>
      <c r="G102" s="12">
        <v>0</v>
      </c>
      <c r="H102" s="30">
        <v>0</v>
      </c>
      <c r="I102" s="30">
        <v>0</v>
      </c>
      <c r="J102" s="30">
        <v>0</v>
      </c>
      <c r="K102" s="30">
        <v>0</v>
      </c>
      <c r="L102" s="30">
        <v>0</v>
      </c>
      <c r="M102" s="14">
        <v>0</v>
      </c>
      <c r="N102" s="14">
        <v>0</v>
      </c>
      <c r="O102" s="14">
        <v>0</v>
      </c>
    </row>
    <row r="103" spans="1:15">
      <c r="A103" t="s">
        <v>93</v>
      </c>
      <c r="B103" s="11" t="s">
        <v>93</v>
      </c>
      <c r="C103" s="12">
        <v>0</v>
      </c>
      <c r="D103" s="12">
        <v>0</v>
      </c>
      <c r="E103" s="12">
        <v>0</v>
      </c>
      <c r="F103" s="12">
        <v>0</v>
      </c>
      <c r="G103" s="12">
        <v>4000</v>
      </c>
      <c r="H103" s="30">
        <v>0</v>
      </c>
      <c r="I103" s="30">
        <v>0</v>
      </c>
      <c r="J103" s="30">
        <v>0</v>
      </c>
      <c r="K103" s="30">
        <v>0</v>
      </c>
      <c r="L103" s="30">
        <v>4000</v>
      </c>
      <c r="M103" s="14">
        <v>350</v>
      </c>
      <c r="N103" s="14">
        <v>3000</v>
      </c>
      <c r="O103" s="14">
        <v>11000</v>
      </c>
    </row>
    <row r="104" spans="1:15">
      <c r="A104" t="s">
        <v>94</v>
      </c>
      <c r="B104" s="11" t="s">
        <v>94</v>
      </c>
      <c r="C104" s="12">
        <v>0</v>
      </c>
      <c r="D104" s="12">
        <v>1000</v>
      </c>
      <c r="E104" s="12">
        <v>1000</v>
      </c>
      <c r="F104" s="12">
        <v>1000</v>
      </c>
      <c r="G104" s="12">
        <v>7000</v>
      </c>
      <c r="H104" s="30">
        <v>0</v>
      </c>
      <c r="I104" s="30">
        <v>1000</v>
      </c>
      <c r="J104" s="30">
        <v>1000</v>
      </c>
      <c r="K104" s="30">
        <v>1000</v>
      </c>
      <c r="L104" s="30">
        <v>7000</v>
      </c>
      <c r="M104" s="14">
        <v>0</v>
      </c>
      <c r="N104" s="14">
        <v>3000</v>
      </c>
      <c r="O104" s="14">
        <v>11000</v>
      </c>
    </row>
    <row r="105" spans="1:15">
      <c r="A105" t="s">
        <v>95</v>
      </c>
      <c r="B105" s="11" t="s">
        <v>95</v>
      </c>
      <c r="C105" s="12">
        <v>0</v>
      </c>
      <c r="D105" s="12">
        <v>1400</v>
      </c>
      <c r="E105" s="12">
        <v>5400</v>
      </c>
      <c r="F105" s="12">
        <v>5400</v>
      </c>
      <c r="G105" s="12">
        <v>5400</v>
      </c>
      <c r="H105" s="30">
        <v>0</v>
      </c>
      <c r="I105" s="30">
        <v>1400</v>
      </c>
      <c r="J105" s="30">
        <v>5400</v>
      </c>
      <c r="K105" s="30">
        <v>5400</v>
      </c>
      <c r="L105" s="30">
        <v>5400</v>
      </c>
      <c r="M105" s="14">
        <v>4900</v>
      </c>
      <c r="N105" s="14">
        <v>8500</v>
      </c>
      <c r="O105" s="14">
        <v>11500</v>
      </c>
    </row>
    <row r="106" spans="1:15">
      <c r="A106" t="s">
        <v>96</v>
      </c>
      <c r="B106" s="11" t="s">
        <v>96</v>
      </c>
      <c r="C106" s="12">
        <v>600</v>
      </c>
      <c r="D106" s="12">
        <v>4800</v>
      </c>
      <c r="E106" s="12">
        <v>6800</v>
      </c>
      <c r="F106" s="12">
        <v>6800</v>
      </c>
      <c r="G106" s="12">
        <v>8800</v>
      </c>
      <c r="H106" s="30">
        <v>600</v>
      </c>
      <c r="I106" s="30">
        <v>4800</v>
      </c>
      <c r="J106" s="30">
        <v>6800</v>
      </c>
      <c r="K106" s="30">
        <v>6800</v>
      </c>
      <c r="L106" s="30">
        <v>8800</v>
      </c>
      <c r="M106" s="14">
        <v>4650</v>
      </c>
      <c r="N106" s="14">
        <v>12800</v>
      </c>
      <c r="O106" s="14">
        <v>38500</v>
      </c>
    </row>
    <row r="107" spans="1:15">
      <c r="B107" s="11" t="s">
        <v>97</v>
      </c>
      <c r="C107" s="12">
        <v>0</v>
      </c>
      <c r="D107" s="12">
        <v>0</v>
      </c>
      <c r="E107" s="12">
        <v>0</v>
      </c>
      <c r="F107" s="12">
        <v>0</v>
      </c>
      <c r="G107" s="12">
        <v>0</v>
      </c>
      <c r="H107" s="30">
        <v>0</v>
      </c>
      <c r="I107" s="30">
        <v>0</v>
      </c>
      <c r="J107" s="30">
        <v>0</v>
      </c>
      <c r="K107" s="30">
        <v>0</v>
      </c>
      <c r="L107" s="30">
        <v>0</v>
      </c>
      <c r="M107" s="14"/>
      <c r="N107" s="14"/>
      <c r="O107" s="14"/>
    </row>
    <row r="108" spans="1:15">
      <c r="B108" s="11" t="s">
        <v>98</v>
      </c>
      <c r="C108" s="12">
        <v>0</v>
      </c>
      <c r="D108" s="12">
        <v>0</v>
      </c>
      <c r="E108" s="12">
        <v>0</v>
      </c>
      <c r="F108" s="12">
        <v>0</v>
      </c>
      <c r="G108" s="12">
        <v>0</v>
      </c>
      <c r="H108" s="30">
        <v>0</v>
      </c>
      <c r="I108" s="30">
        <v>0</v>
      </c>
      <c r="J108" s="30">
        <v>0</v>
      </c>
      <c r="K108" s="30">
        <v>0</v>
      </c>
      <c r="L108" s="30">
        <v>0</v>
      </c>
      <c r="M108" s="14"/>
      <c r="N108" s="14"/>
      <c r="O108" s="14"/>
    </row>
    <row r="109" spans="1:15">
      <c r="B109" s="11" t="s">
        <v>99</v>
      </c>
      <c r="C109" s="12">
        <v>28632.799999999999</v>
      </c>
      <c r="D109" s="12">
        <v>0</v>
      </c>
      <c r="E109" s="12">
        <v>28632.799999999999</v>
      </c>
      <c r="F109" s="12">
        <v>0</v>
      </c>
      <c r="G109" s="12">
        <v>28632.799999999999</v>
      </c>
      <c r="H109" s="30">
        <v>51967.47</v>
      </c>
      <c r="I109" s="30">
        <f>AVERAGE(H109,J109)</f>
        <v>73562.52</v>
      </c>
      <c r="J109" s="30">
        <v>95157.57</v>
      </c>
      <c r="K109" s="30">
        <f>AVERAGE(J109,L109)</f>
        <v>96062.404999999999</v>
      </c>
      <c r="L109" s="30">
        <v>96967.24</v>
      </c>
      <c r="M109" s="14">
        <v>115320.6</v>
      </c>
      <c r="N109" s="14">
        <v>115320.6</v>
      </c>
      <c r="O109" s="14">
        <v>115320.6</v>
      </c>
    </row>
    <row r="110" spans="1:15">
      <c r="A110" t="s">
        <v>100</v>
      </c>
      <c r="B110" s="11" t="s">
        <v>100</v>
      </c>
      <c r="C110" s="12">
        <v>500</v>
      </c>
      <c r="D110" s="12">
        <v>1000</v>
      </c>
      <c r="E110" s="12">
        <v>1000</v>
      </c>
      <c r="F110" s="12">
        <v>1000</v>
      </c>
      <c r="G110" s="12">
        <v>1000</v>
      </c>
      <c r="H110" s="30">
        <v>500</v>
      </c>
      <c r="I110" s="30">
        <v>1000</v>
      </c>
      <c r="J110" s="30">
        <v>1000</v>
      </c>
      <c r="K110" s="30">
        <v>1000</v>
      </c>
      <c r="L110" s="30">
        <v>1000</v>
      </c>
      <c r="M110" s="14">
        <v>500</v>
      </c>
      <c r="N110" s="14">
        <v>1000</v>
      </c>
      <c r="O110" s="14">
        <v>1000</v>
      </c>
    </row>
    <row r="111" spans="1:15">
      <c r="B111" s="11" t="s">
        <v>101</v>
      </c>
      <c r="C111" s="31">
        <f>SUM(C5:C110)</f>
        <v>132235.70000000001</v>
      </c>
      <c r="D111" s="31">
        <f t="shared" ref="D111:G111" si="0">SUM(D5:D110)</f>
        <v>183381.55</v>
      </c>
      <c r="E111" s="31">
        <f t="shared" si="0"/>
        <v>303159</v>
      </c>
      <c r="F111" s="31">
        <f t="shared" si="0"/>
        <v>304669.09999999998</v>
      </c>
      <c r="G111" s="31">
        <f t="shared" si="0"/>
        <v>411623.85</v>
      </c>
      <c r="H111" s="32">
        <f>SUM(H5:H110)</f>
        <v>155620.37</v>
      </c>
      <c r="I111" s="32">
        <f t="shared" ref="I111:L111" si="1">SUM(I5:I110)</f>
        <v>257169.07</v>
      </c>
      <c r="J111" s="32">
        <f t="shared" si="1"/>
        <v>370083.77</v>
      </c>
      <c r="K111" s="32">
        <f t="shared" si="1"/>
        <v>401131.505</v>
      </c>
      <c r="L111" s="32">
        <f t="shared" si="1"/>
        <v>480358.29</v>
      </c>
      <c r="M111" s="19">
        <f>SUM(M5:M110)</f>
        <v>345390.2496168167</v>
      </c>
      <c r="N111" s="19">
        <f t="shared" ref="N111:O111" si="2">SUM(N5:N110)</f>
        <v>567842.42572328285</v>
      </c>
      <c r="O111" s="19">
        <f t="shared" si="2"/>
        <v>782813.08375796175</v>
      </c>
    </row>
  </sheetData>
  <mergeCells count="3">
    <mergeCell ref="C3:G3"/>
    <mergeCell ref="H3:L3"/>
    <mergeCell ref="M3:O3"/>
  </mergeCells>
  <pageMargins left="0.7" right="0.7" top="0.75" bottom="0.75" header="0.3" footer="0.3"/>
  <headerFooter>
    <oddFooter>&amp;C_x000D_&amp;1#&amp;"Calibri"&amp;10&amp;K000000 ISC - Uso INTERNO / INTERNAL Use</oddFooter>
  </headerFooter>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3702A-0B96-440C-9A47-386E62C6CC33}">
  <sheetPr codeName="Hoja5">
    <tabColor theme="7"/>
  </sheetPr>
  <dimension ref="B1:N59"/>
  <sheetViews>
    <sheetView topLeftCell="B1" workbookViewId="0">
      <selection activeCell="B1" sqref="B1"/>
    </sheetView>
  </sheetViews>
  <sheetFormatPr defaultColWidth="11.42578125" defaultRowHeight="15"/>
  <cols>
    <col min="1" max="1" width="1.85546875" customWidth="1"/>
    <col min="2" max="5" width="7.5703125" bestFit="1" customWidth="1"/>
    <col min="6" max="8" width="10.140625" bestFit="1" customWidth="1"/>
    <col min="9" max="11" width="8.5703125" bestFit="1" customWidth="1"/>
    <col min="12" max="12" width="11.42578125" style="35"/>
  </cols>
  <sheetData>
    <row r="1" spans="2:13" ht="23.25">
      <c r="B1" s="438" t="s">
        <v>7</v>
      </c>
    </row>
    <row r="3" spans="2:13">
      <c r="B3" s="7" t="s">
        <v>40</v>
      </c>
      <c r="C3" s="464" t="s">
        <v>172</v>
      </c>
      <c r="D3" s="464"/>
      <c r="E3" s="464"/>
      <c r="F3" s="473" t="s">
        <v>173</v>
      </c>
      <c r="G3" s="473"/>
      <c r="H3" s="473"/>
      <c r="I3" s="466" t="s">
        <v>174</v>
      </c>
      <c r="J3" s="466"/>
      <c r="K3" s="466"/>
      <c r="M3" s="36"/>
    </row>
    <row r="4" spans="2:13">
      <c r="B4" s="37" t="s">
        <v>45</v>
      </c>
      <c r="C4" s="8">
        <v>2030</v>
      </c>
      <c r="D4" s="8">
        <v>2040</v>
      </c>
      <c r="E4" s="8">
        <v>2050</v>
      </c>
      <c r="F4" s="34">
        <v>2030</v>
      </c>
      <c r="G4" s="34">
        <v>2040</v>
      </c>
      <c r="H4" s="34">
        <v>2050</v>
      </c>
      <c r="I4" s="10">
        <v>2030</v>
      </c>
      <c r="J4" s="10">
        <v>2040</v>
      </c>
      <c r="K4" s="10">
        <v>2050</v>
      </c>
      <c r="L4" s="38"/>
    </row>
    <row r="5" spans="2:13">
      <c r="B5" s="37" t="s">
        <v>46</v>
      </c>
      <c r="C5" s="12">
        <v>0</v>
      </c>
      <c r="D5" s="12">
        <v>0</v>
      </c>
      <c r="E5" s="12">
        <v>0</v>
      </c>
      <c r="F5" s="39">
        <v>0</v>
      </c>
      <c r="G5" s="39">
        <v>0</v>
      </c>
      <c r="H5" s="39">
        <v>0</v>
      </c>
      <c r="I5" s="14">
        <v>0</v>
      </c>
      <c r="J5" s="14">
        <v>0</v>
      </c>
      <c r="K5" s="14">
        <v>0</v>
      </c>
      <c r="M5" s="40"/>
    </row>
    <row r="6" spans="2:13">
      <c r="B6" s="37" t="s">
        <v>47</v>
      </c>
      <c r="C6" s="12">
        <v>0</v>
      </c>
      <c r="D6" s="12">
        <v>0</v>
      </c>
      <c r="E6" s="12">
        <v>0</v>
      </c>
      <c r="F6" s="39">
        <v>0</v>
      </c>
      <c r="G6" s="39">
        <v>0</v>
      </c>
      <c r="H6" s="39">
        <v>0</v>
      </c>
      <c r="I6" s="14">
        <v>0</v>
      </c>
      <c r="J6" s="14">
        <v>0</v>
      </c>
      <c r="K6" s="14">
        <v>0</v>
      </c>
      <c r="M6" s="40"/>
    </row>
    <row r="7" spans="2:13">
      <c r="B7" s="37" t="s">
        <v>48</v>
      </c>
      <c r="C7" s="12">
        <v>0</v>
      </c>
      <c r="D7" s="12">
        <v>0</v>
      </c>
      <c r="E7" s="12">
        <v>0</v>
      </c>
      <c r="F7" s="39">
        <v>0</v>
      </c>
      <c r="G7" s="39">
        <v>0</v>
      </c>
      <c r="H7" s="39">
        <v>0</v>
      </c>
      <c r="I7" s="14">
        <v>0</v>
      </c>
      <c r="J7" s="14">
        <v>0</v>
      </c>
      <c r="K7" s="14">
        <v>0</v>
      </c>
      <c r="M7" s="40"/>
    </row>
    <row r="8" spans="2:13">
      <c r="B8" s="37" t="s">
        <v>49</v>
      </c>
      <c r="C8" s="12">
        <v>2077</v>
      </c>
      <c r="D8" s="12">
        <v>0</v>
      </c>
      <c r="E8" s="12">
        <v>0</v>
      </c>
      <c r="F8" s="39">
        <v>2077</v>
      </c>
      <c r="G8" s="39">
        <v>0</v>
      </c>
      <c r="H8" s="39">
        <v>0</v>
      </c>
      <c r="I8" s="14">
        <v>2077</v>
      </c>
      <c r="J8" s="14">
        <v>0</v>
      </c>
      <c r="K8" s="14">
        <v>0</v>
      </c>
      <c r="M8" s="40"/>
    </row>
    <row r="9" spans="2:13">
      <c r="B9" s="37" t="s">
        <v>50</v>
      </c>
      <c r="C9" s="12">
        <v>2000</v>
      </c>
      <c r="D9" s="12">
        <v>2000</v>
      </c>
      <c r="E9" s="12">
        <v>1000</v>
      </c>
      <c r="F9" s="39">
        <v>2000</v>
      </c>
      <c r="G9" s="39">
        <v>4000</v>
      </c>
      <c r="H9" s="39">
        <v>2000</v>
      </c>
      <c r="I9" s="14">
        <v>2000</v>
      </c>
      <c r="J9" s="14">
        <v>4000</v>
      </c>
      <c r="K9" s="14">
        <v>2000</v>
      </c>
      <c r="M9" s="40"/>
    </row>
    <row r="10" spans="2:13">
      <c r="B10" s="37" t="s">
        <v>51</v>
      </c>
      <c r="C10" s="12">
        <v>1190</v>
      </c>
      <c r="D10" s="12">
        <v>0</v>
      </c>
      <c r="E10" s="12">
        <v>0</v>
      </c>
      <c r="F10" s="39">
        <v>1190</v>
      </c>
      <c r="G10" s="39">
        <v>0</v>
      </c>
      <c r="H10" s="39">
        <v>0</v>
      </c>
      <c r="I10" s="14">
        <v>2930</v>
      </c>
      <c r="J10" s="14">
        <v>1190</v>
      </c>
      <c r="K10" s="14">
        <v>0</v>
      </c>
      <c r="M10" s="40"/>
    </row>
    <row r="11" spans="2:13">
      <c r="B11" s="37" t="s">
        <v>52</v>
      </c>
      <c r="C11" s="12">
        <v>0</v>
      </c>
      <c r="D11" s="12">
        <v>0</v>
      </c>
      <c r="E11" s="12">
        <v>0</v>
      </c>
      <c r="F11" s="39">
        <v>0</v>
      </c>
      <c r="G11" s="39">
        <v>0</v>
      </c>
      <c r="H11" s="39">
        <v>0</v>
      </c>
      <c r="I11" s="14">
        <v>0</v>
      </c>
      <c r="J11" s="14">
        <v>0</v>
      </c>
      <c r="K11" s="14">
        <v>0</v>
      </c>
      <c r="M11" s="40"/>
    </row>
    <row r="12" spans="2:13">
      <c r="B12" s="37" t="s">
        <v>53</v>
      </c>
      <c r="C12" s="12">
        <v>4047.2</v>
      </c>
      <c r="D12" s="12">
        <v>5187.2</v>
      </c>
      <c r="E12" s="12">
        <v>3277.6</v>
      </c>
      <c r="F12" s="39">
        <v>4047.2</v>
      </c>
      <c r="G12" s="39">
        <v>5187.2</v>
      </c>
      <c r="H12" s="39">
        <v>3277.6</v>
      </c>
      <c r="I12" s="14">
        <v>4047.2</v>
      </c>
      <c r="J12" s="14">
        <v>7752</v>
      </c>
      <c r="K12" s="14">
        <v>6982.6</v>
      </c>
      <c r="M12" s="40"/>
    </row>
    <row r="13" spans="2:13">
      <c r="B13" s="37" t="s">
        <v>54</v>
      </c>
      <c r="C13" s="12">
        <v>0</v>
      </c>
      <c r="D13" s="12">
        <v>0</v>
      </c>
      <c r="E13" s="12">
        <v>0</v>
      </c>
      <c r="F13" s="39">
        <v>0</v>
      </c>
      <c r="G13" s="39">
        <v>0</v>
      </c>
      <c r="H13" s="39">
        <v>0</v>
      </c>
      <c r="I13" s="14">
        <v>0</v>
      </c>
      <c r="J13" s="14">
        <v>0</v>
      </c>
      <c r="K13" s="14">
        <v>0</v>
      </c>
      <c r="M13" s="40"/>
    </row>
    <row r="14" spans="2:13">
      <c r="B14" s="37" t="s">
        <v>55</v>
      </c>
      <c r="C14" s="12">
        <v>0</v>
      </c>
      <c r="D14" s="12">
        <v>0</v>
      </c>
      <c r="E14" s="12">
        <v>0</v>
      </c>
      <c r="F14" s="39">
        <v>0</v>
      </c>
      <c r="G14" s="39">
        <v>0</v>
      </c>
      <c r="H14" s="39">
        <v>0</v>
      </c>
      <c r="I14" s="14">
        <v>0</v>
      </c>
      <c r="J14" s="14">
        <v>0</v>
      </c>
      <c r="K14" s="14">
        <v>0</v>
      </c>
      <c r="M14" s="40"/>
    </row>
    <row r="15" spans="2:13">
      <c r="B15" s="37" t="s">
        <v>56</v>
      </c>
      <c r="C15" s="12">
        <v>0</v>
      </c>
      <c r="D15" s="12">
        <v>0</v>
      </c>
      <c r="E15" s="12">
        <v>0</v>
      </c>
      <c r="F15" s="39">
        <v>0</v>
      </c>
      <c r="G15" s="39">
        <v>0</v>
      </c>
      <c r="H15" s="39">
        <v>0</v>
      </c>
      <c r="I15" s="14">
        <v>0</v>
      </c>
      <c r="J15" s="14">
        <v>0</v>
      </c>
      <c r="K15" s="14">
        <v>0</v>
      </c>
      <c r="M15" s="40"/>
    </row>
    <row r="16" spans="2:13">
      <c r="B16" s="37" t="s">
        <v>57</v>
      </c>
      <c r="C16" s="12">
        <v>0</v>
      </c>
      <c r="D16" s="12">
        <v>0</v>
      </c>
      <c r="E16" s="12">
        <v>0</v>
      </c>
      <c r="F16" s="39">
        <v>0</v>
      </c>
      <c r="G16" s="39">
        <v>0</v>
      </c>
      <c r="H16" s="39">
        <v>0</v>
      </c>
      <c r="I16" s="14">
        <v>0</v>
      </c>
      <c r="J16" s="14">
        <v>0</v>
      </c>
      <c r="K16" s="14">
        <v>0</v>
      </c>
      <c r="M16" s="40"/>
    </row>
    <row r="17" spans="2:14">
      <c r="B17" s="37" t="s">
        <v>58</v>
      </c>
      <c r="C17" s="12">
        <v>0</v>
      </c>
      <c r="D17" s="12">
        <v>0</v>
      </c>
      <c r="E17" s="12">
        <v>0</v>
      </c>
      <c r="F17" s="39">
        <v>0</v>
      </c>
      <c r="G17" s="39">
        <v>0</v>
      </c>
      <c r="H17" s="39">
        <v>0</v>
      </c>
      <c r="I17" s="14">
        <v>0</v>
      </c>
      <c r="J17" s="14">
        <v>0</v>
      </c>
      <c r="K17" s="14">
        <v>0</v>
      </c>
      <c r="M17" s="40"/>
    </row>
    <row r="18" spans="2:14">
      <c r="B18" s="37" t="s">
        <v>59</v>
      </c>
      <c r="C18" s="12">
        <v>0</v>
      </c>
      <c r="D18" s="12">
        <v>0</v>
      </c>
      <c r="E18" s="12">
        <v>0</v>
      </c>
      <c r="F18" s="39">
        <v>0</v>
      </c>
      <c r="G18" s="39">
        <v>0</v>
      </c>
      <c r="H18" s="39">
        <v>0</v>
      </c>
      <c r="I18" s="14">
        <v>0</v>
      </c>
      <c r="J18" s="14">
        <v>0</v>
      </c>
      <c r="K18" s="14">
        <v>0</v>
      </c>
      <c r="M18" s="40"/>
    </row>
    <row r="19" spans="2:14">
      <c r="B19" s="37" t="s">
        <v>60</v>
      </c>
      <c r="C19" s="12">
        <v>3040.72</v>
      </c>
      <c r="D19" s="12">
        <v>0</v>
      </c>
      <c r="E19" s="12">
        <v>0</v>
      </c>
      <c r="F19" s="39">
        <v>3040.72</v>
      </c>
      <c r="G19" s="39">
        <v>0</v>
      </c>
      <c r="H19" s="39">
        <v>0</v>
      </c>
      <c r="I19" s="14">
        <v>3040.72</v>
      </c>
      <c r="J19" s="14">
        <v>0</v>
      </c>
      <c r="K19" s="14">
        <v>0</v>
      </c>
      <c r="M19" s="40"/>
      <c r="N19" s="26" t="s">
        <v>63</v>
      </c>
    </row>
    <row r="20" spans="2:14">
      <c r="B20" s="37" t="s">
        <v>61</v>
      </c>
      <c r="C20" s="12">
        <v>3887</v>
      </c>
      <c r="D20" s="12">
        <v>2614</v>
      </c>
      <c r="E20" s="12">
        <v>1600</v>
      </c>
      <c r="F20" s="39">
        <v>4394</v>
      </c>
      <c r="G20" s="39">
        <v>4394</v>
      </c>
      <c r="H20" s="39">
        <v>3380</v>
      </c>
      <c r="I20" s="14">
        <v>4394</v>
      </c>
      <c r="J20" s="14">
        <v>8394</v>
      </c>
      <c r="K20" s="41">
        <v>10000</v>
      </c>
      <c r="M20" s="40"/>
    </row>
    <row r="21" spans="2:14">
      <c r="B21" s="37" t="s">
        <v>62</v>
      </c>
      <c r="C21" s="12">
        <v>59400</v>
      </c>
      <c r="D21" s="12">
        <v>50000</v>
      </c>
      <c r="E21" s="12">
        <v>28145</v>
      </c>
      <c r="F21" s="39">
        <v>61761</v>
      </c>
      <c r="G21" s="39">
        <v>50000</v>
      </c>
      <c r="H21" s="39">
        <v>37847</v>
      </c>
      <c r="I21" s="14">
        <v>63000</v>
      </c>
      <c r="J21" s="14">
        <v>66000</v>
      </c>
      <c r="K21" s="14">
        <v>50139</v>
      </c>
      <c r="L21" s="42"/>
    </row>
    <row r="22" spans="2:14">
      <c r="B22" s="37" t="s">
        <v>64</v>
      </c>
      <c r="C22" s="12">
        <v>0</v>
      </c>
      <c r="D22" s="12">
        <v>0</v>
      </c>
      <c r="E22" s="12">
        <v>0</v>
      </c>
      <c r="F22" s="39">
        <v>0</v>
      </c>
      <c r="G22" s="39">
        <v>0</v>
      </c>
      <c r="H22" s="39">
        <v>0</v>
      </c>
      <c r="I22" s="14">
        <v>0</v>
      </c>
      <c r="J22" s="14">
        <v>0</v>
      </c>
      <c r="K22" s="14">
        <v>0</v>
      </c>
      <c r="M22" s="40"/>
    </row>
    <row r="23" spans="2:14">
      <c r="B23" s="37" t="s">
        <v>65</v>
      </c>
      <c r="C23" s="12">
        <v>0</v>
      </c>
      <c r="D23" s="12">
        <v>0</v>
      </c>
      <c r="E23" s="12">
        <v>0</v>
      </c>
      <c r="F23" s="39">
        <v>0</v>
      </c>
      <c r="G23" s="39">
        <v>0</v>
      </c>
      <c r="H23" s="39">
        <v>0</v>
      </c>
      <c r="I23" s="14">
        <v>0</v>
      </c>
      <c r="J23" s="14">
        <v>0</v>
      </c>
      <c r="K23" s="14">
        <v>0</v>
      </c>
      <c r="M23" s="40"/>
    </row>
    <row r="24" spans="2:14">
      <c r="B24" s="37" t="s">
        <v>66</v>
      </c>
      <c r="C24" s="12">
        <v>0</v>
      </c>
      <c r="D24" s="12">
        <v>0</v>
      </c>
      <c r="E24" s="12">
        <v>0</v>
      </c>
      <c r="F24" s="39">
        <v>0</v>
      </c>
      <c r="G24" s="39">
        <v>0</v>
      </c>
      <c r="H24" s="39">
        <v>0</v>
      </c>
      <c r="I24" s="14">
        <v>0</v>
      </c>
      <c r="J24" s="14">
        <v>0</v>
      </c>
      <c r="K24" s="14">
        <v>0</v>
      </c>
      <c r="M24" s="40"/>
    </row>
    <row r="25" spans="2:14">
      <c r="B25" s="37" t="s">
        <v>67</v>
      </c>
      <c r="C25" s="12">
        <v>1917</v>
      </c>
      <c r="D25" s="12">
        <v>2360</v>
      </c>
      <c r="E25" s="12">
        <v>2360</v>
      </c>
      <c r="F25" s="39">
        <v>3097</v>
      </c>
      <c r="G25" s="39">
        <v>2360</v>
      </c>
      <c r="H25" s="39">
        <v>2360</v>
      </c>
      <c r="I25" s="14">
        <v>3097</v>
      </c>
      <c r="J25" s="14">
        <v>4277</v>
      </c>
      <c r="K25" s="14">
        <v>2360</v>
      </c>
      <c r="M25" s="40"/>
    </row>
    <row r="26" spans="2:14">
      <c r="B26" s="37" t="s">
        <v>68</v>
      </c>
      <c r="C26" s="12">
        <v>0</v>
      </c>
      <c r="D26" s="12">
        <v>0</v>
      </c>
      <c r="E26" s="12">
        <v>0</v>
      </c>
      <c r="F26" s="39">
        <v>0</v>
      </c>
      <c r="G26" s="39">
        <v>0</v>
      </c>
      <c r="H26" s="39">
        <v>0</v>
      </c>
      <c r="I26" s="14">
        <v>0</v>
      </c>
      <c r="J26" s="14">
        <v>0</v>
      </c>
      <c r="K26" s="14">
        <v>0</v>
      </c>
      <c r="M26" s="40"/>
    </row>
    <row r="27" spans="2:14">
      <c r="B27" s="37" t="s">
        <v>69</v>
      </c>
      <c r="C27" s="12">
        <v>0</v>
      </c>
      <c r="D27" s="12">
        <v>0</v>
      </c>
      <c r="E27" s="12">
        <v>0</v>
      </c>
      <c r="F27" s="39">
        <v>0</v>
      </c>
      <c r="G27" s="39">
        <v>0</v>
      </c>
      <c r="H27" s="39">
        <v>0</v>
      </c>
      <c r="I27" s="14">
        <v>0</v>
      </c>
      <c r="J27" s="14">
        <v>0</v>
      </c>
      <c r="K27" s="14">
        <v>0</v>
      </c>
      <c r="M27" s="40"/>
    </row>
    <row r="28" spans="2:14">
      <c r="B28" s="37" t="s">
        <v>70</v>
      </c>
      <c r="C28" s="12">
        <v>0</v>
      </c>
      <c r="D28" s="12">
        <v>0</v>
      </c>
      <c r="E28" s="12">
        <v>0</v>
      </c>
      <c r="F28" s="39">
        <v>0</v>
      </c>
      <c r="G28" s="39">
        <v>0</v>
      </c>
      <c r="H28" s="39">
        <v>0</v>
      </c>
      <c r="I28" s="14">
        <v>0</v>
      </c>
      <c r="J28" s="14">
        <v>0</v>
      </c>
      <c r="K28" s="14">
        <v>0</v>
      </c>
      <c r="M28" s="40"/>
    </row>
    <row r="29" spans="2:14">
      <c r="B29" s="37" t="s">
        <v>71</v>
      </c>
      <c r="C29" s="12">
        <v>0</v>
      </c>
      <c r="D29" s="12">
        <v>0</v>
      </c>
      <c r="E29" s="12">
        <v>0</v>
      </c>
      <c r="F29" s="39">
        <v>0</v>
      </c>
      <c r="G29" s="39">
        <v>0</v>
      </c>
      <c r="H29" s="39">
        <v>0</v>
      </c>
      <c r="I29" s="14">
        <v>0</v>
      </c>
      <c r="J29" s="14">
        <v>0</v>
      </c>
      <c r="K29" s="14">
        <v>0</v>
      </c>
      <c r="M29" s="40"/>
    </row>
    <row r="30" spans="2:14">
      <c r="B30" s="37" t="s">
        <v>72</v>
      </c>
      <c r="C30" s="12">
        <v>0</v>
      </c>
      <c r="D30" s="12">
        <v>0</v>
      </c>
      <c r="E30" s="12">
        <v>0</v>
      </c>
      <c r="F30" s="39">
        <v>0</v>
      </c>
      <c r="G30" s="39">
        <v>0</v>
      </c>
      <c r="H30" s="39">
        <v>0</v>
      </c>
      <c r="I30" s="14">
        <v>0</v>
      </c>
      <c r="J30" s="14">
        <v>0</v>
      </c>
      <c r="K30" s="14">
        <v>0</v>
      </c>
      <c r="M30" s="40"/>
    </row>
    <row r="31" spans="2:14">
      <c r="B31" s="37" t="s">
        <v>73</v>
      </c>
      <c r="C31" s="12">
        <v>0</v>
      </c>
      <c r="D31" s="12">
        <v>0</v>
      </c>
      <c r="E31" s="12">
        <v>0</v>
      </c>
      <c r="F31" s="39">
        <v>0</v>
      </c>
      <c r="G31" s="39">
        <v>0</v>
      </c>
      <c r="H31" s="39">
        <v>0</v>
      </c>
      <c r="I31" s="14">
        <v>0</v>
      </c>
      <c r="J31" s="14">
        <v>0</v>
      </c>
      <c r="K31" s="14">
        <v>0</v>
      </c>
      <c r="M31" s="40"/>
    </row>
    <row r="32" spans="2:14">
      <c r="B32" s="37" t="s">
        <v>74</v>
      </c>
      <c r="C32" s="12">
        <v>0</v>
      </c>
      <c r="D32" s="12">
        <v>0</v>
      </c>
      <c r="E32" s="12">
        <v>0</v>
      </c>
      <c r="F32" s="39">
        <v>0</v>
      </c>
      <c r="G32" s="39">
        <v>0</v>
      </c>
      <c r="H32" s="39">
        <v>0</v>
      </c>
      <c r="I32" s="14">
        <v>0</v>
      </c>
      <c r="J32" s="14">
        <v>0</v>
      </c>
      <c r="K32" s="14">
        <v>0</v>
      </c>
      <c r="M32" s="40"/>
    </row>
    <row r="33" spans="2:13">
      <c r="B33" s="37" t="s">
        <v>75</v>
      </c>
      <c r="C33" s="12">
        <v>0</v>
      </c>
      <c r="D33" s="12">
        <v>0</v>
      </c>
      <c r="E33" s="12">
        <v>0</v>
      </c>
      <c r="F33" s="39">
        <v>0</v>
      </c>
      <c r="G33" s="39">
        <v>0</v>
      </c>
      <c r="H33" s="39">
        <v>0</v>
      </c>
      <c r="I33" s="14">
        <v>0</v>
      </c>
      <c r="J33" s="14">
        <v>0</v>
      </c>
      <c r="K33" s="14">
        <v>0</v>
      </c>
      <c r="M33" s="40"/>
    </row>
    <row r="34" spans="2:13">
      <c r="B34" s="37" t="s">
        <v>76</v>
      </c>
      <c r="C34" s="12">
        <v>0</v>
      </c>
      <c r="D34" s="12">
        <v>0</v>
      </c>
      <c r="E34" s="12">
        <v>0</v>
      </c>
      <c r="F34" s="39">
        <v>0</v>
      </c>
      <c r="G34" s="39">
        <v>0</v>
      </c>
      <c r="H34" s="39">
        <v>0</v>
      </c>
      <c r="I34" s="14">
        <v>0</v>
      </c>
      <c r="J34" s="14">
        <v>0</v>
      </c>
      <c r="K34" s="14">
        <v>0</v>
      </c>
      <c r="M34" s="40"/>
    </row>
    <row r="35" spans="2:13">
      <c r="B35" s="37" t="s">
        <v>77</v>
      </c>
      <c r="C35" s="12">
        <v>0</v>
      </c>
      <c r="D35" s="12">
        <v>0</v>
      </c>
      <c r="E35" s="12">
        <v>0</v>
      </c>
      <c r="F35" s="39">
        <v>0</v>
      </c>
      <c r="G35" s="39">
        <v>0</v>
      </c>
      <c r="H35" s="39">
        <v>0</v>
      </c>
      <c r="I35" s="14">
        <v>0</v>
      </c>
      <c r="J35" s="14">
        <v>0</v>
      </c>
      <c r="K35" s="14">
        <v>0</v>
      </c>
      <c r="M35" s="40"/>
    </row>
    <row r="36" spans="2:13">
      <c r="B36" s="37" t="s">
        <v>78</v>
      </c>
      <c r="C36" s="12">
        <v>0</v>
      </c>
      <c r="D36" s="12">
        <v>0</v>
      </c>
      <c r="E36" s="12">
        <v>0</v>
      </c>
      <c r="F36" s="39">
        <v>0</v>
      </c>
      <c r="G36" s="39">
        <v>0</v>
      </c>
      <c r="H36" s="39">
        <v>0</v>
      </c>
      <c r="I36" s="14">
        <v>0</v>
      </c>
      <c r="J36" s="14">
        <v>0</v>
      </c>
      <c r="K36" s="14">
        <v>0</v>
      </c>
      <c r="M36" s="40"/>
    </row>
    <row r="37" spans="2:13">
      <c r="B37" s="37" t="s">
        <v>79</v>
      </c>
      <c r="C37" s="12">
        <v>0</v>
      </c>
      <c r="D37" s="12">
        <v>0</v>
      </c>
      <c r="E37" s="12">
        <v>0</v>
      </c>
      <c r="F37" s="39">
        <v>0</v>
      </c>
      <c r="G37" s="39">
        <v>0</v>
      </c>
      <c r="H37" s="39">
        <v>0</v>
      </c>
      <c r="I37" s="14">
        <v>0</v>
      </c>
      <c r="J37" s="14">
        <v>0</v>
      </c>
      <c r="K37" s="14">
        <v>0</v>
      </c>
      <c r="M37" s="40"/>
    </row>
    <row r="38" spans="2:13">
      <c r="B38" s="37" t="s">
        <v>80</v>
      </c>
      <c r="C38" s="12">
        <v>0</v>
      </c>
      <c r="D38" s="12">
        <v>0</v>
      </c>
      <c r="E38" s="12">
        <v>0</v>
      </c>
      <c r="F38" s="39">
        <v>0</v>
      </c>
      <c r="G38" s="39">
        <v>0</v>
      </c>
      <c r="H38" s="39">
        <v>0</v>
      </c>
      <c r="I38" s="14">
        <v>0</v>
      </c>
      <c r="J38" s="14">
        <v>0</v>
      </c>
      <c r="K38" s="14">
        <v>0</v>
      </c>
      <c r="M38" s="40"/>
    </row>
    <row r="39" spans="2:13">
      <c r="B39" s="37" t="s">
        <v>81</v>
      </c>
      <c r="C39" s="12">
        <v>0</v>
      </c>
      <c r="D39" s="12">
        <v>0</v>
      </c>
      <c r="E39" s="12">
        <v>0</v>
      </c>
      <c r="F39" s="39">
        <v>0</v>
      </c>
      <c r="G39" s="39">
        <v>0</v>
      </c>
      <c r="H39" s="39">
        <v>0</v>
      </c>
      <c r="I39" s="14">
        <v>0</v>
      </c>
      <c r="J39" s="14">
        <v>0</v>
      </c>
      <c r="K39" s="14">
        <v>0</v>
      </c>
      <c r="M39" s="40"/>
    </row>
    <row r="40" spans="2:13">
      <c r="B40" s="37" t="s">
        <v>82</v>
      </c>
      <c r="C40" s="12">
        <v>0</v>
      </c>
      <c r="D40" s="12">
        <v>0</v>
      </c>
      <c r="E40" s="12">
        <v>0</v>
      </c>
      <c r="F40" s="39">
        <v>0</v>
      </c>
      <c r="G40" s="39">
        <v>0</v>
      </c>
      <c r="H40" s="39">
        <v>0</v>
      </c>
      <c r="I40" s="14">
        <v>0</v>
      </c>
      <c r="J40" s="14">
        <v>0</v>
      </c>
      <c r="K40" s="14">
        <v>0</v>
      </c>
      <c r="M40" s="40"/>
    </row>
    <row r="41" spans="2:13">
      <c r="B41" s="37" t="s">
        <v>83</v>
      </c>
      <c r="C41" s="12">
        <v>0</v>
      </c>
      <c r="D41" s="12">
        <v>0</v>
      </c>
      <c r="E41" s="12">
        <v>0</v>
      </c>
      <c r="F41" s="39">
        <v>0</v>
      </c>
      <c r="G41" s="39">
        <v>0</v>
      </c>
      <c r="H41" s="39">
        <v>0</v>
      </c>
      <c r="I41" s="14">
        <v>0</v>
      </c>
      <c r="J41" s="14">
        <v>0</v>
      </c>
      <c r="K41" s="14">
        <v>0</v>
      </c>
      <c r="M41" s="40"/>
    </row>
    <row r="42" spans="2:13">
      <c r="B42" s="37" t="s">
        <v>84</v>
      </c>
      <c r="C42" s="12">
        <v>0</v>
      </c>
      <c r="D42" s="12">
        <v>0</v>
      </c>
      <c r="E42" s="12">
        <v>0</v>
      </c>
      <c r="F42" s="39">
        <v>0</v>
      </c>
      <c r="G42" s="39">
        <v>0</v>
      </c>
      <c r="H42" s="39">
        <v>0</v>
      </c>
      <c r="I42" s="14">
        <v>0</v>
      </c>
      <c r="J42" s="14">
        <v>0</v>
      </c>
      <c r="K42" s="14">
        <v>0</v>
      </c>
      <c r="M42" s="40"/>
    </row>
    <row r="43" spans="2:13">
      <c r="B43" s="37" t="s">
        <v>85</v>
      </c>
      <c r="C43" s="12">
        <v>0</v>
      </c>
      <c r="D43" s="12">
        <v>0</v>
      </c>
      <c r="E43" s="12">
        <v>0</v>
      </c>
      <c r="F43" s="39">
        <v>486</v>
      </c>
      <c r="G43" s="39">
        <v>486</v>
      </c>
      <c r="H43" s="39">
        <v>0</v>
      </c>
      <c r="I43" s="14">
        <v>486</v>
      </c>
      <c r="J43" s="14">
        <v>4000</v>
      </c>
      <c r="K43" s="14">
        <v>8000</v>
      </c>
      <c r="M43" s="40"/>
    </row>
    <row r="44" spans="2:13">
      <c r="B44" s="37" t="s">
        <v>86</v>
      </c>
      <c r="C44" s="12">
        <v>0</v>
      </c>
      <c r="D44" s="12">
        <v>0</v>
      </c>
      <c r="E44" s="12">
        <v>0</v>
      </c>
      <c r="F44" s="39">
        <v>0</v>
      </c>
      <c r="G44" s="39">
        <v>0</v>
      </c>
      <c r="H44" s="39">
        <v>0</v>
      </c>
      <c r="I44" s="14">
        <v>0</v>
      </c>
      <c r="J44" s="14">
        <v>0</v>
      </c>
      <c r="K44" s="14">
        <v>0</v>
      </c>
      <c r="M44" s="40"/>
    </row>
    <row r="45" spans="2:13">
      <c r="B45" s="37" t="s">
        <v>87</v>
      </c>
      <c r="C45" s="12">
        <v>0</v>
      </c>
      <c r="D45" s="12">
        <v>0</v>
      </c>
      <c r="E45" s="12">
        <v>0</v>
      </c>
      <c r="F45" s="39">
        <v>0</v>
      </c>
      <c r="G45" s="39">
        <v>0</v>
      </c>
      <c r="H45" s="39">
        <v>0</v>
      </c>
      <c r="I45" s="14">
        <v>0</v>
      </c>
      <c r="J45" s="14">
        <v>0</v>
      </c>
      <c r="K45" s="14">
        <v>0</v>
      </c>
      <c r="M45" s="40"/>
    </row>
    <row r="46" spans="2:13">
      <c r="B46" s="37" t="s">
        <v>88</v>
      </c>
      <c r="C46" s="12">
        <v>0</v>
      </c>
      <c r="D46" s="12">
        <v>0</v>
      </c>
      <c r="E46" s="12">
        <v>0</v>
      </c>
      <c r="F46" s="39">
        <v>0</v>
      </c>
      <c r="G46" s="39">
        <v>0</v>
      </c>
      <c r="H46" s="39">
        <v>0</v>
      </c>
      <c r="I46" s="14">
        <v>0</v>
      </c>
      <c r="J46" s="14">
        <v>0</v>
      </c>
      <c r="K46" s="14">
        <v>0</v>
      </c>
      <c r="M46" s="40"/>
    </row>
    <row r="47" spans="2:13">
      <c r="B47" s="37" t="s">
        <v>89</v>
      </c>
      <c r="C47" s="12">
        <v>0</v>
      </c>
      <c r="D47" s="12">
        <v>4440</v>
      </c>
      <c r="E47" s="12">
        <v>6660</v>
      </c>
      <c r="F47" s="39">
        <v>0</v>
      </c>
      <c r="G47" s="39">
        <v>4440</v>
      </c>
      <c r="H47" s="39">
        <v>6660</v>
      </c>
      <c r="I47" s="14">
        <v>1120</v>
      </c>
      <c r="J47" s="14">
        <v>8630</v>
      </c>
      <c r="K47" s="14">
        <v>15000</v>
      </c>
      <c r="M47" s="40"/>
    </row>
    <row r="48" spans="2:13">
      <c r="B48" s="37" t="s">
        <v>90</v>
      </c>
      <c r="C48" s="12">
        <v>0</v>
      </c>
      <c r="D48" s="12">
        <v>0</v>
      </c>
      <c r="E48" s="12">
        <v>0</v>
      </c>
      <c r="F48" s="39">
        <v>0</v>
      </c>
      <c r="G48" s="39">
        <v>0</v>
      </c>
      <c r="H48" s="39">
        <v>0</v>
      </c>
      <c r="I48" s="14">
        <v>0</v>
      </c>
      <c r="J48" s="14">
        <v>0</v>
      </c>
      <c r="K48" s="14">
        <v>0</v>
      </c>
      <c r="M48" s="40"/>
    </row>
    <row r="49" spans="2:13">
      <c r="B49" s="37" t="s">
        <v>91</v>
      </c>
      <c r="C49" s="12">
        <v>1300</v>
      </c>
      <c r="D49" s="12">
        <v>1300</v>
      </c>
      <c r="E49" s="12">
        <v>1300</v>
      </c>
      <c r="F49" s="39">
        <v>1739</v>
      </c>
      <c r="G49" s="39">
        <v>3087</v>
      </c>
      <c r="H49" s="39">
        <v>3087</v>
      </c>
      <c r="I49" s="14">
        <v>2413</v>
      </c>
      <c r="J49" s="14">
        <v>3087</v>
      </c>
      <c r="K49" s="14">
        <v>3087</v>
      </c>
      <c r="M49" s="40"/>
    </row>
    <row r="50" spans="2:13">
      <c r="B50" s="37" t="s">
        <v>92</v>
      </c>
      <c r="C50" s="12">
        <v>0</v>
      </c>
      <c r="D50" s="12">
        <v>0</v>
      </c>
      <c r="E50" s="12">
        <v>0</v>
      </c>
      <c r="F50" s="39">
        <v>0</v>
      </c>
      <c r="G50" s="39">
        <v>0</v>
      </c>
      <c r="H50" s="39">
        <v>0</v>
      </c>
      <c r="I50" s="14">
        <v>0</v>
      </c>
      <c r="J50" s="14">
        <v>0</v>
      </c>
      <c r="K50" s="14">
        <v>0</v>
      </c>
      <c r="M50" s="40"/>
    </row>
    <row r="51" spans="2:13">
      <c r="B51" s="37" t="s">
        <v>93</v>
      </c>
      <c r="C51" s="12">
        <v>0</v>
      </c>
      <c r="D51" s="12">
        <v>0</v>
      </c>
      <c r="E51" s="12">
        <v>0</v>
      </c>
      <c r="F51" s="39">
        <v>0</v>
      </c>
      <c r="G51" s="39">
        <v>0</v>
      </c>
      <c r="H51" s="39">
        <v>0</v>
      </c>
      <c r="I51" s="14">
        <v>0</v>
      </c>
      <c r="J51" s="14">
        <v>1800</v>
      </c>
      <c r="K51" s="14">
        <v>4800</v>
      </c>
      <c r="M51" s="40"/>
    </row>
    <row r="52" spans="2:13">
      <c r="B52" s="37" t="s">
        <v>94</v>
      </c>
      <c r="C52" s="12">
        <v>0</v>
      </c>
      <c r="D52" s="12">
        <v>0</v>
      </c>
      <c r="E52" s="12">
        <v>0</v>
      </c>
      <c r="F52" s="39">
        <v>0</v>
      </c>
      <c r="G52" s="39">
        <v>0</v>
      </c>
      <c r="H52" s="39">
        <v>0</v>
      </c>
      <c r="I52" s="14">
        <v>0</v>
      </c>
      <c r="J52" s="14">
        <v>0</v>
      </c>
      <c r="K52" s="14">
        <v>0</v>
      </c>
      <c r="M52" s="40"/>
    </row>
    <row r="53" spans="2:13">
      <c r="B53" s="37" t="s">
        <v>95</v>
      </c>
      <c r="C53" s="12">
        <v>5900</v>
      </c>
      <c r="D53" s="12">
        <v>3700</v>
      </c>
      <c r="E53" s="12">
        <v>0</v>
      </c>
      <c r="F53" s="39">
        <v>6883</v>
      </c>
      <c r="G53" s="39">
        <v>5893</v>
      </c>
      <c r="H53" s="39">
        <v>2572</v>
      </c>
      <c r="I53" s="14">
        <v>7700</v>
      </c>
      <c r="J53" s="14">
        <v>9000</v>
      </c>
      <c r="K53" s="14">
        <v>11600</v>
      </c>
      <c r="M53" s="40"/>
    </row>
    <row r="54" spans="2:13">
      <c r="B54" s="37" t="s">
        <v>96</v>
      </c>
      <c r="C54" s="12">
        <v>0</v>
      </c>
      <c r="D54" s="12">
        <v>0</v>
      </c>
      <c r="E54" s="12">
        <v>0</v>
      </c>
      <c r="F54" s="39">
        <v>0</v>
      </c>
      <c r="G54" s="39">
        <v>0</v>
      </c>
      <c r="H54" s="39">
        <v>0</v>
      </c>
      <c r="I54" s="14">
        <v>0</v>
      </c>
      <c r="J54" s="14">
        <v>0</v>
      </c>
      <c r="K54" s="14">
        <v>0</v>
      </c>
      <c r="M54" s="40"/>
    </row>
    <row r="55" spans="2:13">
      <c r="B55" s="37" t="s">
        <v>97</v>
      </c>
      <c r="C55" s="12">
        <v>696</v>
      </c>
      <c r="D55" s="12">
        <v>0</v>
      </c>
      <c r="E55" s="12">
        <v>0</v>
      </c>
      <c r="F55" s="39">
        <v>696</v>
      </c>
      <c r="G55" s="39">
        <v>696</v>
      </c>
      <c r="H55" s="39">
        <v>1100</v>
      </c>
      <c r="I55" s="14">
        <v>696</v>
      </c>
      <c r="J55" s="14">
        <v>1100</v>
      </c>
      <c r="K55" s="14">
        <v>1100</v>
      </c>
      <c r="M55" s="40"/>
    </row>
    <row r="56" spans="2:13">
      <c r="B56" s="37" t="s">
        <v>98</v>
      </c>
      <c r="C56" s="12">
        <v>2351.4</v>
      </c>
      <c r="D56" s="12">
        <v>2351.4</v>
      </c>
      <c r="E56" s="12">
        <v>1417.5</v>
      </c>
      <c r="F56" s="39">
        <v>2814.6372644158491</v>
      </c>
      <c r="G56" s="39">
        <v>2829.6372644158491</v>
      </c>
      <c r="H56" s="39">
        <v>3095.6680000000001</v>
      </c>
      <c r="I56" s="14">
        <v>2814.6372644158491</v>
      </c>
      <c r="J56" s="14">
        <v>2829.6372644158491</v>
      </c>
      <c r="K56" s="14">
        <v>3095.6680000000001</v>
      </c>
      <c r="M56" s="40"/>
    </row>
    <row r="57" spans="2:13">
      <c r="B57" s="37" t="s">
        <v>99</v>
      </c>
      <c r="C57" s="12">
        <v>4500</v>
      </c>
      <c r="D57" s="12">
        <v>4500</v>
      </c>
      <c r="E57" s="12">
        <v>5500</v>
      </c>
      <c r="F57" s="39">
        <v>4500</v>
      </c>
      <c r="G57" s="39">
        <v>4500</v>
      </c>
      <c r="H57" s="39">
        <v>5500</v>
      </c>
      <c r="I57" s="14">
        <v>8000</v>
      </c>
      <c r="J57" s="14">
        <v>14500</v>
      </c>
      <c r="K57" s="14">
        <v>16000</v>
      </c>
    </row>
    <row r="58" spans="2:13">
      <c r="B58" s="37" t="s">
        <v>100</v>
      </c>
      <c r="C58" s="12">
        <v>0</v>
      </c>
      <c r="D58" s="12">
        <v>0</v>
      </c>
      <c r="E58" s="12">
        <v>0</v>
      </c>
      <c r="F58" s="39">
        <v>0</v>
      </c>
      <c r="G58" s="39">
        <v>0</v>
      </c>
      <c r="H58" s="39">
        <v>0</v>
      </c>
      <c r="I58" s="14">
        <v>0</v>
      </c>
      <c r="J58" s="14">
        <v>0</v>
      </c>
      <c r="K58" s="14">
        <v>0</v>
      </c>
      <c r="M58" s="40"/>
    </row>
    <row r="59" spans="2:13">
      <c r="B59" s="11" t="s">
        <v>101</v>
      </c>
      <c r="C59" s="43">
        <f>SUM(C5:C58)</f>
        <v>92306.319999999992</v>
      </c>
      <c r="D59" s="43">
        <f t="shared" ref="D59:K59" si="0">SUM(D5:D58)</f>
        <v>78452.599999999991</v>
      </c>
      <c r="E59" s="43">
        <f t="shared" si="0"/>
        <v>51260.1</v>
      </c>
      <c r="F59" s="44">
        <f t="shared" si="0"/>
        <v>98725.557264415853</v>
      </c>
      <c r="G59" s="44">
        <f t="shared" si="0"/>
        <v>87872.837264415852</v>
      </c>
      <c r="H59" s="44">
        <f t="shared" si="0"/>
        <v>70879.267999999996</v>
      </c>
      <c r="I59" s="45">
        <f t="shared" si="0"/>
        <v>107815.55726441585</v>
      </c>
      <c r="J59" s="45">
        <f t="shared" si="0"/>
        <v>136559.63726441585</v>
      </c>
      <c r="K59" s="45">
        <f t="shared" si="0"/>
        <v>134164.26800000001</v>
      </c>
    </row>
  </sheetData>
  <mergeCells count="3">
    <mergeCell ref="C3:E3"/>
    <mergeCell ref="F3:H3"/>
    <mergeCell ref="I3:K3"/>
  </mergeCells>
  <pageMargins left="0.7" right="0.7" top="0.75" bottom="0.75" header="0.3" footer="0.3"/>
  <pageSetup paperSize="9" orientation="portrait" r:id="rId1"/>
  <headerFooter>
    <oddFooter>&amp;C_x000D_&amp;1#&amp;"Calibri"&amp;10&amp;K000000 ISC - Uso INTERNO / INTERNAL Use</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F96A8-BE1D-4B77-A51F-64F9C4B6F0BB}">
  <sheetPr>
    <tabColor theme="7"/>
  </sheetPr>
  <dimension ref="B1:Q60"/>
  <sheetViews>
    <sheetView topLeftCell="A39" workbookViewId="0">
      <selection activeCell="L62" sqref="L62"/>
    </sheetView>
  </sheetViews>
  <sheetFormatPr defaultColWidth="11.42578125" defaultRowHeight="15"/>
  <cols>
    <col min="1" max="1" width="4.140625" customWidth="1"/>
    <col min="4" max="4" width="8" bestFit="1" customWidth="1"/>
    <col min="5" max="6" width="9" bestFit="1" customWidth="1"/>
    <col min="7" max="9" width="10.7109375" customWidth="1"/>
    <col min="10" max="11" width="9" bestFit="1" customWidth="1"/>
    <col min="12" max="12" width="10.5703125" bestFit="1" customWidth="1"/>
    <col min="14" max="14" width="12.140625" bestFit="1" customWidth="1"/>
  </cols>
  <sheetData>
    <row r="1" spans="2:12" ht="23.25">
      <c r="B1" s="438" t="s">
        <v>8</v>
      </c>
    </row>
    <row r="3" spans="2:12">
      <c r="B3" t="s">
        <v>175</v>
      </c>
      <c r="C3" t="s">
        <v>176</v>
      </c>
      <c r="D3" s="464" t="s">
        <v>41</v>
      </c>
      <c r="E3" s="464"/>
      <c r="F3" s="464"/>
      <c r="G3" s="474" t="s">
        <v>177</v>
      </c>
      <c r="H3" s="474"/>
      <c r="I3" s="474"/>
      <c r="J3" s="475" t="s">
        <v>43</v>
      </c>
      <c r="K3" s="475"/>
      <c r="L3" s="475"/>
    </row>
    <row r="4" spans="2:12">
      <c r="B4" t="s">
        <v>178</v>
      </c>
      <c r="C4" t="s">
        <v>45</v>
      </c>
      <c r="D4" s="8">
        <v>2030</v>
      </c>
      <c r="E4" s="8">
        <v>2040</v>
      </c>
      <c r="F4" s="8">
        <v>2050</v>
      </c>
      <c r="G4" s="46">
        <v>2030</v>
      </c>
      <c r="H4" s="46">
        <v>2040</v>
      </c>
      <c r="I4" s="46">
        <v>2050</v>
      </c>
      <c r="J4" s="22">
        <v>2030</v>
      </c>
      <c r="K4" s="22">
        <v>2040</v>
      </c>
      <c r="L4" s="22">
        <v>2050</v>
      </c>
    </row>
    <row r="5" spans="2:12">
      <c r="B5" t="s">
        <v>179</v>
      </c>
      <c r="C5" t="s">
        <v>46</v>
      </c>
      <c r="D5" s="12">
        <v>0</v>
      </c>
      <c r="E5" s="12">
        <v>0</v>
      </c>
      <c r="F5" s="12">
        <v>0</v>
      </c>
      <c r="G5" s="47">
        <v>0</v>
      </c>
      <c r="H5" s="47">
        <v>0</v>
      </c>
      <c r="I5" s="47">
        <v>0</v>
      </c>
      <c r="J5" s="24">
        <v>236.90930020368219</v>
      </c>
      <c r="K5" s="24">
        <v>619.12424009791118</v>
      </c>
      <c r="L5" s="24">
        <v>712.20667592814698</v>
      </c>
    </row>
    <row r="6" spans="2:12">
      <c r="B6" t="s">
        <v>180</v>
      </c>
      <c r="C6" t="s">
        <v>47</v>
      </c>
      <c r="D6" s="12">
        <v>4897.1701173385236</v>
      </c>
      <c r="E6" s="12">
        <v>11315.840208034473</v>
      </c>
      <c r="F6" s="12">
        <v>11315.840208034473</v>
      </c>
      <c r="G6" s="47">
        <v>4897.1701173385236</v>
      </c>
      <c r="H6" s="47">
        <v>11315.840208034473</v>
      </c>
      <c r="I6" s="47">
        <v>11315.840208034473</v>
      </c>
      <c r="J6" s="24">
        <v>8489.4267581132844</v>
      </c>
      <c r="K6" s="24">
        <v>21686.779526242291</v>
      </c>
      <c r="L6" s="24">
        <v>134386.2303901042</v>
      </c>
    </row>
    <row r="7" spans="2:12">
      <c r="B7" t="s">
        <v>179</v>
      </c>
      <c r="C7" t="s">
        <v>48</v>
      </c>
      <c r="D7" s="12">
        <v>0</v>
      </c>
      <c r="E7" s="12">
        <v>0</v>
      </c>
      <c r="F7" s="12">
        <v>0</v>
      </c>
      <c r="G7" s="47">
        <v>0</v>
      </c>
      <c r="H7" s="47">
        <v>0</v>
      </c>
      <c r="I7" s="47">
        <v>0</v>
      </c>
      <c r="J7" s="24">
        <v>286.83695298123757</v>
      </c>
      <c r="K7" s="24">
        <v>1129.8570783134037</v>
      </c>
      <c r="L7" s="24">
        <v>1883.2375171929293</v>
      </c>
    </row>
    <row r="8" spans="2:12">
      <c r="B8" t="s">
        <v>181</v>
      </c>
      <c r="C8" t="s">
        <v>49</v>
      </c>
      <c r="D8" s="12">
        <v>828</v>
      </c>
      <c r="E8" s="12">
        <v>0</v>
      </c>
      <c r="F8" s="12">
        <v>0</v>
      </c>
      <c r="G8" s="47">
        <v>828</v>
      </c>
      <c r="H8" s="47">
        <v>0</v>
      </c>
      <c r="I8" s="47">
        <v>0</v>
      </c>
      <c r="J8" s="24">
        <v>3619.7159185365676</v>
      </c>
      <c r="K8" s="24">
        <v>9082.5801197291785</v>
      </c>
      <c r="L8" s="24">
        <v>20732.514760088772</v>
      </c>
    </row>
    <row r="9" spans="2:12">
      <c r="B9" t="s">
        <v>179</v>
      </c>
      <c r="C9" t="s">
        <v>50</v>
      </c>
      <c r="D9" s="12">
        <v>0</v>
      </c>
      <c r="E9" s="12">
        <v>0</v>
      </c>
      <c r="F9" s="12">
        <v>0</v>
      </c>
      <c r="G9" s="47">
        <v>0</v>
      </c>
      <c r="H9" s="47">
        <v>0</v>
      </c>
      <c r="I9" s="47">
        <v>0</v>
      </c>
      <c r="J9" s="24">
        <v>2606.0023022405044</v>
      </c>
      <c r="K9" s="24">
        <v>3714.7454405874669</v>
      </c>
      <c r="L9" s="24">
        <v>4985.4467314970279</v>
      </c>
    </row>
    <row r="10" spans="2:12">
      <c r="B10" t="s">
        <v>180</v>
      </c>
      <c r="C10" t="s">
        <v>51</v>
      </c>
      <c r="D10" s="12">
        <v>610.64178571428567</v>
      </c>
      <c r="E10" s="12">
        <v>2777.4381894002745</v>
      </c>
      <c r="F10" s="12">
        <v>5049.6455770431785</v>
      </c>
      <c r="G10" s="47">
        <v>610.64178571428567</v>
      </c>
      <c r="H10" s="47">
        <v>2777.4381894002745</v>
      </c>
      <c r="I10" s="47">
        <v>5049.6455770431785</v>
      </c>
      <c r="J10" s="24">
        <v>4579.2484025958311</v>
      </c>
      <c r="K10" s="24">
        <v>15378.54877743263</v>
      </c>
      <c r="L10" s="24">
        <v>26971.06477211964</v>
      </c>
    </row>
    <row r="11" spans="2:12">
      <c r="B11" t="s">
        <v>179</v>
      </c>
      <c r="C11" t="s">
        <v>52</v>
      </c>
      <c r="D11" s="12">
        <v>0</v>
      </c>
      <c r="E11" s="12">
        <v>0</v>
      </c>
      <c r="F11" s="12">
        <v>0</v>
      </c>
      <c r="G11" s="47">
        <v>0</v>
      </c>
      <c r="H11" s="47">
        <v>0</v>
      </c>
      <c r="I11" s="47">
        <v>0</v>
      </c>
      <c r="J11" s="24">
        <v>506.98590243587995</v>
      </c>
      <c r="K11" s="24">
        <v>1362.0733282154047</v>
      </c>
      <c r="L11" s="24">
        <v>1566.8546870419234</v>
      </c>
    </row>
    <row r="12" spans="2:12">
      <c r="B12" t="s">
        <v>181</v>
      </c>
      <c r="C12" t="s">
        <v>53</v>
      </c>
      <c r="D12" s="12">
        <v>0</v>
      </c>
      <c r="E12" s="12">
        <v>0</v>
      </c>
      <c r="F12" s="12">
        <v>0</v>
      </c>
      <c r="G12" s="47">
        <v>0</v>
      </c>
      <c r="H12" s="47">
        <v>0</v>
      </c>
      <c r="I12" s="47">
        <v>0</v>
      </c>
      <c r="J12" s="24">
        <v>4819.5924082938018</v>
      </c>
      <c r="K12" s="24">
        <v>9162.3120888918565</v>
      </c>
      <c r="L12" s="24">
        <v>14152.915602078498</v>
      </c>
    </row>
    <row r="13" spans="2:12">
      <c r="B13" t="s">
        <v>181</v>
      </c>
      <c r="C13" t="s">
        <v>54</v>
      </c>
      <c r="D13" s="12">
        <v>54632.181818181823</v>
      </c>
      <c r="E13" s="12">
        <v>157525</v>
      </c>
      <c r="F13" s="12">
        <v>233275</v>
      </c>
      <c r="G13" s="47">
        <v>54632.181818181823</v>
      </c>
      <c r="H13" s="47">
        <v>157525</v>
      </c>
      <c r="I13" s="47">
        <v>233275</v>
      </c>
      <c r="J13" s="24">
        <v>61177.439071760768</v>
      </c>
      <c r="K13" s="24">
        <v>157525</v>
      </c>
      <c r="L13" s="24">
        <v>250315.17735651741</v>
      </c>
    </row>
    <row r="14" spans="2:12">
      <c r="B14" t="s">
        <v>181</v>
      </c>
      <c r="C14" t="s">
        <v>55</v>
      </c>
      <c r="D14" s="12">
        <v>0</v>
      </c>
      <c r="E14" s="12">
        <v>0</v>
      </c>
      <c r="F14" s="12">
        <v>0</v>
      </c>
      <c r="G14" s="47">
        <v>0</v>
      </c>
      <c r="H14" s="47">
        <v>0</v>
      </c>
      <c r="I14" s="47">
        <v>0</v>
      </c>
      <c r="J14" s="24">
        <v>0</v>
      </c>
      <c r="K14" s="24">
        <v>0</v>
      </c>
      <c r="L14" s="24">
        <v>0</v>
      </c>
    </row>
    <row r="15" spans="2:12">
      <c r="B15" t="s">
        <v>182</v>
      </c>
      <c r="C15" t="s">
        <v>56</v>
      </c>
      <c r="D15" s="12">
        <v>0</v>
      </c>
      <c r="E15" s="12">
        <v>0</v>
      </c>
      <c r="F15" s="12">
        <v>0</v>
      </c>
      <c r="G15" s="47">
        <v>0</v>
      </c>
      <c r="H15" s="47">
        <v>0</v>
      </c>
      <c r="I15" s="47">
        <v>0</v>
      </c>
      <c r="J15" s="24">
        <v>8435.1943949157649</v>
      </c>
      <c r="K15" s="24">
        <v>11290.19088151275</v>
      </c>
      <c r="L15" s="24">
        <v>13107.021084186776</v>
      </c>
    </row>
    <row r="16" spans="2:12">
      <c r="B16" t="s">
        <v>182</v>
      </c>
      <c r="C16" t="s">
        <v>57</v>
      </c>
      <c r="D16" s="12">
        <v>0</v>
      </c>
      <c r="E16" s="12">
        <v>0</v>
      </c>
      <c r="F16" s="12">
        <v>0</v>
      </c>
      <c r="G16" s="47">
        <v>0</v>
      </c>
      <c r="H16" s="47">
        <v>0</v>
      </c>
      <c r="I16" s="47">
        <v>0</v>
      </c>
      <c r="J16" s="24">
        <v>0</v>
      </c>
      <c r="K16" s="24">
        <v>0</v>
      </c>
      <c r="L16" s="24">
        <v>0</v>
      </c>
    </row>
    <row r="17" spans="2:17">
      <c r="B17" t="s">
        <v>182</v>
      </c>
      <c r="C17" t="s">
        <v>58</v>
      </c>
      <c r="D17" s="12">
        <v>0</v>
      </c>
      <c r="E17" s="12">
        <v>0</v>
      </c>
      <c r="F17" s="12">
        <v>0</v>
      </c>
      <c r="G17" s="47">
        <v>0</v>
      </c>
      <c r="H17" s="47">
        <v>0</v>
      </c>
      <c r="I17" s="47">
        <v>0</v>
      </c>
      <c r="J17" s="24">
        <v>27885.998115250419</v>
      </c>
      <c r="K17" s="24">
        <v>37324.361111635786</v>
      </c>
      <c r="L17" s="24">
        <v>43330.63924057081</v>
      </c>
    </row>
    <row r="18" spans="2:17">
      <c r="B18" t="s">
        <v>182</v>
      </c>
      <c r="C18" t="s">
        <v>59</v>
      </c>
      <c r="D18" s="12">
        <v>0</v>
      </c>
      <c r="E18" s="12">
        <v>0</v>
      </c>
      <c r="F18" s="12">
        <v>0</v>
      </c>
      <c r="G18" s="47">
        <v>0</v>
      </c>
      <c r="H18" s="47">
        <v>0</v>
      </c>
      <c r="I18" s="47">
        <v>0</v>
      </c>
      <c r="J18" s="24">
        <v>779.6258201496089</v>
      </c>
      <c r="K18" s="24">
        <v>2094.0475779503408</v>
      </c>
      <c r="L18" s="24">
        <v>2862.2135574221779</v>
      </c>
    </row>
    <row r="19" spans="2:17">
      <c r="B19" t="s">
        <v>179</v>
      </c>
      <c r="C19" t="s">
        <v>60</v>
      </c>
      <c r="D19" s="12">
        <v>0</v>
      </c>
      <c r="E19" s="12">
        <v>0</v>
      </c>
      <c r="F19" s="12">
        <v>0</v>
      </c>
      <c r="G19" s="47">
        <v>0</v>
      </c>
      <c r="H19" s="47">
        <v>0</v>
      </c>
      <c r="I19" s="47">
        <v>0</v>
      </c>
      <c r="J19" s="24">
        <v>46380.554200245439</v>
      </c>
      <c r="K19" s="24">
        <v>66919.348536933816</v>
      </c>
      <c r="L19" s="24">
        <v>90242.96873071912</v>
      </c>
    </row>
    <row r="20" spans="2:17">
      <c r="B20" t="s">
        <v>182</v>
      </c>
      <c r="C20" t="s">
        <v>61</v>
      </c>
      <c r="D20" s="12">
        <v>0</v>
      </c>
      <c r="E20" s="12">
        <v>0</v>
      </c>
      <c r="F20" s="12">
        <v>0</v>
      </c>
      <c r="G20" s="47">
        <v>0</v>
      </c>
      <c r="H20" s="47">
        <v>0</v>
      </c>
      <c r="I20" s="47">
        <v>0</v>
      </c>
      <c r="J20" s="24">
        <v>8268.7240851480474</v>
      </c>
      <c r="K20" s="24">
        <v>20169.015664890594</v>
      </c>
      <c r="L20" s="24">
        <v>40836.366282651892</v>
      </c>
    </row>
    <row r="21" spans="2:17">
      <c r="B21" t="s">
        <v>180</v>
      </c>
      <c r="C21" t="s">
        <v>62</v>
      </c>
      <c r="D21" s="12">
        <v>0</v>
      </c>
      <c r="E21" s="12">
        <v>0</v>
      </c>
      <c r="F21" s="12">
        <v>0</v>
      </c>
      <c r="G21" s="47">
        <v>0</v>
      </c>
      <c r="H21" s="47">
        <v>0</v>
      </c>
      <c r="I21" s="47">
        <v>0</v>
      </c>
      <c r="J21" s="24">
        <v>19689.643008704435</v>
      </c>
      <c r="K21" s="24">
        <v>73085.160358021487</v>
      </c>
      <c r="L21" s="24">
        <v>151295.04326137973</v>
      </c>
    </row>
    <row r="22" spans="2:17">
      <c r="B22" t="s">
        <v>179</v>
      </c>
      <c r="C22" t="s">
        <v>64</v>
      </c>
      <c r="D22" s="12">
        <v>0</v>
      </c>
      <c r="E22" s="12">
        <v>0</v>
      </c>
      <c r="F22" s="12">
        <v>0</v>
      </c>
      <c r="G22" s="47">
        <v>0</v>
      </c>
      <c r="H22" s="47">
        <v>0</v>
      </c>
      <c r="I22" s="47">
        <v>0</v>
      </c>
      <c r="J22" s="24">
        <v>7107.2790061104661</v>
      </c>
      <c r="K22" s="24">
        <v>16716.354482643601</v>
      </c>
      <c r="L22" s="24">
        <v>31337.093740838463</v>
      </c>
      <c r="N22" s="476" t="s">
        <v>183</v>
      </c>
      <c r="O22" s="477"/>
      <c r="P22" s="477"/>
      <c r="Q22" s="478"/>
    </row>
    <row r="23" spans="2:17">
      <c r="B23" t="s">
        <v>179</v>
      </c>
      <c r="C23" t="s">
        <v>65</v>
      </c>
      <c r="D23" s="12">
        <v>0</v>
      </c>
      <c r="E23" s="12">
        <v>0</v>
      </c>
      <c r="F23" s="12">
        <v>0</v>
      </c>
      <c r="G23" s="47">
        <v>0</v>
      </c>
      <c r="H23" s="47">
        <v>0</v>
      </c>
      <c r="I23" s="47">
        <v>0</v>
      </c>
      <c r="J23" s="24">
        <v>1184.5465010184109</v>
      </c>
      <c r="K23" s="24">
        <v>1547.8106002447778</v>
      </c>
      <c r="L23" s="24">
        <v>1780.5166898203674</v>
      </c>
      <c r="N23" s="51" t="s">
        <v>184</v>
      </c>
      <c r="O23" s="53">
        <v>0.63068811121644142</v>
      </c>
      <c r="P23" s="53">
        <v>0.86261801673034344</v>
      </c>
      <c r="Q23" s="53">
        <v>1.0405776976422418</v>
      </c>
    </row>
    <row r="24" spans="2:17">
      <c r="B24" t="s">
        <v>179</v>
      </c>
      <c r="C24" t="s">
        <v>66</v>
      </c>
      <c r="D24" s="12">
        <v>0</v>
      </c>
      <c r="E24" s="12">
        <v>0</v>
      </c>
      <c r="F24" s="12">
        <v>0</v>
      </c>
      <c r="G24" s="47">
        <v>0</v>
      </c>
      <c r="H24" s="47">
        <v>0</v>
      </c>
      <c r="I24" s="47">
        <v>0</v>
      </c>
      <c r="J24" s="24">
        <v>787.96033247744697</v>
      </c>
      <c r="K24" s="24">
        <v>1238.2484801958224</v>
      </c>
      <c r="L24" s="24">
        <v>1780.5166898203674</v>
      </c>
    </row>
    <row r="25" spans="2:17">
      <c r="B25" t="s">
        <v>180</v>
      </c>
      <c r="C25" t="s">
        <v>67</v>
      </c>
      <c r="D25" s="12">
        <v>1423.34728</v>
      </c>
      <c r="E25" s="12">
        <v>4024.5147183933946</v>
      </c>
      <c r="F25" s="12">
        <v>0</v>
      </c>
      <c r="G25" s="47">
        <v>1423.34728</v>
      </c>
      <c r="H25" s="47">
        <v>4024.5147183933946</v>
      </c>
      <c r="I25" s="47">
        <v>0</v>
      </c>
      <c r="J25" s="24">
        <v>6793.1968559438383</v>
      </c>
      <c r="K25" s="24">
        <v>12646.621252926849</v>
      </c>
      <c r="L25" s="24">
        <v>18606.78345864041</v>
      </c>
    </row>
    <row r="26" spans="2:17">
      <c r="B26" t="s">
        <v>181</v>
      </c>
      <c r="C26" t="s">
        <v>68</v>
      </c>
      <c r="D26" s="12">
        <v>0</v>
      </c>
      <c r="E26" s="12">
        <v>0</v>
      </c>
      <c r="F26" s="12">
        <v>0</v>
      </c>
      <c r="G26" s="47">
        <v>0</v>
      </c>
      <c r="H26" s="47">
        <v>0</v>
      </c>
      <c r="I26" s="47">
        <v>0</v>
      </c>
      <c r="J26" s="24">
        <v>2294.4810016269789</v>
      </c>
      <c r="K26" s="24">
        <v>1497.694665239273</v>
      </c>
      <c r="L26" s="24">
        <v>1817.3795641815361</v>
      </c>
    </row>
    <row r="27" spans="2:17">
      <c r="B27" t="s">
        <v>179</v>
      </c>
      <c r="C27" t="s">
        <v>185</v>
      </c>
      <c r="D27" s="12">
        <v>0</v>
      </c>
      <c r="E27" s="12">
        <v>0</v>
      </c>
      <c r="F27" s="12">
        <v>0</v>
      </c>
      <c r="G27" s="47">
        <v>0</v>
      </c>
      <c r="H27" s="47">
        <v>0</v>
      </c>
      <c r="I27" s="47">
        <v>0</v>
      </c>
      <c r="J27" s="24">
        <v>0</v>
      </c>
      <c r="K27" s="24">
        <v>0</v>
      </c>
      <c r="L27" s="24">
        <v>0</v>
      </c>
    </row>
    <row r="28" spans="2:17">
      <c r="B28" t="s">
        <v>179</v>
      </c>
      <c r="C28" t="s">
        <v>69</v>
      </c>
      <c r="D28" s="12">
        <v>0</v>
      </c>
      <c r="E28" s="12">
        <v>0</v>
      </c>
      <c r="F28" s="12">
        <v>0</v>
      </c>
      <c r="G28" s="47">
        <v>0</v>
      </c>
      <c r="H28" s="47">
        <v>0</v>
      </c>
      <c r="I28" s="47">
        <v>0</v>
      </c>
      <c r="J28" s="24">
        <v>728.51956458588643</v>
      </c>
      <c r="K28" s="24">
        <v>5574.8575855246381</v>
      </c>
      <c r="L28" s="24">
        <v>13504.208278646314</v>
      </c>
    </row>
    <row r="29" spans="2:17">
      <c r="B29" t="s">
        <v>179</v>
      </c>
      <c r="C29" t="s">
        <v>70</v>
      </c>
      <c r="D29" s="12">
        <v>0</v>
      </c>
      <c r="E29" s="12">
        <v>0</v>
      </c>
      <c r="F29" s="12">
        <v>0</v>
      </c>
      <c r="G29" s="47">
        <v>0</v>
      </c>
      <c r="H29" s="47">
        <v>0</v>
      </c>
      <c r="I29" s="47">
        <v>0</v>
      </c>
      <c r="J29" s="24">
        <v>1854.2190392354396</v>
      </c>
      <c r="K29" s="24">
        <v>4364.9248617547091</v>
      </c>
      <c r="L29" s="24">
        <v>10573.992907169444</v>
      </c>
    </row>
    <row r="30" spans="2:17">
      <c r="B30" t="s">
        <v>179</v>
      </c>
      <c r="C30" t="s">
        <v>71</v>
      </c>
      <c r="D30" s="12">
        <v>0</v>
      </c>
      <c r="E30" s="12">
        <v>0</v>
      </c>
      <c r="F30" s="12">
        <v>0</v>
      </c>
      <c r="G30" s="47">
        <v>0</v>
      </c>
      <c r="H30" s="47">
        <v>0</v>
      </c>
      <c r="I30" s="47">
        <v>0</v>
      </c>
      <c r="J30" s="24">
        <v>7350.6095906530718</v>
      </c>
      <c r="K30" s="24">
        <v>18025.968424870669</v>
      </c>
      <c r="L30" s="24">
        <v>43667.799850303629</v>
      </c>
    </row>
    <row r="31" spans="2:17">
      <c r="B31" t="s">
        <v>179</v>
      </c>
      <c r="C31" t="s">
        <v>72</v>
      </c>
      <c r="D31" s="12">
        <v>0</v>
      </c>
      <c r="E31" s="12">
        <v>0</v>
      </c>
      <c r="F31" s="12">
        <v>0</v>
      </c>
      <c r="G31" s="47">
        <v>0</v>
      </c>
      <c r="H31" s="47">
        <v>0</v>
      </c>
      <c r="I31" s="47">
        <v>0</v>
      </c>
      <c r="J31" s="24">
        <v>6622.3142327341102</v>
      </c>
      <c r="K31" s="24">
        <v>15181.871605874625</v>
      </c>
      <c r="L31" s="24">
        <v>36778.469838276455</v>
      </c>
    </row>
    <row r="32" spans="2:17">
      <c r="B32" t="s">
        <v>179</v>
      </c>
      <c r="C32" t="s">
        <v>73</v>
      </c>
      <c r="D32" s="12">
        <v>0</v>
      </c>
      <c r="E32" s="12">
        <v>0</v>
      </c>
      <c r="F32" s="12">
        <v>0</v>
      </c>
      <c r="G32" s="47">
        <v>0</v>
      </c>
      <c r="H32" s="47">
        <v>0</v>
      </c>
      <c r="I32" s="47">
        <v>0</v>
      </c>
      <c r="J32" s="24">
        <v>9611.5041974029609</v>
      </c>
      <c r="K32" s="24">
        <v>16383.544473826707</v>
      </c>
      <c r="L32" s="24">
        <v>39688.782075792384</v>
      </c>
    </row>
    <row r="33" spans="2:12">
      <c r="B33" t="s">
        <v>179</v>
      </c>
      <c r="C33" t="s">
        <v>74</v>
      </c>
      <c r="D33" s="12">
        <v>0</v>
      </c>
      <c r="E33" s="12">
        <v>0</v>
      </c>
      <c r="F33" s="12">
        <v>0</v>
      </c>
      <c r="G33" s="47">
        <v>0</v>
      </c>
      <c r="H33" s="47">
        <v>0</v>
      </c>
      <c r="I33" s="47">
        <v>0</v>
      </c>
      <c r="J33" s="24">
        <v>3708.4471063374749</v>
      </c>
      <c r="K33" s="24">
        <v>9017.757454813307</v>
      </c>
      <c r="L33" s="24">
        <v>21846.392942616887</v>
      </c>
    </row>
    <row r="34" spans="2:12">
      <c r="B34" t="s">
        <v>179</v>
      </c>
      <c r="C34" t="s">
        <v>75</v>
      </c>
      <c r="D34" s="12">
        <v>0</v>
      </c>
      <c r="E34" s="12">
        <v>0</v>
      </c>
      <c r="F34" s="12">
        <v>0</v>
      </c>
      <c r="G34" s="47">
        <v>0</v>
      </c>
      <c r="H34" s="47">
        <v>0</v>
      </c>
      <c r="I34" s="47">
        <v>0</v>
      </c>
      <c r="J34" s="24">
        <v>5231.6470317775556</v>
      </c>
      <c r="K34" s="24">
        <v>10817.013330902988</v>
      </c>
      <c r="L34" s="24">
        <v>26204.734400271376</v>
      </c>
    </row>
    <row r="35" spans="2:12">
      <c r="B35" t="s">
        <v>182</v>
      </c>
      <c r="C35" t="s">
        <v>76</v>
      </c>
      <c r="D35" s="12">
        <v>0</v>
      </c>
      <c r="E35" s="12">
        <v>0</v>
      </c>
      <c r="F35" s="12">
        <v>0</v>
      </c>
      <c r="G35" s="47">
        <v>0</v>
      </c>
      <c r="H35" s="47">
        <v>0</v>
      </c>
      <c r="I35" s="47">
        <v>0</v>
      </c>
      <c r="J35" s="24">
        <v>2598.9086589960598</v>
      </c>
      <c r="K35" s="24">
        <v>3553.7256517561491</v>
      </c>
      <c r="L35" s="24">
        <v>4221.979663214519</v>
      </c>
    </row>
    <row r="36" spans="2:12">
      <c r="B36" t="s">
        <v>181</v>
      </c>
      <c r="C36" t="s">
        <v>77</v>
      </c>
      <c r="D36" s="12">
        <v>0</v>
      </c>
      <c r="E36" s="12">
        <v>0</v>
      </c>
      <c r="F36" s="12">
        <v>0</v>
      </c>
      <c r="G36" s="47">
        <v>0</v>
      </c>
      <c r="H36" s="47">
        <v>0</v>
      </c>
      <c r="I36" s="47">
        <v>0</v>
      </c>
      <c r="J36" s="24">
        <v>0</v>
      </c>
      <c r="K36" s="24">
        <v>0</v>
      </c>
      <c r="L36" s="24">
        <v>0</v>
      </c>
    </row>
    <row r="37" spans="2:12">
      <c r="B37" t="s">
        <v>181</v>
      </c>
      <c r="C37" t="s">
        <v>78</v>
      </c>
      <c r="D37" s="12">
        <v>0</v>
      </c>
      <c r="E37" s="12">
        <v>0</v>
      </c>
      <c r="F37" s="12">
        <v>0</v>
      </c>
      <c r="G37" s="47">
        <v>0</v>
      </c>
      <c r="H37" s="47">
        <v>0</v>
      </c>
      <c r="I37" s="47">
        <v>0</v>
      </c>
      <c r="J37" s="24">
        <v>0</v>
      </c>
      <c r="K37" s="24">
        <v>0</v>
      </c>
      <c r="L37" s="24">
        <v>0</v>
      </c>
    </row>
    <row r="38" spans="2:12">
      <c r="B38" t="s">
        <v>181</v>
      </c>
      <c r="C38" t="s">
        <v>79</v>
      </c>
      <c r="D38" s="12">
        <v>0</v>
      </c>
      <c r="E38" s="12">
        <v>0</v>
      </c>
      <c r="F38" s="12">
        <v>0</v>
      </c>
      <c r="G38" s="47">
        <v>0</v>
      </c>
      <c r="H38" s="47">
        <v>0</v>
      </c>
      <c r="I38" s="47">
        <v>0</v>
      </c>
      <c r="J38" s="24">
        <v>186.9509848870062</v>
      </c>
      <c r="K38" s="24">
        <v>466.2432874533535</v>
      </c>
      <c r="L38" s="24">
        <v>619.19912543834118</v>
      </c>
    </row>
    <row r="39" spans="2:12">
      <c r="B39" t="s">
        <v>181</v>
      </c>
      <c r="C39" t="s">
        <v>80</v>
      </c>
      <c r="D39" s="12">
        <v>0</v>
      </c>
      <c r="E39" s="12">
        <v>0</v>
      </c>
      <c r="F39" s="12">
        <v>0</v>
      </c>
      <c r="G39" s="47">
        <v>0</v>
      </c>
      <c r="H39" s="47">
        <v>0</v>
      </c>
      <c r="I39" s="47">
        <v>0</v>
      </c>
      <c r="J39" s="24">
        <v>0</v>
      </c>
      <c r="K39" s="24">
        <v>0</v>
      </c>
      <c r="L39" s="24">
        <v>0</v>
      </c>
    </row>
    <row r="40" spans="2:12">
      <c r="B40" t="s">
        <v>182</v>
      </c>
      <c r="C40" t="s">
        <v>81</v>
      </c>
      <c r="D40" s="12">
        <v>0</v>
      </c>
      <c r="E40" s="12">
        <v>0</v>
      </c>
      <c r="F40" s="12">
        <v>0</v>
      </c>
      <c r="G40" s="47">
        <v>0</v>
      </c>
      <c r="H40" s="47">
        <v>0</v>
      </c>
      <c r="I40" s="47">
        <v>0</v>
      </c>
      <c r="J40" s="24">
        <v>293.74958490985597</v>
      </c>
      <c r="K40" s="24">
        <v>826.92333955959725</v>
      </c>
      <c r="L40" s="24">
        <v>1882.7192949231671</v>
      </c>
    </row>
    <row r="41" spans="2:12">
      <c r="B41" t="s">
        <v>179</v>
      </c>
      <c r="C41" t="s">
        <v>82</v>
      </c>
      <c r="D41" s="12">
        <v>0</v>
      </c>
      <c r="E41" s="12">
        <v>0</v>
      </c>
      <c r="F41" s="12">
        <v>0</v>
      </c>
      <c r="G41" s="47">
        <v>0</v>
      </c>
      <c r="H41" s="47">
        <v>0</v>
      </c>
      <c r="I41" s="47">
        <v>0</v>
      </c>
      <c r="J41" s="24">
        <v>14.925285912831979</v>
      </c>
      <c r="K41" s="24">
        <v>19.502413563084204</v>
      </c>
      <c r="L41" s="24">
        <v>22.434510291736629</v>
      </c>
    </row>
    <row r="42" spans="2:12">
      <c r="B42" t="s">
        <v>179</v>
      </c>
      <c r="C42" t="s">
        <v>83</v>
      </c>
      <c r="D42" s="12">
        <v>0</v>
      </c>
      <c r="E42" s="12">
        <v>0</v>
      </c>
      <c r="F42" s="12">
        <v>0</v>
      </c>
      <c r="G42" s="47">
        <v>0</v>
      </c>
      <c r="H42" s="47">
        <v>0</v>
      </c>
      <c r="I42" s="47">
        <v>0</v>
      </c>
      <c r="J42" s="24">
        <v>1001.2724366293022</v>
      </c>
      <c r="K42" s="24">
        <v>2434.4312743582764</v>
      </c>
      <c r="L42" s="24">
        <v>2936.6589167032125</v>
      </c>
    </row>
    <row r="43" spans="2:12">
      <c r="B43" t="s">
        <v>179</v>
      </c>
      <c r="C43" t="s">
        <v>84</v>
      </c>
      <c r="D43" s="12">
        <v>0</v>
      </c>
      <c r="E43" s="12">
        <v>0</v>
      </c>
      <c r="F43" s="12">
        <v>0</v>
      </c>
      <c r="G43" s="47">
        <v>0</v>
      </c>
      <c r="H43" s="47">
        <v>0</v>
      </c>
      <c r="I43" s="47">
        <v>0</v>
      </c>
      <c r="J43" s="24">
        <v>133.61684531487677</v>
      </c>
      <c r="K43" s="24">
        <v>203.07275075211487</v>
      </c>
      <c r="L43" s="24">
        <v>233.60378970443222</v>
      </c>
    </row>
    <row r="44" spans="2:12">
      <c r="B44" t="s">
        <v>181</v>
      </c>
      <c r="C44" t="s">
        <v>85</v>
      </c>
      <c r="D44" s="12">
        <v>2605</v>
      </c>
      <c r="E44" s="12">
        <v>10272.7755</v>
      </c>
      <c r="F44" s="12">
        <v>17940</v>
      </c>
      <c r="G44" s="47">
        <v>2605</v>
      </c>
      <c r="H44" s="47">
        <v>10272.7755</v>
      </c>
      <c r="I44" s="47">
        <v>17940</v>
      </c>
      <c r="J44" s="24">
        <v>13916.758074793524</v>
      </c>
      <c r="K44" s="24">
        <v>33513.106769745798</v>
      </c>
      <c r="L44" s="24">
        <v>59898.012564110955</v>
      </c>
    </row>
    <row r="45" spans="2:12">
      <c r="B45" t="s">
        <v>182</v>
      </c>
      <c r="C45" t="s">
        <v>86</v>
      </c>
      <c r="D45" s="12">
        <v>0</v>
      </c>
      <c r="E45" s="12">
        <v>0</v>
      </c>
      <c r="F45" s="12">
        <v>0</v>
      </c>
      <c r="G45" s="47">
        <v>0</v>
      </c>
      <c r="H45" s="47">
        <v>0</v>
      </c>
      <c r="I45" s="47">
        <v>0</v>
      </c>
      <c r="J45" s="24">
        <v>405.40542647779665</v>
      </c>
      <c r="K45" s="24">
        <v>1396.0317186335606</v>
      </c>
      <c r="L45" s="24">
        <v>1931.9941512599701</v>
      </c>
    </row>
    <row r="46" spans="2:12">
      <c r="B46" t="s">
        <v>182</v>
      </c>
      <c r="C46" t="s">
        <v>87</v>
      </c>
      <c r="D46" s="12">
        <v>0</v>
      </c>
      <c r="E46" s="12">
        <v>0</v>
      </c>
      <c r="F46" s="12">
        <v>0</v>
      </c>
      <c r="G46" s="47">
        <v>0</v>
      </c>
      <c r="H46" s="47">
        <v>0</v>
      </c>
      <c r="I46" s="47">
        <v>0</v>
      </c>
      <c r="J46" s="24">
        <v>0</v>
      </c>
      <c r="K46" s="24">
        <v>0</v>
      </c>
      <c r="L46" s="24">
        <v>0</v>
      </c>
    </row>
    <row r="47" spans="2:12">
      <c r="B47" t="s">
        <v>182</v>
      </c>
      <c r="C47" t="s">
        <v>88</v>
      </c>
      <c r="D47" s="12">
        <v>0</v>
      </c>
      <c r="E47" s="12">
        <v>0</v>
      </c>
      <c r="F47" s="12">
        <v>0</v>
      </c>
      <c r="G47" s="47">
        <v>0</v>
      </c>
      <c r="H47" s="47">
        <v>0</v>
      </c>
      <c r="I47" s="47">
        <v>0</v>
      </c>
      <c r="J47" s="24">
        <v>2271.309889369194</v>
      </c>
      <c r="K47" s="24">
        <v>11485.533685121565</v>
      </c>
      <c r="L47" s="24">
        <v>14525.733803917552</v>
      </c>
    </row>
    <row r="48" spans="2:12">
      <c r="B48" t="s">
        <v>181</v>
      </c>
      <c r="C48" t="s">
        <v>89</v>
      </c>
      <c r="D48" s="12">
        <v>0</v>
      </c>
      <c r="E48" s="12">
        <v>0</v>
      </c>
      <c r="F48" s="12">
        <v>0</v>
      </c>
      <c r="G48" s="47">
        <v>0</v>
      </c>
      <c r="H48" s="47">
        <v>0</v>
      </c>
      <c r="I48" s="47">
        <v>0</v>
      </c>
      <c r="J48" s="24">
        <v>8981.250023436598</v>
      </c>
      <c r="K48" s="24">
        <v>24961.577753987884</v>
      </c>
      <c r="L48" s="24">
        <v>44735.496964468577</v>
      </c>
    </row>
    <row r="49" spans="2:12">
      <c r="B49" t="s">
        <v>179</v>
      </c>
      <c r="C49" t="s">
        <v>90</v>
      </c>
      <c r="D49" s="12">
        <v>0</v>
      </c>
      <c r="E49" s="12">
        <v>0</v>
      </c>
      <c r="F49" s="12">
        <v>0</v>
      </c>
      <c r="G49" s="47">
        <v>0</v>
      </c>
      <c r="H49" s="47">
        <v>0</v>
      </c>
      <c r="I49" s="47">
        <v>0</v>
      </c>
      <c r="J49" s="24">
        <v>7048.8856750105579</v>
      </c>
      <c r="K49" s="24">
        <v>11059.021759888019</v>
      </c>
      <c r="L49" s="24">
        <v>13340.518257082829</v>
      </c>
    </row>
    <row r="50" spans="2:12">
      <c r="B50" t="s">
        <v>180</v>
      </c>
      <c r="C50" t="s">
        <v>91</v>
      </c>
      <c r="D50" s="12">
        <v>0</v>
      </c>
      <c r="E50" s="12">
        <v>0</v>
      </c>
      <c r="F50" s="12">
        <v>0</v>
      </c>
      <c r="G50" s="47">
        <v>0</v>
      </c>
      <c r="H50" s="47">
        <v>0</v>
      </c>
      <c r="I50" s="47">
        <v>0</v>
      </c>
      <c r="J50" s="24">
        <v>3637.8959463701531</v>
      </c>
      <c r="K50" s="24">
        <v>7410.7330432958852</v>
      </c>
      <c r="L50" s="24">
        <v>9985.4728552510624</v>
      </c>
    </row>
    <row r="51" spans="2:12">
      <c r="B51" t="s">
        <v>180</v>
      </c>
      <c r="C51" t="s">
        <v>92</v>
      </c>
      <c r="D51" s="12">
        <v>0</v>
      </c>
      <c r="E51" s="12">
        <v>0</v>
      </c>
      <c r="F51" s="12">
        <v>0</v>
      </c>
      <c r="G51" s="47">
        <v>0</v>
      </c>
      <c r="H51" s="47">
        <v>0</v>
      </c>
      <c r="I51" s="47">
        <v>0</v>
      </c>
      <c r="J51" s="24">
        <v>341.2022681680948</v>
      </c>
      <c r="K51" s="24">
        <v>466.67634705111578</v>
      </c>
      <c r="L51" s="24">
        <v>562.95253442445278</v>
      </c>
    </row>
    <row r="52" spans="2:12">
      <c r="B52" t="s">
        <v>182</v>
      </c>
      <c r="C52" t="s">
        <v>93</v>
      </c>
      <c r="D52" s="12">
        <v>34.628019514468782</v>
      </c>
      <c r="E52" s="12">
        <v>103.88405854340634</v>
      </c>
      <c r="F52" s="12">
        <v>207.76811708681271</v>
      </c>
      <c r="G52" s="47">
        <v>34.628019514468782</v>
      </c>
      <c r="H52" s="47">
        <v>103.88405854340634</v>
      </c>
      <c r="I52" s="47">
        <v>207.76811708681271</v>
      </c>
      <c r="J52" s="24">
        <v>519.75054676640593</v>
      </c>
      <c r="K52" s="24">
        <v>1269.1197442123278</v>
      </c>
      <c r="L52" s="24">
        <v>2146.6601680666331</v>
      </c>
    </row>
    <row r="53" spans="2:12">
      <c r="B53" t="s">
        <v>182</v>
      </c>
      <c r="C53" t="s">
        <v>94</v>
      </c>
      <c r="D53" s="12">
        <v>33.388621852888015</v>
      </c>
      <c r="E53" s="12">
        <v>100.16586555866404</v>
      </c>
      <c r="F53" s="12">
        <v>200.33173111732808</v>
      </c>
      <c r="G53" s="47">
        <v>33.388621852888015</v>
      </c>
      <c r="H53" s="47">
        <v>100.16586555866404</v>
      </c>
      <c r="I53" s="47">
        <v>200.33173111732808</v>
      </c>
      <c r="J53" s="24">
        <v>1039.5010935328119</v>
      </c>
      <c r="K53" s="24">
        <v>2538.2394884246555</v>
      </c>
      <c r="L53" s="24">
        <v>4293.3203361332662</v>
      </c>
    </row>
    <row r="54" spans="2:12">
      <c r="B54" t="s">
        <v>182</v>
      </c>
      <c r="C54" t="s">
        <v>95</v>
      </c>
      <c r="D54" s="12">
        <v>485.16922345340447</v>
      </c>
      <c r="E54" s="12">
        <v>1455.5076703602133</v>
      </c>
      <c r="F54" s="12">
        <v>2911.015340720427</v>
      </c>
      <c r="G54" s="47">
        <v>485.16922345340447</v>
      </c>
      <c r="H54" s="47">
        <v>1455.5076703602133</v>
      </c>
      <c r="I54" s="47">
        <v>2911.015340720427</v>
      </c>
      <c r="J54" s="24">
        <v>5093.5553583107785</v>
      </c>
      <c r="K54" s="24">
        <v>14753.517026468311</v>
      </c>
      <c r="L54" s="24">
        <v>20500.604605036351</v>
      </c>
    </row>
    <row r="55" spans="2:12">
      <c r="B55" t="s">
        <v>182</v>
      </c>
      <c r="C55" t="s">
        <v>96</v>
      </c>
      <c r="D55" s="12">
        <v>211.61889444795221</v>
      </c>
      <c r="E55" s="12">
        <v>634.85668334385662</v>
      </c>
      <c r="F55" s="12">
        <v>1269.7133666877135</v>
      </c>
      <c r="G55" s="47">
        <v>211.61889444795221</v>
      </c>
      <c r="H55" s="47">
        <v>634.85668334385662</v>
      </c>
      <c r="I55" s="47">
        <v>1269.7133666877135</v>
      </c>
      <c r="J55" s="24">
        <v>2182.952296418905</v>
      </c>
      <c r="K55" s="24">
        <v>6091.7747722191725</v>
      </c>
      <c r="L55" s="24">
        <v>8479.307663863201</v>
      </c>
    </row>
    <row r="56" spans="2:12">
      <c r="B56" t="s">
        <v>180</v>
      </c>
      <c r="C56" t="s">
        <v>97</v>
      </c>
      <c r="D56" s="12">
        <v>0</v>
      </c>
      <c r="E56" s="12">
        <v>0</v>
      </c>
      <c r="F56" s="12">
        <v>0</v>
      </c>
      <c r="G56" s="47">
        <v>0</v>
      </c>
      <c r="H56" s="47">
        <v>0</v>
      </c>
      <c r="I56" s="47">
        <v>0</v>
      </c>
      <c r="J56" s="24">
        <v>1072.6167429503748</v>
      </c>
      <c r="K56" s="24">
        <v>2935.6724552201076</v>
      </c>
      <c r="L56" s="24">
        <v>4484.9902624403412</v>
      </c>
    </row>
    <row r="57" spans="2:12">
      <c r="B57" t="s">
        <v>181</v>
      </c>
      <c r="C57" t="s">
        <v>98</v>
      </c>
      <c r="D57" s="12">
        <v>131</v>
      </c>
      <c r="E57" s="12">
        <v>257</v>
      </c>
      <c r="F57" s="12">
        <v>385</v>
      </c>
      <c r="G57" s="47">
        <v>131</v>
      </c>
      <c r="H57" s="47">
        <v>257</v>
      </c>
      <c r="I57" s="47">
        <v>385</v>
      </c>
      <c r="J57" s="24">
        <v>408.23863742893622</v>
      </c>
      <c r="K57" s="24">
        <v>1248.0788876993943</v>
      </c>
      <c r="L57" s="24">
        <v>2329.9738002327381</v>
      </c>
    </row>
    <row r="58" spans="2:12">
      <c r="B58" t="s">
        <v>181</v>
      </c>
      <c r="C58" t="s">
        <v>100</v>
      </c>
      <c r="D58" s="12">
        <v>0</v>
      </c>
      <c r="E58" s="12">
        <v>0</v>
      </c>
      <c r="F58" s="12">
        <v>0</v>
      </c>
      <c r="G58" s="47">
        <v>0</v>
      </c>
      <c r="H58" s="47">
        <v>0</v>
      </c>
      <c r="I58" s="47">
        <v>0</v>
      </c>
      <c r="J58" s="24">
        <v>271.70812182202735</v>
      </c>
      <c r="K58" s="24">
        <v>236.17492798003923</v>
      </c>
      <c r="L58" s="24">
        <v>286.58677742862682</v>
      </c>
    </row>
    <row r="59" spans="2:12">
      <c r="B59" t="s">
        <v>181</v>
      </c>
      <c r="C59" t="s">
        <v>99</v>
      </c>
      <c r="D59" s="12">
        <v>23375.53</v>
      </c>
      <c r="E59" s="12">
        <v>37187.870000000003</v>
      </c>
      <c r="F59" s="12">
        <v>54189.15</v>
      </c>
      <c r="G59" s="47">
        <v>23375.53</v>
      </c>
      <c r="H59" s="47">
        <v>37187.870000000003</v>
      </c>
      <c r="I59" s="47">
        <v>54189.15</v>
      </c>
      <c r="J59" s="24">
        <v>23375.53</v>
      </c>
      <c r="K59" s="24">
        <v>37187.870000000003</v>
      </c>
      <c r="L59" s="24">
        <v>54189.15</v>
      </c>
    </row>
    <row r="60" spans="2:12">
      <c r="D60" s="17">
        <f t="shared" ref="D60:L60" si="0">SUM(D5:D59)</f>
        <v>89267.675760503349</v>
      </c>
      <c r="E60" s="17">
        <f t="shared" si="0"/>
        <v>225654.85289363423</v>
      </c>
      <c r="F60" s="17">
        <f t="shared" si="0"/>
        <v>326743.46434068994</v>
      </c>
      <c r="G60" s="48">
        <f t="shared" si="0"/>
        <v>89267.675760503349</v>
      </c>
      <c r="H60" s="48">
        <f t="shared" si="0"/>
        <v>225654.85289363423</v>
      </c>
      <c r="I60" s="48">
        <f t="shared" si="0"/>
        <v>326743.46434068994</v>
      </c>
      <c r="J60" s="27">
        <f t="shared" si="0"/>
        <v>325832.60499898496</v>
      </c>
      <c r="K60" s="27">
        <f t="shared" si="0"/>
        <v>707612.83904666337</v>
      </c>
      <c r="L60" s="27">
        <f t="shared" si="0"/>
        <v>1296573.9411298686</v>
      </c>
    </row>
  </sheetData>
  <mergeCells count="4">
    <mergeCell ref="D3:F3"/>
    <mergeCell ref="G3:I3"/>
    <mergeCell ref="J3:L3"/>
    <mergeCell ref="N22:Q22"/>
  </mergeCells>
  <pageMargins left="0.7" right="0.7" top="0.75" bottom="0.75" header="0.3" footer="0.3"/>
  <headerFooter>
    <oddFooter>&amp;C_x000D_&amp;1#&amp;"Calibri"&amp;10&amp;K000000 ISC - Uso INTERNO / INTERNAL Use</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4A633-DD04-41D0-AFB5-E128091F2DEB}">
  <sheetPr>
    <tabColor theme="7"/>
  </sheetPr>
  <dimension ref="B1:Q61"/>
  <sheetViews>
    <sheetView workbookViewId="0">
      <selection activeCell="N31" sqref="N31"/>
    </sheetView>
  </sheetViews>
  <sheetFormatPr defaultColWidth="11.42578125" defaultRowHeight="15"/>
  <cols>
    <col min="1" max="1" width="3" customWidth="1"/>
    <col min="4" max="5" width="8.5703125" bestFit="1" customWidth="1"/>
    <col min="6" max="6" width="9" bestFit="1" customWidth="1"/>
    <col min="7" max="10" width="8.5703125" bestFit="1" customWidth="1"/>
    <col min="11" max="11" width="9" bestFit="1" customWidth="1"/>
    <col min="12" max="12" width="10.5703125" bestFit="1" customWidth="1"/>
  </cols>
  <sheetData>
    <row r="1" spans="2:12" ht="23.25">
      <c r="B1" s="438" t="s">
        <v>9</v>
      </c>
    </row>
    <row r="3" spans="2:12">
      <c r="B3" t="s">
        <v>175</v>
      </c>
      <c r="C3" t="s">
        <v>176</v>
      </c>
      <c r="D3" s="479" t="s">
        <v>41</v>
      </c>
      <c r="E3" s="479"/>
      <c r="F3" s="479"/>
      <c r="G3" s="480" t="s">
        <v>177</v>
      </c>
      <c r="H3" s="480"/>
      <c r="I3" s="480"/>
      <c r="J3" s="481" t="s">
        <v>43</v>
      </c>
      <c r="K3" s="481"/>
      <c r="L3" s="481"/>
    </row>
    <row r="4" spans="2:12">
      <c r="B4" t="s">
        <v>178</v>
      </c>
      <c r="C4" t="s">
        <v>45</v>
      </c>
      <c r="D4" s="54">
        <v>2030</v>
      </c>
      <c r="E4" s="54">
        <v>2040</v>
      </c>
      <c r="F4" s="54">
        <v>2050</v>
      </c>
      <c r="G4" s="55">
        <v>2030</v>
      </c>
      <c r="H4" s="55">
        <v>2040</v>
      </c>
      <c r="I4" s="55">
        <v>2050</v>
      </c>
      <c r="J4" s="56">
        <v>2030</v>
      </c>
      <c r="K4" s="56">
        <v>2040</v>
      </c>
      <c r="L4" s="56">
        <v>2050</v>
      </c>
    </row>
    <row r="5" spans="2:12">
      <c r="B5" t="s">
        <v>179</v>
      </c>
      <c r="C5" t="s">
        <v>46</v>
      </c>
      <c r="D5" s="57">
        <v>0</v>
      </c>
      <c r="E5" s="57">
        <v>0</v>
      </c>
      <c r="F5" s="57">
        <v>0</v>
      </c>
      <c r="G5" s="58">
        <v>0</v>
      </c>
      <c r="H5" s="58">
        <v>0</v>
      </c>
      <c r="I5" s="58">
        <v>0</v>
      </c>
      <c r="J5" s="59">
        <v>546.75002116576729</v>
      </c>
      <c r="K5" s="59">
        <v>1153.0502328920231</v>
      </c>
      <c r="L5" s="59">
        <v>1228.9290024041645</v>
      </c>
    </row>
    <row r="6" spans="2:12">
      <c r="B6" t="s">
        <v>180</v>
      </c>
      <c r="C6" t="s">
        <v>47</v>
      </c>
      <c r="D6" s="57">
        <v>21.999009576006642</v>
      </c>
      <c r="E6" s="57">
        <v>21.999009576006642</v>
      </c>
      <c r="F6" s="57">
        <v>21.999009576006642</v>
      </c>
      <c r="G6" s="58">
        <v>21.999009576006642</v>
      </c>
      <c r="H6" s="58">
        <v>21.999009576006642</v>
      </c>
      <c r="I6" s="58">
        <v>21.999009576006642</v>
      </c>
      <c r="J6" s="59">
        <v>3886.5468537240413</v>
      </c>
      <c r="K6" s="59">
        <v>16440.335288955597</v>
      </c>
      <c r="L6" s="59">
        <v>119173.92435399782</v>
      </c>
    </row>
    <row r="7" spans="2:12">
      <c r="B7" t="s">
        <v>179</v>
      </c>
      <c r="C7" t="s">
        <v>48</v>
      </c>
      <c r="D7" s="57">
        <v>0</v>
      </c>
      <c r="E7" s="57">
        <v>0</v>
      </c>
      <c r="F7" s="57">
        <v>0</v>
      </c>
      <c r="G7" s="58">
        <v>0</v>
      </c>
      <c r="H7" s="58">
        <v>0</v>
      </c>
      <c r="I7" s="58">
        <v>0</v>
      </c>
      <c r="J7" s="59">
        <v>219.81883947880206</v>
      </c>
      <c r="K7" s="59">
        <v>408.48760853105728</v>
      </c>
      <c r="L7" s="59">
        <v>584.15452064505905</v>
      </c>
    </row>
    <row r="8" spans="2:12">
      <c r="B8" t="s">
        <v>181</v>
      </c>
      <c r="C8" t="s">
        <v>49</v>
      </c>
      <c r="D8" s="57">
        <v>1190</v>
      </c>
      <c r="E8" s="57">
        <v>4785</v>
      </c>
      <c r="F8" s="57">
        <v>9246</v>
      </c>
      <c r="G8" s="58">
        <v>1190</v>
      </c>
      <c r="H8" s="58">
        <v>4785</v>
      </c>
      <c r="I8" s="58">
        <v>9246</v>
      </c>
      <c r="J8" s="59">
        <v>3324.6738683369954</v>
      </c>
      <c r="K8" s="59">
        <v>14700.501142994588</v>
      </c>
      <c r="L8" s="59">
        <v>34063.623439480252</v>
      </c>
    </row>
    <row r="9" spans="2:12">
      <c r="B9" t="s">
        <v>179</v>
      </c>
      <c r="C9" t="s">
        <v>50</v>
      </c>
      <c r="D9" s="57">
        <v>6000</v>
      </c>
      <c r="E9" s="57">
        <v>6000</v>
      </c>
      <c r="F9" s="57">
        <v>6000</v>
      </c>
      <c r="G9" s="58">
        <v>6000</v>
      </c>
      <c r="H9" s="58">
        <v>6000</v>
      </c>
      <c r="I9" s="58">
        <v>6000</v>
      </c>
      <c r="J9" s="59">
        <v>6014.2502328234405</v>
      </c>
      <c r="K9" s="59">
        <v>6918.3013973521383</v>
      </c>
      <c r="L9" s="59">
        <v>8602.5030168291523</v>
      </c>
    </row>
    <row r="10" spans="2:12">
      <c r="B10" t="s">
        <v>180</v>
      </c>
      <c r="C10" t="s">
        <v>51</v>
      </c>
      <c r="D10" s="57">
        <v>610.64178571428567</v>
      </c>
      <c r="E10" s="57">
        <v>2777.4381894002745</v>
      </c>
      <c r="F10" s="57">
        <v>5049.6455770431785</v>
      </c>
      <c r="G10" s="58">
        <v>610.64178571428567</v>
      </c>
      <c r="H10" s="58">
        <v>2777.4381894002745</v>
      </c>
      <c r="I10" s="58">
        <v>5049.6455770431785</v>
      </c>
      <c r="J10" s="59">
        <v>1163.016311383755</v>
      </c>
      <c r="K10" s="59">
        <v>7505.5918707478077</v>
      </c>
      <c r="L10" s="59">
        <v>15556.541229127701</v>
      </c>
    </row>
    <row r="11" spans="2:12">
      <c r="B11" t="s">
        <v>179</v>
      </c>
      <c r="C11" t="s">
        <v>52</v>
      </c>
      <c r="D11" s="57">
        <v>0</v>
      </c>
      <c r="E11" s="57">
        <v>2620</v>
      </c>
      <c r="F11" s="57">
        <v>3332</v>
      </c>
      <c r="G11" s="58">
        <v>0</v>
      </c>
      <c r="H11" s="58">
        <v>2620</v>
      </c>
      <c r="I11" s="58">
        <v>3332</v>
      </c>
      <c r="J11" s="59">
        <v>1170.0450452947418</v>
      </c>
      <c r="K11" s="59">
        <v>2620</v>
      </c>
      <c r="L11" s="59">
        <v>3332</v>
      </c>
    </row>
    <row r="12" spans="2:12">
      <c r="B12" t="s">
        <v>181</v>
      </c>
      <c r="C12" t="s">
        <v>53</v>
      </c>
      <c r="D12" s="57">
        <v>842</v>
      </c>
      <c r="E12" s="57">
        <v>3415.3</v>
      </c>
      <c r="F12" s="57">
        <v>4142.5227129337545</v>
      </c>
      <c r="G12" s="58">
        <v>842</v>
      </c>
      <c r="H12" s="58">
        <v>3415.3</v>
      </c>
      <c r="I12" s="58">
        <v>4142.5227129337545</v>
      </c>
      <c r="J12" s="59">
        <v>1655.1060123251621</v>
      </c>
      <c r="K12" s="59">
        <v>5860.8133297242621</v>
      </c>
      <c r="L12" s="59">
        <v>9288.6054696254159</v>
      </c>
    </row>
    <row r="13" spans="2:12">
      <c r="B13" t="s">
        <v>181</v>
      </c>
      <c r="C13" t="s">
        <v>54</v>
      </c>
      <c r="D13" s="57">
        <v>45276.160000000003</v>
      </c>
      <c r="E13" s="57">
        <v>219624.06</v>
      </c>
      <c r="F13" s="57">
        <v>344368.9</v>
      </c>
      <c r="G13" s="58">
        <v>45276.160000000003</v>
      </c>
      <c r="H13" s="58">
        <v>219624.06</v>
      </c>
      <c r="I13" s="58">
        <v>344368.9</v>
      </c>
      <c r="J13" s="59">
        <v>51887.85374312265</v>
      </c>
      <c r="K13" s="59">
        <v>227068.46870195243</v>
      </c>
      <c r="L13" s="59">
        <v>369792.50565203931</v>
      </c>
    </row>
    <row r="14" spans="2:12">
      <c r="B14" t="s">
        <v>181</v>
      </c>
      <c r="C14" t="s">
        <v>55</v>
      </c>
      <c r="D14" s="57">
        <v>0</v>
      </c>
      <c r="E14" s="57">
        <v>0</v>
      </c>
      <c r="F14" s="57">
        <v>0</v>
      </c>
      <c r="G14" s="58">
        <v>0</v>
      </c>
      <c r="H14" s="58">
        <v>0</v>
      </c>
      <c r="I14" s="58">
        <v>0</v>
      </c>
      <c r="J14" s="59">
        <v>0</v>
      </c>
      <c r="K14" s="59">
        <v>0</v>
      </c>
      <c r="L14" s="59">
        <v>0</v>
      </c>
    </row>
    <row r="15" spans="2:12">
      <c r="B15" t="s">
        <v>182</v>
      </c>
      <c r="C15" t="s">
        <v>56</v>
      </c>
      <c r="D15" s="57">
        <v>0</v>
      </c>
      <c r="E15" s="57">
        <v>0</v>
      </c>
      <c r="F15" s="57">
        <v>0</v>
      </c>
      <c r="G15" s="58">
        <v>0</v>
      </c>
      <c r="H15" s="58">
        <v>0</v>
      </c>
      <c r="I15" s="58">
        <v>0</v>
      </c>
      <c r="J15" s="59">
        <v>452.67452029877364</v>
      </c>
      <c r="K15" s="59">
        <v>533.40052684359944</v>
      </c>
      <c r="L15" s="59">
        <v>827.36768824801186</v>
      </c>
    </row>
    <row r="16" spans="2:12">
      <c r="B16" t="s">
        <v>182</v>
      </c>
      <c r="C16" t="s">
        <v>57</v>
      </c>
      <c r="D16" s="57">
        <v>0</v>
      </c>
      <c r="E16" s="57">
        <v>0</v>
      </c>
      <c r="F16" s="57">
        <v>0</v>
      </c>
      <c r="G16" s="58">
        <v>0</v>
      </c>
      <c r="H16" s="58">
        <v>0</v>
      </c>
      <c r="I16" s="58">
        <v>0</v>
      </c>
      <c r="J16" s="59">
        <v>0</v>
      </c>
      <c r="K16" s="59">
        <v>0</v>
      </c>
      <c r="L16" s="59">
        <v>0</v>
      </c>
    </row>
    <row r="17" spans="2:17">
      <c r="B17" t="s">
        <v>182</v>
      </c>
      <c r="C17" t="s">
        <v>58</v>
      </c>
      <c r="D17" s="57">
        <v>2000</v>
      </c>
      <c r="E17" s="57">
        <v>2000</v>
      </c>
      <c r="F17" s="57">
        <v>2000</v>
      </c>
      <c r="G17" s="58">
        <v>2000</v>
      </c>
      <c r="H17" s="58">
        <v>2000</v>
      </c>
      <c r="I17" s="58">
        <v>2000</v>
      </c>
      <c r="J17" s="59">
        <v>2000</v>
      </c>
      <c r="K17" s="59">
        <v>2000</v>
      </c>
      <c r="L17" s="59">
        <v>2735.2035667381369</v>
      </c>
    </row>
    <row r="18" spans="2:17">
      <c r="B18" t="s">
        <v>182</v>
      </c>
      <c r="C18" t="s">
        <v>59</v>
      </c>
      <c r="D18" s="57">
        <v>0</v>
      </c>
      <c r="E18" s="57">
        <v>0</v>
      </c>
      <c r="F18" s="57">
        <v>0</v>
      </c>
      <c r="G18" s="58">
        <v>0</v>
      </c>
      <c r="H18" s="58">
        <v>0</v>
      </c>
      <c r="I18" s="58">
        <v>0</v>
      </c>
      <c r="J18" s="59">
        <v>109.85260545223449</v>
      </c>
      <c r="K18" s="59">
        <v>338.80327874695081</v>
      </c>
      <c r="L18" s="59">
        <v>553.99188241913589</v>
      </c>
    </row>
    <row r="19" spans="2:17">
      <c r="B19" t="s">
        <v>179</v>
      </c>
      <c r="C19" t="s">
        <v>60</v>
      </c>
      <c r="D19" s="57">
        <v>21400.000000000011</v>
      </c>
      <c r="E19" s="57">
        <v>28250.000000000015</v>
      </c>
      <c r="F19" s="57">
        <v>34999.999999999985</v>
      </c>
      <c r="G19" s="58">
        <v>21400.000000000011</v>
      </c>
      <c r="H19" s="58">
        <v>28250.000000000015</v>
      </c>
      <c r="I19" s="58">
        <v>34999.999999999985</v>
      </c>
      <c r="J19" s="59">
        <v>98964.180728825697</v>
      </c>
      <c r="K19" s="59">
        <v>173223.11011802178</v>
      </c>
      <c r="L19" s="59">
        <v>234916.13580792942</v>
      </c>
    </row>
    <row r="20" spans="2:17">
      <c r="B20" t="s">
        <v>182</v>
      </c>
      <c r="C20" t="s">
        <v>61</v>
      </c>
      <c r="D20" s="57">
        <v>2000</v>
      </c>
      <c r="E20" s="57">
        <v>6000</v>
      </c>
      <c r="F20" s="57">
        <v>12000</v>
      </c>
      <c r="G20" s="58">
        <v>2000</v>
      </c>
      <c r="H20" s="58">
        <v>6000</v>
      </c>
      <c r="I20" s="58">
        <v>12000</v>
      </c>
      <c r="J20" s="59">
        <v>2868.3627152178451</v>
      </c>
      <c r="K20" s="59">
        <v>8395.3509350790719</v>
      </c>
      <c r="L20" s="59">
        <v>18071.504018714666</v>
      </c>
    </row>
    <row r="21" spans="2:17">
      <c r="B21" t="s">
        <v>180</v>
      </c>
      <c r="C21" t="s">
        <v>62</v>
      </c>
      <c r="D21" s="57">
        <v>940.00000000000102</v>
      </c>
      <c r="E21" s="57">
        <v>20613.999999999996</v>
      </c>
      <c r="F21" s="57">
        <v>43680</v>
      </c>
      <c r="G21" s="58">
        <v>940.00000000000102</v>
      </c>
      <c r="H21" s="58">
        <v>20613.999999999996</v>
      </c>
      <c r="I21" s="58">
        <v>43680</v>
      </c>
      <c r="J21" s="59">
        <v>5000.6843855566858</v>
      </c>
      <c r="K21" s="59">
        <v>35669.645646957011</v>
      </c>
      <c r="L21" s="59">
        <v>87264.911420601013</v>
      </c>
    </row>
    <row r="22" spans="2:17">
      <c r="B22" t="s">
        <v>179</v>
      </c>
      <c r="C22" t="s">
        <v>64</v>
      </c>
      <c r="D22" s="57">
        <v>11100</v>
      </c>
      <c r="E22" s="57">
        <v>22950</v>
      </c>
      <c r="F22" s="57">
        <v>65400</v>
      </c>
      <c r="G22" s="58">
        <v>11100</v>
      </c>
      <c r="H22" s="58">
        <v>22950</v>
      </c>
      <c r="I22" s="58">
        <v>65400</v>
      </c>
      <c r="J22" s="59">
        <v>16402.500634973017</v>
      </c>
      <c r="K22" s="59">
        <v>31132.356288084618</v>
      </c>
      <c r="L22" s="59">
        <v>65400</v>
      </c>
    </row>
    <row r="23" spans="2:17">
      <c r="B23" t="s">
        <v>179</v>
      </c>
      <c r="C23" t="s">
        <v>65</v>
      </c>
      <c r="D23" s="57">
        <v>900</v>
      </c>
      <c r="E23" s="57">
        <v>1350</v>
      </c>
      <c r="F23" s="57">
        <v>1500</v>
      </c>
      <c r="G23" s="58">
        <v>900</v>
      </c>
      <c r="H23" s="58">
        <v>1350</v>
      </c>
      <c r="I23" s="58">
        <v>1500</v>
      </c>
      <c r="J23" s="59">
        <v>2733.7501058288362</v>
      </c>
      <c r="K23" s="59">
        <v>2882.6255822300573</v>
      </c>
      <c r="L23" s="59">
        <v>3072.3225060104114</v>
      </c>
      <c r="N23" s="64" t="s">
        <v>186</v>
      </c>
      <c r="O23" s="65" t="s">
        <v>187</v>
      </c>
      <c r="P23" s="65"/>
      <c r="Q23" s="66"/>
    </row>
    <row r="24" spans="2:17">
      <c r="B24" t="s">
        <v>179</v>
      </c>
      <c r="C24" t="s">
        <v>66</v>
      </c>
      <c r="D24" s="57">
        <v>60</v>
      </c>
      <c r="E24" s="57">
        <v>149.99999999999994</v>
      </c>
      <c r="F24" s="57">
        <v>0</v>
      </c>
      <c r="G24" s="58">
        <v>60</v>
      </c>
      <c r="H24" s="58">
        <v>149.99999999999994</v>
      </c>
      <c r="I24" s="58">
        <v>0</v>
      </c>
      <c r="J24" s="59">
        <v>1818.4905703973418</v>
      </c>
      <c r="K24" s="59">
        <v>2306.1004657840463</v>
      </c>
      <c r="L24" s="59">
        <v>3072.3225060104114</v>
      </c>
      <c r="N24" s="51" t="s">
        <v>178</v>
      </c>
      <c r="O24" s="51">
        <v>2030</v>
      </c>
      <c r="P24" s="51">
        <v>2040</v>
      </c>
      <c r="Q24" s="51">
        <v>2050</v>
      </c>
    </row>
    <row r="25" spans="2:17">
      <c r="B25" t="s">
        <v>180</v>
      </c>
      <c r="C25" t="s">
        <v>67</v>
      </c>
      <c r="D25" s="57">
        <v>1647.34728</v>
      </c>
      <c r="E25" s="57">
        <v>2495.5592799999999</v>
      </c>
      <c r="F25" s="57">
        <v>2775.5592799999999</v>
      </c>
      <c r="G25" s="58">
        <v>1647.34728</v>
      </c>
      <c r="H25" s="58">
        <v>2495.5592799999999</v>
      </c>
      <c r="I25" s="58">
        <v>2775.5592799999999</v>
      </c>
      <c r="J25" s="59">
        <v>1647.34728</v>
      </c>
      <c r="K25" s="59">
        <v>2505.4707807165446</v>
      </c>
      <c r="L25" s="59">
        <v>4600.6952294116145</v>
      </c>
      <c r="N25" s="50" t="s">
        <v>180</v>
      </c>
      <c r="O25" s="52">
        <v>0.23498686619256329</v>
      </c>
      <c r="P25" s="52">
        <v>0.61208989144341341</v>
      </c>
      <c r="Q25" s="52">
        <v>0.83423460613479683</v>
      </c>
    </row>
    <row r="26" spans="2:17">
      <c r="B26" t="s">
        <v>181</v>
      </c>
      <c r="C26" t="s">
        <v>68</v>
      </c>
      <c r="D26" s="57">
        <v>1523</v>
      </c>
      <c r="E26" s="57">
        <v>1523</v>
      </c>
      <c r="F26" s="57">
        <v>1523</v>
      </c>
      <c r="G26" s="58">
        <v>1523</v>
      </c>
      <c r="H26" s="58">
        <v>1523</v>
      </c>
      <c r="I26" s="58">
        <v>1523</v>
      </c>
      <c r="J26" s="59">
        <v>1523</v>
      </c>
      <c r="K26" s="59">
        <v>2424.0757414715017</v>
      </c>
      <c r="L26" s="59">
        <v>2985.9635378174207</v>
      </c>
      <c r="N26" s="50" t="s">
        <v>182</v>
      </c>
      <c r="O26" s="52">
        <v>0.41634669367608473</v>
      </c>
      <c r="P26" s="52">
        <v>0.38833506074839791</v>
      </c>
      <c r="Q26" s="52">
        <v>0.44340652592951757</v>
      </c>
    </row>
    <row r="27" spans="2:17">
      <c r="B27" t="s">
        <v>179</v>
      </c>
      <c r="C27" t="s">
        <v>185</v>
      </c>
      <c r="D27" s="57">
        <v>0</v>
      </c>
      <c r="E27" s="57">
        <v>0</v>
      </c>
      <c r="F27" s="57">
        <v>0</v>
      </c>
      <c r="G27" s="58">
        <v>0</v>
      </c>
      <c r="H27" s="58">
        <v>0</v>
      </c>
      <c r="I27" s="58">
        <v>0</v>
      </c>
      <c r="J27" s="59">
        <v>0</v>
      </c>
      <c r="K27" s="59">
        <v>0</v>
      </c>
      <c r="L27" s="59">
        <v>0</v>
      </c>
      <c r="N27" s="50" t="s">
        <v>181</v>
      </c>
      <c r="O27" s="52">
        <v>0.43973166458332102</v>
      </c>
      <c r="P27" s="52">
        <v>1.1202967757152023</v>
      </c>
      <c r="Q27" s="52">
        <v>1.3865696227701734</v>
      </c>
    </row>
    <row r="28" spans="2:17">
      <c r="B28" t="s">
        <v>179</v>
      </c>
      <c r="C28" t="s">
        <v>69</v>
      </c>
      <c r="D28" s="57">
        <v>5944</v>
      </c>
      <c r="E28" s="57">
        <v>14264</v>
      </c>
      <c r="F28" s="57">
        <v>14264</v>
      </c>
      <c r="G28" s="58">
        <v>5944</v>
      </c>
      <c r="H28" s="58">
        <v>14264</v>
      </c>
      <c r="I28" s="58">
        <v>14264</v>
      </c>
      <c r="J28" s="59">
        <v>5944</v>
      </c>
      <c r="K28" s="59">
        <v>14264</v>
      </c>
      <c r="L28" s="59">
        <v>14264</v>
      </c>
      <c r="N28" s="50" t="s">
        <v>179</v>
      </c>
      <c r="O28" s="52">
        <v>4.3963767895760428</v>
      </c>
      <c r="P28" s="52">
        <v>4.084876085310575</v>
      </c>
      <c r="Q28" s="52">
        <v>3.8943634709670607</v>
      </c>
    </row>
    <row r="29" spans="2:17">
      <c r="B29" t="s">
        <v>179</v>
      </c>
      <c r="C29" t="s">
        <v>70</v>
      </c>
      <c r="D29" s="57">
        <v>1520</v>
      </c>
      <c r="E29" s="57">
        <v>9360</v>
      </c>
      <c r="F29" s="57">
        <v>9360</v>
      </c>
      <c r="G29" s="58">
        <v>1520</v>
      </c>
      <c r="H29" s="58">
        <v>9360</v>
      </c>
      <c r="I29" s="58">
        <v>9360</v>
      </c>
      <c r="J29" s="59">
        <v>8867.5199215832836</v>
      </c>
      <c r="K29" s="59">
        <v>11723.226434869861</v>
      </c>
      <c r="L29" s="59">
        <v>22444.555212271549</v>
      </c>
    </row>
    <row r="30" spans="2:17">
      <c r="B30" t="s">
        <v>179</v>
      </c>
      <c r="C30" t="s">
        <v>71</v>
      </c>
      <c r="D30" s="57">
        <v>8740.4</v>
      </c>
      <c r="E30" s="57">
        <v>29716.400000000001</v>
      </c>
      <c r="F30" s="57">
        <v>29716.400000000001</v>
      </c>
      <c r="G30" s="58">
        <v>8740.4</v>
      </c>
      <c r="H30" s="58">
        <v>29716.400000000001</v>
      </c>
      <c r="I30" s="58">
        <v>29716.400000000001</v>
      </c>
      <c r="J30" s="59">
        <v>17414.469118155372</v>
      </c>
      <c r="K30" s="59">
        <v>29716.400000000001</v>
      </c>
      <c r="L30" s="59">
        <v>46424.86873042259</v>
      </c>
    </row>
    <row r="31" spans="2:17">
      <c r="B31" t="s">
        <v>179</v>
      </c>
      <c r="C31" t="s">
        <v>72</v>
      </c>
      <c r="D31" s="57">
        <v>12184</v>
      </c>
      <c r="E31" s="57">
        <v>21144</v>
      </c>
      <c r="F31" s="57">
        <v>21144</v>
      </c>
      <c r="G31" s="58">
        <v>12184</v>
      </c>
      <c r="H31" s="58">
        <v>21144</v>
      </c>
      <c r="I31" s="58">
        <v>21144</v>
      </c>
      <c r="J31" s="59">
        <v>55468.465103422044</v>
      </c>
      <c r="K31" s="59">
        <v>74121.049646852291</v>
      </c>
      <c r="L31" s="59">
        <v>141909.51322129881</v>
      </c>
    </row>
    <row r="32" spans="2:17">
      <c r="B32" t="s">
        <v>179</v>
      </c>
      <c r="C32" t="s">
        <v>73</v>
      </c>
      <c r="D32" s="57">
        <v>34409</v>
      </c>
      <c r="E32" s="57">
        <v>47209</v>
      </c>
      <c r="F32" s="57">
        <v>47209</v>
      </c>
      <c r="G32" s="58">
        <v>34409</v>
      </c>
      <c r="H32" s="58">
        <v>47209</v>
      </c>
      <c r="I32" s="58">
        <v>47209</v>
      </c>
      <c r="J32" s="59">
        <v>34409</v>
      </c>
      <c r="K32" s="59">
        <v>47209</v>
      </c>
      <c r="L32" s="59">
        <v>47209</v>
      </c>
    </row>
    <row r="33" spans="2:12">
      <c r="B33" t="s">
        <v>179</v>
      </c>
      <c r="C33" t="s">
        <v>74</v>
      </c>
      <c r="D33" s="57">
        <v>10680</v>
      </c>
      <c r="E33" s="57">
        <v>19000</v>
      </c>
      <c r="F33" s="57">
        <v>19000</v>
      </c>
      <c r="G33" s="58">
        <v>10680</v>
      </c>
      <c r="H33" s="58">
        <v>19000</v>
      </c>
      <c r="I33" s="58">
        <v>19000</v>
      </c>
      <c r="J33" s="59">
        <v>10680</v>
      </c>
      <c r="K33" s="59">
        <v>19000</v>
      </c>
      <c r="L33" s="59">
        <v>19000</v>
      </c>
    </row>
    <row r="34" spans="2:12">
      <c r="B34" t="s">
        <v>179</v>
      </c>
      <c r="C34" t="s">
        <v>75</v>
      </c>
      <c r="D34" s="57">
        <v>21288</v>
      </c>
      <c r="E34" s="57">
        <v>34088</v>
      </c>
      <c r="F34" s="57">
        <v>34088</v>
      </c>
      <c r="G34" s="58">
        <v>21288</v>
      </c>
      <c r="H34" s="58">
        <v>34088</v>
      </c>
      <c r="I34" s="58">
        <v>34088</v>
      </c>
      <c r="J34" s="59">
        <v>21288</v>
      </c>
      <c r="K34" s="59">
        <v>34088</v>
      </c>
      <c r="L34" s="59">
        <v>34088</v>
      </c>
    </row>
    <row r="35" spans="2:12">
      <c r="B35" t="s">
        <v>182</v>
      </c>
      <c r="C35" t="s">
        <v>76</v>
      </c>
      <c r="D35" s="57">
        <v>200</v>
      </c>
      <c r="E35" s="57">
        <v>200</v>
      </c>
      <c r="F35" s="57">
        <v>200</v>
      </c>
      <c r="G35" s="58">
        <v>200</v>
      </c>
      <c r="H35" s="58">
        <v>200</v>
      </c>
      <c r="I35" s="58">
        <v>200</v>
      </c>
      <c r="J35" s="59">
        <v>366.19732202853874</v>
      </c>
      <c r="K35" s="59">
        <v>574.96969756562078</v>
      </c>
      <c r="L35" s="59">
        <v>817.17957595940686</v>
      </c>
    </row>
    <row r="36" spans="2:12">
      <c r="B36" t="s">
        <v>181</v>
      </c>
      <c r="C36" t="s">
        <v>77</v>
      </c>
      <c r="D36" s="57">
        <v>0</v>
      </c>
      <c r="E36" s="57">
        <v>0</v>
      </c>
      <c r="F36" s="57">
        <v>0</v>
      </c>
      <c r="G36" s="58">
        <v>0</v>
      </c>
      <c r="H36" s="58">
        <v>0</v>
      </c>
      <c r="I36" s="58">
        <v>0</v>
      </c>
      <c r="J36" s="59">
        <v>0</v>
      </c>
      <c r="K36" s="59">
        <v>0</v>
      </c>
      <c r="L36" s="59">
        <v>0</v>
      </c>
    </row>
    <row r="37" spans="2:12">
      <c r="B37" t="s">
        <v>181</v>
      </c>
      <c r="C37" t="s">
        <v>78</v>
      </c>
      <c r="D37" s="57">
        <v>0</v>
      </c>
      <c r="E37" s="57">
        <v>0</v>
      </c>
      <c r="F37" s="57">
        <v>0</v>
      </c>
      <c r="G37" s="58">
        <v>0</v>
      </c>
      <c r="H37" s="58">
        <v>0</v>
      </c>
      <c r="I37" s="58">
        <v>0</v>
      </c>
      <c r="J37" s="59">
        <v>0</v>
      </c>
      <c r="K37" s="59">
        <v>0</v>
      </c>
      <c r="L37" s="59">
        <v>0</v>
      </c>
    </row>
    <row r="38" spans="2:12">
      <c r="B38" t="s">
        <v>181</v>
      </c>
      <c r="C38" t="s">
        <v>79</v>
      </c>
      <c r="D38" s="57">
        <v>25</v>
      </c>
      <c r="E38" s="57">
        <v>50</v>
      </c>
      <c r="F38" s="57">
        <v>50</v>
      </c>
      <c r="G38" s="58">
        <v>25</v>
      </c>
      <c r="H38" s="58">
        <v>50</v>
      </c>
      <c r="I38" s="58">
        <v>50</v>
      </c>
      <c r="J38" s="59">
        <v>302.12914833070272</v>
      </c>
      <c r="K38" s="59">
        <v>1411.4641812439816</v>
      </c>
      <c r="L38" s="59">
        <v>2191.2608175423052</v>
      </c>
    </row>
    <row r="39" spans="2:12">
      <c r="B39" t="s">
        <v>181</v>
      </c>
      <c r="C39" t="s">
        <v>80</v>
      </c>
      <c r="D39" s="57">
        <v>0</v>
      </c>
      <c r="E39" s="57">
        <v>0</v>
      </c>
      <c r="F39" s="57">
        <v>0</v>
      </c>
      <c r="G39" s="58">
        <v>0</v>
      </c>
      <c r="H39" s="58">
        <v>0</v>
      </c>
      <c r="I39" s="58">
        <v>0</v>
      </c>
      <c r="J39" s="59">
        <v>0</v>
      </c>
      <c r="K39" s="59">
        <v>0</v>
      </c>
      <c r="L39" s="59">
        <v>0</v>
      </c>
    </row>
    <row r="40" spans="2:12">
      <c r="B40" t="s">
        <v>182</v>
      </c>
      <c r="C40" t="s">
        <v>81</v>
      </c>
      <c r="D40" s="57">
        <v>160</v>
      </c>
      <c r="E40" s="57">
        <v>160</v>
      </c>
      <c r="F40" s="57">
        <v>0</v>
      </c>
      <c r="G40" s="58">
        <v>160</v>
      </c>
      <c r="H40" s="58">
        <v>160</v>
      </c>
      <c r="I40" s="58">
        <v>0</v>
      </c>
      <c r="J40" s="59">
        <v>160</v>
      </c>
      <c r="K40" s="59">
        <v>160</v>
      </c>
      <c r="L40" s="59">
        <v>119.37272088297505</v>
      </c>
    </row>
    <row r="41" spans="2:12">
      <c r="B41" t="s">
        <v>179</v>
      </c>
      <c r="C41" t="s">
        <v>82</v>
      </c>
      <c r="D41" s="57">
        <v>0</v>
      </c>
      <c r="E41" s="57">
        <v>0</v>
      </c>
      <c r="F41" s="57">
        <v>0</v>
      </c>
      <c r="G41" s="58">
        <v>0</v>
      </c>
      <c r="H41" s="58">
        <v>0</v>
      </c>
      <c r="I41" s="58">
        <v>0</v>
      </c>
      <c r="J41" s="59">
        <v>34.445251333443338</v>
      </c>
      <c r="K41" s="59">
        <v>36.321082336098719</v>
      </c>
      <c r="L41" s="59">
        <v>38.711263575731181</v>
      </c>
    </row>
    <row r="42" spans="2:12">
      <c r="B42" t="s">
        <v>179</v>
      </c>
      <c r="C42" t="s">
        <v>83</v>
      </c>
      <c r="D42" s="57">
        <v>0</v>
      </c>
      <c r="E42" s="57">
        <v>0</v>
      </c>
      <c r="F42" s="57">
        <v>0</v>
      </c>
      <c r="G42" s="58">
        <v>0</v>
      </c>
      <c r="H42" s="58">
        <v>0</v>
      </c>
      <c r="I42" s="58">
        <v>0</v>
      </c>
      <c r="J42" s="59">
        <v>3246.3404484298012</v>
      </c>
      <c r="K42" s="59">
        <v>4611.2415465891663</v>
      </c>
      <c r="L42" s="59">
        <v>4396.1800210831025</v>
      </c>
    </row>
    <row r="43" spans="2:12">
      <c r="B43" t="s">
        <v>179</v>
      </c>
      <c r="C43" t="s">
        <v>84</v>
      </c>
      <c r="D43" s="57">
        <v>0</v>
      </c>
      <c r="E43" s="57">
        <v>0</v>
      </c>
      <c r="F43" s="57">
        <v>0</v>
      </c>
      <c r="G43" s="58">
        <v>0</v>
      </c>
      <c r="H43" s="58">
        <v>0</v>
      </c>
      <c r="I43" s="58">
        <v>0</v>
      </c>
      <c r="J43" s="59">
        <v>308.36701193749275</v>
      </c>
      <c r="K43" s="59">
        <v>378.20047638858352</v>
      </c>
      <c r="L43" s="59">
        <v>403.08871278856594</v>
      </c>
    </row>
    <row r="44" spans="2:12">
      <c r="B44" t="s">
        <v>181</v>
      </c>
      <c r="C44" t="s">
        <v>85</v>
      </c>
      <c r="D44" s="57">
        <v>26397.200000000001</v>
      </c>
      <c r="E44" s="57">
        <v>95010.4</v>
      </c>
      <c r="F44" s="57">
        <v>163623.6</v>
      </c>
      <c r="G44" s="58">
        <v>26397.200000000001</v>
      </c>
      <c r="H44" s="58">
        <v>95010.4</v>
      </c>
      <c r="I44" s="58">
        <v>163623.6</v>
      </c>
      <c r="J44" s="59">
        <v>26397.200000000001</v>
      </c>
      <c r="K44" s="59">
        <v>97789.5373695772</v>
      </c>
      <c r="L44" s="59">
        <v>174063.72306389845</v>
      </c>
    </row>
    <row r="45" spans="2:12">
      <c r="B45" t="s">
        <v>182</v>
      </c>
      <c r="C45" t="s">
        <v>86</v>
      </c>
      <c r="D45" s="57">
        <v>0</v>
      </c>
      <c r="E45" s="57">
        <v>0</v>
      </c>
      <c r="F45" s="57">
        <v>0</v>
      </c>
      <c r="G45" s="58">
        <v>0</v>
      </c>
      <c r="H45" s="58">
        <v>0</v>
      </c>
      <c r="I45" s="58">
        <v>0</v>
      </c>
      <c r="J45" s="59">
        <v>57.123354835161926</v>
      </c>
      <c r="K45" s="59">
        <v>225.86885249796723</v>
      </c>
      <c r="L45" s="59">
        <v>373.94452063291669</v>
      </c>
    </row>
    <row r="46" spans="2:12">
      <c r="B46" t="s">
        <v>182</v>
      </c>
      <c r="C46" t="s">
        <v>87</v>
      </c>
      <c r="D46" s="57">
        <v>0</v>
      </c>
      <c r="E46" s="57">
        <v>0</v>
      </c>
      <c r="F46" s="57">
        <v>0</v>
      </c>
      <c r="G46" s="58">
        <v>0</v>
      </c>
      <c r="H46" s="58">
        <v>0</v>
      </c>
      <c r="I46" s="58">
        <v>0</v>
      </c>
      <c r="J46" s="59">
        <v>0</v>
      </c>
      <c r="K46" s="59">
        <v>0</v>
      </c>
      <c r="L46" s="59">
        <v>0</v>
      </c>
    </row>
    <row r="47" spans="2:12">
      <c r="B47" t="s">
        <v>182</v>
      </c>
      <c r="C47" t="s">
        <v>88</v>
      </c>
      <c r="D47" s="57">
        <v>0</v>
      </c>
      <c r="E47" s="57">
        <v>0</v>
      </c>
      <c r="F47" s="57">
        <v>0</v>
      </c>
      <c r="G47" s="58">
        <v>0</v>
      </c>
      <c r="H47" s="58">
        <v>0</v>
      </c>
      <c r="I47" s="58">
        <v>0</v>
      </c>
      <c r="J47" s="59">
        <v>320.03725721750976</v>
      </c>
      <c r="K47" s="59">
        <v>1858.2846500969122</v>
      </c>
      <c r="L47" s="59">
        <v>2811.5088032771141</v>
      </c>
    </row>
    <row r="48" spans="2:12">
      <c r="B48" t="s">
        <v>181</v>
      </c>
      <c r="C48" t="s">
        <v>89</v>
      </c>
      <c r="D48" s="57">
        <v>0</v>
      </c>
      <c r="E48" s="57">
        <v>0</v>
      </c>
      <c r="F48" s="57">
        <v>0</v>
      </c>
      <c r="G48" s="58">
        <v>0</v>
      </c>
      <c r="H48" s="58">
        <v>0</v>
      </c>
      <c r="I48" s="58">
        <v>0</v>
      </c>
      <c r="J48" s="59">
        <v>8249.1908011369051</v>
      </c>
      <c r="K48" s="59">
        <v>40401.262357858359</v>
      </c>
      <c r="L48" s="59">
        <v>73500.640930890353</v>
      </c>
    </row>
    <row r="49" spans="2:12">
      <c r="B49" t="s">
        <v>179</v>
      </c>
      <c r="C49" t="s">
        <v>90</v>
      </c>
      <c r="D49" s="57">
        <v>0</v>
      </c>
      <c r="E49" s="57">
        <v>0</v>
      </c>
      <c r="F49" s="57">
        <v>0</v>
      </c>
      <c r="G49" s="58">
        <v>0</v>
      </c>
      <c r="H49" s="58">
        <v>0</v>
      </c>
      <c r="I49" s="58">
        <v>0</v>
      </c>
      <c r="J49" s="59">
        <v>2193.563444659716</v>
      </c>
      <c r="K49" s="59">
        <v>3617.2554417403389</v>
      </c>
      <c r="L49" s="59">
        <v>3448.5519666380187</v>
      </c>
    </row>
    <row r="50" spans="2:12">
      <c r="B50" t="s">
        <v>180</v>
      </c>
      <c r="C50" t="s">
        <v>91</v>
      </c>
      <c r="D50" s="57">
        <v>800</v>
      </c>
      <c r="E50" s="57">
        <v>1600</v>
      </c>
      <c r="F50" s="57">
        <v>1600</v>
      </c>
      <c r="G50" s="58">
        <v>800</v>
      </c>
      <c r="H50" s="58">
        <v>1600</v>
      </c>
      <c r="I50" s="58">
        <v>1600</v>
      </c>
      <c r="J50" s="59">
        <v>923.93597218856871</v>
      </c>
      <c r="K50" s="59">
        <v>3616.8521809851518</v>
      </c>
      <c r="L50" s="59">
        <v>5759.4841537596667</v>
      </c>
    </row>
    <row r="51" spans="2:12">
      <c r="B51" t="s">
        <v>180</v>
      </c>
      <c r="C51" t="s">
        <v>92</v>
      </c>
      <c r="D51" s="57">
        <v>0</v>
      </c>
      <c r="E51" s="57">
        <v>0</v>
      </c>
      <c r="F51" s="57">
        <v>0</v>
      </c>
      <c r="G51" s="58">
        <v>0</v>
      </c>
      <c r="H51" s="58">
        <v>0</v>
      </c>
      <c r="I51" s="58">
        <v>0</v>
      </c>
      <c r="J51" s="59">
        <v>59.651415982982193</v>
      </c>
      <c r="K51" s="59">
        <v>155.37901894291051</v>
      </c>
      <c r="L51" s="59">
        <v>211.7704547673182</v>
      </c>
    </row>
    <row r="52" spans="2:12">
      <c r="B52" t="s">
        <v>182</v>
      </c>
      <c r="C52" t="s">
        <v>93</v>
      </c>
      <c r="D52" s="57">
        <v>34.628019514468782</v>
      </c>
      <c r="E52" s="57">
        <v>103.88405854340635</v>
      </c>
      <c r="F52" s="57">
        <v>207.76811708681271</v>
      </c>
      <c r="G52" s="58">
        <v>34.628019514468782</v>
      </c>
      <c r="H52" s="58">
        <v>103.88405854340635</v>
      </c>
      <c r="I52" s="58">
        <v>207.76811708681271</v>
      </c>
      <c r="J52" s="59">
        <v>73.235070301489642</v>
      </c>
      <c r="K52" s="59">
        <v>205.33532045269746</v>
      </c>
      <c r="L52" s="59">
        <v>415.49391181435192</v>
      </c>
    </row>
    <row r="53" spans="2:12">
      <c r="B53" t="s">
        <v>182</v>
      </c>
      <c r="C53" t="s">
        <v>94</v>
      </c>
      <c r="D53" s="57">
        <v>33.388621852888015</v>
      </c>
      <c r="E53" s="57">
        <v>100.16586555866405</v>
      </c>
      <c r="F53" s="57">
        <v>200.3317311173281</v>
      </c>
      <c r="G53" s="58">
        <v>33.388621852888015</v>
      </c>
      <c r="H53" s="58">
        <v>100.16586555866405</v>
      </c>
      <c r="I53" s="58">
        <v>200.3317311173281</v>
      </c>
      <c r="J53" s="59">
        <v>146.47014060297928</v>
      </c>
      <c r="K53" s="59">
        <v>410.67064090539492</v>
      </c>
      <c r="L53" s="59">
        <v>830.98782362870384</v>
      </c>
    </row>
    <row r="54" spans="2:12">
      <c r="B54" t="s">
        <v>182</v>
      </c>
      <c r="C54" t="s">
        <v>95</v>
      </c>
      <c r="D54" s="57">
        <v>485.16922345340447</v>
      </c>
      <c r="E54" s="57">
        <v>1455.5076703602133</v>
      </c>
      <c r="F54" s="57">
        <v>2911.015340720427</v>
      </c>
      <c r="G54" s="58">
        <v>485.16922345340447</v>
      </c>
      <c r="H54" s="58">
        <v>1455.5076703602133</v>
      </c>
      <c r="I54" s="58">
        <v>2911.015340720427</v>
      </c>
      <c r="J54" s="59">
        <v>717.70368895459853</v>
      </c>
      <c r="K54" s="59">
        <v>2387.0231002626083</v>
      </c>
      <c r="L54" s="59">
        <v>3967.9668578270607</v>
      </c>
    </row>
    <row r="55" spans="2:12">
      <c r="B55" t="s">
        <v>182</v>
      </c>
      <c r="C55" t="s">
        <v>96</v>
      </c>
      <c r="D55" s="57">
        <v>211.61889444795219</v>
      </c>
      <c r="E55" s="57">
        <v>634.85668334385662</v>
      </c>
      <c r="F55" s="57">
        <v>1269.7133666877135</v>
      </c>
      <c r="G55" s="58">
        <v>211.61889444795219</v>
      </c>
      <c r="H55" s="58">
        <v>634.85668334385662</v>
      </c>
      <c r="I55" s="58">
        <v>1269.7133666877135</v>
      </c>
      <c r="J55" s="59">
        <v>307.58729526625655</v>
      </c>
      <c r="K55" s="59">
        <v>985.60953817294796</v>
      </c>
      <c r="L55" s="59">
        <v>1641.2009516666899</v>
      </c>
    </row>
    <row r="56" spans="2:12">
      <c r="B56" t="s">
        <v>180</v>
      </c>
      <c r="C56" t="s">
        <v>97</v>
      </c>
      <c r="D56" s="57">
        <v>1102.0722222222223</v>
      </c>
      <c r="E56" s="57">
        <v>2182.0722222222221</v>
      </c>
      <c r="F56" s="57">
        <v>3262.0722222222221</v>
      </c>
      <c r="G56" s="58">
        <v>1102.0722222222223</v>
      </c>
      <c r="H56" s="58">
        <v>2182.0722222222221</v>
      </c>
      <c r="I56" s="58">
        <v>3262.0722222222221</v>
      </c>
      <c r="J56" s="59">
        <v>1102.0722222222223</v>
      </c>
      <c r="K56" s="59">
        <v>2182.0722222222221</v>
      </c>
      <c r="L56" s="59">
        <v>3262.0722222222221</v>
      </c>
    </row>
    <row r="57" spans="2:12">
      <c r="B57" t="s">
        <v>181</v>
      </c>
      <c r="C57" t="s">
        <v>98</v>
      </c>
      <c r="D57" s="57">
        <v>676.66</v>
      </c>
      <c r="E57" s="57">
        <v>2215</v>
      </c>
      <c r="F57" s="57">
        <v>3620</v>
      </c>
      <c r="G57" s="58">
        <v>676.66</v>
      </c>
      <c r="H57" s="58">
        <v>2215</v>
      </c>
      <c r="I57" s="58">
        <v>3620</v>
      </c>
      <c r="J57" s="59">
        <v>676.66</v>
      </c>
      <c r="K57" s="59">
        <v>2215</v>
      </c>
      <c r="L57" s="59">
        <v>3828.1583818172062</v>
      </c>
    </row>
    <row r="58" spans="2:12">
      <c r="B58" t="s">
        <v>181</v>
      </c>
      <c r="C58" t="s">
        <v>100</v>
      </c>
      <c r="D58" s="57">
        <v>105</v>
      </c>
      <c r="E58" s="57">
        <v>105</v>
      </c>
      <c r="F58" s="57">
        <v>105</v>
      </c>
      <c r="G58" s="58">
        <v>105</v>
      </c>
      <c r="H58" s="58">
        <v>105</v>
      </c>
      <c r="I58" s="58">
        <v>105</v>
      </c>
      <c r="J58" s="59">
        <v>105</v>
      </c>
      <c r="K58" s="59">
        <v>382.25809769358295</v>
      </c>
      <c r="L58" s="59">
        <v>470.86348096351639</v>
      </c>
    </row>
    <row r="59" spans="2:12">
      <c r="B59" t="s">
        <v>181</v>
      </c>
      <c r="C59" t="s">
        <v>99</v>
      </c>
      <c r="D59" s="57">
        <v>0</v>
      </c>
      <c r="E59" s="57">
        <v>0</v>
      </c>
      <c r="F59" s="57">
        <v>0</v>
      </c>
      <c r="G59" s="58">
        <v>0</v>
      </c>
      <c r="H59" s="58">
        <v>0</v>
      </c>
      <c r="I59" s="58">
        <v>0</v>
      </c>
      <c r="J59" s="59">
        <v>18440.399333374269</v>
      </c>
      <c r="K59" s="59">
        <v>42645.419281477982</v>
      </c>
      <c r="L59" s="59">
        <v>53597.799183144612</v>
      </c>
    </row>
    <row r="60" spans="2:12">
      <c r="D60" s="60">
        <f t="shared" ref="D60:L60" si="0">SUM(D5:D59)</f>
        <v>220507.28505678126</v>
      </c>
      <c r="E60" s="60">
        <f t="shared" si="0"/>
        <v>603174.64297900465</v>
      </c>
      <c r="F60" s="60">
        <f t="shared" si="0"/>
        <v>887870.52735738759</v>
      </c>
      <c r="G60" s="61">
        <f t="shared" si="0"/>
        <v>220507.28505678126</v>
      </c>
      <c r="H60" s="61">
        <f t="shared" si="0"/>
        <v>603174.64297900465</v>
      </c>
      <c r="I60" s="61">
        <f t="shared" si="0"/>
        <v>887870.52735738759</v>
      </c>
      <c r="J60" s="62">
        <f t="shared" si="0"/>
        <v>421647.66779616912</v>
      </c>
      <c r="K60" s="62">
        <f t="shared" si="0"/>
        <v>980458.19007581729</v>
      </c>
      <c r="L60" s="62">
        <f t="shared" si="0"/>
        <v>1646613.1018308226</v>
      </c>
    </row>
    <row r="61" spans="2:12">
      <c r="D61" s="63"/>
      <c r="E61" s="63"/>
      <c r="F61" s="63"/>
      <c r="H61" s="63"/>
      <c r="I61" s="63"/>
      <c r="J61" s="63"/>
      <c r="K61" s="63"/>
      <c r="L61" s="63"/>
    </row>
  </sheetData>
  <mergeCells count="3">
    <mergeCell ref="D3:F3"/>
    <mergeCell ref="G3:I3"/>
    <mergeCell ref="J3:L3"/>
  </mergeCells>
  <pageMargins left="0.7" right="0.7" top="0.75" bottom="0.75" header="0.3" footer="0.3"/>
  <pageSetup paperSize="9" orientation="portrait" r:id="rId1"/>
  <headerFooter>
    <oddFooter>&amp;C_x000D_&amp;1#&amp;"Calibri"&amp;10&amp;K000000 ISC - Uso INTERNO / INTERNAL Use</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0033C-6871-409B-9F31-488BFB2EC551}">
  <sheetPr>
    <tabColor theme="5"/>
  </sheetPr>
  <dimension ref="A1:D115"/>
  <sheetViews>
    <sheetView topLeftCell="A27" workbookViewId="0">
      <selection activeCell="B31" sqref="B31:D31"/>
    </sheetView>
  </sheetViews>
  <sheetFormatPr defaultColWidth="11.42578125" defaultRowHeight="15"/>
  <cols>
    <col min="1" max="1" width="7.42578125" bestFit="1" customWidth="1"/>
    <col min="2" max="2" width="89.28515625" customWidth="1"/>
    <col min="3" max="3" width="36" customWidth="1"/>
    <col min="4" max="4" width="142.42578125" customWidth="1"/>
  </cols>
  <sheetData>
    <row r="1" spans="1:4" ht="23.25">
      <c r="B1" s="438" t="s">
        <v>10</v>
      </c>
    </row>
    <row r="3" spans="1:4">
      <c r="A3" s="67" t="s">
        <v>188</v>
      </c>
      <c r="B3" s="67" t="s">
        <v>189</v>
      </c>
      <c r="C3" s="67" t="s">
        <v>190</v>
      </c>
      <c r="D3" s="67" t="s">
        <v>191</v>
      </c>
    </row>
    <row r="4" spans="1:4">
      <c r="A4" s="168">
        <v>1</v>
      </c>
      <c r="B4" s="68" t="s">
        <v>192</v>
      </c>
      <c r="C4" s="68" t="s">
        <v>193</v>
      </c>
      <c r="D4" s="69" t="s">
        <v>194</v>
      </c>
    </row>
    <row r="5" spans="1:4">
      <c r="A5" s="168">
        <v>2</v>
      </c>
      <c r="B5" s="68" t="s">
        <v>195</v>
      </c>
      <c r="C5" s="68" t="s">
        <v>196</v>
      </c>
      <c r="D5" s="69" t="s">
        <v>197</v>
      </c>
    </row>
    <row r="6" spans="1:4">
      <c r="A6" s="168">
        <v>3</v>
      </c>
      <c r="B6" s="68" t="s">
        <v>198</v>
      </c>
      <c r="C6" s="68" t="s">
        <v>193</v>
      </c>
      <c r="D6" s="69" t="s">
        <v>199</v>
      </c>
    </row>
    <row r="7" spans="1:4">
      <c r="A7" s="168">
        <v>4</v>
      </c>
      <c r="B7" s="68" t="s">
        <v>200</v>
      </c>
      <c r="C7" s="68" t="s">
        <v>201</v>
      </c>
      <c r="D7" s="69" t="s">
        <v>202</v>
      </c>
    </row>
    <row r="8" spans="1:4">
      <c r="A8" s="168">
        <v>5</v>
      </c>
      <c r="B8" s="68" t="s">
        <v>203</v>
      </c>
      <c r="C8" s="68" t="s">
        <v>201</v>
      </c>
      <c r="D8" s="69" t="s">
        <v>204</v>
      </c>
    </row>
    <row r="9" spans="1:4">
      <c r="A9" s="168">
        <v>6</v>
      </c>
      <c r="B9" s="68" t="s">
        <v>205</v>
      </c>
      <c r="C9" s="68" t="s">
        <v>206</v>
      </c>
      <c r="D9" s="69" t="s">
        <v>207</v>
      </c>
    </row>
    <row r="10" spans="1:4">
      <c r="A10" s="168">
        <v>7</v>
      </c>
      <c r="B10" s="68" t="s">
        <v>208</v>
      </c>
      <c r="C10" s="68" t="s">
        <v>193</v>
      </c>
      <c r="D10" s="69" t="s">
        <v>209</v>
      </c>
    </row>
    <row r="11" spans="1:4">
      <c r="A11" s="168">
        <v>8</v>
      </c>
      <c r="B11" s="68" t="s">
        <v>210</v>
      </c>
      <c r="C11" s="68" t="s">
        <v>211</v>
      </c>
      <c r="D11" s="69" t="s">
        <v>212</v>
      </c>
    </row>
    <row r="12" spans="1:4">
      <c r="A12" s="168">
        <v>9</v>
      </c>
      <c r="B12" s="68" t="s">
        <v>213</v>
      </c>
      <c r="C12" s="68" t="s">
        <v>211</v>
      </c>
      <c r="D12" s="69" t="s">
        <v>214</v>
      </c>
    </row>
    <row r="15" spans="1:4">
      <c r="B15" s="482" t="s">
        <v>215</v>
      </c>
      <c r="C15" s="482"/>
      <c r="D15" s="482"/>
    </row>
    <row r="16" spans="1:4">
      <c r="B16" s="169"/>
      <c r="C16" s="169"/>
      <c r="D16" s="169"/>
    </row>
    <row r="17" spans="2:4">
      <c r="B17" s="169"/>
      <c r="C17" s="169"/>
      <c r="D17" s="169"/>
    </row>
    <row r="18" spans="2:4">
      <c r="B18" s="169"/>
      <c r="C18" s="169"/>
      <c r="D18" s="169"/>
    </row>
    <row r="19" spans="2:4">
      <c r="B19" s="169"/>
      <c r="C19" s="169"/>
      <c r="D19" s="169"/>
    </row>
    <row r="20" spans="2:4">
      <c r="B20" s="169"/>
      <c r="C20" s="169"/>
      <c r="D20" s="169"/>
    </row>
    <row r="21" spans="2:4">
      <c r="B21" s="169"/>
      <c r="C21" s="169"/>
      <c r="D21" s="169"/>
    </row>
    <row r="22" spans="2:4">
      <c r="B22" s="169"/>
      <c r="C22" s="169"/>
      <c r="D22" s="169"/>
    </row>
    <row r="23" spans="2:4">
      <c r="B23" s="169"/>
      <c r="C23" s="169"/>
      <c r="D23" s="169"/>
    </row>
    <row r="24" spans="2:4">
      <c r="B24" s="169"/>
      <c r="C24" s="169"/>
      <c r="D24" s="169"/>
    </row>
    <row r="25" spans="2:4">
      <c r="B25" s="169"/>
      <c r="C25" s="169"/>
      <c r="D25" s="169"/>
    </row>
    <row r="26" spans="2:4">
      <c r="B26" s="169"/>
      <c r="C26" s="169"/>
      <c r="D26" s="169"/>
    </row>
    <row r="27" spans="2:4">
      <c r="B27" s="169"/>
      <c r="C27" s="169"/>
      <c r="D27" s="169"/>
    </row>
    <row r="28" spans="2:4">
      <c r="B28" s="169"/>
      <c r="C28" s="169"/>
      <c r="D28" s="169"/>
    </row>
    <row r="29" spans="2:4">
      <c r="B29" s="169"/>
      <c r="C29" s="169"/>
      <c r="D29" s="169"/>
    </row>
    <row r="30" spans="2:4">
      <c r="B30" s="169"/>
      <c r="C30" s="169"/>
      <c r="D30" s="169"/>
    </row>
    <row r="31" spans="2:4">
      <c r="B31" s="482" t="s">
        <v>216</v>
      </c>
      <c r="C31" s="482"/>
      <c r="D31" s="482"/>
    </row>
    <row r="32" spans="2:4">
      <c r="B32" s="169"/>
      <c r="C32" s="169"/>
      <c r="D32" s="169"/>
    </row>
    <row r="33" spans="2:4">
      <c r="B33" s="169"/>
      <c r="C33" s="169"/>
      <c r="D33" s="169"/>
    </row>
    <row r="34" spans="2:4">
      <c r="B34" s="169"/>
      <c r="C34" s="169"/>
      <c r="D34" s="169"/>
    </row>
    <row r="35" spans="2:4">
      <c r="B35" s="169"/>
      <c r="C35" s="169"/>
      <c r="D35" s="169"/>
    </row>
    <row r="36" spans="2:4">
      <c r="B36" s="169"/>
      <c r="C36" s="169"/>
      <c r="D36" s="169"/>
    </row>
    <row r="37" spans="2:4">
      <c r="B37" s="169"/>
      <c r="C37" s="169"/>
      <c r="D37" s="169"/>
    </row>
    <row r="38" spans="2:4">
      <c r="B38" s="169"/>
      <c r="C38" s="169"/>
      <c r="D38" s="169"/>
    </row>
    <row r="39" spans="2:4">
      <c r="B39" s="169"/>
      <c r="C39" s="169"/>
      <c r="D39" s="169"/>
    </row>
    <row r="40" spans="2:4">
      <c r="B40" s="169"/>
      <c r="C40" s="169"/>
      <c r="D40" s="169"/>
    </row>
    <row r="41" spans="2:4">
      <c r="B41" s="169"/>
      <c r="C41" s="169"/>
      <c r="D41" s="169"/>
    </row>
    <row r="42" spans="2:4">
      <c r="B42" s="169"/>
      <c r="C42" s="169"/>
      <c r="D42" s="169"/>
    </row>
    <row r="43" spans="2:4">
      <c r="B43" s="169"/>
      <c r="C43" s="169"/>
      <c r="D43" s="169"/>
    </row>
    <row r="44" spans="2:4">
      <c r="B44" s="169"/>
      <c r="C44" s="169"/>
      <c r="D44" s="169"/>
    </row>
    <row r="45" spans="2:4">
      <c r="B45" s="169"/>
      <c r="C45" s="169"/>
      <c r="D45" s="169"/>
    </row>
    <row r="46" spans="2:4">
      <c r="B46" s="169"/>
      <c r="C46" s="169"/>
      <c r="D46" s="169"/>
    </row>
    <row r="47" spans="2:4">
      <c r="B47" s="169"/>
      <c r="C47" s="169"/>
      <c r="D47" s="169"/>
    </row>
    <row r="48" spans="2:4">
      <c r="B48" s="169"/>
      <c r="C48" s="169"/>
      <c r="D48" s="169"/>
    </row>
    <row r="49" spans="2:4">
      <c r="B49" s="169"/>
      <c r="C49" s="169"/>
      <c r="D49" s="169"/>
    </row>
    <row r="50" spans="2:4">
      <c r="B50" s="169"/>
      <c r="C50" s="169"/>
      <c r="D50" s="169"/>
    </row>
    <row r="51" spans="2:4">
      <c r="B51" s="169"/>
      <c r="C51" s="169"/>
      <c r="D51" s="169"/>
    </row>
    <row r="52" spans="2:4">
      <c r="B52" s="169"/>
      <c r="C52" s="169"/>
      <c r="D52" s="169"/>
    </row>
    <row r="53" spans="2:4">
      <c r="B53" s="169"/>
      <c r="C53" s="169"/>
      <c r="D53" s="169"/>
    </row>
    <row r="54" spans="2:4">
      <c r="B54" s="169"/>
      <c r="C54" s="169"/>
      <c r="D54" s="169"/>
    </row>
    <row r="55" spans="2:4">
      <c r="B55" s="169"/>
      <c r="C55" s="169"/>
      <c r="D55" s="169"/>
    </row>
    <row r="56" spans="2:4">
      <c r="B56" s="169"/>
      <c r="C56" s="169"/>
      <c r="D56" s="169"/>
    </row>
    <row r="57" spans="2:4">
      <c r="B57" s="169"/>
      <c r="C57" s="169"/>
      <c r="D57" s="169"/>
    </row>
    <row r="58" spans="2:4">
      <c r="B58" s="169"/>
      <c r="C58" s="169"/>
      <c r="D58" s="169"/>
    </row>
    <row r="59" spans="2:4">
      <c r="B59" s="169"/>
      <c r="C59" s="169"/>
      <c r="D59" s="169"/>
    </row>
    <row r="60" spans="2:4">
      <c r="B60" s="169"/>
      <c r="C60" s="169"/>
      <c r="D60" s="169"/>
    </row>
    <row r="61" spans="2:4">
      <c r="B61" s="169"/>
      <c r="C61" s="169"/>
      <c r="D61" s="169"/>
    </row>
    <row r="62" spans="2:4">
      <c r="B62" s="169"/>
      <c r="C62" s="169"/>
      <c r="D62" s="169"/>
    </row>
    <row r="63" spans="2:4">
      <c r="B63" s="169"/>
      <c r="C63" s="169"/>
      <c r="D63" s="169"/>
    </row>
    <row r="64" spans="2:4">
      <c r="B64" s="169"/>
      <c r="C64" s="169"/>
      <c r="D64" s="169"/>
    </row>
    <row r="65" spans="2:4">
      <c r="B65" s="169"/>
      <c r="C65" s="169"/>
      <c r="D65" s="169"/>
    </row>
    <row r="66" spans="2:4">
      <c r="B66" s="169"/>
      <c r="C66" s="169"/>
      <c r="D66" s="169"/>
    </row>
    <row r="67" spans="2:4">
      <c r="B67" s="169"/>
      <c r="C67" s="169"/>
      <c r="D67" s="169"/>
    </row>
    <row r="68" spans="2:4">
      <c r="B68" s="169"/>
      <c r="C68" s="169"/>
      <c r="D68" s="169"/>
    </row>
    <row r="69" spans="2:4">
      <c r="B69" s="169"/>
      <c r="C69" s="169"/>
      <c r="D69" s="169"/>
    </row>
    <row r="70" spans="2:4">
      <c r="B70" s="169"/>
      <c r="C70" s="169"/>
      <c r="D70" s="169"/>
    </row>
    <row r="71" spans="2:4">
      <c r="B71" s="169"/>
      <c r="C71" s="169"/>
      <c r="D71" s="169"/>
    </row>
    <row r="72" spans="2:4">
      <c r="B72" s="169"/>
      <c r="C72" s="169"/>
      <c r="D72" s="169"/>
    </row>
    <row r="73" spans="2:4">
      <c r="B73" s="169"/>
      <c r="C73" s="169"/>
      <c r="D73" s="169"/>
    </row>
    <row r="74" spans="2:4">
      <c r="B74" s="169"/>
      <c r="C74" s="169"/>
      <c r="D74" s="169"/>
    </row>
    <row r="75" spans="2:4">
      <c r="B75" s="169"/>
      <c r="C75" s="169"/>
      <c r="D75" s="169"/>
    </row>
    <row r="76" spans="2:4">
      <c r="B76" s="169"/>
      <c r="C76" s="169"/>
      <c r="D76" s="169"/>
    </row>
    <row r="77" spans="2:4">
      <c r="B77" s="169"/>
      <c r="C77" s="169"/>
      <c r="D77" s="169"/>
    </row>
    <row r="78" spans="2:4">
      <c r="B78" s="169"/>
      <c r="C78" s="169"/>
      <c r="D78" s="169"/>
    </row>
    <row r="79" spans="2:4">
      <c r="B79" s="169"/>
      <c r="C79" s="169"/>
      <c r="D79" s="169"/>
    </row>
    <row r="80" spans="2:4">
      <c r="B80" s="169"/>
      <c r="C80" s="169"/>
      <c r="D80" s="169"/>
    </row>
    <row r="81" spans="2:4">
      <c r="B81" s="169"/>
      <c r="C81" s="169"/>
      <c r="D81" s="169"/>
    </row>
    <row r="82" spans="2:4">
      <c r="B82" s="169"/>
      <c r="C82" s="169"/>
      <c r="D82" s="169"/>
    </row>
    <row r="83" spans="2:4">
      <c r="B83" s="169"/>
      <c r="C83" s="169"/>
      <c r="D83" s="169"/>
    </row>
    <row r="84" spans="2:4">
      <c r="B84" s="169"/>
      <c r="C84" s="169"/>
      <c r="D84" s="169"/>
    </row>
    <row r="85" spans="2:4">
      <c r="B85" s="169"/>
      <c r="C85" s="169"/>
      <c r="D85" s="169"/>
    </row>
    <row r="86" spans="2:4">
      <c r="B86" s="169"/>
      <c r="C86" s="169"/>
      <c r="D86" s="169"/>
    </row>
    <row r="87" spans="2:4">
      <c r="B87" s="169"/>
      <c r="C87" s="169"/>
      <c r="D87" s="169"/>
    </row>
    <row r="88" spans="2:4">
      <c r="B88" s="169"/>
      <c r="C88" s="169"/>
      <c r="D88" s="169"/>
    </row>
    <row r="89" spans="2:4">
      <c r="B89" s="169"/>
      <c r="C89" s="169"/>
      <c r="D89" s="169"/>
    </row>
    <row r="90" spans="2:4">
      <c r="B90" s="169"/>
      <c r="C90" s="169"/>
      <c r="D90" s="169"/>
    </row>
    <row r="91" spans="2:4">
      <c r="B91" s="169"/>
      <c r="C91" s="169"/>
      <c r="D91" s="169"/>
    </row>
    <row r="92" spans="2:4">
      <c r="B92" s="169"/>
      <c r="C92" s="169"/>
      <c r="D92" s="169"/>
    </row>
    <row r="93" spans="2:4">
      <c r="B93" s="169"/>
      <c r="C93" s="169"/>
      <c r="D93" s="169"/>
    </row>
    <row r="94" spans="2:4">
      <c r="B94" s="169"/>
      <c r="C94" s="169"/>
      <c r="D94" s="169"/>
    </row>
    <row r="95" spans="2:4">
      <c r="B95" s="169"/>
      <c r="C95" s="169"/>
      <c r="D95" s="169"/>
    </row>
    <row r="96" spans="2:4">
      <c r="B96" s="169"/>
      <c r="C96" s="169"/>
      <c r="D96" s="169"/>
    </row>
    <row r="97" spans="2:4">
      <c r="B97" s="169"/>
      <c r="C97" s="169"/>
      <c r="D97" s="169"/>
    </row>
    <row r="98" spans="2:4">
      <c r="B98" s="169"/>
      <c r="C98" s="169"/>
      <c r="D98" s="169"/>
    </row>
    <row r="99" spans="2:4">
      <c r="B99" s="169"/>
      <c r="C99" s="169"/>
      <c r="D99" s="169"/>
    </row>
    <row r="100" spans="2:4">
      <c r="B100" s="169"/>
      <c r="C100" s="169"/>
      <c r="D100" s="169"/>
    </row>
    <row r="101" spans="2:4">
      <c r="B101" s="169"/>
      <c r="C101" s="169"/>
      <c r="D101" s="169"/>
    </row>
    <row r="102" spans="2:4">
      <c r="B102" s="169"/>
      <c r="C102" s="169"/>
      <c r="D102" s="169"/>
    </row>
    <row r="103" spans="2:4">
      <c r="B103" s="169"/>
      <c r="C103" s="169"/>
      <c r="D103" s="169"/>
    </row>
    <row r="104" spans="2:4">
      <c r="B104" s="169"/>
      <c r="C104" s="169"/>
      <c r="D104" s="169"/>
    </row>
    <row r="105" spans="2:4">
      <c r="B105" s="169"/>
      <c r="C105" s="169"/>
      <c r="D105" s="169"/>
    </row>
    <row r="106" spans="2:4">
      <c r="B106" s="169"/>
      <c r="C106" s="169"/>
      <c r="D106" s="169"/>
    </row>
    <row r="107" spans="2:4">
      <c r="B107" s="169"/>
      <c r="C107" s="169"/>
      <c r="D107" s="169"/>
    </row>
    <row r="108" spans="2:4">
      <c r="B108" s="169"/>
      <c r="C108" s="169"/>
      <c r="D108" s="169"/>
    </row>
    <row r="109" spans="2:4">
      <c r="B109" s="169"/>
      <c r="C109" s="169"/>
      <c r="D109" s="169"/>
    </row>
    <row r="110" spans="2:4">
      <c r="B110" s="169"/>
      <c r="C110" s="169"/>
      <c r="D110" s="169"/>
    </row>
    <row r="111" spans="2:4">
      <c r="B111" s="169"/>
      <c r="C111" s="169"/>
      <c r="D111" s="169"/>
    </row>
    <row r="112" spans="2:4">
      <c r="B112" s="169"/>
      <c r="C112" s="169"/>
      <c r="D112" s="169"/>
    </row>
    <row r="113" spans="2:4">
      <c r="B113" s="169"/>
      <c r="C113" s="169"/>
      <c r="D113" s="169"/>
    </row>
    <row r="114" spans="2:4">
      <c r="B114" s="169"/>
      <c r="C114" s="169"/>
      <c r="D114" s="169"/>
    </row>
    <row r="115" spans="2:4">
      <c r="B115" s="169"/>
      <c r="C115" s="169"/>
      <c r="D115" s="169"/>
    </row>
  </sheetData>
  <mergeCells count="2">
    <mergeCell ref="B15:D15"/>
    <mergeCell ref="B31:D31"/>
  </mergeCells>
  <hyperlinks>
    <hyperlink ref="D4" r:id="rId1" xr:uid="{F183D4A1-2AC3-4C3F-8F84-883771E74010}"/>
    <hyperlink ref="D6" r:id="rId2" display="https://ens.dk/en/our-services/projections-and-models/technology-data/technology-catalogue-transport-energy" xr:uid="{EC25CC57-5D64-4C09-8C15-8F2E9A23E181}"/>
    <hyperlink ref="D7" r:id="rId3" display="https://ens.dk/sites/ens.dk/files/Vindenergi/final_report_-_screening_of_possible_hub_concepts_to_integrate_offshore_wind_capacity_in_the_north_sea.pdf" xr:uid="{34D4BDE4-74A1-4957-8F72-A8395279056C}"/>
    <hyperlink ref="D9" r:id="rId4" xr:uid="{9780D7FC-3902-46AC-9641-70C39A26B728}"/>
    <hyperlink ref="D10" r:id="rId5" display="https://ens.dk/en/our-services/projections-and-models/technology-data/technology-data-renewable-fuels" xr:uid="{6E32C3D5-8C4D-4373-A5DD-C031105AD8DD}"/>
    <hyperlink ref="D11" r:id="rId6" display="https://ehb.eu/files/downloads/ehb-report-220428-17h00-interactive-1.pdf" xr:uid="{4B542BCC-1EF0-4F3D-83E0-E4D38F19BA9E}"/>
    <hyperlink ref="D12" r:id="rId7" xr:uid="{1D35372D-C0E9-4DAA-B808-5F643995E075}"/>
    <hyperlink ref="D8" r:id="rId8" xr:uid="{AA29D4FD-579C-4ED6-A42C-7FC9E57A42D7}"/>
    <hyperlink ref="D5" r:id="rId9" xr:uid="{5B223DBB-68A8-4610-B6B9-8FED69BF7309}"/>
  </hyperlinks>
  <pageMargins left="0.7" right="0.7" top="0.78740157499999996" bottom="0.78740157499999996" header="0.3" footer="0.3"/>
  <pageSetup paperSize="9" orientation="portrait" verticalDpi="0" r:id="rId10"/>
  <headerFooter>
    <oddFooter>&amp;C_x000D_&amp;1#&amp;"Calibri"&amp;10&amp;K000000 ISC - Uso INTERNO / INTERNAL Use</oddFooter>
  </headerFooter>
  <drawing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916A4-922C-4A97-9C3A-856D8F95A473}">
  <sheetPr>
    <tabColor theme="7"/>
  </sheetPr>
  <dimension ref="A1:O175"/>
  <sheetViews>
    <sheetView topLeftCell="C1" zoomScaleNormal="100" workbookViewId="0">
      <selection activeCell="C1" sqref="C1"/>
    </sheetView>
  </sheetViews>
  <sheetFormatPr defaultColWidth="11.42578125" defaultRowHeight="15"/>
  <cols>
    <col min="1" max="1" width="3.85546875" style="2" customWidth="1"/>
    <col min="2" max="2" width="7" style="2" customWidth="1"/>
    <col min="3" max="3" width="45.7109375" customWidth="1"/>
    <col min="4" max="4" width="18.140625" customWidth="1"/>
    <col min="8" max="8" width="3.140625" style="2" customWidth="1"/>
    <col min="12" max="12" width="3.140625" customWidth="1"/>
  </cols>
  <sheetData>
    <row r="1" spans="1:15" ht="23.25">
      <c r="C1" s="438" t="s">
        <v>217</v>
      </c>
    </row>
    <row r="2" spans="1:15">
      <c r="A2" s="7"/>
      <c r="C2" s="11"/>
      <c r="D2" s="11"/>
      <c r="E2" s="485" t="s">
        <v>218</v>
      </c>
      <c r="F2" s="485"/>
      <c r="G2" s="485"/>
      <c r="H2" s="7" t="s">
        <v>219</v>
      </c>
      <c r="I2" s="485" t="s">
        <v>220</v>
      </c>
      <c r="J2" s="485"/>
      <c r="K2" s="485"/>
      <c r="L2" s="7" t="s">
        <v>221</v>
      </c>
      <c r="M2" s="485" t="s">
        <v>222</v>
      </c>
      <c r="N2" s="485"/>
      <c r="O2" s="485"/>
    </row>
    <row r="3" spans="1:15">
      <c r="A3" s="7" t="s">
        <v>223</v>
      </c>
      <c r="B3" s="7" t="s">
        <v>224</v>
      </c>
      <c r="C3" s="11" t="s">
        <v>176</v>
      </c>
      <c r="D3" s="11"/>
      <c r="E3" s="7">
        <v>2030</v>
      </c>
      <c r="F3" s="7">
        <v>2040</v>
      </c>
      <c r="G3" s="7">
        <v>2050</v>
      </c>
      <c r="H3" s="7"/>
      <c r="I3" s="7">
        <v>2030</v>
      </c>
      <c r="J3" s="7">
        <v>2040</v>
      </c>
      <c r="K3" s="7">
        <v>2050</v>
      </c>
      <c r="L3" s="7"/>
      <c r="M3" s="7">
        <v>2030</v>
      </c>
      <c r="N3" s="7">
        <v>2040</v>
      </c>
      <c r="O3" s="7">
        <v>2050</v>
      </c>
    </row>
    <row r="4" spans="1:15">
      <c r="J4" s="70">
        <v>0.15</v>
      </c>
      <c r="K4" s="70">
        <v>0.2</v>
      </c>
      <c r="L4" s="70"/>
      <c r="M4" s="70"/>
      <c r="N4" s="70">
        <v>0.15</v>
      </c>
      <c r="O4" s="70">
        <v>0.2</v>
      </c>
    </row>
    <row r="5" spans="1:15">
      <c r="A5" s="7">
        <v>1</v>
      </c>
      <c r="B5" s="2">
        <v>1</v>
      </c>
      <c r="C5" s="71" t="s">
        <v>225</v>
      </c>
      <c r="D5" s="72"/>
      <c r="E5" s="72"/>
      <c r="F5" s="72"/>
      <c r="G5" s="72"/>
      <c r="H5" s="73"/>
      <c r="I5" s="72"/>
      <c r="J5" s="72"/>
      <c r="K5" s="72"/>
      <c r="L5" s="72"/>
      <c r="M5" s="72"/>
      <c r="N5" s="72"/>
      <c r="O5" s="72"/>
    </row>
    <row r="6" spans="1:15">
      <c r="C6" t="s">
        <v>226</v>
      </c>
      <c r="D6" t="s">
        <v>227</v>
      </c>
      <c r="E6" s="74">
        <v>720000</v>
      </c>
      <c r="F6" s="74">
        <v>580000</v>
      </c>
      <c r="G6" s="74">
        <v>520000</v>
      </c>
      <c r="H6" s="75" t="s">
        <v>228</v>
      </c>
      <c r="I6" s="74">
        <f>E6</f>
        <v>720000</v>
      </c>
      <c r="J6">
        <f>IF($H6="▼",$F6-$F6*$J$4,IF($H6="▲",$F6+$F6*$J$4,$F6))</f>
        <v>493000</v>
      </c>
      <c r="K6">
        <f>IF($H6="▼",$G6-$G6*$K$4,IF($H6="▲",$G6+$G6*$K$4,$G6))</f>
        <v>416000</v>
      </c>
      <c r="L6" s="76" t="s">
        <v>229</v>
      </c>
      <c r="M6" s="74">
        <f>E6</f>
        <v>720000</v>
      </c>
      <c r="N6">
        <f>IF($L6="▼",$F6-$F6*$N$4,IF($L6="▲",$F6+$F6*$N$4,$F6))</f>
        <v>667000</v>
      </c>
      <c r="O6">
        <f>IF($L6="▼",$F6-$F6*$O$4,IF($L6="▲",$F6+$F6*$O$4,$F6))</f>
        <v>696000</v>
      </c>
    </row>
    <row r="7" spans="1:15">
      <c r="C7" t="s">
        <v>230</v>
      </c>
      <c r="D7" t="s">
        <v>231</v>
      </c>
      <c r="E7" s="74">
        <v>10700</v>
      </c>
      <c r="F7" s="74">
        <v>9600</v>
      </c>
      <c r="G7" s="74">
        <v>8900</v>
      </c>
      <c r="H7" s="75" t="s">
        <v>228</v>
      </c>
      <c r="I7" s="74">
        <f>E7</f>
        <v>10700</v>
      </c>
      <c r="J7">
        <f>IF($H7="▼",$F7-$F7*$J$4,IF($H7="▲",$F7+$F7*$J$4,$F7))</f>
        <v>8160</v>
      </c>
      <c r="K7">
        <f>IF($H7="▼",$G7-$G7*$K$4,IF($H7="▲",$G7+$G7*$K$4,$G7))</f>
        <v>7120</v>
      </c>
      <c r="L7" s="76" t="s">
        <v>229</v>
      </c>
      <c r="M7" s="74">
        <f>E7</f>
        <v>10700</v>
      </c>
      <c r="N7">
        <f>IF($L7="▼",$F7-$F7*$N$4,IF($L7="▲",$F7+$F7*$N$4,$F7))</f>
        <v>11040</v>
      </c>
      <c r="O7">
        <f>IF($L7="▼",$F7-$F7*$O$4,IF($L7="▲",$F7+$F7*$O$4,$F7))</f>
        <v>11520</v>
      </c>
    </row>
    <row r="8" spans="1:15">
      <c r="C8" s="77" t="s">
        <v>232</v>
      </c>
      <c r="D8" s="77"/>
    </row>
    <row r="9" spans="1:15">
      <c r="C9" s="78" t="s">
        <v>233</v>
      </c>
      <c r="D9" s="77" t="s">
        <v>227</v>
      </c>
      <c r="E9" s="74">
        <v>30000</v>
      </c>
      <c r="F9" s="74">
        <v>20000</v>
      </c>
      <c r="G9" s="74">
        <v>20000</v>
      </c>
      <c r="H9" s="79"/>
    </row>
    <row r="10" spans="1:15">
      <c r="C10" s="78" t="s">
        <v>234</v>
      </c>
      <c r="D10" s="77" t="s">
        <v>227</v>
      </c>
      <c r="E10" s="74">
        <v>140000</v>
      </c>
      <c r="F10" s="74">
        <v>120000</v>
      </c>
      <c r="G10" s="74">
        <v>100000</v>
      </c>
      <c r="H10" s="79"/>
    </row>
    <row r="11" spans="1:15">
      <c r="C11" s="78" t="s">
        <v>235</v>
      </c>
      <c r="D11" s="77" t="s">
        <v>227</v>
      </c>
      <c r="E11" s="74">
        <v>270000</v>
      </c>
      <c r="F11" s="74">
        <v>200000</v>
      </c>
      <c r="G11" s="74">
        <v>170000</v>
      </c>
      <c r="H11" s="79"/>
    </row>
    <row r="12" spans="1:15">
      <c r="C12" s="78" t="s">
        <v>236</v>
      </c>
      <c r="D12" s="77" t="s">
        <v>227</v>
      </c>
      <c r="E12" s="74">
        <v>110000</v>
      </c>
      <c r="F12" s="74">
        <v>90000</v>
      </c>
      <c r="G12" s="74">
        <v>90000</v>
      </c>
      <c r="H12" s="79"/>
    </row>
    <row r="13" spans="1:15">
      <c r="C13" s="78" t="s">
        <v>237</v>
      </c>
      <c r="D13" s="77" t="s">
        <v>227</v>
      </c>
      <c r="E13" s="74">
        <v>170000</v>
      </c>
      <c r="F13" s="74">
        <v>150000</v>
      </c>
      <c r="G13" s="74">
        <v>140000</v>
      </c>
      <c r="H13" s="79"/>
    </row>
    <row r="14" spans="1:15">
      <c r="C14" s="77" t="s">
        <v>238</v>
      </c>
      <c r="D14" s="77" t="s">
        <v>231</v>
      </c>
      <c r="E14" s="74">
        <v>10700</v>
      </c>
      <c r="F14" s="74">
        <v>9600</v>
      </c>
      <c r="G14" s="74">
        <v>8900</v>
      </c>
      <c r="H14" s="79"/>
    </row>
    <row r="15" spans="1:15">
      <c r="C15" s="77" t="s">
        <v>239</v>
      </c>
      <c r="D15" s="77" t="s">
        <v>240</v>
      </c>
      <c r="E15">
        <v>40</v>
      </c>
      <c r="F15">
        <v>40</v>
      </c>
      <c r="G15">
        <v>40</v>
      </c>
    </row>
    <row r="17" spans="1:15">
      <c r="A17" s="7">
        <v>2</v>
      </c>
      <c r="B17" s="2">
        <v>1</v>
      </c>
      <c r="C17" s="80" t="s">
        <v>241</v>
      </c>
      <c r="D17" s="81"/>
      <c r="E17" s="81"/>
      <c r="F17" s="81"/>
      <c r="G17" s="81"/>
      <c r="H17" s="82"/>
      <c r="I17" s="81"/>
      <c r="J17" s="81"/>
      <c r="K17" s="81"/>
      <c r="L17" s="81"/>
      <c r="M17" s="81"/>
      <c r="N17" s="81"/>
      <c r="O17" s="81"/>
    </row>
    <row r="18" spans="1:15">
      <c r="C18" t="s">
        <v>226</v>
      </c>
      <c r="D18" t="s">
        <v>227</v>
      </c>
      <c r="E18" s="74">
        <v>380000</v>
      </c>
      <c r="F18" s="74">
        <v>330000</v>
      </c>
      <c r="G18" s="74">
        <v>290000</v>
      </c>
      <c r="H18" s="75" t="s">
        <v>228</v>
      </c>
      <c r="I18" s="74">
        <f>E18</f>
        <v>380000</v>
      </c>
      <c r="J18">
        <f>IF($H18="▼",$F18-$F18*$J$4,IF($H18="▲",$F18+$F18*$J$4,$F18))</f>
        <v>280500</v>
      </c>
      <c r="K18">
        <f>IF($H18="▼",$G18-$G18*$K$4,IF($H18="▲",$G18+$G18*$K$4,$G18))</f>
        <v>232000</v>
      </c>
      <c r="L18" s="76" t="s">
        <v>229</v>
      </c>
      <c r="M18" s="74">
        <f>E18</f>
        <v>380000</v>
      </c>
      <c r="N18">
        <f>IF($L18="▼",$F18-$F18*$N$4,IF($L18="▲",$F18+$F18*$N$4,$F18))</f>
        <v>379500</v>
      </c>
      <c r="O18">
        <f>IF($L18="▼",$F18-$F18*$O$4,IF($L18="▲",$F18+$F18*$O$4,$F18))</f>
        <v>396000</v>
      </c>
    </row>
    <row r="19" spans="1:15">
      <c r="C19" t="s">
        <v>230</v>
      </c>
      <c r="D19" t="s">
        <v>231</v>
      </c>
      <c r="E19" s="74">
        <v>9500</v>
      </c>
      <c r="F19" s="74">
        <v>8100</v>
      </c>
      <c r="G19" s="74">
        <v>7400</v>
      </c>
      <c r="H19" s="75" t="s">
        <v>228</v>
      </c>
      <c r="I19" s="74">
        <f>E19</f>
        <v>9500</v>
      </c>
      <c r="J19">
        <f>IF($H19="▼",$F19-$F19*$J$4,IF($H19="▲",$F19+$F19*$J$4,$F19))</f>
        <v>6885</v>
      </c>
      <c r="K19">
        <f>IF($H19="▼",$G19-$G19*$K$4,IF($H19="▲",$G19+$G19*$K$4,$G19))</f>
        <v>5920</v>
      </c>
      <c r="L19" s="76" t="s">
        <v>229</v>
      </c>
      <c r="M19" s="74">
        <f>E19</f>
        <v>9500</v>
      </c>
      <c r="N19">
        <f>IF($L19="▼",$F19-$F19*$N$4,IF($L19="▲",$F19+$F19*$N$4,$F19))</f>
        <v>9315</v>
      </c>
      <c r="O19">
        <f>IF($L19="▼",$F19-$F19*$O$4,IF($L19="▲",$F19+$F19*$O$4,$F19))</f>
        <v>9720</v>
      </c>
    </row>
    <row r="20" spans="1:15">
      <c r="C20" s="77" t="s">
        <v>232</v>
      </c>
      <c r="D20" s="77"/>
    </row>
    <row r="21" spans="1:15">
      <c r="C21" s="78" t="s">
        <v>233</v>
      </c>
      <c r="D21" s="77" t="s">
        <v>227</v>
      </c>
      <c r="E21" s="74">
        <v>50000</v>
      </c>
      <c r="F21" s="74">
        <v>40000</v>
      </c>
      <c r="G21" s="74">
        <v>40000</v>
      </c>
    </row>
    <row r="22" spans="1:15">
      <c r="C22" s="78" t="s">
        <v>234</v>
      </c>
      <c r="D22" s="77" t="s">
        <v>227</v>
      </c>
      <c r="E22" s="74">
        <v>20000</v>
      </c>
      <c r="F22" s="74">
        <v>20000</v>
      </c>
      <c r="G22" s="74">
        <v>10000</v>
      </c>
    </row>
    <row r="23" spans="1:15">
      <c r="C23" s="78" t="s">
        <v>235</v>
      </c>
      <c r="D23" s="77" t="s">
        <v>227</v>
      </c>
      <c r="E23" s="74">
        <v>140000</v>
      </c>
      <c r="F23" s="74">
        <v>110000</v>
      </c>
      <c r="G23" s="74">
        <v>90000</v>
      </c>
    </row>
    <row r="24" spans="1:15">
      <c r="C24" s="78" t="s">
        <v>236</v>
      </c>
      <c r="D24" s="77" t="s">
        <v>227</v>
      </c>
      <c r="E24" s="74">
        <v>100000</v>
      </c>
      <c r="F24" s="74">
        <v>90000</v>
      </c>
      <c r="G24" s="74">
        <v>90000</v>
      </c>
    </row>
    <row r="25" spans="1:15">
      <c r="C25" s="78" t="s">
        <v>237</v>
      </c>
      <c r="D25" s="77" t="s">
        <v>227</v>
      </c>
      <c r="E25" s="74">
        <v>40000</v>
      </c>
      <c r="F25" s="74">
        <v>40000</v>
      </c>
      <c r="G25" s="74">
        <v>30000</v>
      </c>
    </row>
    <row r="26" spans="1:15">
      <c r="C26" s="78" t="s">
        <v>242</v>
      </c>
      <c r="D26" s="77" t="s">
        <v>227</v>
      </c>
      <c r="E26" s="74">
        <v>30000</v>
      </c>
      <c r="F26" s="74">
        <v>30000</v>
      </c>
      <c r="G26" s="74">
        <v>30000</v>
      </c>
    </row>
    <row r="27" spans="1:15">
      <c r="C27" s="77" t="s">
        <v>238</v>
      </c>
      <c r="D27" s="77" t="s">
        <v>231</v>
      </c>
      <c r="E27" s="74">
        <v>9500</v>
      </c>
      <c r="F27" s="74">
        <v>8100</v>
      </c>
      <c r="G27" s="74">
        <v>7400</v>
      </c>
    </row>
    <row r="28" spans="1:15">
      <c r="C28" s="77" t="s">
        <v>239</v>
      </c>
      <c r="D28" s="77" t="s">
        <v>240</v>
      </c>
      <c r="E28">
        <v>40</v>
      </c>
      <c r="F28">
        <v>40</v>
      </c>
      <c r="G28">
        <v>40</v>
      </c>
    </row>
    <row r="30" spans="1:15">
      <c r="A30" s="7">
        <v>3</v>
      </c>
      <c r="B30" s="2">
        <v>1</v>
      </c>
      <c r="C30" s="80" t="s">
        <v>243</v>
      </c>
      <c r="D30" s="81"/>
      <c r="E30" s="81"/>
      <c r="F30" s="81"/>
      <c r="G30" s="81"/>
      <c r="H30" s="82"/>
      <c r="I30" s="81"/>
      <c r="J30" s="81"/>
      <c r="K30" s="81"/>
      <c r="L30" s="81"/>
      <c r="M30" s="81"/>
      <c r="N30" s="81"/>
      <c r="O30" s="81"/>
    </row>
    <row r="31" spans="1:15">
      <c r="C31" t="s">
        <v>226</v>
      </c>
      <c r="D31" t="s">
        <v>227</v>
      </c>
      <c r="E31" s="74">
        <v>450000</v>
      </c>
      <c r="F31" s="74">
        <v>390000</v>
      </c>
      <c r="G31" s="74">
        <v>350000</v>
      </c>
      <c r="H31" s="75" t="s">
        <v>228</v>
      </c>
      <c r="I31" s="74">
        <f>E31</f>
        <v>450000</v>
      </c>
      <c r="J31">
        <f>IF($H31="▼",$F31-$F31*$J$4,IF($H31="▲",$F31+$F31*$J$4,$F31))</f>
        <v>331500</v>
      </c>
      <c r="K31">
        <f>IF($H31="▼",$G31-$G31*$K$4,IF($H31="▲",$G31+$G31*$K$4,$G31))</f>
        <v>280000</v>
      </c>
      <c r="L31" s="76" t="s">
        <v>229</v>
      </c>
      <c r="M31" s="74">
        <f>E31</f>
        <v>450000</v>
      </c>
      <c r="N31">
        <f>IF($L31="▼",$F31-$F31*$N$4,IF($L31="▲",$F31+$F31*$N$4,$F31))</f>
        <v>448500</v>
      </c>
      <c r="O31">
        <f>IF($L31="▼",$F31-$F31*$O$4,IF($L31="▲",$F31+$F31*$O$4,$F31))</f>
        <v>468000</v>
      </c>
    </row>
    <row r="32" spans="1:15">
      <c r="C32" t="s">
        <v>230</v>
      </c>
      <c r="D32" t="s">
        <v>231</v>
      </c>
      <c r="E32" s="74">
        <v>10400</v>
      </c>
      <c r="F32" s="74">
        <v>9400</v>
      </c>
      <c r="G32" s="74">
        <v>9000</v>
      </c>
      <c r="H32" s="75" t="s">
        <v>228</v>
      </c>
      <c r="I32" s="74">
        <f>E32</f>
        <v>10400</v>
      </c>
      <c r="J32">
        <f>IF($H32="▼",$F32-$F32*$J$4,IF($H32="▲",$F32+$F32*$J$4,$F32))</f>
        <v>7990</v>
      </c>
      <c r="K32">
        <f>IF($H32="▼",$G32-$G32*$K$4,IF($H32="▲",$G32+$G32*$K$4,$G32))</f>
        <v>7200</v>
      </c>
      <c r="L32" s="76" t="s">
        <v>229</v>
      </c>
      <c r="M32" s="74">
        <f>E32</f>
        <v>10400</v>
      </c>
      <c r="N32">
        <f>IF($L32="▼",$F32-$F32*$N$4,IF($L32="▲",$F32+$F32*$N$4,$F32))</f>
        <v>10810</v>
      </c>
      <c r="O32">
        <f>IF($L32="▼",$F32-$F32*$O$4,IF($L32="▲",$F32+$F32*$O$4,$F32))</f>
        <v>11280</v>
      </c>
    </row>
    <row r="33" spans="1:15">
      <c r="C33" s="77" t="s">
        <v>232</v>
      </c>
      <c r="D33" s="77"/>
    </row>
    <row r="34" spans="1:15">
      <c r="C34" s="78" t="s">
        <v>233</v>
      </c>
      <c r="D34" s="77" t="s">
        <v>227</v>
      </c>
      <c r="E34" s="74">
        <v>50000</v>
      </c>
      <c r="F34" s="74">
        <v>40000</v>
      </c>
      <c r="G34" s="74">
        <v>40000</v>
      </c>
    </row>
    <row r="35" spans="1:15">
      <c r="C35" s="78" t="s">
        <v>234</v>
      </c>
      <c r="D35" s="77" t="s">
        <v>227</v>
      </c>
      <c r="E35" s="74">
        <v>20000</v>
      </c>
      <c r="F35" s="74">
        <v>20000</v>
      </c>
      <c r="G35" s="74">
        <v>10000</v>
      </c>
    </row>
    <row r="36" spans="1:15">
      <c r="C36" s="78" t="s">
        <v>235</v>
      </c>
      <c r="D36" s="77" t="s">
        <v>227</v>
      </c>
      <c r="E36" s="74">
        <v>140000</v>
      </c>
      <c r="F36" s="74">
        <v>110000</v>
      </c>
      <c r="G36" s="74">
        <v>90000</v>
      </c>
    </row>
    <row r="37" spans="1:15">
      <c r="C37" s="78" t="s">
        <v>244</v>
      </c>
      <c r="D37" s="77" t="s">
        <v>227</v>
      </c>
      <c r="E37" s="74">
        <v>70000</v>
      </c>
      <c r="F37" s="74">
        <v>60000</v>
      </c>
      <c r="G37" s="74">
        <v>60000</v>
      </c>
    </row>
    <row r="38" spans="1:15">
      <c r="C38" s="78" t="s">
        <v>236</v>
      </c>
      <c r="D38" s="77" t="s">
        <v>227</v>
      </c>
      <c r="E38" s="74">
        <v>100000</v>
      </c>
      <c r="F38" s="74">
        <v>90000</v>
      </c>
      <c r="G38" s="74">
        <v>90000</v>
      </c>
    </row>
    <row r="39" spans="1:15">
      <c r="C39" s="78" t="s">
        <v>237</v>
      </c>
      <c r="D39" s="77" t="s">
        <v>227</v>
      </c>
      <c r="E39" s="74">
        <v>30000</v>
      </c>
      <c r="F39" s="74">
        <v>30000</v>
      </c>
      <c r="G39" s="74">
        <v>30000</v>
      </c>
    </row>
    <row r="40" spans="1:15">
      <c r="C40" s="78" t="s">
        <v>242</v>
      </c>
      <c r="D40" s="77" t="s">
        <v>227</v>
      </c>
      <c r="E40" s="74">
        <v>40000</v>
      </c>
      <c r="F40" s="74">
        <v>40000</v>
      </c>
      <c r="G40" s="74">
        <v>30000</v>
      </c>
    </row>
    <row r="41" spans="1:15">
      <c r="C41" s="77" t="s">
        <v>238</v>
      </c>
      <c r="D41" s="77" t="s">
        <v>231</v>
      </c>
      <c r="E41" s="74">
        <v>10400</v>
      </c>
      <c r="F41" s="74">
        <v>9400</v>
      </c>
      <c r="G41" s="74">
        <v>9000</v>
      </c>
    </row>
    <row r="42" spans="1:15">
      <c r="C42" s="77" t="s">
        <v>239</v>
      </c>
      <c r="D42" s="77" t="s">
        <v>240</v>
      </c>
      <c r="E42">
        <v>40</v>
      </c>
      <c r="F42">
        <v>40</v>
      </c>
      <c r="G42">
        <v>40</v>
      </c>
    </row>
    <row r="44" spans="1:15">
      <c r="A44" s="7">
        <v>4</v>
      </c>
      <c r="B44" s="2">
        <v>2</v>
      </c>
      <c r="C44" s="83" t="s">
        <v>245</v>
      </c>
      <c r="D44" s="84"/>
      <c r="E44" s="84"/>
      <c r="F44" s="84"/>
      <c r="G44" s="84"/>
      <c r="H44" s="85"/>
      <c r="I44" s="84"/>
      <c r="J44" s="84"/>
      <c r="K44" s="84"/>
      <c r="L44" s="84"/>
      <c r="M44" s="84"/>
      <c r="N44" s="84"/>
      <c r="O44" s="84"/>
    </row>
    <row r="45" spans="1:15">
      <c r="C45" t="s">
        <v>226</v>
      </c>
      <c r="D45" t="s">
        <v>227</v>
      </c>
      <c r="E45" s="74">
        <v>359450</v>
      </c>
      <c r="F45" s="74">
        <v>314860</v>
      </c>
      <c r="G45" s="74">
        <v>269360</v>
      </c>
      <c r="H45" s="75" t="s">
        <v>228</v>
      </c>
      <c r="I45" s="74">
        <f>E45</f>
        <v>359450</v>
      </c>
      <c r="J45">
        <f>IF($H45="▼",$F45-$F45*$J$4,IF($H45="▲",$F45+$F45*$J$4,$F45))</f>
        <v>267631</v>
      </c>
      <c r="K45">
        <f>IF($H45="▼",$G45-$G45*$K$4,IF($H45="▲",$G45+$G45*$K$4,$G45))</f>
        <v>215488</v>
      </c>
      <c r="L45" s="76" t="s">
        <v>229</v>
      </c>
      <c r="M45" s="74">
        <f>E45</f>
        <v>359450</v>
      </c>
      <c r="N45">
        <f>IF($L45="▼",$F45-$F45*$N$4,IF($L45="▲",$F45+$F45*$N$4,$F45))</f>
        <v>362089</v>
      </c>
      <c r="O45">
        <f>IF($L45="▼",$F45-$F45*$O$4,IF($L45="▲",$F45+$F45*$O$4,$F45))</f>
        <v>377832</v>
      </c>
    </row>
    <row r="46" spans="1:15">
      <c r="C46" t="s">
        <v>230</v>
      </c>
      <c r="D46" t="s">
        <v>231</v>
      </c>
      <c r="E46" s="74">
        <v>9100</v>
      </c>
      <c r="F46" s="74">
        <v>8190</v>
      </c>
      <c r="G46" s="74">
        <v>6370</v>
      </c>
      <c r="H46" s="75" t="s">
        <v>228</v>
      </c>
      <c r="I46" s="74">
        <f>E46</f>
        <v>9100</v>
      </c>
      <c r="J46">
        <f>IF($H46="▼",$F46-$F46*$J$4,IF($H46="▲",$F46+$F46*$J$4,$F46))</f>
        <v>6961.5</v>
      </c>
      <c r="K46">
        <f>IF($H46="▼",$G46-$G46*$K$4,IF($H46="▲",$G46+$G46*$K$4,$G46))</f>
        <v>5096</v>
      </c>
      <c r="L46" s="76" t="s">
        <v>229</v>
      </c>
      <c r="M46" s="74">
        <f>E46</f>
        <v>9100</v>
      </c>
      <c r="N46">
        <f>IF($L46="▼",$F46-$F46*$N$4,IF($L46="▲",$F46+$F46*$N$4,$F46))</f>
        <v>9418.5</v>
      </c>
      <c r="O46">
        <f>IF($L46="▼",$F46-$F46*$O$4,IF($L46="▲",$F46+$F46*$O$4,$F46))</f>
        <v>9828</v>
      </c>
    </row>
    <row r="47" spans="1:15">
      <c r="C47" s="77" t="s">
        <v>246</v>
      </c>
      <c r="D47" s="77" t="s">
        <v>227</v>
      </c>
      <c r="E47" s="74">
        <v>359450</v>
      </c>
      <c r="F47" s="74">
        <v>314860</v>
      </c>
      <c r="G47" s="74">
        <v>269360</v>
      </c>
    </row>
    <row r="48" spans="1:15">
      <c r="C48" s="77" t="s">
        <v>238</v>
      </c>
      <c r="D48" s="77" t="s">
        <v>231</v>
      </c>
      <c r="E48" s="74">
        <v>9100</v>
      </c>
      <c r="F48" s="74">
        <v>8190</v>
      </c>
      <c r="G48" s="74">
        <v>6370</v>
      </c>
    </row>
    <row r="49" spans="1:15">
      <c r="C49" s="77" t="s">
        <v>239</v>
      </c>
      <c r="D49" s="77" t="s">
        <v>247</v>
      </c>
      <c r="E49">
        <v>30</v>
      </c>
      <c r="F49">
        <v>30</v>
      </c>
      <c r="G49">
        <v>30</v>
      </c>
    </row>
    <row r="51" spans="1:15">
      <c r="A51" s="7">
        <v>5</v>
      </c>
      <c r="B51" s="2">
        <v>2</v>
      </c>
      <c r="C51" s="86" t="s">
        <v>248</v>
      </c>
      <c r="D51" s="87"/>
      <c r="E51" s="87"/>
      <c r="F51" s="87"/>
      <c r="G51" s="87"/>
      <c r="H51" s="88"/>
      <c r="I51" s="87"/>
      <c r="J51" s="87"/>
      <c r="K51" s="87"/>
      <c r="L51" s="87"/>
      <c r="M51" s="87"/>
      <c r="N51" s="87"/>
      <c r="O51" s="87"/>
    </row>
    <row r="52" spans="1:15">
      <c r="C52" t="s">
        <v>226</v>
      </c>
      <c r="D52" t="s">
        <v>227</v>
      </c>
      <c r="E52" s="74">
        <v>1475110</v>
      </c>
      <c r="F52" s="74">
        <v>1290380</v>
      </c>
      <c r="G52" s="74">
        <v>1105650</v>
      </c>
      <c r="H52" s="75" t="s">
        <v>228</v>
      </c>
      <c r="I52" s="74">
        <f>E52</f>
        <v>1475110</v>
      </c>
      <c r="J52">
        <f>IF($H52="▼",$F52-$F52*$J$4,IF($H52="▲",$F52+$F52*$J$4,$F52))</f>
        <v>1096823</v>
      </c>
      <c r="K52">
        <f>IF($H52="▼",$G52-$G52*$K$4,IF($H52="▲",$G52+$G52*$K$4,$G52))</f>
        <v>884520</v>
      </c>
      <c r="L52" s="76" t="s">
        <v>229</v>
      </c>
      <c r="M52" s="74">
        <f>E52</f>
        <v>1475110</v>
      </c>
      <c r="N52">
        <f>IF($L52="▼",$F52-$F52*$N$4,IF($L52="▲",$F52+$F52*$N$4,$F52))</f>
        <v>1483937</v>
      </c>
      <c r="O52">
        <f>IF($L52="▼",$F52-$F52*$O$4,IF($L52="▲",$F52+$F52*$O$4,$F52))</f>
        <v>1548456</v>
      </c>
    </row>
    <row r="53" spans="1:15">
      <c r="C53" t="s">
        <v>230</v>
      </c>
      <c r="D53" t="s">
        <v>231</v>
      </c>
      <c r="E53" s="74">
        <v>37310</v>
      </c>
      <c r="F53" s="74">
        <v>31850</v>
      </c>
      <c r="G53" s="74">
        <v>27300</v>
      </c>
      <c r="H53" s="75" t="s">
        <v>228</v>
      </c>
      <c r="I53" s="74">
        <f>E53</f>
        <v>37310</v>
      </c>
      <c r="J53">
        <f>IF($H53="▼",$F53-$F53*$J$4,IF($H53="▲",$F53+$F53*$J$4,$F53))</f>
        <v>27072.5</v>
      </c>
      <c r="K53">
        <f>IF($H53="▼",$G53-$G53*$K$4,IF($H53="▲",$G53+$G53*$K$4,$G53))</f>
        <v>21840</v>
      </c>
      <c r="L53" s="76" t="s">
        <v>229</v>
      </c>
      <c r="M53" s="74">
        <f>E53</f>
        <v>37310</v>
      </c>
      <c r="N53">
        <f>IF($L53="▼",$F53-$F53*$N$4,IF($L53="▲",$F53+$F53*$N$4,$F53))</f>
        <v>36627.5</v>
      </c>
      <c r="O53">
        <f>IF($L53="▼",$F53-$F53*$O$4,IF($L53="▲",$F53+$F53*$O$4,$F53))</f>
        <v>38220</v>
      </c>
    </row>
    <row r="54" spans="1:15">
      <c r="C54" s="77" t="s">
        <v>246</v>
      </c>
      <c r="D54" s="77" t="s">
        <v>227</v>
      </c>
      <c r="E54" s="74">
        <v>1475110</v>
      </c>
      <c r="F54" s="74">
        <v>1290380</v>
      </c>
      <c r="G54" s="74">
        <v>1105650</v>
      </c>
    </row>
    <row r="55" spans="1:15">
      <c r="C55" s="77" t="s">
        <v>238</v>
      </c>
      <c r="D55" s="77" t="s">
        <v>231</v>
      </c>
      <c r="E55" s="74">
        <v>37310</v>
      </c>
      <c r="F55" s="74">
        <v>31850</v>
      </c>
      <c r="G55" s="74">
        <v>27300</v>
      </c>
    </row>
    <row r="56" spans="1:15">
      <c r="C56" s="77" t="s">
        <v>239</v>
      </c>
      <c r="D56" s="77" t="s">
        <v>247</v>
      </c>
      <c r="E56">
        <v>30</v>
      </c>
      <c r="F56">
        <v>30</v>
      </c>
      <c r="G56">
        <v>30</v>
      </c>
    </row>
    <row r="58" spans="1:15">
      <c r="A58" s="2">
        <v>6</v>
      </c>
      <c r="B58" s="2">
        <v>1</v>
      </c>
      <c r="C58" s="89" t="s">
        <v>249</v>
      </c>
      <c r="D58" s="90"/>
      <c r="E58" s="90"/>
      <c r="F58" s="90"/>
      <c r="G58" s="90"/>
      <c r="H58" s="91"/>
      <c r="I58" s="90"/>
      <c r="J58" s="90"/>
      <c r="K58" s="90"/>
      <c r="L58" s="90"/>
      <c r="M58" s="90"/>
      <c r="N58" s="90"/>
      <c r="O58" s="90"/>
    </row>
    <row r="59" spans="1:15">
      <c r="C59" t="s">
        <v>226</v>
      </c>
      <c r="D59" t="s">
        <v>227</v>
      </c>
      <c r="E59" s="74">
        <v>1040000</v>
      </c>
      <c r="F59" s="74">
        <v>990000</v>
      </c>
      <c r="G59" s="74">
        <v>970000</v>
      </c>
      <c r="H59" s="75" t="s">
        <v>228</v>
      </c>
      <c r="I59" s="74">
        <f>E59</f>
        <v>1040000</v>
      </c>
      <c r="J59">
        <f>IF($H59="▼",$F59-$F59*$J$4,IF($H59="▲",$F59+$F59*$J$4,$F59))</f>
        <v>841500</v>
      </c>
      <c r="K59">
        <f>IF($H59="▼",$G59-$G59*$K$4,IF($H59="▲",$G59+$G59*$K$4,$G59))</f>
        <v>776000</v>
      </c>
      <c r="L59" s="76" t="s">
        <v>229</v>
      </c>
      <c r="M59" s="74">
        <f>E59</f>
        <v>1040000</v>
      </c>
      <c r="N59">
        <f>IF($L59="▼",$F59-$F59*$N$4,IF($L59="▲",$F59+$F59*$N$4,$F59))</f>
        <v>1138500</v>
      </c>
      <c r="O59">
        <f>IF($L59="▼",$F59-$F59*$O$4,IF($L59="▲",$F59+$F59*$O$4,$F59))</f>
        <v>1188000</v>
      </c>
    </row>
    <row r="60" spans="1:15">
      <c r="C60" t="s">
        <v>230</v>
      </c>
      <c r="D60" t="s">
        <v>231</v>
      </c>
      <c r="E60" s="74">
        <v>12600</v>
      </c>
      <c r="F60" s="74">
        <v>11592</v>
      </c>
      <c r="G60" s="74">
        <v>11340</v>
      </c>
      <c r="H60" s="75" t="s">
        <v>228</v>
      </c>
      <c r="I60" s="74">
        <f>E60</f>
        <v>12600</v>
      </c>
      <c r="J60">
        <f>IF($H60="▼",$F60-$F60*$J$4,IF($H60="▲",$F60+$F60*$J$4,$F60))</f>
        <v>9853.2000000000007</v>
      </c>
      <c r="K60">
        <f>IF($H60="▼",$G60-$G60*$K$4,IF($H60="▲",$G60+$G60*$K$4,$G60))</f>
        <v>9072</v>
      </c>
      <c r="L60" s="76" t="s">
        <v>229</v>
      </c>
      <c r="M60" s="74">
        <f>E60</f>
        <v>12600</v>
      </c>
      <c r="N60">
        <f>IF($L60="▼",$F60-$F60*$N$4,IF($L60="▲",$F60+$F60*$N$4,$F60))</f>
        <v>13330.8</v>
      </c>
      <c r="O60">
        <f>IF($L60="▼",$F60-$F60*$O$4,IF($L60="▲",$F60+$F60*$O$4,$F60))</f>
        <v>13910.4</v>
      </c>
    </row>
    <row r="61" spans="1:15">
      <c r="C61" s="77" t="s">
        <v>246</v>
      </c>
      <c r="D61" s="77"/>
    </row>
    <row r="62" spans="1:15">
      <c r="C62" s="78" t="s">
        <v>250</v>
      </c>
      <c r="D62" s="77" t="s">
        <v>227</v>
      </c>
      <c r="E62" s="74">
        <v>640000</v>
      </c>
      <c r="F62" s="74">
        <v>590000</v>
      </c>
      <c r="G62" s="74">
        <v>580000</v>
      </c>
    </row>
    <row r="63" spans="1:15">
      <c r="C63" s="78" t="s">
        <v>251</v>
      </c>
      <c r="D63" s="77" t="s">
        <v>227</v>
      </c>
      <c r="E63" s="74">
        <v>80000</v>
      </c>
      <c r="F63" s="74">
        <v>80000</v>
      </c>
      <c r="G63" s="74">
        <v>70000</v>
      </c>
    </row>
    <row r="64" spans="1:15">
      <c r="C64" s="78" t="s">
        <v>252</v>
      </c>
      <c r="D64" s="77" t="s">
        <v>227</v>
      </c>
      <c r="E64" s="74">
        <v>50000</v>
      </c>
      <c r="F64" s="74">
        <v>50000</v>
      </c>
      <c r="G64" s="74">
        <v>50000</v>
      </c>
    </row>
    <row r="65" spans="1:15">
      <c r="C65" s="78" t="s">
        <v>253</v>
      </c>
      <c r="D65" s="77" t="s">
        <v>227</v>
      </c>
      <c r="E65" s="74">
        <v>90000</v>
      </c>
      <c r="F65" s="74">
        <v>90000</v>
      </c>
      <c r="G65" s="74">
        <v>90000</v>
      </c>
    </row>
    <row r="66" spans="1:15">
      <c r="C66" s="78" t="s">
        <v>254</v>
      </c>
      <c r="D66" s="77" t="s">
        <v>227</v>
      </c>
      <c r="E66" s="74">
        <v>40000</v>
      </c>
      <c r="F66" s="74">
        <v>40000</v>
      </c>
      <c r="G66" s="74">
        <v>40000</v>
      </c>
    </row>
    <row r="67" spans="1:15">
      <c r="C67" s="78" t="s">
        <v>255</v>
      </c>
      <c r="D67" s="77" t="s">
        <v>227</v>
      </c>
      <c r="E67" s="74">
        <v>140000</v>
      </c>
      <c r="F67" s="74">
        <v>140000</v>
      </c>
      <c r="G67" s="74">
        <v>140000</v>
      </c>
    </row>
    <row r="68" spans="1:15">
      <c r="C68" s="77" t="s">
        <v>238</v>
      </c>
      <c r="D68" s="77" t="s">
        <v>231</v>
      </c>
      <c r="E68" s="74">
        <v>12600</v>
      </c>
      <c r="F68" s="74">
        <v>11592</v>
      </c>
      <c r="G68" s="74">
        <v>11340</v>
      </c>
    </row>
    <row r="69" spans="1:15">
      <c r="C69" s="77" t="s">
        <v>239</v>
      </c>
      <c r="D69" s="77" t="s">
        <v>240</v>
      </c>
      <c r="E69">
        <v>30</v>
      </c>
      <c r="F69">
        <v>30</v>
      </c>
      <c r="G69">
        <v>30</v>
      </c>
    </row>
    <row r="71" spans="1:15">
      <c r="A71" s="2">
        <v>7</v>
      </c>
      <c r="B71" s="2">
        <v>1</v>
      </c>
      <c r="C71" s="92" t="s">
        <v>256</v>
      </c>
      <c r="D71" s="93"/>
      <c r="E71" s="93"/>
      <c r="F71" s="93"/>
      <c r="G71" s="93"/>
      <c r="H71" s="94"/>
      <c r="I71" s="93"/>
      <c r="J71" s="93"/>
      <c r="K71" s="93"/>
      <c r="L71" s="93"/>
      <c r="M71" s="93"/>
      <c r="N71" s="93"/>
      <c r="O71" s="93"/>
    </row>
    <row r="72" spans="1:15">
      <c r="C72" t="s">
        <v>226</v>
      </c>
      <c r="D72" t="s">
        <v>227</v>
      </c>
      <c r="E72">
        <v>1800000</v>
      </c>
      <c r="F72">
        <v>1650000</v>
      </c>
      <c r="G72" s="74">
        <v>1640000</v>
      </c>
      <c r="H72" s="76" t="s">
        <v>229</v>
      </c>
      <c r="I72" s="74">
        <f>E72</f>
        <v>1800000</v>
      </c>
      <c r="J72">
        <f>IF($H72="▼",$F72-$F72*$J$4,IF($H72="▲",$F72+$F72*$J$4,$F72))</f>
        <v>1897500</v>
      </c>
      <c r="K72">
        <f>IF($H72="▼",$G72-$G72*$K$4,IF($H72="▲",$G72+$G72*$K$4,$G72))</f>
        <v>1968000</v>
      </c>
      <c r="L72" s="75" t="s">
        <v>228</v>
      </c>
      <c r="M72" s="74">
        <f>E72</f>
        <v>1800000</v>
      </c>
      <c r="N72">
        <f>IF($L72="▼",$F72-$F72*$N$4,IF($L72="▲",$F72+$F72*$N$4,$F72))</f>
        <v>1402500</v>
      </c>
      <c r="O72">
        <f>IF($L72="▼",$F72-$F72*$O$4,IF($L72="▲",$F72+$F72*$O$4,$F72))</f>
        <v>1320000</v>
      </c>
    </row>
    <row r="73" spans="1:15">
      <c r="C73" t="s">
        <v>230</v>
      </c>
      <c r="D73" t="s">
        <v>231</v>
      </c>
      <c r="E73" s="74">
        <v>58000</v>
      </c>
      <c r="F73" s="74">
        <v>51000</v>
      </c>
      <c r="G73" s="74">
        <v>49000</v>
      </c>
      <c r="H73" s="76" t="s">
        <v>229</v>
      </c>
      <c r="I73" s="74">
        <f>E73</f>
        <v>58000</v>
      </c>
      <c r="J73">
        <f>IF($H73="▼",$F73-$F73*$J$4,IF($H73="▲",$F73+$F73*$J$4,$F73))</f>
        <v>58650</v>
      </c>
      <c r="K73">
        <f>IF($H73="▼",$G73-$G73*$K$4,IF($H73="▲",$G73+$G73*$K$4,$G73))</f>
        <v>58800</v>
      </c>
      <c r="L73" s="75" t="s">
        <v>228</v>
      </c>
      <c r="M73" s="74">
        <f>E73</f>
        <v>58000</v>
      </c>
      <c r="N73">
        <f>IF($L73="▼",$F73-$F73*$N$4,IF($L73="▲",$F73+$F73*$N$4,$F73))</f>
        <v>43350</v>
      </c>
      <c r="O73">
        <f>IF($L73="▼",$F73-$F73*$O$4,IF($L73="▲",$F73+$F73*$O$4,$F73))</f>
        <v>40800</v>
      </c>
    </row>
    <row r="74" spans="1:15">
      <c r="C74" s="77" t="s">
        <v>232</v>
      </c>
      <c r="D74" s="77" t="s">
        <v>227</v>
      </c>
      <c r="E74">
        <v>1800000</v>
      </c>
      <c r="F74">
        <v>1650000</v>
      </c>
      <c r="G74" s="74">
        <v>1640000</v>
      </c>
    </row>
    <row r="75" spans="1:15">
      <c r="C75" s="77" t="s">
        <v>238</v>
      </c>
      <c r="D75" s="77" t="s">
        <v>231</v>
      </c>
      <c r="E75" s="74">
        <v>58000</v>
      </c>
      <c r="F75" s="74">
        <v>51000</v>
      </c>
      <c r="G75" s="74">
        <v>49000</v>
      </c>
    </row>
    <row r="77" spans="1:15">
      <c r="A77" s="2">
        <v>8</v>
      </c>
      <c r="B77" s="2" t="s">
        <v>257</v>
      </c>
      <c r="C77" s="95" t="s">
        <v>258</v>
      </c>
      <c r="D77" s="96"/>
      <c r="E77" s="96"/>
      <c r="F77" s="96"/>
      <c r="G77" s="96"/>
      <c r="H77" s="97"/>
      <c r="I77" s="96"/>
      <c r="J77" s="96"/>
      <c r="K77" s="96"/>
      <c r="L77" s="96"/>
      <c r="M77" s="96"/>
      <c r="N77" s="96"/>
      <c r="O77" s="96"/>
    </row>
    <row r="78" spans="1:15">
      <c r="C78" t="s">
        <v>226</v>
      </c>
      <c r="D78" t="s">
        <v>227</v>
      </c>
      <c r="E78" s="74">
        <v>2470000</v>
      </c>
      <c r="F78" s="74">
        <v>2310000</v>
      </c>
      <c r="G78" s="74">
        <v>2290000</v>
      </c>
      <c r="H78" s="76" t="s">
        <v>229</v>
      </c>
      <c r="I78" s="74">
        <f>E78</f>
        <v>2470000</v>
      </c>
      <c r="J78">
        <f>IF($H78="▼",$F78-$F78*$J$4,IF($H78="▲",$F78+$F78*$J$4,$F78))</f>
        <v>2656500</v>
      </c>
      <c r="K78">
        <f>IF($H78="▼",$G78-$G78*$K$4,IF($H78="▲",$G78+$G78*$K$4,$G78))</f>
        <v>2748000</v>
      </c>
      <c r="L78" s="75" t="s">
        <v>228</v>
      </c>
      <c r="M78" s="74">
        <f>E78</f>
        <v>2470000</v>
      </c>
      <c r="N78">
        <f>IF($L78="▼",$F78-$F78*$N$4,IF($L78="▲",$F78+$F78*$N$4,$F78))</f>
        <v>1963500</v>
      </c>
      <c r="O78">
        <f>IF($L78="▼",$F78-$F78*$O$4,IF($L78="▲",$F78+$F78*$O$4,$F78))</f>
        <v>1848000</v>
      </c>
    </row>
    <row r="79" spans="1:15">
      <c r="C79" t="s">
        <v>230</v>
      </c>
      <c r="D79" t="s">
        <v>231</v>
      </c>
      <c r="E79" s="74">
        <v>73000</v>
      </c>
      <c r="F79" s="74">
        <v>66000</v>
      </c>
      <c r="G79" s="74">
        <v>64000</v>
      </c>
      <c r="H79" s="76" t="s">
        <v>229</v>
      </c>
      <c r="I79" s="74">
        <f>E79</f>
        <v>73000</v>
      </c>
      <c r="J79">
        <f>IF($H79="▼",$F79-$F79*$J$4,IF($H79="▲",$F79+$F79*$J$4,$F79))</f>
        <v>75900</v>
      </c>
      <c r="K79">
        <f>IF($H79="▼",$G79-$G79*$K$4,IF($H79="▲",$G79+$G79*$K$4,$G79))</f>
        <v>76800</v>
      </c>
      <c r="L79" s="75" t="s">
        <v>228</v>
      </c>
      <c r="M79" s="74">
        <f>E79</f>
        <v>73000</v>
      </c>
      <c r="N79">
        <f>IF($L79="▼",$F79-$F79*$N$4,IF($L79="▲",$F79+$F79*$N$4,$F79))</f>
        <v>56100</v>
      </c>
      <c r="O79">
        <f>IF($L79="▼",$F79-$F79*$O$4,IF($L79="▲",$F79+$F79*$O$4,$F79))</f>
        <v>52800</v>
      </c>
    </row>
    <row r="80" spans="1:15">
      <c r="C80" s="77" t="s">
        <v>232</v>
      </c>
      <c r="D80" s="77" t="s">
        <v>227</v>
      </c>
      <c r="E80">
        <v>2470000</v>
      </c>
      <c r="F80">
        <v>2310000</v>
      </c>
      <c r="G80" s="74">
        <v>2290000</v>
      </c>
    </row>
    <row r="81" spans="1:15">
      <c r="C81" s="77" t="s">
        <v>238</v>
      </c>
      <c r="D81" s="77" t="s">
        <v>231</v>
      </c>
      <c r="E81" s="74">
        <v>73000</v>
      </c>
      <c r="F81" s="74">
        <v>66000</v>
      </c>
      <c r="G81" s="74">
        <v>64000</v>
      </c>
    </row>
    <row r="83" spans="1:15">
      <c r="A83" s="2">
        <v>9</v>
      </c>
      <c r="B83" s="2" t="s">
        <v>259</v>
      </c>
      <c r="C83" s="98" t="s">
        <v>260</v>
      </c>
      <c r="D83" s="98"/>
      <c r="E83" s="98"/>
      <c r="F83" s="98"/>
      <c r="G83" s="98"/>
      <c r="H83" s="99"/>
      <c r="I83" s="98"/>
      <c r="J83" s="98"/>
      <c r="K83" s="98"/>
      <c r="L83" s="98"/>
      <c r="M83" s="98"/>
      <c r="N83" s="98"/>
      <c r="O83" s="98"/>
    </row>
    <row r="84" spans="1:15">
      <c r="C84" t="s">
        <v>226</v>
      </c>
      <c r="D84" t="s">
        <v>227</v>
      </c>
      <c r="E84" s="74">
        <v>2060000</v>
      </c>
      <c r="F84" s="74">
        <v>1900000</v>
      </c>
      <c r="G84" s="74">
        <v>1880000</v>
      </c>
      <c r="H84" s="76" t="s">
        <v>229</v>
      </c>
      <c r="I84" s="74">
        <f>E84</f>
        <v>2060000</v>
      </c>
      <c r="J84">
        <f>IF($H84="▼",$F84-$F84*$J$4,IF($H84="▲",$F84+$F84*$J$4,$F84))</f>
        <v>2185000</v>
      </c>
      <c r="K84">
        <f>IF($H84="▼",$G84-$G84*$K$4,IF($H84="▲",$G84+$G84*$K$4,$G84))</f>
        <v>2256000</v>
      </c>
      <c r="L84" s="75" t="s">
        <v>228</v>
      </c>
      <c r="M84" s="74">
        <f>E84</f>
        <v>2060000</v>
      </c>
      <c r="N84">
        <f>IF($L84="▼",$F84-$F84*$N$4,IF($L84="▲",$F84+$F84*$N$4,$F84))</f>
        <v>1615000</v>
      </c>
      <c r="O84">
        <f>IF($L84="▼",$F84-$F84*$O$4,IF($L84="▲",$F84+$F84*$O$4,$F84))</f>
        <v>1520000</v>
      </c>
    </row>
    <row r="85" spans="1:15">
      <c r="C85" t="s">
        <v>230</v>
      </c>
      <c r="D85" t="s">
        <v>231</v>
      </c>
      <c r="E85" s="74">
        <v>65000</v>
      </c>
      <c r="F85" s="74">
        <v>58000</v>
      </c>
      <c r="G85" s="74">
        <v>56000</v>
      </c>
      <c r="H85" s="76" t="s">
        <v>229</v>
      </c>
      <c r="I85" s="74">
        <f>E85</f>
        <v>65000</v>
      </c>
      <c r="J85">
        <f>IF($H85="▼",$F85-$F85*$J$4,IF($H85="▲",$F85+$F85*$J$4,$F85))</f>
        <v>66700</v>
      </c>
      <c r="K85">
        <f>IF($H85="▼",$G85-$G85*$K$4,IF($H85="▲",$G85+$G85*$K$4,$G85))</f>
        <v>67200</v>
      </c>
      <c r="L85" s="75" t="s">
        <v>228</v>
      </c>
      <c r="M85" s="74">
        <f>E85</f>
        <v>65000</v>
      </c>
      <c r="N85">
        <f>IF($L85="▼",$F85-$F85*$N$4,IF($L85="▲",$F85+$F85*$N$4,$F85))</f>
        <v>49300</v>
      </c>
      <c r="O85">
        <f>IF($L85="▼",$F85-$F85*$O$4,IF($L85="▲",$F85+$F85*$O$4,$F85))</f>
        <v>46400</v>
      </c>
    </row>
    <row r="86" spans="1:15">
      <c r="C86" s="77" t="s">
        <v>232</v>
      </c>
      <c r="D86" s="77" t="s">
        <v>227</v>
      </c>
      <c r="E86">
        <v>2060000</v>
      </c>
      <c r="F86">
        <v>1900000</v>
      </c>
      <c r="G86" s="74">
        <v>1880000</v>
      </c>
    </row>
    <row r="87" spans="1:15">
      <c r="C87" s="77" t="s">
        <v>238</v>
      </c>
      <c r="D87" s="77" t="s">
        <v>231</v>
      </c>
      <c r="E87" s="74">
        <v>65000</v>
      </c>
      <c r="F87" s="74">
        <v>58000</v>
      </c>
      <c r="G87" s="74">
        <v>56000</v>
      </c>
    </row>
    <row r="89" spans="1:15">
      <c r="A89" s="2">
        <v>10</v>
      </c>
      <c r="B89" s="2" t="s">
        <v>259</v>
      </c>
      <c r="C89" s="100" t="s">
        <v>261</v>
      </c>
      <c r="D89" s="101"/>
      <c r="E89" s="101"/>
      <c r="F89" s="101"/>
      <c r="G89" s="101"/>
      <c r="H89" s="102"/>
      <c r="I89" s="101"/>
      <c r="J89" s="101"/>
      <c r="K89" s="101"/>
      <c r="L89" s="101"/>
      <c r="M89" s="101"/>
      <c r="N89" s="101"/>
      <c r="O89" s="101"/>
    </row>
    <row r="90" spans="1:15">
      <c r="C90" t="s">
        <v>226</v>
      </c>
      <c r="D90" t="s">
        <v>227</v>
      </c>
      <c r="E90" s="74">
        <v>2310000</v>
      </c>
      <c r="F90" s="74">
        <v>2000000</v>
      </c>
      <c r="G90" s="74">
        <v>1900000</v>
      </c>
      <c r="H90" s="76" t="s">
        <v>229</v>
      </c>
      <c r="I90" s="74">
        <f>E90</f>
        <v>2310000</v>
      </c>
      <c r="J90">
        <f>IF($H90="▼",$F90-$F90*$J$4,IF($H90="▲",$F90+$F90*$J$4,$F90))</f>
        <v>2300000</v>
      </c>
      <c r="K90">
        <f>IF($H90="▼",$G90-$G90*$K$4,IF($H90="▲",$G90+$G90*$K$4,$G90))</f>
        <v>2280000</v>
      </c>
      <c r="L90" s="75" t="s">
        <v>228</v>
      </c>
      <c r="M90" s="74">
        <f>E90</f>
        <v>2310000</v>
      </c>
      <c r="N90">
        <f>IF($L90="▼",$F90-$F90*$N$4,IF($L90="▲",$F90+$F90*$N$4,$F90))</f>
        <v>1700000</v>
      </c>
      <c r="O90">
        <f>IF($L90="▼",$F90-$F90*$O$4,IF($L90="▲",$F90+$F90*$O$4,$F90))</f>
        <v>1600000</v>
      </c>
    </row>
    <row r="91" spans="1:15">
      <c r="C91" t="s">
        <v>230</v>
      </c>
      <c r="D91" t="s">
        <v>231</v>
      </c>
      <c r="E91" s="74">
        <v>93000</v>
      </c>
      <c r="F91" s="74">
        <v>78000</v>
      </c>
      <c r="G91" s="74">
        <v>73000</v>
      </c>
      <c r="H91" s="76" t="s">
        <v>229</v>
      </c>
      <c r="I91" s="74">
        <f>E91</f>
        <v>93000</v>
      </c>
      <c r="J91">
        <f>IF($H91="▼",$F91-$F91*$J$4,IF($H91="▲",$F91+$F91*$J$4,$F91))</f>
        <v>89700</v>
      </c>
      <c r="K91">
        <f>IF($H91="▼",$G91-$G91*$K$4,IF($H91="▲",$G91+$G91*$K$4,$G91))</f>
        <v>87600</v>
      </c>
      <c r="L91" s="75" t="s">
        <v>228</v>
      </c>
      <c r="M91" s="74">
        <f>E91</f>
        <v>93000</v>
      </c>
      <c r="N91">
        <f>IF($L91="▼",$F91-$F91*$N$4,IF($L91="▲",$F91+$F91*$N$4,$F91))</f>
        <v>66300</v>
      </c>
      <c r="O91">
        <f>IF($L91="▼",$F91-$F91*$O$4,IF($L91="▲",$F91+$F91*$O$4,$F91))</f>
        <v>62400</v>
      </c>
    </row>
    <row r="92" spans="1:15">
      <c r="C92" s="77" t="s">
        <v>232</v>
      </c>
      <c r="D92" s="77" t="s">
        <v>227</v>
      </c>
      <c r="E92">
        <v>2310000</v>
      </c>
      <c r="F92">
        <v>2000000</v>
      </c>
      <c r="G92" s="74">
        <v>1900000</v>
      </c>
    </row>
    <row r="93" spans="1:15">
      <c r="C93" s="77" t="s">
        <v>238</v>
      </c>
      <c r="D93" s="77" t="s">
        <v>231</v>
      </c>
      <c r="E93" s="74">
        <v>93000</v>
      </c>
      <c r="F93" s="74">
        <v>78000</v>
      </c>
      <c r="G93" s="74">
        <v>73000</v>
      </c>
    </row>
    <row r="95" spans="1:15">
      <c r="A95" s="2">
        <v>11</v>
      </c>
      <c r="B95" s="2">
        <v>1</v>
      </c>
      <c r="C95" s="92" t="s">
        <v>262</v>
      </c>
      <c r="D95" s="93"/>
      <c r="E95" s="93"/>
      <c r="F95" s="93"/>
      <c r="G95" s="93"/>
      <c r="H95" s="94"/>
      <c r="I95" s="93"/>
      <c r="J95" s="93"/>
      <c r="K95" s="93"/>
      <c r="L95" s="93"/>
      <c r="M95" s="93"/>
      <c r="N95" s="93"/>
      <c r="O95" s="93"/>
    </row>
    <row r="96" spans="1:15">
      <c r="C96" t="s">
        <v>226</v>
      </c>
      <c r="D96" t="s">
        <v>227</v>
      </c>
      <c r="E96">
        <f>E72*1.61</f>
        <v>2898000</v>
      </c>
      <c r="F96">
        <f>F72*1.21</f>
        <v>1996500</v>
      </c>
      <c r="G96">
        <f>G72*1.16</f>
        <v>1902399.9999999998</v>
      </c>
      <c r="H96" s="76" t="s">
        <v>229</v>
      </c>
      <c r="I96" s="74">
        <f>E96</f>
        <v>2898000</v>
      </c>
      <c r="J96">
        <f>IF($H96="▼",$F96-$F96*$J$4,IF($H96="▲",$F96+$F96*$J$4,$F96))</f>
        <v>2295975</v>
      </c>
      <c r="K96">
        <f>IF($H96="▼",$G96-$G96*$K$4,IF($H96="▲",$G96+$G96*$K$4,$G96))</f>
        <v>2282880</v>
      </c>
      <c r="L96" s="75" t="s">
        <v>228</v>
      </c>
      <c r="M96" s="74">
        <f>E96</f>
        <v>2898000</v>
      </c>
      <c r="N96">
        <f>IF($L96="▼",$F96-$F96*$N$4,IF($L96="▲",$F96+$F96*$N$4,$F96))</f>
        <v>1697025</v>
      </c>
      <c r="O96">
        <f>IF($L96="▼",$F96-$F96*$O$4,IF($L96="▲",$F96+$F96*$O$4,$F96))</f>
        <v>1597200</v>
      </c>
    </row>
    <row r="97" spans="1:15">
      <c r="C97" t="s">
        <v>230</v>
      </c>
      <c r="D97" t="s">
        <v>231</v>
      </c>
      <c r="E97">
        <f>E73*1.5</f>
        <v>87000</v>
      </c>
      <c r="F97">
        <f>F73*1.2</f>
        <v>61200</v>
      </c>
      <c r="G97">
        <f>G73*1.1</f>
        <v>53900.000000000007</v>
      </c>
      <c r="H97" s="76" t="s">
        <v>229</v>
      </c>
      <c r="I97" s="74">
        <f>E97</f>
        <v>87000</v>
      </c>
      <c r="J97">
        <f>IF($H97="▼",$F97-$F97*$J$4,IF($H97="▲",$F97+$F97*$J$4,$F97))</f>
        <v>70380</v>
      </c>
      <c r="K97">
        <f>IF($H97="▼",$G97-$G97*$K$4,IF($H97="▲",$G97+$G97*$K$4,$G97))</f>
        <v>64680.000000000007</v>
      </c>
      <c r="L97" s="75" t="s">
        <v>228</v>
      </c>
      <c r="M97" s="74">
        <f>E97</f>
        <v>87000</v>
      </c>
      <c r="N97">
        <f>IF($L97="▼",$F97-$F97*$N$4,IF($L97="▲",$F97+$F97*$N$4,$F97))</f>
        <v>52020</v>
      </c>
      <c r="O97">
        <f>IF($L97="▼",$F97-$F97*$O$4,IF($L97="▲",$F97+$F97*$O$4,$F97))</f>
        <v>48960</v>
      </c>
    </row>
    <row r="98" spans="1:15">
      <c r="C98" s="77" t="s">
        <v>232</v>
      </c>
      <c r="D98" s="77" t="s">
        <v>227</v>
      </c>
      <c r="E98">
        <f>E74*1.61</f>
        <v>2898000</v>
      </c>
      <c r="F98">
        <f>F74*1.21</f>
        <v>1996500</v>
      </c>
      <c r="G98">
        <f>G74*1.16</f>
        <v>1902399.9999999998</v>
      </c>
    </row>
    <row r="99" spans="1:15">
      <c r="C99" s="77" t="s">
        <v>238</v>
      </c>
      <c r="D99" s="77" t="s">
        <v>231</v>
      </c>
      <c r="E99">
        <f>E75*1.5</f>
        <v>87000</v>
      </c>
      <c r="F99">
        <f>F75*1.2</f>
        <v>61200</v>
      </c>
      <c r="G99">
        <f>G75*1.1</f>
        <v>53900.000000000007</v>
      </c>
    </row>
    <row r="101" spans="1:15">
      <c r="A101" s="2">
        <v>12</v>
      </c>
      <c r="B101" s="2" t="s">
        <v>257</v>
      </c>
      <c r="C101" s="95" t="s">
        <v>263</v>
      </c>
      <c r="D101" s="96"/>
      <c r="E101" s="96"/>
      <c r="F101" s="96"/>
      <c r="G101" s="96"/>
      <c r="H101" s="97"/>
      <c r="I101" s="96"/>
      <c r="J101" s="96"/>
      <c r="K101" s="96"/>
      <c r="L101" s="96"/>
      <c r="M101" s="96"/>
      <c r="N101" s="96"/>
      <c r="O101" s="96"/>
    </row>
    <row r="102" spans="1:15">
      <c r="C102" t="s">
        <v>226</v>
      </c>
      <c r="D102" t="s">
        <v>227</v>
      </c>
      <c r="E102">
        <f>E78*1.61</f>
        <v>3976700.0000000005</v>
      </c>
      <c r="F102">
        <f>F78*1.21</f>
        <v>2795100</v>
      </c>
      <c r="G102">
        <f>G78*1.16</f>
        <v>2656400</v>
      </c>
      <c r="H102" s="76" t="s">
        <v>229</v>
      </c>
      <c r="I102" s="74">
        <f>E102</f>
        <v>3976700.0000000005</v>
      </c>
      <c r="J102">
        <f>IF($H102="▼",$F102-$F102*$J$4,IF($H102="▲",$F102+$F102*$J$4,$F102))</f>
        <v>3214365</v>
      </c>
      <c r="K102">
        <f>IF($H102="▼",$G102-$G102*$K$4,IF($H102="▲",$G102+$G102*$K$4,$G102))</f>
        <v>3187680</v>
      </c>
      <c r="L102" s="75" t="s">
        <v>228</v>
      </c>
      <c r="M102" s="74">
        <f>E102</f>
        <v>3976700.0000000005</v>
      </c>
      <c r="N102">
        <f>IF($L102="▼",$F102-$F102*$N$4,IF($L102="▲",$F102+$F102*$N$4,$F102))</f>
        <v>2375835</v>
      </c>
      <c r="O102">
        <f>IF($L102="▼",$F102-$F102*$O$4,IF($L102="▲",$F102+$F102*$O$4,$F102))</f>
        <v>2236080</v>
      </c>
    </row>
    <row r="103" spans="1:15">
      <c r="C103" t="s">
        <v>230</v>
      </c>
      <c r="D103" t="s">
        <v>231</v>
      </c>
      <c r="E103">
        <f>E79*1.5</f>
        <v>109500</v>
      </c>
      <c r="F103">
        <f>F79*1.2</f>
        <v>79200</v>
      </c>
      <c r="G103">
        <f>G79*1.1</f>
        <v>70400</v>
      </c>
      <c r="H103" s="76" t="s">
        <v>229</v>
      </c>
      <c r="I103" s="74">
        <f>E103</f>
        <v>109500</v>
      </c>
      <c r="J103">
        <f>IF($H103="▼",$F103-$F103*$J$4,IF($H103="▲",$F103+$F103*$J$4,$F103))</f>
        <v>91080</v>
      </c>
      <c r="K103">
        <f>IF($H103="▼",$G103-$G103*$K$4,IF($H103="▲",$G103+$G103*$K$4,$G103))</f>
        <v>84480</v>
      </c>
      <c r="L103" s="75" t="s">
        <v>228</v>
      </c>
      <c r="M103" s="74">
        <f>E103</f>
        <v>109500</v>
      </c>
      <c r="N103">
        <f>IF($L103="▼",$F103-$F103*$N$4,IF($L103="▲",$F103+$F103*$N$4,$F103))</f>
        <v>67320</v>
      </c>
      <c r="O103">
        <f>IF($L103="▼",$F103-$F103*$O$4,IF($L103="▲",$F103+$F103*$O$4,$F103))</f>
        <v>63360</v>
      </c>
    </row>
    <row r="104" spans="1:15">
      <c r="C104" s="77" t="s">
        <v>232</v>
      </c>
      <c r="D104" s="77" t="s">
        <v>227</v>
      </c>
      <c r="E104">
        <f>E80*1.61</f>
        <v>3976700.0000000005</v>
      </c>
      <c r="F104">
        <f>F80*1.21</f>
        <v>2795100</v>
      </c>
      <c r="G104">
        <f>G80*1.16</f>
        <v>2656400</v>
      </c>
    </row>
    <row r="105" spans="1:15">
      <c r="C105" s="77" t="s">
        <v>238</v>
      </c>
      <c r="D105" s="77" t="s">
        <v>231</v>
      </c>
      <c r="E105">
        <f>E81*1.5</f>
        <v>109500</v>
      </c>
      <c r="F105">
        <f>F81*1.2</f>
        <v>79200</v>
      </c>
      <c r="G105">
        <f>G81*1.1</f>
        <v>70400</v>
      </c>
    </row>
    <row r="107" spans="1:15">
      <c r="A107" s="2">
        <v>13</v>
      </c>
      <c r="B107" s="2" t="s">
        <v>259</v>
      </c>
      <c r="C107" s="98" t="s">
        <v>264</v>
      </c>
      <c r="D107" s="98"/>
      <c r="E107" s="98"/>
      <c r="F107" s="98"/>
      <c r="G107" s="98"/>
      <c r="H107" s="99"/>
      <c r="I107" s="98"/>
      <c r="J107" s="98"/>
      <c r="K107" s="98"/>
      <c r="L107" s="98"/>
      <c r="M107" s="98"/>
      <c r="N107" s="98"/>
      <c r="O107" s="98"/>
    </row>
    <row r="108" spans="1:15">
      <c r="C108" t="s">
        <v>226</v>
      </c>
      <c r="D108" t="s">
        <v>227</v>
      </c>
      <c r="E108">
        <f>E84*1.61</f>
        <v>3316600</v>
      </c>
      <c r="F108">
        <f>F84*1.21</f>
        <v>2299000</v>
      </c>
      <c r="G108">
        <f>G84*1.16</f>
        <v>2180800</v>
      </c>
      <c r="H108" s="76" t="s">
        <v>229</v>
      </c>
      <c r="I108" s="74">
        <f>E108</f>
        <v>3316600</v>
      </c>
      <c r="J108">
        <f>IF($H108="▼",$F108-$F108*$J$4,IF($H108="▲",$F108+$F108*$J$4,$F108))</f>
        <v>2643850</v>
      </c>
      <c r="K108">
        <f>IF($H108="▼",$G108-$G108*$K$4,IF($H108="▲",$G108+$G108*$K$4,$G108))</f>
        <v>2616960</v>
      </c>
      <c r="L108" s="75" t="s">
        <v>228</v>
      </c>
      <c r="M108" s="74">
        <f>E108</f>
        <v>3316600</v>
      </c>
      <c r="N108">
        <f>IF($L108="▼",$F108-$F108*$N$4,IF($L108="▲",$F108+$F108*$N$4,$F108))</f>
        <v>1954150</v>
      </c>
      <c r="O108">
        <f>IF($L108="▼",$F108-$F108*$O$4,IF($L108="▲",$F108+$F108*$O$4,$F108))</f>
        <v>1839200</v>
      </c>
    </row>
    <row r="109" spans="1:15">
      <c r="C109" t="s">
        <v>230</v>
      </c>
      <c r="D109" t="s">
        <v>231</v>
      </c>
      <c r="E109">
        <f>E85*1.5</f>
        <v>97500</v>
      </c>
      <c r="F109">
        <f>F85*1.2</f>
        <v>69600</v>
      </c>
      <c r="G109">
        <f>G85*1.1</f>
        <v>61600.000000000007</v>
      </c>
      <c r="H109" s="76" t="s">
        <v>229</v>
      </c>
      <c r="I109" s="74">
        <f>E109</f>
        <v>97500</v>
      </c>
      <c r="J109">
        <f>IF($H109="▼",$F109-$F109*$J$4,IF($H109="▲",$F109+$F109*$J$4,$F109))</f>
        <v>80040</v>
      </c>
      <c r="K109">
        <f>IF($H109="▼",$G109-$G109*$K$4,IF($H109="▲",$G109+$G109*$K$4,$G109))</f>
        <v>73920.000000000015</v>
      </c>
      <c r="L109" s="75" t="s">
        <v>228</v>
      </c>
      <c r="M109" s="74">
        <f>E109</f>
        <v>97500</v>
      </c>
      <c r="N109">
        <f>IF($L109="▼",$F109-$F109*$N$4,IF($L109="▲",$F109+$F109*$N$4,$F109))</f>
        <v>59160</v>
      </c>
      <c r="O109">
        <f>IF($L109="▼",$F109-$F109*$O$4,IF($L109="▲",$F109+$F109*$O$4,$F109))</f>
        <v>55680</v>
      </c>
    </row>
    <row r="110" spans="1:15">
      <c r="C110" s="77" t="s">
        <v>232</v>
      </c>
      <c r="D110" s="77" t="s">
        <v>227</v>
      </c>
      <c r="E110">
        <f>E86*1.61</f>
        <v>3316600</v>
      </c>
      <c r="F110">
        <f>F86*1.21</f>
        <v>2299000</v>
      </c>
      <c r="G110">
        <f>G86*1.16</f>
        <v>2180800</v>
      </c>
    </row>
    <row r="111" spans="1:15">
      <c r="C111" s="77" t="s">
        <v>238</v>
      </c>
      <c r="D111" s="77" t="s">
        <v>231</v>
      </c>
      <c r="E111">
        <f>E87*1.5</f>
        <v>97500</v>
      </c>
      <c r="F111">
        <f>F87*1.2</f>
        <v>69600</v>
      </c>
      <c r="G111">
        <f>G87*1.1</f>
        <v>61600.000000000007</v>
      </c>
    </row>
    <row r="113" spans="1:15">
      <c r="A113" s="2">
        <v>14</v>
      </c>
      <c r="B113" s="2" t="s">
        <v>259</v>
      </c>
      <c r="C113" s="100" t="s">
        <v>265</v>
      </c>
      <c r="D113" s="101"/>
      <c r="E113" s="101"/>
      <c r="F113" s="101"/>
      <c r="G113" s="101"/>
      <c r="H113" s="102"/>
      <c r="I113" s="101"/>
      <c r="J113" s="101"/>
      <c r="K113" s="101"/>
      <c r="L113" s="101"/>
      <c r="M113" s="101"/>
      <c r="N113" s="101"/>
      <c r="O113" s="101"/>
    </row>
    <row r="114" spans="1:15">
      <c r="C114" t="s">
        <v>226</v>
      </c>
      <c r="D114" t="s">
        <v>227</v>
      </c>
      <c r="E114">
        <f>E90*1.61</f>
        <v>3719100</v>
      </c>
      <c r="F114">
        <f>F90*1.21</f>
        <v>2420000</v>
      </c>
      <c r="G114">
        <f>G90*1.16</f>
        <v>2204000</v>
      </c>
      <c r="H114" s="76" t="s">
        <v>229</v>
      </c>
      <c r="I114" s="74">
        <f>E114</f>
        <v>3719100</v>
      </c>
      <c r="J114">
        <f>IF($H114="▼",$F114-$F114*$J$4,IF($H114="▲",$F114+$F114*$J$4,$F114))</f>
        <v>2783000</v>
      </c>
      <c r="K114">
        <f>IF($H114="▼",$G114-$G114*$K$4,IF($H114="▲",$G114+$G114*$K$4,$G114))</f>
        <v>2644800</v>
      </c>
      <c r="L114" s="75" t="s">
        <v>228</v>
      </c>
      <c r="M114" s="74">
        <f>E114</f>
        <v>3719100</v>
      </c>
      <c r="N114">
        <f>IF($L114="▼",$F114-$F114*$N$4,IF($L114="▲",$F114+$F114*$N$4,$F114))</f>
        <v>2057000</v>
      </c>
      <c r="O114">
        <f>IF($L114="▼",$F114-$F114*$O$4,IF($L114="▲",$F114+$F114*$O$4,$F114))</f>
        <v>1936000</v>
      </c>
    </row>
    <row r="115" spans="1:15">
      <c r="C115" t="s">
        <v>230</v>
      </c>
      <c r="D115" t="s">
        <v>231</v>
      </c>
      <c r="E115">
        <f>E91*1.5</f>
        <v>139500</v>
      </c>
      <c r="F115">
        <f>F91*1.2</f>
        <v>93600</v>
      </c>
      <c r="G115">
        <f>G91*1.1</f>
        <v>80300</v>
      </c>
      <c r="H115" s="76" t="s">
        <v>229</v>
      </c>
      <c r="I115" s="74">
        <f>E115</f>
        <v>139500</v>
      </c>
      <c r="J115">
        <f>IF($H115="▼",$F115-$F115*$J$4,IF($H115="▲",$F115+$F115*$J$4,$F115))</f>
        <v>107640</v>
      </c>
      <c r="K115">
        <f>IF($H115="▼",$G115-$G115*$K$4,IF($H115="▲",$G115+$G115*$K$4,$G115))</f>
        <v>96360</v>
      </c>
      <c r="L115" s="75" t="s">
        <v>228</v>
      </c>
      <c r="M115" s="74">
        <f>E115</f>
        <v>139500</v>
      </c>
      <c r="N115">
        <f>IF($L115="▼",$F115-$F115*$N$4,IF($L115="▲",$F115+$F115*$N$4,$F115))</f>
        <v>79560</v>
      </c>
      <c r="O115">
        <f>IF($L115="▼",$F115-$F115*$O$4,IF($L115="▲",$F115+$F115*$O$4,$F115))</f>
        <v>74880</v>
      </c>
    </row>
    <row r="116" spans="1:15">
      <c r="C116" s="77" t="s">
        <v>232</v>
      </c>
      <c r="D116" s="77" t="s">
        <v>227</v>
      </c>
      <c r="E116">
        <f>E92*1.61</f>
        <v>3719100</v>
      </c>
      <c r="F116">
        <f>F92*1.21</f>
        <v>2420000</v>
      </c>
      <c r="G116">
        <f>G92*1.16</f>
        <v>2204000</v>
      </c>
    </row>
    <row r="117" spans="1:15">
      <c r="C117" s="77" t="s">
        <v>238</v>
      </c>
      <c r="D117" s="77" t="s">
        <v>231</v>
      </c>
      <c r="E117">
        <f>E93*1.5</f>
        <v>139500</v>
      </c>
      <c r="F117">
        <f>F93*1.2</f>
        <v>93600</v>
      </c>
      <c r="G117">
        <f>G93*1.1</f>
        <v>80300</v>
      </c>
    </row>
    <row r="118" spans="1:15">
      <c r="C118" s="77"/>
      <c r="D118" s="77"/>
    </row>
    <row r="119" spans="1:15">
      <c r="A119" s="2">
        <v>15</v>
      </c>
      <c r="B119" s="2">
        <v>4.5999999999999996</v>
      </c>
      <c r="C119" s="103" t="s">
        <v>266</v>
      </c>
      <c r="D119" s="104"/>
      <c r="E119" s="104"/>
      <c r="F119" s="104"/>
      <c r="G119" s="104"/>
      <c r="H119" s="105"/>
      <c r="I119" s="104"/>
      <c r="J119" s="104"/>
      <c r="K119" s="104"/>
      <c r="L119" s="104"/>
      <c r="M119" s="104"/>
      <c r="N119" s="104"/>
      <c r="O119" s="104"/>
    </row>
    <row r="120" spans="1:15">
      <c r="C120" t="s">
        <v>226</v>
      </c>
      <c r="D120" t="s">
        <v>267</v>
      </c>
      <c r="E120" s="106">
        <v>1617.5</v>
      </c>
      <c r="F120" s="106">
        <v>1617.5</v>
      </c>
      <c r="G120" s="106">
        <v>1617.5</v>
      </c>
      <c r="H120" s="107" t="s">
        <v>268</v>
      </c>
      <c r="I120" s="74">
        <f>E120</f>
        <v>1617.5</v>
      </c>
      <c r="J120">
        <f>IF($H120="▼",$F120-$F120*$J$4,IF($H120="▲",$F120+$F120*$J$4,$F120))</f>
        <v>1617.5</v>
      </c>
      <c r="K120">
        <f>IF($H120="▼",$G120-$G120*$K$4,IF($H120="▲",$G120+$G120*$K$4,$G120))</f>
        <v>1617.5</v>
      </c>
      <c r="L120" s="107" t="s">
        <v>268</v>
      </c>
      <c r="M120" s="74">
        <f>E120</f>
        <v>1617.5</v>
      </c>
      <c r="N120">
        <f>IF($L120="▼",$F120-$F120*$N$4,IF($L120="▲",$F120+$F120*$N$4,$F120))</f>
        <v>1617.5</v>
      </c>
      <c r="O120">
        <f>IF($L120="▼",$F120-$F120*$O$4,IF($L120="▲",$F120+$F120*$O$4,$F120))</f>
        <v>1617.5</v>
      </c>
    </row>
    <row r="121" spans="1:15">
      <c r="C121" t="s">
        <v>230</v>
      </c>
      <c r="D121" t="s">
        <v>269</v>
      </c>
      <c r="E121">
        <v>40.44</v>
      </c>
      <c r="F121">
        <v>40.44</v>
      </c>
      <c r="G121">
        <v>40.44</v>
      </c>
      <c r="H121" s="107" t="s">
        <v>268</v>
      </c>
      <c r="I121" s="74">
        <f>E121</f>
        <v>40.44</v>
      </c>
      <c r="J121">
        <f>IF($H121="▼",$F121-$F121*$J$4,IF($H121="▲",$F121+$F121*$J$4,$F121))</f>
        <v>40.44</v>
      </c>
      <c r="K121">
        <f>IF($H121="▼",$G121-$G121*$K$4,IF($H121="▲",$G121+$G121*$K$4,$G121))</f>
        <v>40.44</v>
      </c>
      <c r="L121" s="107" t="s">
        <v>268</v>
      </c>
      <c r="M121" s="74">
        <f>E121</f>
        <v>40.44</v>
      </c>
      <c r="N121">
        <f>IF($L121="▼",$F121-$F121*$N$4,IF($L121="▲",$F121+$F121*$N$4,$F121))</f>
        <v>40.44</v>
      </c>
      <c r="O121">
        <f>IF($L121="▼",$F121-$F121*$O$4,IF($L121="▲",$F121+$F121*$O$4,$F121))</f>
        <v>40.44</v>
      </c>
    </row>
    <row r="122" spans="1:15">
      <c r="C122" s="77" t="s">
        <v>232</v>
      </c>
      <c r="D122" s="77" t="s">
        <v>267</v>
      </c>
      <c r="E122" s="106">
        <v>1617.5</v>
      </c>
      <c r="F122" s="106">
        <v>1617.5</v>
      </c>
      <c r="G122" s="106">
        <v>1617.5</v>
      </c>
    </row>
    <row r="123" spans="1:15">
      <c r="C123" s="77" t="s">
        <v>238</v>
      </c>
      <c r="D123" s="77" t="s">
        <v>269</v>
      </c>
      <c r="E123">
        <v>40.44</v>
      </c>
      <c r="F123">
        <v>40.44</v>
      </c>
      <c r="G123">
        <v>40.44</v>
      </c>
    </row>
    <row r="125" spans="1:15">
      <c r="A125" s="2">
        <v>16</v>
      </c>
      <c r="B125" s="2">
        <v>6</v>
      </c>
      <c r="C125" s="108" t="s">
        <v>270</v>
      </c>
      <c r="D125" s="109"/>
      <c r="E125" s="109"/>
      <c r="F125" s="109"/>
      <c r="G125" s="109"/>
      <c r="H125" s="110"/>
      <c r="I125" s="109"/>
      <c r="J125" s="109"/>
      <c r="K125" s="109"/>
      <c r="L125" s="109"/>
      <c r="M125" s="109"/>
      <c r="N125" s="109"/>
      <c r="O125" s="109"/>
    </row>
    <row r="126" spans="1:15">
      <c r="C126" t="s">
        <v>226</v>
      </c>
      <c r="D126" t="s">
        <v>227</v>
      </c>
      <c r="E126" s="106">
        <v>250000</v>
      </c>
      <c r="F126" s="106">
        <v>250000</v>
      </c>
      <c r="G126" s="106">
        <v>250000</v>
      </c>
      <c r="H126" s="107" t="s">
        <v>268</v>
      </c>
      <c r="I126" s="74">
        <f>E126</f>
        <v>250000</v>
      </c>
      <c r="J126">
        <f>IF($H126="▼",$F126-$F126*$J$4,IF($H126="▲",$F126+$F126*$J$4,$F126))</f>
        <v>250000</v>
      </c>
      <c r="K126">
        <f>IF($H126="▼",$G126-$G126*$K$4,IF($H126="▲",$G126+$G126*$K$4,$G126))</f>
        <v>250000</v>
      </c>
      <c r="L126" s="107" t="s">
        <v>268</v>
      </c>
      <c r="M126" s="74">
        <f>E126</f>
        <v>250000</v>
      </c>
      <c r="N126">
        <f>IF($L126="▼",$F126-$F126*$N$4,IF($L126="▲",$F126+$F126*$N$4,$F126))</f>
        <v>250000</v>
      </c>
      <c r="O126">
        <f>IF($L126="▼",$F126-$F126*$O$4,IF($L126="▲",$F126+$F126*$O$4,$F126))</f>
        <v>250000</v>
      </c>
    </row>
    <row r="127" spans="1:15">
      <c r="C127" t="s">
        <v>230</v>
      </c>
      <c r="D127" t="s">
        <v>231</v>
      </c>
      <c r="E127">
        <v>0</v>
      </c>
      <c r="F127">
        <v>0</v>
      </c>
      <c r="G127">
        <v>0</v>
      </c>
      <c r="H127" s="107" t="s">
        <v>268</v>
      </c>
      <c r="I127" s="74">
        <f>E127</f>
        <v>0</v>
      </c>
      <c r="J127">
        <f>IF($H127="▼",$F127-$F127*$J$4,IF($H127="▲",$F127+$F127*$J$4,$F127))</f>
        <v>0</v>
      </c>
      <c r="K127">
        <f>IF($H127="▼",$G127-$G127*$K$4,IF($H127="▲",$G127+$G127*$K$4,$G127))</f>
        <v>0</v>
      </c>
      <c r="L127" s="107" t="s">
        <v>268</v>
      </c>
      <c r="M127" s="74">
        <f>E127</f>
        <v>0</v>
      </c>
      <c r="N127">
        <f>IF($L127="▼",$F127-$F127*$N$4,IF($L127="▲",$F127+$F127*$N$4,$F127))</f>
        <v>0</v>
      </c>
      <c r="O127">
        <f>IF($L127="▼",$F127-$F127*$O$4,IF($L127="▲",$F127+$F127*$O$4,$F127))</f>
        <v>0</v>
      </c>
    </row>
    <row r="128" spans="1:15">
      <c r="C128" s="77" t="s">
        <v>232</v>
      </c>
      <c r="D128" s="77" t="s">
        <v>227</v>
      </c>
      <c r="E128" s="106">
        <v>250000</v>
      </c>
      <c r="F128" s="106">
        <v>250000</v>
      </c>
      <c r="G128" s="106">
        <v>250000</v>
      </c>
    </row>
    <row r="129" spans="1:15">
      <c r="C129" s="77" t="s">
        <v>238</v>
      </c>
      <c r="D129" s="77" t="s">
        <v>231</v>
      </c>
    </row>
    <row r="131" spans="1:15">
      <c r="A131" s="2">
        <v>17</v>
      </c>
      <c r="B131" s="2" t="s">
        <v>271</v>
      </c>
      <c r="C131" s="111" t="s">
        <v>272</v>
      </c>
      <c r="D131" s="112"/>
      <c r="E131" s="112"/>
      <c r="F131" s="112"/>
      <c r="G131" s="112"/>
      <c r="H131" s="113"/>
      <c r="I131" s="112"/>
      <c r="J131" s="112"/>
      <c r="K131" s="112"/>
      <c r="L131" s="112"/>
      <c r="M131" s="112"/>
      <c r="N131" s="112"/>
      <c r="O131" s="112"/>
    </row>
    <row r="132" spans="1:15">
      <c r="C132" t="s">
        <v>226</v>
      </c>
      <c r="D132" t="s">
        <v>227</v>
      </c>
      <c r="E132" s="106">
        <f>E134</f>
        <v>850000</v>
      </c>
      <c r="F132" s="106">
        <f t="shared" ref="F132:G133" si="0">F134</f>
        <v>680000</v>
      </c>
      <c r="G132" s="106">
        <f t="shared" si="0"/>
        <v>630000</v>
      </c>
      <c r="H132" s="107" t="s">
        <v>268</v>
      </c>
      <c r="I132" s="74">
        <f>E132</f>
        <v>850000</v>
      </c>
      <c r="J132">
        <f>IF($H132="▼",$F132-$F132*$J$4,IF($H132="▲",$F132+$F132*$J$4,$F132))</f>
        <v>680000</v>
      </c>
      <c r="K132">
        <f>IF($H132="▼",$G132-$G132*$K$4,IF($H132="▲",$G132+$G132*$K$4,$G132))</f>
        <v>630000</v>
      </c>
      <c r="L132" s="107" t="s">
        <v>268</v>
      </c>
      <c r="M132" s="74">
        <f>E132</f>
        <v>850000</v>
      </c>
      <c r="N132">
        <f>IF($L132="▼",$F132-$F132*$N$4,IF($L132="▲",$F132+$F132*$N$4,$F132))</f>
        <v>680000</v>
      </c>
      <c r="O132">
        <f>IF($L132="▼",$F132-$F132*$O$4,IF($L132="▲",$F132+$F132*$O$4,$F132))</f>
        <v>680000</v>
      </c>
    </row>
    <row r="133" spans="1:15">
      <c r="C133" t="s">
        <v>230</v>
      </c>
      <c r="D133" t="s">
        <v>231</v>
      </c>
      <c r="E133" s="106">
        <f>E135</f>
        <v>18000</v>
      </c>
      <c r="F133" s="106">
        <f t="shared" si="0"/>
        <v>15000</v>
      </c>
      <c r="G133" s="106">
        <f t="shared" si="0"/>
        <v>14000</v>
      </c>
      <c r="H133" s="107" t="s">
        <v>268</v>
      </c>
      <c r="I133" s="74">
        <f>E133</f>
        <v>18000</v>
      </c>
      <c r="J133">
        <f>IF($H133="▼",$F133-$F133*$J$4,IF($H133="▲",$F133+$F133*$J$4,$F133))</f>
        <v>15000</v>
      </c>
      <c r="K133">
        <f>IF($H133="▼",$G133-$G133*$K$4,IF($H133="▲",$G133+$G133*$K$4,$G133))</f>
        <v>14000</v>
      </c>
      <c r="L133" s="107" t="s">
        <v>268</v>
      </c>
      <c r="M133" s="74">
        <f>E133</f>
        <v>18000</v>
      </c>
      <c r="N133">
        <f>IF($L133="▼",$F133-$F133*$N$4,IF($L133="▲",$F133+$F133*$N$4,$F133))</f>
        <v>15000</v>
      </c>
      <c r="O133">
        <f>IF($L133="▼",$F133-$F133*$O$4,IF($L133="▲",$F133+$F133*$O$4,$F133))</f>
        <v>15000</v>
      </c>
    </row>
    <row r="134" spans="1:15">
      <c r="C134" s="114" t="s">
        <v>232</v>
      </c>
      <c r="D134" s="77" t="s">
        <v>227</v>
      </c>
      <c r="E134" s="106">
        <v>850000</v>
      </c>
      <c r="F134" s="106">
        <v>680000</v>
      </c>
      <c r="G134" s="106">
        <v>630000</v>
      </c>
    </row>
    <row r="135" spans="1:15">
      <c r="C135" s="114" t="s">
        <v>238</v>
      </c>
      <c r="D135" s="77" t="s">
        <v>231</v>
      </c>
      <c r="E135" s="106">
        <v>18000</v>
      </c>
      <c r="F135" s="106">
        <v>15000</v>
      </c>
      <c r="G135" s="106">
        <v>14000</v>
      </c>
    </row>
    <row r="136" spans="1:15">
      <c r="C136" s="114" t="s">
        <v>239</v>
      </c>
      <c r="D136" t="s">
        <v>273</v>
      </c>
      <c r="E136">
        <v>25</v>
      </c>
      <c r="F136">
        <v>28</v>
      </c>
      <c r="G136">
        <v>30</v>
      </c>
    </row>
    <row r="138" spans="1:15">
      <c r="A138" s="2">
        <v>18</v>
      </c>
      <c r="B138" s="2">
        <v>8</v>
      </c>
      <c r="C138" s="115" t="s">
        <v>274</v>
      </c>
      <c r="D138" s="116"/>
      <c r="E138" s="116"/>
      <c r="F138" s="116"/>
      <c r="G138" s="116"/>
      <c r="H138" s="117"/>
      <c r="I138" s="116"/>
      <c r="J138" s="116"/>
      <c r="K138" s="116"/>
      <c r="L138" s="116"/>
      <c r="M138" s="116"/>
      <c r="N138" s="116"/>
      <c r="O138" s="116"/>
    </row>
    <row r="139" spans="1:15">
      <c r="C139" t="s">
        <v>226</v>
      </c>
      <c r="D139" t="s">
        <v>267</v>
      </c>
      <c r="E139">
        <v>528.57000000000005</v>
      </c>
      <c r="F139">
        <v>528.57000000000005</v>
      </c>
      <c r="G139">
        <v>528.57000000000005</v>
      </c>
      <c r="H139" s="107" t="s">
        <v>268</v>
      </c>
      <c r="I139" s="74">
        <f>E139</f>
        <v>528.57000000000005</v>
      </c>
      <c r="J139">
        <f>IF($H139="▼",$F139-$F139*$J$4,IF($H139="▲",$F139+$F139*$J$4,$F139))</f>
        <v>528.57000000000005</v>
      </c>
      <c r="K139">
        <f>IF($H139="▼",$G139-$G139*$K$4,IF($H139="▲",$G139+$G139*$K$4,$G139))</f>
        <v>528.57000000000005</v>
      </c>
      <c r="L139" s="107" t="s">
        <v>268</v>
      </c>
      <c r="M139" s="74">
        <f>E139</f>
        <v>528.57000000000005</v>
      </c>
      <c r="N139">
        <f>IF($L139="▼",$F139-$F139*$N$4,IF($L139="▲",$F139+$F139*$N$4,$F139))</f>
        <v>528.57000000000005</v>
      </c>
      <c r="O139">
        <f>IF($L139="▼",$F139-$F139*$O$4,IF($L139="▲",$F139+$F139*$O$4,$F139))</f>
        <v>528.57000000000005</v>
      </c>
    </row>
    <row r="140" spans="1:15">
      <c r="C140" t="s">
        <v>230</v>
      </c>
      <c r="D140" t="s">
        <v>269</v>
      </c>
      <c r="E140">
        <v>1.66</v>
      </c>
      <c r="F140">
        <v>1.66</v>
      </c>
      <c r="G140">
        <v>1.66</v>
      </c>
      <c r="H140" s="107" t="s">
        <v>268</v>
      </c>
      <c r="I140" s="74">
        <f>E140</f>
        <v>1.66</v>
      </c>
      <c r="J140">
        <f>IF($H140="▼",$F140-$F140*$J$4,IF($H140="▲",$F140+$F140*$J$4,$F140))</f>
        <v>1.66</v>
      </c>
      <c r="K140">
        <f>IF($H140="▼",$G140-$G140*$K$4,IF($H140="▲",$G140+$G140*$K$4,$G140))</f>
        <v>1.66</v>
      </c>
      <c r="L140" s="107" t="s">
        <v>268</v>
      </c>
      <c r="M140" s="74">
        <f>E140</f>
        <v>1.66</v>
      </c>
      <c r="N140">
        <f>IF($L140="▼",$F140-$F140*$N$4,IF($L140="▲",$F140+$F140*$N$4,$F140))</f>
        <v>1.66</v>
      </c>
      <c r="O140">
        <f>IF($L140="▼",$F140-$F140*$O$4,IF($L140="▲",$F140+$F140*$O$4,$F140))</f>
        <v>1.66</v>
      </c>
    </row>
    <row r="141" spans="1:15">
      <c r="C141" s="77" t="s">
        <v>232</v>
      </c>
      <c r="D141" s="77" t="s">
        <v>267</v>
      </c>
      <c r="E141">
        <v>528.57000000000005</v>
      </c>
      <c r="F141">
        <v>528.57000000000005</v>
      </c>
      <c r="G141">
        <v>528.57000000000005</v>
      </c>
    </row>
    <row r="142" spans="1:15">
      <c r="C142" s="77" t="s">
        <v>238</v>
      </c>
      <c r="D142" s="77" t="s">
        <v>269</v>
      </c>
      <c r="E142">
        <v>1.66</v>
      </c>
      <c r="F142">
        <v>1.66</v>
      </c>
      <c r="G142">
        <v>1.66</v>
      </c>
    </row>
    <row r="144" spans="1:15">
      <c r="A144" s="2">
        <v>19</v>
      </c>
      <c r="B144" s="2">
        <v>1</v>
      </c>
      <c r="C144" s="118" t="s">
        <v>275</v>
      </c>
      <c r="D144" s="119"/>
      <c r="E144" s="119"/>
      <c r="F144" s="119"/>
      <c r="G144" s="119"/>
      <c r="H144" s="120"/>
      <c r="I144" s="119"/>
      <c r="J144" s="119"/>
      <c r="K144" s="119"/>
      <c r="L144" s="119"/>
      <c r="M144" s="119"/>
      <c r="N144" s="119"/>
      <c r="O144" s="119"/>
    </row>
    <row r="145" spans="1:15">
      <c r="C145" t="s">
        <v>226</v>
      </c>
      <c r="D145" t="s">
        <v>227</v>
      </c>
      <c r="E145">
        <f>E147</f>
        <v>550000</v>
      </c>
      <c r="F145">
        <f t="shared" ref="F145:G145" si="1">F147</f>
        <v>375000</v>
      </c>
      <c r="G145">
        <f t="shared" si="1"/>
        <v>325000</v>
      </c>
      <c r="H145" s="107" t="s">
        <v>268</v>
      </c>
      <c r="I145" s="74">
        <f>E145</f>
        <v>550000</v>
      </c>
      <c r="J145">
        <f>IF($H145="▼",$F145-$F145*$J$4,IF($H145="▲",$F145+$F145*$J$4,$F145))</f>
        <v>375000</v>
      </c>
      <c r="K145">
        <f>IF($H145="▼",$G145-$G145*$K$4,IF($H145="▲",$G145+$G145*$K$4,$G145))</f>
        <v>325000</v>
      </c>
      <c r="L145" s="107" t="s">
        <v>268</v>
      </c>
      <c r="M145" s="74">
        <f>E145</f>
        <v>550000</v>
      </c>
      <c r="N145">
        <f>IF($L145="▼",$F145-$F145*$N$4,IF($L145="▲",$F145+$F145*$N$4,$F145))</f>
        <v>375000</v>
      </c>
      <c r="O145">
        <f>IF($L145="▼",$F145-$F145*$O$4,IF($L145="▲",$F145+$F145*$O$4,$F145))</f>
        <v>375000</v>
      </c>
    </row>
    <row r="146" spans="1:15">
      <c r="C146" t="s">
        <v>230</v>
      </c>
      <c r="D146" t="s">
        <v>231</v>
      </c>
      <c r="E146">
        <f>(9+26)/2*1000</f>
        <v>17500</v>
      </c>
      <c r="F146">
        <f>(6+18)/2*1000</f>
        <v>12000</v>
      </c>
      <c r="G146">
        <f>(5+16)/2*1000</f>
        <v>10500</v>
      </c>
      <c r="H146" s="107" t="s">
        <v>268</v>
      </c>
      <c r="I146" s="74">
        <f>E146</f>
        <v>17500</v>
      </c>
      <c r="J146">
        <f>IF($H146="▼",$F146-$F146*$J$4,IF($H146="▲",$F146+$F146*$J$4,$F146))</f>
        <v>12000</v>
      </c>
      <c r="K146">
        <f>IF($H146="▼",$G146-$G146*$K$4,IF($H146="▲",$G146+$G146*$K$4,$G146))</f>
        <v>10500</v>
      </c>
      <c r="L146" s="107" t="s">
        <v>268</v>
      </c>
      <c r="M146" s="74">
        <f>E146</f>
        <v>17500</v>
      </c>
      <c r="N146">
        <f>IF($L146="▼",$F146-$F146*$N$4,IF($L146="▲",$F146+$F146*$N$4,$F146))</f>
        <v>12000</v>
      </c>
      <c r="O146">
        <f>IF($L146="▼",$F146-$F146*$O$4,IF($L146="▲",$F146+$F146*$O$4,$F146))</f>
        <v>12000</v>
      </c>
    </row>
    <row r="147" spans="1:15">
      <c r="C147" s="114" t="s">
        <v>232</v>
      </c>
      <c r="D147" s="77" t="s">
        <v>227</v>
      </c>
      <c r="E147">
        <f>(450+650)/2*1000</f>
        <v>550000</v>
      </c>
      <c r="F147">
        <f>(300+450)/2*1000</f>
        <v>375000</v>
      </c>
      <c r="G147">
        <f>(400+250)/2*1000</f>
        <v>325000</v>
      </c>
    </row>
    <row r="148" spans="1:15">
      <c r="C148" s="114" t="s">
        <v>238</v>
      </c>
      <c r="D148" s="77" t="s">
        <v>231</v>
      </c>
      <c r="E148">
        <v>17.5</v>
      </c>
      <c r="F148">
        <v>12</v>
      </c>
      <c r="G148">
        <v>10.5</v>
      </c>
    </row>
    <row r="149" spans="1:15">
      <c r="C149" s="114" t="s">
        <v>239</v>
      </c>
      <c r="D149" t="s">
        <v>273</v>
      </c>
      <c r="E149">
        <v>25</v>
      </c>
      <c r="F149">
        <v>18</v>
      </c>
      <c r="G149">
        <v>30</v>
      </c>
    </row>
    <row r="151" spans="1:15">
      <c r="A151" s="2">
        <v>20</v>
      </c>
      <c r="B151" s="2">
        <v>1</v>
      </c>
      <c r="C151" s="121" t="s">
        <v>276</v>
      </c>
      <c r="D151" s="122"/>
      <c r="E151" s="122"/>
      <c r="F151" s="122"/>
      <c r="G151" s="122"/>
      <c r="H151" s="123"/>
      <c r="I151" s="122"/>
      <c r="J151" s="122"/>
      <c r="K151" s="122"/>
      <c r="L151" s="122"/>
      <c r="M151" s="122"/>
      <c r="N151" s="122"/>
      <c r="O151" s="122"/>
    </row>
    <row r="152" spans="1:15">
      <c r="C152" t="s">
        <v>226</v>
      </c>
      <c r="D152" t="s">
        <v>227</v>
      </c>
      <c r="E152" s="74">
        <v>440000</v>
      </c>
      <c r="F152" s="74">
        <v>425000</v>
      </c>
      <c r="G152" s="74">
        <v>410000</v>
      </c>
      <c r="H152" s="107" t="s">
        <v>268</v>
      </c>
      <c r="I152" s="74">
        <f>E152</f>
        <v>440000</v>
      </c>
      <c r="J152">
        <f>IF($H152="▼",$F152-$F152*$J$4,IF($H152="▲",$F152+$F152*$J$4,$F152))</f>
        <v>425000</v>
      </c>
      <c r="K152">
        <f>IF($H152="▼",$G152-$G152*$K$4,IF($H152="▲",$G152+$G152*$K$4,$G152))</f>
        <v>410000</v>
      </c>
      <c r="L152" s="107" t="s">
        <v>268</v>
      </c>
      <c r="M152" s="74">
        <f>E152</f>
        <v>440000</v>
      </c>
      <c r="N152">
        <f>IF($L152="▼",$F152-$F152*$N$4,IF($L152="▲",$F152+$F152*$N$4,$F152))</f>
        <v>425000</v>
      </c>
      <c r="O152">
        <f>IF($L152="▼",$F152-$F152*$O$4,IF($L152="▲",$F152+$F152*$O$4,$F152))</f>
        <v>425000</v>
      </c>
    </row>
    <row r="153" spans="1:15">
      <c r="C153" t="s">
        <v>230</v>
      </c>
      <c r="D153" t="s">
        <v>231</v>
      </c>
      <c r="E153" s="74">
        <v>7745</v>
      </c>
      <c r="F153" s="74">
        <v>7584</v>
      </c>
      <c r="G153" s="74">
        <v>7423</v>
      </c>
      <c r="H153" s="107" t="s">
        <v>268</v>
      </c>
      <c r="I153" s="74">
        <f>E153</f>
        <v>7745</v>
      </c>
      <c r="J153">
        <f>IF($H153="▼",$F153-$F153*$J$4,IF($H153="▲",$F153+$F153*$J$4,$F153))</f>
        <v>7584</v>
      </c>
      <c r="K153">
        <f>IF($H153="▼",$G153-$G153*$K$4,IF($H153="▲",$G153+$G153*$K$4,$G153))</f>
        <v>7423</v>
      </c>
      <c r="L153" s="107" t="s">
        <v>268</v>
      </c>
      <c r="M153" s="74">
        <f>E153</f>
        <v>7745</v>
      </c>
      <c r="N153">
        <f>IF($L153="▼",$F153-$F153*$N$4,IF($L153="▲",$F153+$F153*$N$4,$F153))</f>
        <v>7584</v>
      </c>
      <c r="O153">
        <f>IF($L153="▼",$F153-$F153*$O$4,IF($L153="▲",$F153+$F153*$O$4,$F153))</f>
        <v>7584</v>
      </c>
    </row>
    <row r="154" spans="1:15">
      <c r="C154" s="77" t="s">
        <v>246</v>
      </c>
      <c r="D154" s="77" t="s">
        <v>227</v>
      </c>
      <c r="E154" s="74">
        <v>440000</v>
      </c>
      <c r="F154" s="74">
        <v>425000</v>
      </c>
      <c r="G154" s="74">
        <v>410000</v>
      </c>
    </row>
    <row r="155" spans="1:15">
      <c r="C155" s="77" t="s">
        <v>238</v>
      </c>
      <c r="D155" s="77" t="s">
        <v>231</v>
      </c>
      <c r="E155" s="74">
        <v>7745</v>
      </c>
      <c r="F155" s="74">
        <v>7584</v>
      </c>
      <c r="G155" s="74">
        <v>7423</v>
      </c>
    </row>
    <row r="156" spans="1:15">
      <c r="C156" s="77" t="s">
        <v>239</v>
      </c>
      <c r="D156" s="77" t="s">
        <v>240</v>
      </c>
      <c r="E156">
        <v>25</v>
      </c>
      <c r="F156">
        <v>25</v>
      </c>
      <c r="G156">
        <v>25</v>
      </c>
    </row>
    <row r="158" spans="1:15">
      <c r="A158" s="2">
        <v>21</v>
      </c>
      <c r="B158" s="2">
        <v>1</v>
      </c>
      <c r="C158" s="124" t="s">
        <v>277</v>
      </c>
      <c r="D158" s="125"/>
      <c r="E158" s="125"/>
      <c r="F158" s="125"/>
      <c r="G158" s="125"/>
      <c r="H158" s="126"/>
      <c r="I158" s="125"/>
      <c r="J158" s="125"/>
      <c r="K158" s="125"/>
      <c r="L158" s="125"/>
      <c r="M158" s="125"/>
      <c r="N158" s="125"/>
      <c r="O158" s="125"/>
    </row>
    <row r="159" spans="1:15">
      <c r="C159" t="s">
        <v>226</v>
      </c>
      <c r="D159" t="s">
        <v>227</v>
      </c>
      <c r="E159" s="74">
        <v>830000</v>
      </c>
      <c r="F159" s="74">
        <v>815000</v>
      </c>
      <c r="G159" s="74">
        <v>800000</v>
      </c>
      <c r="H159" s="107" t="s">
        <v>268</v>
      </c>
      <c r="I159" s="74">
        <f>E159</f>
        <v>830000</v>
      </c>
      <c r="J159">
        <f>IF($H159="▼",$F159-$F159*$J$4,IF($H159="▲",$F159+$F159*$J$4,$F159))</f>
        <v>815000</v>
      </c>
      <c r="K159">
        <f>IF($H159="▼",$G159-$G159*$K$4,IF($H159="▲",$G159+$G159*$K$4,$G159))</f>
        <v>800000</v>
      </c>
      <c r="L159" s="107" t="s">
        <v>268</v>
      </c>
      <c r="M159" s="74">
        <f>E159</f>
        <v>830000</v>
      </c>
      <c r="N159">
        <f>IF($L159="▼",$F159-$F159*$N$4,IF($L159="▲",$F159+$F159*$N$4,$F159))</f>
        <v>815000</v>
      </c>
      <c r="O159">
        <f>IF($L159="▼",$F159-$F159*$O$4,IF($L159="▲",$F159+$F159*$O$4,$F159))</f>
        <v>815000</v>
      </c>
    </row>
    <row r="160" spans="1:15">
      <c r="C160" t="s">
        <v>230</v>
      </c>
      <c r="D160" t="s">
        <v>231</v>
      </c>
      <c r="E160" s="74">
        <v>27800</v>
      </c>
      <c r="F160" s="74">
        <v>26900</v>
      </c>
      <c r="G160" s="74">
        <v>26000</v>
      </c>
      <c r="H160" s="107" t="s">
        <v>268</v>
      </c>
      <c r="I160" s="74">
        <f>E160</f>
        <v>27800</v>
      </c>
      <c r="J160">
        <f>IF($H160="▼",$F160-$F160*$J$4,IF($H160="▲",$F160+$F160*$J$4,$F160))</f>
        <v>26900</v>
      </c>
      <c r="K160">
        <f>IF($H160="▼",$G160-$G160*$K$4,IF($H160="▲",$G160+$G160*$K$4,$G160))</f>
        <v>26000</v>
      </c>
      <c r="L160" s="107" t="s">
        <v>268</v>
      </c>
      <c r="M160" s="74">
        <f>E160</f>
        <v>27800</v>
      </c>
      <c r="N160">
        <f>IF($L160="▼",$F160-$F160*$N$4,IF($L160="▲",$F160+$F160*$N$4,$F160))</f>
        <v>26900</v>
      </c>
      <c r="O160">
        <f>IF($L160="▼",$F160-$F160*$O$4,IF($L160="▲",$F160+$F160*$O$4,$F160))</f>
        <v>26900</v>
      </c>
    </row>
    <row r="161" spans="1:15">
      <c r="C161" s="77" t="s">
        <v>246</v>
      </c>
      <c r="D161" s="77" t="s">
        <v>227</v>
      </c>
      <c r="E161" s="74">
        <v>830000</v>
      </c>
      <c r="F161" s="74">
        <v>815000</v>
      </c>
      <c r="G161" s="74">
        <v>800000</v>
      </c>
    </row>
    <row r="162" spans="1:15">
      <c r="C162" s="77" t="s">
        <v>238</v>
      </c>
      <c r="D162" s="77" t="s">
        <v>231</v>
      </c>
      <c r="E162" s="74">
        <v>27800</v>
      </c>
      <c r="F162" s="74">
        <v>26900</v>
      </c>
      <c r="G162" s="74">
        <v>26000</v>
      </c>
    </row>
    <row r="163" spans="1:15">
      <c r="C163" s="77" t="s">
        <v>239</v>
      </c>
      <c r="D163" s="77" t="s">
        <v>240</v>
      </c>
      <c r="E163">
        <v>25</v>
      </c>
      <c r="F163">
        <v>25</v>
      </c>
      <c r="G163">
        <v>25</v>
      </c>
    </row>
    <row r="165" spans="1:15">
      <c r="A165" s="2">
        <v>22</v>
      </c>
      <c r="B165" s="2" t="s">
        <v>278</v>
      </c>
      <c r="C165" s="127" t="s">
        <v>279</v>
      </c>
      <c r="D165" s="128"/>
      <c r="E165" s="128"/>
      <c r="F165" s="128"/>
      <c r="G165" s="128"/>
      <c r="H165" s="129"/>
      <c r="I165" s="128"/>
      <c r="J165" s="128"/>
      <c r="K165" s="128"/>
      <c r="L165" s="128"/>
      <c r="M165" s="128"/>
      <c r="N165" s="128"/>
      <c r="O165" s="128"/>
    </row>
    <row r="166" spans="1:15">
      <c r="C166" t="s">
        <v>226</v>
      </c>
      <c r="D166" t="s">
        <v>227</v>
      </c>
      <c r="E166">
        <f>E159*0.1+E159</f>
        <v>913000</v>
      </c>
      <c r="F166">
        <f t="shared" ref="F166:G166" si="2">F159*0.1+F159</f>
        <v>896500</v>
      </c>
      <c r="G166">
        <f t="shared" si="2"/>
        <v>880000</v>
      </c>
      <c r="H166" s="107" t="s">
        <v>268</v>
      </c>
      <c r="I166" s="74">
        <f>E166</f>
        <v>913000</v>
      </c>
      <c r="J166">
        <f>IF($H166="▼",$F166-$F166*$J$4,IF($H166="▲",$F166+$F166*$J$4,$F166))</f>
        <v>896500</v>
      </c>
      <c r="K166">
        <f>IF($H166="▼",$G166-$G166*$K$4,IF($H166="▲",$G166+$G166*$K$4,$G166))</f>
        <v>880000</v>
      </c>
      <c r="L166" s="107" t="s">
        <v>268</v>
      </c>
      <c r="M166" s="74">
        <f>E166</f>
        <v>913000</v>
      </c>
      <c r="N166">
        <f>IF($L166="▼",$F166-$F166*$N$4,IF($L166="▲",$F166+$F166*$N$4,$F166))</f>
        <v>896500</v>
      </c>
      <c r="O166">
        <f>IF($L166="▼",$F166-$F166*$O$4,IF($L166="▲",$F166+$F166*$O$4,$F166))</f>
        <v>896500</v>
      </c>
    </row>
    <row r="167" spans="1:15">
      <c r="C167" t="s">
        <v>230</v>
      </c>
      <c r="D167" t="s">
        <v>231</v>
      </c>
      <c r="E167">
        <f t="shared" ref="E167:G169" si="3">E160*0.1+E160</f>
        <v>30580</v>
      </c>
      <c r="F167">
        <f t="shared" si="3"/>
        <v>29590</v>
      </c>
      <c r="G167">
        <f t="shared" si="3"/>
        <v>28600</v>
      </c>
      <c r="H167" s="107" t="s">
        <v>268</v>
      </c>
      <c r="I167" s="74">
        <f>E167</f>
        <v>30580</v>
      </c>
      <c r="J167">
        <f>IF($H167="▼",$F167-$F167*$J$4,IF($H167="▲",$F167+$F167*$J$4,$F167))</f>
        <v>29590</v>
      </c>
      <c r="K167">
        <f>IF($H167="▼",$G167-$G167*$K$4,IF($H167="▲",$G167+$G167*$K$4,$G167))</f>
        <v>28600</v>
      </c>
      <c r="L167" s="107" t="s">
        <v>268</v>
      </c>
      <c r="M167" s="74">
        <f>E167</f>
        <v>30580</v>
      </c>
      <c r="N167">
        <f>IF($L167="▼",$F167-$F167*$N$4,IF($L167="▲",$F167+$F167*$N$4,$F167))</f>
        <v>29590</v>
      </c>
      <c r="O167">
        <f>IF($L167="▼",$F167-$F167*$O$4,IF($L167="▲",$F167+$F167*$O$4,$F167))</f>
        <v>29590</v>
      </c>
    </row>
    <row r="168" spans="1:15">
      <c r="C168" s="77" t="s">
        <v>246</v>
      </c>
      <c r="D168" s="77" t="s">
        <v>227</v>
      </c>
      <c r="E168">
        <f t="shared" si="3"/>
        <v>913000</v>
      </c>
      <c r="F168">
        <f t="shared" si="3"/>
        <v>896500</v>
      </c>
      <c r="G168">
        <f t="shared" si="3"/>
        <v>880000</v>
      </c>
    </row>
    <row r="169" spans="1:15">
      <c r="C169" s="77" t="s">
        <v>238</v>
      </c>
      <c r="D169" s="77" t="s">
        <v>231</v>
      </c>
      <c r="E169">
        <f t="shared" si="3"/>
        <v>30580</v>
      </c>
      <c r="F169">
        <f t="shared" si="3"/>
        <v>29590</v>
      </c>
      <c r="G169">
        <f t="shared" si="3"/>
        <v>28600</v>
      </c>
    </row>
    <row r="170" spans="1:15">
      <c r="C170" s="77" t="s">
        <v>239</v>
      </c>
      <c r="D170" s="77" t="s">
        <v>240</v>
      </c>
      <c r="E170">
        <v>25</v>
      </c>
      <c r="F170">
        <v>25</v>
      </c>
      <c r="G170">
        <v>25</v>
      </c>
    </row>
    <row r="172" spans="1:15">
      <c r="B172" s="7" t="s">
        <v>280</v>
      </c>
      <c r="C172" s="130" t="s">
        <v>281</v>
      </c>
      <c r="D172" s="486" t="s">
        <v>282</v>
      </c>
      <c r="E172" s="486"/>
      <c r="F172" s="486"/>
      <c r="G172" s="486"/>
      <c r="H172" s="486"/>
      <c r="I172" s="486"/>
      <c r="J172" s="486"/>
      <c r="K172" s="486"/>
      <c r="L172" s="486"/>
      <c r="M172" s="486"/>
      <c r="N172" s="486"/>
      <c r="O172" s="486"/>
    </row>
    <row r="173" spans="1:15" ht="50.25" customHeight="1">
      <c r="B173" s="131" t="s">
        <v>283</v>
      </c>
      <c r="C173" s="132" t="s">
        <v>284</v>
      </c>
      <c r="D173" s="487" t="s">
        <v>285</v>
      </c>
      <c r="E173" s="487"/>
      <c r="F173" s="487"/>
      <c r="G173" s="487"/>
      <c r="H173" s="487"/>
      <c r="I173" s="487"/>
      <c r="J173" s="487"/>
      <c r="K173" s="487"/>
      <c r="L173" s="487"/>
      <c r="M173" s="487"/>
      <c r="N173" s="487"/>
      <c r="O173" s="487"/>
    </row>
    <row r="174" spans="1:15">
      <c r="B174" s="131" t="s">
        <v>286</v>
      </c>
      <c r="C174" s="133">
        <v>19</v>
      </c>
      <c r="D174" s="484" t="s">
        <v>287</v>
      </c>
      <c r="E174" s="484"/>
      <c r="F174" s="484"/>
      <c r="G174" s="484"/>
      <c r="H174" s="484"/>
      <c r="I174" s="484"/>
      <c r="J174" s="484"/>
      <c r="K174" s="484"/>
      <c r="L174" s="484"/>
      <c r="M174" s="484"/>
      <c r="N174" s="484"/>
      <c r="O174" s="484"/>
    </row>
    <row r="175" spans="1:15" ht="24.75" customHeight="1">
      <c r="B175" s="131" t="s">
        <v>288</v>
      </c>
      <c r="C175" s="132">
        <v>22</v>
      </c>
      <c r="D175" s="483" t="s">
        <v>289</v>
      </c>
      <c r="E175" s="484"/>
      <c r="F175" s="484"/>
      <c r="G175" s="484"/>
      <c r="H175" s="484"/>
      <c r="I175" s="484"/>
      <c r="J175" s="484"/>
      <c r="K175" s="484"/>
      <c r="L175" s="484"/>
      <c r="M175" s="484"/>
      <c r="N175" s="484"/>
      <c r="O175" s="484"/>
    </row>
  </sheetData>
  <mergeCells count="7">
    <mergeCell ref="D175:O175"/>
    <mergeCell ref="E2:G2"/>
    <mergeCell ref="I2:K2"/>
    <mergeCell ref="M2:O2"/>
    <mergeCell ref="D172:O172"/>
    <mergeCell ref="D173:O173"/>
    <mergeCell ref="D174:O174"/>
  </mergeCells>
  <pageMargins left="0.7" right="0.7" top="0.78740157499999996" bottom="0.78740157499999996" header="0.3" footer="0.3"/>
  <pageSetup paperSize="9" orientation="portrait" verticalDpi="0" r:id="rId1"/>
  <headerFooter>
    <oddFooter>&amp;C_x000D_&amp;1#&amp;"Calibri"&amp;10&amp;K000000 ISC - Uso INTERNO / INTERNAL Use</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93AC-7089-4498-801F-DDF0923450AC}">
  <sheetPr>
    <tabColor theme="7"/>
  </sheetPr>
  <dimension ref="A1:AI67"/>
  <sheetViews>
    <sheetView workbookViewId="0">
      <selection activeCell="B21" sqref="B21"/>
    </sheetView>
  </sheetViews>
  <sheetFormatPr defaultColWidth="11.42578125" defaultRowHeight="15"/>
  <cols>
    <col min="1" max="1" width="11.42578125" style="146"/>
    <col min="2" max="2" width="47" style="146" customWidth="1"/>
    <col min="3" max="3" width="11.42578125" style="147"/>
    <col min="4" max="6" width="11.42578125" style="146"/>
    <col min="7" max="7" width="11.42578125" style="147"/>
    <col min="8" max="10" width="11.42578125" style="146"/>
    <col min="11" max="11" width="11.42578125" style="147"/>
    <col min="12" max="26" width="11.42578125" style="146"/>
    <col min="27" max="27" width="11.42578125" style="147"/>
    <col min="28" max="30" width="11.42578125" style="146"/>
    <col min="31" max="31" width="11.42578125" style="147"/>
    <col min="32" max="34" width="11.42578125" style="146"/>
    <col min="35" max="35" width="11.42578125" style="147"/>
    <col min="36" max="16384" width="11.42578125" style="146"/>
  </cols>
  <sheetData>
    <row r="1" spans="1:35" ht="23.25">
      <c r="B1" s="438" t="s">
        <v>12</v>
      </c>
    </row>
    <row r="2" spans="1:35" s="137" customFormat="1">
      <c r="A2" s="134"/>
      <c r="B2" s="135"/>
      <c r="C2" s="489" t="s">
        <v>290</v>
      </c>
      <c r="D2" s="490"/>
      <c r="E2" s="490"/>
      <c r="F2" s="491"/>
      <c r="G2" s="495" t="s">
        <v>291</v>
      </c>
      <c r="H2" s="496"/>
      <c r="I2" s="496"/>
      <c r="J2" s="497"/>
      <c r="K2" s="501" t="s">
        <v>292</v>
      </c>
      <c r="L2" s="502"/>
      <c r="M2" s="502"/>
      <c r="N2" s="503"/>
      <c r="O2" s="501" t="s">
        <v>293</v>
      </c>
      <c r="P2" s="502"/>
      <c r="Q2" s="502"/>
      <c r="R2" s="503"/>
      <c r="S2" s="501" t="s">
        <v>294</v>
      </c>
      <c r="T2" s="502"/>
      <c r="U2" s="502"/>
      <c r="V2" s="503"/>
      <c r="W2" s="501" t="s">
        <v>270</v>
      </c>
      <c r="X2" s="502"/>
      <c r="Y2" s="502"/>
      <c r="Z2" s="503"/>
      <c r="AA2" s="501" t="s">
        <v>295</v>
      </c>
      <c r="AB2" s="502"/>
      <c r="AC2" s="502"/>
      <c r="AD2" s="503"/>
      <c r="AE2" s="501" t="s">
        <v>296</v>
      </c>
      <c r="AF2" s="502"/>
      <c r="AG2" s="502"/>
      <c r="AH2" s="502"/>
      <c r="AI2" s="136"/>
    </row>
    <row r="3" spans="1:35" s="137" customFormat="1">
      <c r="A3" s="134"/>
      <c r="B3" s="135"/>
      <c r="C3" s="492"/>
      <c r="D3" s="493"/>
      <c r="E3" s="493"/>
      <c r="F3" s="494"/>
      <c r="G3" s="498"/>
      <c r="H3" s="499"/>
      <c r="I3" s="499"/>
      <c r="J3" s="500"/>
      <c r="K3" s="492"/>
      <c r="L3" s="493"/>
      <c r="M3" s="493"/>
      <c r="N3" s="494"/>
      <c r="O3" s="492"/>
      <c r="P3" s="493"/>
      <c r="Q3" s="493"/>
      <c r="R3" s="494"/>
      <c r="S3" s="492"/>
      <c r="T3" s="493"/>
      <c r="U3" s="493"/>
      <c r="V3" s="494"/>
      <c r="W3" s="492"/>
      <c r="X3" s="493"/>
      <c r="Y3" s="493"/>
      <c r="Z3" s="494"/>
      <c r="AA3" s="492"/>
      <c r="AB3" s="493"/>
      <c r="AC3" s="493"/>
      <c r="AD3" s="494"/>
      <c r="AE3" s="492"/>
      <c r="AF3" s="493"/>
      <c r="AG3" s="493"/>
      <c r="AH3" s="493"/>
      <c r="AI3" s="136"/>
    </row>
    <row r="4" spans="1:35" s="137" customFormat="1">
      <c r="A4" s="138"/>
      <c r="B4" s="139"/>
      <c r="C4" s="140">
        <v>2030</v>
      </c>
      <c r="D4" s="141">
        <v>2040</v>
      </c>
      <c r="E4" s="141">
        <v>2050</v>
      </c>
      <c r="F4" s="141" t="s">
        <v>224</v>
      </c>
      <c r="G4" s="140">
        <v>2030</v>
      </c>
      <c r="H4" s="141">
        <v>2040</v>
      </c>
      <c r="I4" s="141">
        <v>2050</v>
      </c>
      <c r="J4" s="141" t="s">
        <v>224</v>
      </c>
      <c r="K4" s="140">
        <v>2030</v>
      </c>
      <c r="L4" s="141">
        <v>2040</v>
      </c>
      <c r="M4" s="141">
        <v>2050</v>
      </c>
      <c r="N4" s="138" t="s">
        <v>224</v>
      </c>
      <c r="O4" s="141">
        <v>2030</v>
      </c>
      <c r="P4" s="141">
        <v>2040</v>
      </c>
      <c r="Q4" s="141">
        <v>2050</v>
      </c>
      <c r="R4" s="138" t="s">
        <v>224</v>
      </c>
      <c r="S4" s="141">
        <v>2030</v>
      </c>
      <c r="T4" s="141">
        <v>2040</v>
      </c>
      <c r="U4" s="141">
        <v>2050</v>
      </c>
      <c r="V4" s="138" t="s">
        <v>224</v>
      </c>
      <c r="W4" s="141">
        <v>2030</v>
      </c>
      <c r="X4" s="141">
        <v>2040</v>
      </c>
      <c r="Y4" s="141">
        <v>2050</v>
      </c>
      <c r="Z4" s="141" t="s">
        <v>224</v>
      </c>
      <c r="AA4" s="140">
        <v>2030</v>
      </c>
      <c r="AB4" s="141">
        <v>2040</v>
      </c>
      <c r="AC4" s="141">
        <v>2050</v>
      </c>
      <c r="AD4" s="141" t="s">
        <v>224</v>
      </c>
      <c r="AE4" s="140">
        <v>2030</v>
      </c>
      <c r="AF4" s="141">
        <v>2040</v>
      </c>
      <c r="AG4" s="141">
        <v>2050</v>
      </c>
      <c r="AH4" s="141" t="s">
        <v>224</v>
      </c>
      <c r="AI4" s="140"/>
    </row>
    <row r="5" spans="1:35">
      <c r="A5" s="142"/>
      <c r="B5" s="143" t="s">
        <v>297</v>
      </c>
      <c r="C5" s="144">
        <v>1.8</v>
      </c>
      <c r="D5" s="145">
        <v>1.65</v>
      </c>
      <c r="E5" s="145">
        <v>1.64</v>
      </c>
      <c r="F5" s="145"/>
      <c r="G5" s="144">
        <v>2.4700000000000002</v>
      </c>
      <c r="H5" s="145">
        <v>2.31</v>
      </c>
      <c r="I5" s="145">
        <v>2.29</v>
      </c>
      <c r="J5" s="145"/>
      <c r="K5" s="144">
        <v>2.06</v>
      </c>
      <c r="L5" s="145">
        <v>1.9</v>
      </c>
      <c r="M5" s="145">
        <v>1.88</v>
      </c>
      <c r="N5" s="142"/>
      <c r="O5" s="145">
        <v>2.31</v>
      </c>
      <c r="P5" s="145">
        <v>2</v>
      </c>
      <c r="Q5" s="145">
        <v>1.9</v>
      </c>
      <c r="R5" s="142"/>
      <c r="S5" s="145"/>
      <c r="T5" s="145"/>
      <c r="U5" s="145"/>
      <c r="V5" s="142"/>
      <c r="W5" s="145">
        <v>0.25</v>
      </c>
      <c r="X5" s="145">
        <v>0.25</v>
      </c>
      <c r="Y5" s="145">
        <v>0.25</v>
      </c>
      <c r="Z5" s="145"/>
      <c r="AA5" s="144"/>
      <c r="AB5" s="145"/>
      <c r="AC5" s="145"/>
      <c r="AD5" s="145"/>
      <c r="AE5" s="144">
        <v>0.85</v>
      </c>
      <c r="AF5" s="145">
        <v>0.68</v>
      </c>
      <c r="AG5" s="145">
        <v>0.63</v>
      </c>
      <c r="AH5" s="145"/>
      <c r="AI5" s="144"/>
    </row>
    <row r="6" spans="1:35">
      <c r="A6" s="142"/>
      <c r="B6" s="143" t="s">
        <v>298</v>
      </c>
      <c r="C6" s="144">
        <v>5.8000000000000003E-2</v>
      </c>
      <c r="D6" s="145">
        <v>5.0999999999999997E-2</v>
      </c>
      <c r="E6" s="145">
        <v>4.9000000000000002E-2</v>
      </c>
      <c r="F6" s="145"/>
      <c r="G6" s="144">
        <v>7.2999999999999995E-2</v>
      </c>
      <c r="H6" s="145">
        <v>6.6000000000000003E-2</v>
      </c>
      <c r="I6" s="145">
        <v>6.4000000000000001E-2</v>
      </c>
      <c r="J6" s="145"/>
      <c r="K6" s="144">
        <v>6.5000000000000002E-2</v>
      </c>
      <c r="L6" s="145">
        <v>5.8000000000000003E-2</v>
      </c>
      <c r="M6" s="145">
        <v>5.6000000000000001E-2</v>
      </c>
      <c r="N6" s="142"/>
      <c r="O6" s="145">
        <v>9.2999999999999999E-2</v>
      </c>
      <c r="P6" s="145">
        <v>7.8E-2</v>
      </c>
      <c r="Q6" s="145">
        <v>7.2999999999999995E-2</v>
      </c>
      <c r="R6" s="142"/>
      <c r="S6" s="145"/>
      <c r="T6" s="145"/>
      <c r="U6" s="145"/>
      <c r="V6" s="142"/>
      <c r="W6" s="145"/>
      <c r="X6" s="145"/>
      <c r="Y6" s="145"/>
      <c r="Z6" s="145"/>
      <c r="AA6" s="144"/>
      <c r="AB6" s="145"/>
      <c r="AC6" s="145"/>
      <c r="AD6" s="145"/>
      <c r="AE6" s="144">
        <v>1.7999999999999999E-2</v>
      </c>
      <c r="AF6" s="145">
        <v>1.4999999999999999E-2</v>
      </c>
      <c r="AG6" s="145">
        <v>1.4E-2</v>
      </c>
      <c r="AH6" s="145"/>
      <c r="AI6" s="144"/>
    </row>
    <row r="7" spans="1:35">
      <c r="A7" s="142"/>
      <c r="B7" s="143" t="s">
        <v>299</v>
      </c>
      <c r="C7" s="144"/>
      <c r="D7" s="145"/>
      <c r="E7" s="145"/>
      <c r="F7" s="145"/>
      <c r="G7" s="144"/>
      <c r="H7" s="145"/>
      <c r="I7" s="145"/>
      <c r="J7" s="145"/>
      <c r="K7" s="144"/>
      <c r="L7" s="145"/>
      <c r="M7" s="145"/>
      <c r="N7" s="142"/>
      <c r="O7" s="145"/>
      <c r="P7" s="145"/>
      <c r="Q7" s="145"/>
      <c r="R7" s="142"/>
      <c r="S7" s="146">
        <v>1.6175E-3</v>
      </c>
      <c r="T7" s="146">
        <v>1.6175E-3</v>
      </c>
      <c r="U7" s="146">
        <v>1.6175E-3</v>
      </c>
      <c r="V7" s="142"/>
      <c r="W7" s="145"/>
      <c r="X7" s="145"/>
      <c r="Y7" s="145"/>
      <c r="Z7" s="145"/>
      <c r="AA7" s="147">
        <v>5.2857100000000003E-4</v>
      </c>
      <c r="AB7" s="146">
        <v>5.2857100000000003E-4</v>
      </c>
      <c r="AC7" s="146">
        <v>5.2857100000000003E-4</v>
      </c>
      <c r="AD7" s="145"/>
      <c r="AE7" s="144"/>
      <c r="AF7" s="145"/>
      <c r="AG7" s="145"/>
      <c r="AH7" s="145"/>
      <c r="AI7" s="144"/>
    </row>
    <row r="8" spans="1:35">
      <c r="A8" s="148"/>
      <c r="B8" s="149" t="s">
        <v>300</v>
      </c>
      <c r="C8" s="150"/>
      <c r="D8" s="151"/>
      <c r="E8" s="151"/>
      <c r="F8" s="151"/>
      <c r="G8" s="150"/>
      <c r="H8" s="151"/>
      <c r="I8" s="151"/>
      <c r="J8" s="151"/>
      <c r="K8" s="150"/>
      <c r="L8" s="151"/>
      <c r="M8" s="151"/>
      <c r="N8" s="148"/>
      <c r="O8" s="151"/>
      <c r="P8" s="151"/>
      <c r="Q8" s="151"/>
      <c r="R8" s="148"/>
      <c r="S8" s="151">
        <v>4.0399999999999999E-5</v>
      </c>
      <c r="T8" s="151">
        <v>4.0399999999999999E-5</v>
      </c>
      <c r="U8" s="151">
        <v>4.0399999999999999E-5</v>
      </c>
      <c r="V8" s="148"/>
      <c r="W8" s="151"/>
      <c r="X8" s="151"/>
      <c r="Y8" s="151"/>
      <c r="Z8" s="151"/>
      <c r="AA8" s="152">
        <v>1.6592600000000001E-6</v>
      </c>
      <c r="AB8" s="153">
        <v>1.6592600000000001E-6</v>
      </c>
      <c r="AC8" s="153">
        <v>1.6592600000000001E-6</v>
      </c>
      <c r="AD8" s="151"/>
      <c r="AE8" s="150"/>
      <c r="AF8" s="151"/>
      <c r="AG8" s="151"/>
      <c r="AH8" s="151"/>
      <c r="AI8" s="150"/>
    </row>
    <row r="9" spans="1:35">
      <c r="A9" s="154"/>
      <c r="B9" s="155"/>
      <c r="C9" s="156"/>
      <c r="D9" s="157"/>
      <c r="E9" s="157"/>
      <c r="F9" s="157"/>
      <c r="G9" s="156"/>
      <c r="H9" s="157"/>
      <c r="I9" s="157"/>
      <c r="J9" s="157"/>
      <c r="K9" s="156"/>
      <c r="L9" s="157"/>
      <c r="M9" s="157"/>
      <c r="N9" s="154"/>
      <c r="O9" s="157"/>
      <c r="P9" s="157"/>
      <c r="Q9" s="157"/>
      <c r="R9" s="154"/>
      <c r="S9" s="157"/>
      <c r="T9" s="157"/>
      <c r="U9" s="157"/>
      <c r="V9" s="154"/>
      <c r="W9" s="157"/>
      <c r="X9" s="157"/>
      <c r="Y9" s="157"/>
      <c r="Z9" s="157"/>
      <c r="AA9" s="156"/>
      <c r="AB9" s="157"/>
      <c r="AC9" s="157"/>
      <c r="AD9" s="157"/>
      <c r="AE9" s="156"/>
      <c r="AF9" s="157"/>
      <c r="AG9" s="157"/>
      <c r="AH9" s="157"/>
      <c r="AI9" s="156"/>
    </row>
    <row r="10" spans="1:35">
      <c r="A10" s="504" t="s">
        <v>297</v>
      </c>
      <c r="B10" s="143" t="s">
        <v>301</v>
      </c>
      <c r="C10" s="144">
        <v>1.56</v>
      </c>
      <c r="D10" s="145">
        <v>1.4</v>
      </c>
      <c r="E10" s="145">
        <v>1.38</v>
      </c>
      <c r="F10" s="145"/>
      <c r="G10" s="144">
        <v>1.56</v>
      </c>
      <c r="H10" s="145">
        <v>1.4</v>
      </c>
      <c r="I10" s="145">
        <v>1.38</v>
      </c>
      <c r="J10" s="145"/>
      <c r="K10" s="144">
        <v>1.56</v>
      </c>
      <c r="L10" s="145">
        <v>1.4</v>
      </c>
      <c r="M10" s="145">
        <v>1.38</v>
      </c>
      <c r="N10" s="158"/>
      <c r="O10" s="145">
        <v>1.57</v>
      </c>
      <c r="P10" s="145">
        <v>1.42</v>
      </c>
      <c r="Q10" s="145">
        <v>1.4</v>
      </c>
      <c r="R10" s="158"/>
      <c r="S10" s="145"/>
      <c r="T10" s="145"/>
      <c r="U10" s="145"/>
      <c r="V10" s="158"/>
      <c r="W10" s="145"/>
      <c r="X10" s="145"/>
      <c r="Y10" s="145"/>
      <c r="Z10" s="145"/>
      <c r="AA10" s="144"/>
      <c r="AB10" s="145"/>
      <c r="AC10" s="145"/>
      <c r="AD10" s="145"/>
      <c r="AE10" s="144"/>
      <c r="AF10" s="145"/>
      <c r="AG10" s="145"/>
      <c r="AH10" s="145"/>
      <c r="AI10" s="144"/>
    </row>
    <row r="11" spans="1:35">
      <c r="A11" s="504"/>
      <c r="B11" s="159" t="s">
        <v>302</v>
      </c>
      <c r="C11" s="144">
        <v>0.67</v>
      </c>
      <c r="D11" s="145">
        <v>0.61</v>
      </c>
      <c r="E11" s="145">
        <v>0.61</v>
      </c>
      <c r="F11" s="145" t="s">
        <v>303</v>
      </c>
      <c r="G11" s="144">
        <v>0.67</v>
      </c>
      <c r="H11" s="145">
        <v>0.61</v>
      </c>
      <c r="I11" s="145">
        <v>0.61</v>
      </c>
      <c r="J11" s="145" t="s">
        <v>303</v>
      </c>
      <c r="K11" s="144">
        <v>0.67</v>
      </c>
      <c r="L11" s="145">
        <v>0.61</v>
      </c>
      <c r="M11" s="145">
        <v>0.61</v>
      </c>
      <c r="N11" s="142" t="s">
        <v>303</v>
      </c>
      <c r="O11" s="145">
        <v>0.67</v>
      </c>
      <c r="P11" s="145">
        <v>0.61</v>
      </c>
      <c r="Q11" s="145">
        <v>0.61</v>
      </c>
      <c r="R11" s="158" t="s">
        <v>303</v>
      </c>
      <c r="S11" s="145"/>
      <c r="T11" s="145"/>
      <c r="U11" s="145"/>
      <c r="V11" s="158"/>
      <c r="W11" s="145"/>
      <c r="X11" s="145"/>
      <c r="Y11" s="145"/>
      <c r="Z11" s="145"/>
      <c r="AA11" s="144"/>
      <c r="AB11" s="145"/>
      <c r="AC11" s="145"/>
      <c r="AD11" s="145"/>
      <c r="AE11" s="144"/>
      <c r="AF11" s="145"/>
      <c r="AG11" s="145"/>
      <c r="AH11" s="145"/>
      <c r="AI11" s="144"/>
    </row>
    <row r="12" spans="1:35">
      <c r="A12" s="504"/>
      <c r="B12" s="159" t="s">
        <v>304</v>
      </c>
      <c r="C12" s="144">
        <v>0.22</v>
      </c>
      <c r="D12" s="145">
        <v>0.22</v>
      </c>
      <c r="E12" s="145">
        <v>0.21</v>
      </c>
      <c r="F12" s="145" t="s">
        <v>303</v>
      </c>
      <c r="G12" s="144">
        <v>0.22</v>
      </c>
      <c r="H12" s="145">
        <v>0.22</v>
      </c>
      <c r="I12" s="145">
        <v>0.21</v>
      </c>
      <c r="J12" s="145" t="s">
        <v>303</v>
      </c>
      <c r="K12" s="144">
        <v>0.22</v>
      </c>
      <c r="L12" s="145">
        <v>0.22</v>
      </c>
      <c r="M12" s="145">
        <v>0.21</v>
      </c>
      <c r="N12" s="142" t="s">
        <v>303</v>
      </c>
      <c r="O12" s="145">
        <v>0.22</v>
      </c>
      <c r="P12" s="145">
        <v>0.22</v>
      </c>
      <c r="Q12" s="145">
        <v>0.21</v>
      </c>
      <c r="R12" s="142" t="s">
        <v>303</v>
      </c>
      <c r="S12" s="145"/>
      <c r="T12" s="145"/>
      <c r="U12" s="145"/>
      <c r="V12" s="158"/>
      <c r="W12" s="145"/>
      <c r="X12" s="145"/>
      <c r="Y12" s="145"/>
      <c r="Z12" s="145"/>
      <c r="AA12" s="144"/>
      <c r="AB12" s="145"/>
      <c r="AC12" s="145"/>
      <c r="AD12" s="145"/>
      <c r="AE12" s="144"/>
      <c r="AF12" s="145"/>
      <c r="AG12" s="145"/>
      <c r="AH12" s="145"/>
      <c r="AI12" s="144"/>
    </row>
    <row r="13" spans="1:35">
      <c r="A13" s="504"/>
      <c r="B13" s="159" t="s">
        <v>305</v>
      </c>
      <c r="C13" s="144">
        <v>0.65</v>
      </c>
      <c r="D13" s="145">
        <v>0.56000000000000005</v>
      </c>
      <c r="E13" s="145">
        <v>0.55000000000000004</v>
      </c>
      <c r="F13" s="145" t="s">
        <v>303</v>
      </c>
      <c r="G13" s="144">
        <v>0.65</v>
      </c>
      <c r="H13" s="145">
        <v>0.56000000000000005</v>
      </c>
      <c r="I13" s="145">
        <v>0.55000000000000004</v>
      </c>
      <c r="J13" s="145" t="s">
        <v>303</v>
      </c>
      <c r="K13" s="144">
        <v>0.65</v>
      </c>
      <c r="L13" s="145">
        <v>0.56000000000000005</v>
      </c>
      <c r="M13" s="145">
        <v>0.55000000000000004</v>
      </c>
      <c r="N13" s="142" t="s">
        <v>303</v>
      </c>
      <c r="O13" s="145">
        <v>0.65</v>
      </c>
      <c r="P13" s="145">
        <v>0.56000000000000005</v>
      </c>
      <c r="Q13" s="145">
        <v>0.55000000000000004</v>
      </c>
      <c r="R13" s="142" t="s">
        <v>303</v>
      </c>
      <c r="S13" s="145"/>
      <c r="T13" s="145"/>
      <c r="U13" s="145"/>
      <c r="V13" s="142"/>
      <c r="W13" s="145"/>
      <c r="X13" s="145"/>
      <c r="Y13" s="145"/>
      <c r="Z13" s="145"/>
      <c r="AA13" s="144"/>
      <c r="AB13" s="145"/>
      <c r="AC13" s="145"/>
      <c r="AD13" s="145"/>
      <c r="AE13" s="144"/>
      <c r="AF13" s="145"/>
      <c r="AG13" s="145"/>
      <c r="AH13" s="145"/>
      <c r="AI13" s="144"/>
    </row>
    <row r="14" spans="1:35">
      <c r="A14" s="504"/>
      <c r="B14" s="159" t="s">
        <v>306</v>
      </c>
      <c r="C14" s="144">
        <v>0.02</v>
      </c>
      <c r="D14" s="145">
        <v>0.01</v>
      </c>
      <c r="E14" s="145">
        <v>0.01</v>
      </c>
      <c r="F14" s="145" t="s">
        <v>303</v>
      </c>
      <c r="G14" s="144">
        <v>0.02</v>
      </c>
      <c r="H14" s="145">
        <v>0.01</v>
      </c>
      <c r="I14" s="145">
        <v>0.01</v>
      </c>
      <c r="J14" s="145" t="s">
        <v>303</v>
      </c>
      <c r="K14" s="144">
        <v>0.02</v>
      </c>
      <c r="L14" s="145">
        <v>0.01</v>
      </c>
      <c r="M14" s="145">
        <v>0.01</v>
      </c>
      <c r="N14" s="142" t="s">
        <v>303</v>
      </c>
      <c r="O14" s="145"/>
      <c r="P14" s="145"/>
      <c r="Q14" s="145"/>
      <c r="R14" s="142"/>
      <c r="S14" s="145" t="s">
        <v>307</v>
      </c>
      <c r="T14" s="145">
        <v>2.31</v>
      </c>
      <c r="U14" s="145" t="s">
        <v>308</v>
      </c>
      <c r="V14" s="142"/>
      <c r="W14" s="145"/>
      <c r="X14" s="145"/>
      <c r="Y14" s="145"/>
      <c r="Z14" s="145"/>
      <c r="AA14" s="144"/>
      <c r="AB14" s="145"/>
      <c r="AC14" s="145"/>
      <c r="AD14" s="145"/>
      <c r="AE14" s="144"/>
      <c r="AF14" s="145"/>
      <c r="AG14" s="145"/>
      <c r="AH14" s="145"/>
      <c r="AI14" s="144"/>
    </row>
    <row r="15" spans="1:35">
      <c r="A15" s="504"/>
      <c r="B15" s="159" t="s">
        <v>309</v>
      </c>
      <c r="C15" s="144"/>
      <c r="D15" s="145"/>
      <c r="E15" s="145"/>
      <c r="F15" s="145"/>
      <c r="G15" s="144"/>
      <c r="H15" s="145"/>
      <c r="I15" s="145"/>
      <c r="J15" s="145"/>
      <c r="K15" s="144"/>
      <c r="L15" s="145"/>
      <c r="M15" s="145"/>
      <c r="N15" s="142"/>
      <c r="O15" s="146">
        <v>0.03</v>
      </c>
      <c r="P15" s="146">
        <v>2.8125000000000001E-2</v>
      </c>
      <c r="Q15" s="146">
        <v>2.765625E-2</v>
      </c>
      <c r="R15" s="142" t="s">
        <v>310</v>
      </c>
      <c r="S15" s="145" t="s">
        <v>311</v>
      </c>
      <c r="T15" s="145">
        <v>2.71</v>
      </c>
      <c r="U15" s="145" t="s">
        <v>312</v>
      </c>
      <c r="V15" s="142"/>
      <c r="W15" s="145"/>
      <c r="X15" s="145"/>
      <c r="Y15" s="145"/>
      <c r="Z15" s="145"/>
      <c r="AA15" s="144"/>
      <c r="AB15" s="145"/>
      <c r="AC15" s="145"/>
      <c r="AD15" s="145"/>
      <c r="AE15" s="144"/>
      <c r="AF15" s="145"/>
      <c r="AG15" s="145"/>
      <c r="AH15" s="145"/>
      <c r="AI15" s="144"/>
    </row>
    <row r="16" spans="1:35">
      <c r="A16" s="504"/>
      <c r="B16" s="143"/>
      <c r="C16" s="144"/>
      <c r="D16" s="145"/>
      <c r="E16" s="145"/>
      <c r="F16" s="145"/>
      <c r="G16" s="144"/>
      <c r="H16" s="145"/>
      <c r="I16" s="145"/>
      <c r="J16" s="145"/>
      <c r="K16" s="144"/>
      <c r="L16" s="145"/>
      <c r="M16" s="145"/>
      <c r="N16" s="142"/>
      <c r="O16" s="145"/>
      <c r="P16" s="145"/>
      <c r="Q16" s="145"/>
      <c r="R16" s="142"/>
      <c r="S16" s="145"/>
      <c r="T16" s="145">
        <v>1.9</v>
      </c>
      <c r="U16" s="145"/>
      <c r="V16" s="142"/>
      <c r="W16" s="145"/>
      <c r="X16" s="145"/>
      <c r="Y16" s="145"/>
      <c r="Z16" s="145"/>
      <c r="AA16" s="144"/>
      <c r="AB16" s="145"/>
      <c r="AC16" s="145"/>
      <c r="AD16" s="145"/>
      <c r="AE16" s="144"/>
      <c r="AF16" s="145"/>
      <c r="AG16" s="145"/>
      <c r="AH16" s="145"/>
      <c r="AI16" s="144"/>
    </row>
    <row r="17" spans="1:35">
      <c r="A17" s="504"/>
      <c r="B17" s="143" t="s">
        <v>313</v>
      </c>
      <c r="C17" s="144"/>
      <c r="D17" s="145"/>
      <c r="E17" s="145"/>
      <c r="F17" s="145"/>
      <c r="G17" s="144"/>
      <c r="H17" s="145"/>
      <c r="I17" s="145"/>
      <c r="J17" s="145"/>
      <c r="K17" s="144"/>
      <c r="L17" s="145"/>
      <c r="M17" s="145"/>
      <c r="N17" s="142"/>
      <c r="O17" s="145">
        <v>0.66</v>
      </c>
      <c r="P17" s="145">
        <v>0.5</v>
      </c>
      <c r="Q17" s="145">
        <v>0.43</v>
      </c>
      <c r="R17" s="142"/>
      <c r="S17" s="145"/>
      <c r="T17" s="145"/>
      <c r="U17" s="145"/>
      <c r="V17" s="142"/>
      <c r="W17" s="145"/>
      <c r="X17" s="145"/>
      <c r="Y17" s="145"/>
      <c r="Z17" s="145"/>
      <c r="AA17" s="144"/>
      <c r="AB17" s="145"/>
      <c r="AC17" s="145"/>
      <c r="AD17" s="145"/>
      <c r="AE17" s="144">
        <v>0.85</v>
      </c>
      <c r="AF17" s="145">
        <v>0.68</v>
      </c>
      <c r="AG17" s="145">
        <v>0.63</v>
      </c>
      <c r="AH17" s="145"/>
      <c r="AI17" s="144"/>
    </row>
    <row r="18" spans="1:35">
      <c r="A18" s="504"/>
      <c r="B18" s="159" t="s">
        <v>314</v>
      </c>
      <c r="C18" s="144"/>
      <c r="D18" s="145"/>
      <c r="E18" s="145"/>
      <c r="F18" s="145"/>
      <c r="G18" s="144"/>
      <c r="H18" s="145"/>
      <c r="I18" s="145"/>
      <c r="J18" s="145"/>
      <c r="K18" s="144"/>
      <c r="L18" s="145"/>
      <c r="M18" s="145"/>
      <c r="N18" s="142"/>
      <c r="O18" s="145">
        <v>0.61</v>
      </c>
      <c r="P18" s="145">
        <v>0.45</v>
      </c>
      <c r="Q18" s="145">
        <v>0.38</v>
      </c>
      <c r="R18" s="142" t="s">
        <v>310</v>
      </c>
      <c r="S18" s="145"/>
      <c r="T18" s="145"/>
      <c r="U18" s="145"/>
      <c r="V18" s="142"/>
      <c r="W18" s="145"/>
      <c r="X18" s="145"/>
      <c r="Y18" s="145"/>
      <c r="Z18" s="145"/>
      <c r="AA18" s="144"/>
      <c r="AB18" s="145"/>
      <c r="AC18" s="145"/>
      <c r="AD18" s="145"/>
      <c r="AE18" s="144">
        <v>0.56999999999999995</v>
      </c>
      <c r="AF18" s="145">
        <v>0.39</v>
      </c>
      <c r="AG18" s="145">
        <v>0.34</v>
      </c>
      <c r="AH18" s="145" t="s">
        <v>315</v>
      </c>
      <c r="AI18" s="144"/>
    </row>
    <row r="19" spans="1:35">
      <c r="A19" s="504"/>
      <c r="B19" s="159" t="s">
        <v>316</v>
      </c>
      <c r="C19" s="144"/>
      <c r="D19" s="145"/>
      <c r="E19" s="145"/>
      <c r="F19" s="145"/>
      <c r="G19" s="144"/>
      <c r="H19" s="145"/>
      <c r="I19" s="145"/>
      <c r="J19" s="145"/>
      <c r="K19" s="144"/>
      <c r="L19" s="145"/>
      <c r="M19" s="145"/>
      <c r="N19" s="142"/>
      <c r="O19" s="145">
        <v>0.01</v>
      </c>
      <c r="P19" s="145">
        <v>0.01</v>
      </c>
      <c r="Q19" s="145">
        <v>0.01</v>
      </c>
      <c r="R19" s="142" t="s">
        <v>317</v>
      </c>
      <c r="S19" s="145"/>
      <c r="T19" s="145"/>
      <c r="U19" s="145"/>
      <c r="V19" s="142"/>
      <c r="W19" s="145"/>
      <c r="X19" s="145"/>
      <c r="Y19" s="145"/>
      <c r="Z19" s="145"/>
      <c r="AA19" s="144"/>
      <c r="AB19" s="145"/>
      <c r="AC19" s="145"/>
      <c r="AD19" s="145"/>
      <c r="AE19" s="144">
        <v>0.01</v>
      </c>
      <c r="AF19" s="145">
        <v>0.01</v>
      </c>
      <c r="AG19" s="145">
        <v>0.01</v>
      </c>
      <c r="AH19" s="145" t="s">
        <v>317</v>
      </c>
      <c r="AI19" s="144"/>
    </row>
    <row r="20" spans="1:35">
      <c r="A20" s="504"/>
      <c r="B20" s="159" t="s">
        <v>318</v>
      </c>
      <c r="C20" s="144"/>
      <c r="D20" s="145"/>
      <c r="E20" s="145"/>
      <c r="F20" s="145"/>
      <c r="G20" s="144"/>
      <c r="H20" s="145"/>
      <c r="I20" s="145"/>
      <c r="J20" s="145"/>
      <c r="K20" s="144"/>
      <c r="L20" s="145"/>
      <c r="M20" s="145"/>
      <c r="N20" s="142"/>
      <c r="O20" s="145"/>
      <c r="P20" s="145"/>
      <c r="Q20" s="145"/>
      <c r="R20" s="142"/>
      <c r="S20" s="145"/>
      <c r="T20" s="145"/>
      <c r="U20" s="145"/>
      <c r="V20" s="142"/>
      <c r="W20" s="145"/>
      <c r="X20" s="145"/>
      <c r="Y20" s="145"/>
      <c r="Z20" s="145"/>
      <c r="AA20" s="144"/>
      <c r="AB20" s="145"/>
      <c r="AC20" s="145"/>
      <c r="AD20" s="145"/>
      <c r="AE20" s="144">
        <v>0.04</v>
      </c>
      <c r="AF20" s="145">
        <v>0.04</v>
      </c>
      <c r="AG20" s="145">
        <v>0.04</v>
      </c>
      <c r="AH20" s="145" t="s">
        <v>317</v>
      </c>
      <c r="AI20" s="144"/>
    </row>
    <row r="21" spans="1:35">
      <c r="A21" s="504"/>
      <c r="B21" s="159" t="s">
        <v>319</v>
      </c>
      <c r="C21" s="144"/>
      <c r="D21" s="145"/>
      <c r="E21" s="145"/>
      <c r="F21" s="145"/>
      <c r="G21" s="144"/>
      <c r="H21" s="145"/>
      <c r="I21" s="145"/>
      <c r="J21" s="145"/>
      <c r="K21" s="144"/>
      <c r="L21" s="145"/>
      <c r="M21" s="145"/>
      <c r="N21" s="142"/>
      <c r="O21" s="145"/>
      <c r="P21" s="145"/>
      <c r="Q21" s="145"/>
      <c r="R21" s="142"/>
      <c r="S21" s="145"/>
      <c r="T21" s="145"/>
      <c r="U21" s="145"/>
      <c r="V21" s="142"/>
      <c r="W21" s="145"/>
      <c r="X21" s="145"/>
      <c r="Y21" s="145"/>
      <c r="Z21" s="145"/>
      <c r="AA21" s="144"/>
      <c r="AB21" s="145"/>
      <c r="AC21" s="145"/>
      <c r="AD21" s="145"/>
      <c r="AE21" s="144">
        <v>0.2</v>
      </c>
      <c r="AF21" s="145">
        <v>0.2</v>
      </c>
      <c r="AG21" s="145">
        <v>0.2</v>
      </c>
      <c r="AH21" s="145" t="s">
        <v>320</v>
      </c>
      <c r="AI21" s="144"/>
    </row>
    <row r="22" spans="1:35">
      <c r="A22" s="504"/>
      <c r="B22" s="146" t="s">
        <v>321</v>
      </c>
      <c r="C22" s="144"/>
      <c r="D22" s="145"/>
      <c r="E22" s="145"/>
      <c r="F22" s="145"/>
      <c r="G22" s="144"/>
      <c r="H22" s="145"/>
      <c r="I22" s="145"/>
      <c r="J22" s="145"/>
      <c r="K22" s="144"/>
      <c r="L22" s="145"/>
      <c r="M22" s="145"/>
      <c r="N22" s="142"/>
      <c r="O22" s="145">
        <v>3.4200000000000001E-2</v>
      </c>
      <c r="P22" s="145">
        <v>3.4200000000000001E-2</v>
      </c>
      <c r="Q22" s="145">
        <v>3.4200000000000001E-2</v>
      </c>
      <c r="R22" s="142" t="s">
        <v>322</v>
      </c>
      <c r="S22" s="145"/>
      <c r="U22" s="145"/>
      <c r="V22" s="142"/>
      <c r="W22" s="145"/>
      <c r="X22" s="145"/>
      <c r="Y22" s="145"/>
      <c r="Z22" s="145"/>
      <c r="AA22" s="144"/>
      <c r="AB22" s="145"/>
      <c r="AC22" s="145"/>
      <c r="AD22" s="145"/>
      <c r="AE22" s="144">
        <v>0.03</v>
      </c>
      <c r="AF22" s="145">
        <v>0.03</v>
      </c>
      <c r="AG22" s="145">
        <v>0.03</v>
      </c>
      <c r="AH22" s="145" t="s">
        <v>322</v>
      </c>
      <c r="AI22" s="144"/>
    </row>
    <row r="23" spans="1:35">
      <c r="A23" s="504"/>
      <c r="B23" s="143"/>
      <c r="C23" s="144"/>
      <c r="D23" s="145"/>
      <c r="E23" s="145"/>
      <c r="F23" s="145"/>
      <c r="G23" s="144"/>
      <c r="H23" s="145"/>
      <c r="I23" s="145"/>
      <c r="J23" s="145"/>
      <c r="K23" s="144"/>
      <c r="L23" s="145"/>
      <c r="M23" s="145"/>
      <c r="N23" s="142"/>
      <c r="O23" s="145"/>
      <c r="P23" s="145"/>
      <c r="Q23" s="145"/>
      <c r="R23" s="142"/>
      <c r="S23" s="145"/>
      <c r="T23" s="145"/>
      <c r="U23" s="145"/>
      <c r="V23" s="142"/>
      <c r="W23" s="145"/>
      <c r="X23" s="145"/>
      <c r="Y23" s="145"/>
      <c r="Z23" s="145"/>
      <c r="AA23" s="144"/>
      <c r="AB23" s="145"/>
      <c r="AC23" s="145"/>
      <c r="AD23" s="145"/>
      <c r="AE23" s="144"/>
      <c r="AF23" s="145"/>
      <c r="AG23" s="145"/>
      <c r="AH23" s="145"/>
      <c r="AI23" s="144"/>
    </row>
    <row r="24" spans="1:35">
      <c r="A24" s="504"/>
      <c r="B24" s="143" t="s">
        <v>323</v>
      </c>
      <c r="C24" s="144"/>
      <c r="D24" s="145"/>
      <c r="E24" s="145"/>
      <c r="F24" s="145"/>
      <c r="G24" s="144"/>
      <c r="H24" s="145"/>
      <c r="I24" s="145"/>
      <c r="J24" s="145"/>
      <c r="K24" s="144"/>
      <c r="L24" s="145"/>
      <c r="M24" s="145"/>
      <c r="N24" s="142"/>
      <c r="O24" s="145">
        <v>7.4999999999999997E-2</v>
      </c>
      <c r="P24" s="145">
        <v>7.4999999999999997E-2</v>
      </c>
      <c r="Q24" s="145">
        <v>7.4999999999999997E-2</v>
      </c>
      <c r="R24" s="142"/>
      <c r="S24" s="145"/>
      <c r="T24" s="145"/>
      <c r="U24" s="145"/>
      <c r="V24" s="142"/>
      <c r="W24" s="145"/>
      <c r="X24" s="145"/>
      <c r="Y24" s="145"/>
      <c r="Z24" s="145"/>
      <c r="AA24" s="144">
        <v>5.40984E-4</v>
      </c>
      <c r="AB24" s="145">
        <v>5.40984E-4</v>
      </c>
      <c r="AC24" s="145">
        <v>5.40984E-4</v>
      </c>
      <c r="AD24" s="145"/>
      <c r="AE24" s="144"/>
      <c r="AF24" s="145"/>
      <c r="AG24" s="145"/>
      <c r="AH24" s="145"/>
      <c r="AI24" s="144"/>
    </row>
    <row r="25" spans="1:35">
      <c r="A25" s="504"/>
      <c r="B25" s="159" t="s">
        <v>324</v>
      </c>
      <c r="C25" s="144"/>
      <c r="D25" s="145"/>
      <c r="E25" s="145"/>
      <c r="F25" s="145"/>
      <c r="G25" s="144"/>
      <c r="H25" s="145"/>
      <c r="I25" s="145"/>
      <c r="J25" s="145"/>
      <c r="K25" s="144"/>
      <c r="L25" s="145"/>
      <c r="M25" s="145"/>
      <c r="N25" s="142"/>
      <c r="O25" s="145">
        <v>7.4999999999999997E-2</v>
      </c>
      <c r="P25" s="145">
        <v>7.4999999999999997E-2</v>
      </c>
      <c r="Q25" s="145">
        <v>7.4999999999999997E-2</v>
      </c>
      <c r="R25" s="142" t="s">
        <v>317</v>
      </c>
      <c r="S25" s="145"/>
      <c r="T25" s="145"/>
      <c r="U25" s="145"/>
      <c r="V25" s="142"/>
      <c r="W25" s="145"/>
      <c r="X25" s="145"/>
      <c r="Y25" s="145"/>
      <c r="Z25" s="145"/>
      <c r="AA25" s="144"/>
      <c r="AB25" s="145"/>
      <c r="AC25" s="145"/>
      <c r="AD25" s="145"/>
      <c r="AE25" s="144"/>
      <c r="AF25" s="145"/>
      <c r="AG25" s="145"/>
      <c r="AH25" s="145"/>
      <c r="AI25" s="144"/>
    </row>
    <row r="26" spans="1:35">
      <c r="A26" s="504"/>
      <c r="B26" s="159" t="s">
        <v>325</v>
      </c>
      <c r="C26" s="144"/>
      <c r="D26" s="145"/>
      <c r="E26" s="145"/>
      <c r="F26" s="145"/>
      <c r="G26" s="144"/>
      <c r="H26" s="145"/>
      <c r="I26" s="145"/>
      <c r="J26" s="145"/>
      <c r="K26" s="144"/>
      <c r="L26" s="145"/>
      <c r="M26" s="145"/>
      <c r="N26" s="142"/>
      <c r="O26" s="145"/>
      <c r="P26" s="145"/>
      <c r="Q26" s="145"/>
      <c r="R26" s="142"/>
      <c r="S26" s="145"/>
      <c r="T26" s="145"/>
      <c r="U26" s="145"/>
      <c r="V26" s="142"/>
      <c r="W26" s="145"/>
      <c r="X26" s="145"/>
      <c r="Y26" s="145"/>
      <c r="Z26" s="145"/>
      <c r="AA26" s="144">
        <v>5.2857100000000003E-4</v>
      </c>
      <c r="AB26" s="145">
        <v>5.2857100000000003E-4</v>
      </c>
      <c r="AC26" s="145">
        <v>5.2857100000000003E-4</v>
      </c>
      <c r="AD26" s="145" t="s">
        <v>326</v>
      </c>
      <c r="AE26" s="144"/>
      <c r="AF26" s="145"/>
      <c r="AG26" s="145"/>
      <c r="AH26" s="145"/>
      <c r="AI26" s="144"/>
    </row>
    <row r="27" spans="1:35">
      <c r="A27" s="504"/>
      <c r="B27" s="159" t="s">
        <v>327</v>
      </c>
      <c r="C27" s="144"/>
      <c r="D27" s="145"/>
      <c r="E27" s="145"/>
      <c r="F27" s="145"/>
      <c r="G27" s="144"/>
      <c r="H27" s="145"/>
      <c r="I27" s="145"/>
      <c r="J27" s="145"/>
      <c r="K27" s="144"/>
      <c r="L27" s="145"/>
      <c r="M27" s="145"/>
      <c r="N27" s="142"/>
      <c r="O27" s="145"/>
      <c r="P27" s="145"/>
      <c r="Q27" s="145"/>
      <c r="R27" s="142"/>
      <c r="S27" s="145"/>
      <c r="T27" s="145"/>
      <c r="U27" s="145"/>
      <c r="V27" s="142"/>
      <c r="W27" s="145"/>
      <c r="X27" s="145"/>
      <c r="Y27" s="145"/>
      <c r="Z27" s="145"/>
      <c r="AA27" s="144">
        <v>1.2413E-5</v>
      </c>
      <c r="AB27" s="145">
        <v>1.2413E-5</v>
      </c>
      <c r="AC27" s="145">
        <v>1.2413E-5</v>
      </c>
      <c r="AD27" s="145" t="s">
        <v>328</v>
      </c>
      <c r="AE27" s="144"/>
      <c r="AF27" s="145"/>
      <c r="AG27" s="145"/>
      <c r="AH27" s="145"/>
      <c r="AI27" s="144"/>
    </row>
    <row r="28" spans="1:35">
      <c r="A28" s="504"/>
      <c r="B28" s="143"/>
      <c r="C28" s="144"/>
      <c r="D28" s="145"/>
      <c r="E28" s="145"/>
      <c r="F28" s="145"/>
      <c r="G28" s="144"/>
      <c r="H28" s="145"/>
      <c r="I28" s="145"/>
      <c r="J28" s="145"/>
      <c r="K28" s="144"/>
      <c r="L28" s="145"/>
      <c r="M28" s="145"/>
      <c r="N28" s="142"/>
      <c r="O28" s="145"/>
      <c r="P28" s="145"/>
      <c r="Q28" s="145"/>
      <c r="R28" s="142"/>
      <c r="S28" s="145"/>
      <c r="T28" s="145"/>
      <c r="U28" s="145"/>
      <c r="V28" s="142"/>
      <c r="W28" s="145"/>
      <c r="X28" s="145"/>
      <c r="Y28" s="145"/>
      <c r="Z28" s="145"/>
      <c r="AA28" s="144"/>
      <c r="AB28" s="145"/>
      <c r="AC28" s="145"/>
      <c r="AD28" s="145"/>
      <c r="AE28" s="144"/>
      <c r="AF28" s="145"/>
      <c r="AG28" s="145"/>
      <c r="AH28" s="145"/>
      <c r="AI28" s="144"/>
    </row>
    <row r="29" spans="1:35">
      <c r="A29" s="504"/>
      <c r="B29" s="143" t="s">
        <v>329</v>
      </c>
      <c r="C29" s="144">
        <v>0.24</v>
      </c>
      <c r="D29" s="145">
        <v>0.25</v>
      </c>
      <c r="E29" s="145">
        <v>0.26</v>
      </c>
      <c r="F29" s="145" t="s">
        <v>303</v>
      </c>
      <c r="G29" s="144">
        <v>0.91174999999999995</v>
      </c>
      <c r="H29" s="145">
        <v>0.91174999999999995</v>
      </c>
      <c r="I29" s="145">
        <v>0.91174999999999995</v>
      </c>
      <c r="J29" s="145"/>
      <c r="K29" s="144">
        <v>0.5</v>
      </c>
      <c r="L29" s="145">
        <v>0.5</v>
      </c>
      <c r="M29" s="145">
        <v>0.5</v>
      </c>
      <c r="N29" s="142"/>
      <c r="O29" s="145"/>
      <c r="P29" s="145"/>
      <c r="Q29" s="145"/>
      <c r="R29" s="142"/>
      <c r="S29" s="145"/>
      <c r="T29" s="145"/>
      <c r="U29" s="145"/>
      <c r="V29" s="142"/>
      <c r="W29" s="145"/>
      <c r="X29" s="145"/>
      <c r="Y29" s="145"/>
      <c r="Z29" s="145"/>
      <c r="AA29" s="144"/>
      <c r="AB29" s="145"/>
      <c r="AC29" s="145"/>
      <c r="AD29" s="145"/>
      <c r="AE29" s="144"/>
      <c r="AF29" s="145"/>
      <c r="AG29" s="145"/>
      <c r="AH29" s="145"/>
      <c r="AI29" s="144"/>
    </row>
    <row r="30" spans="1:35">
      <c r="A30" s="504"/>
      <c r="B30" s="159" t="s">
        <v>330</v>
      </c>
      <c r="C30" s="144"/>
      <c r="D30" s="145"/>
      <c r="E30" s="145"/>
      <c r="F30" s="145"/>
      <c r="G30" s="144">
        <v>0.16175</v>
      </c>
      <c r="H30" s="145">
        <v>0.16175</v>
      </c>
      <c r="I30" s="145">
        <v>0.16175</v>
      </c>
      <c r="J30" s="145"/>
      <c r="K30" s="144"/>
      <c r="L30" s="145"/>
      <c r="M30" s="145"/>
      <c r="N30" s="142"/>
      <c r="O30" s="145"/>
      <c r="P30" s="145"/>
      <c r="Q30" s="145"/>
      <c r="R30" s="142"/>
      <c r="S30" s="145">
        <v>1.6175E-3</v>
      </c>
      <c r="T30" s="145">
        <v>1.6175E-3</v>
      </c>
      <c r="U30" s="145">
        <v>1.6175E-3</v>
      </c>
      <c r="V30" s="142" t="s">
        <v>331</v>
      </c>
      <c r="W30" s="145"/>
      <c r="X30" s="145"/>
      <c r="Y30" s="145"/>
      <c r="Z30" s="145"/>
      <c r="AA30" s="144"/>
      <c r="AB30" s="145"/>
      <c r="AC30" s="145"/>
      <c r="AD30" s="145"/>
      <c r="AE30" s="144"/>
      <c r="AF30" s="145"/>
      <c r="AG30" s="145"/>
      <c r="AH30" s="145"/>
      <c r="AI30" s="144"/>
    </row>
    <row r="31" spans="1:35">
      <c r="A31" s="504"/>
      <c r="B31" s="159" t="s">
        <v>332</v>
      </c>
      <c r="C31" s="144"/>
      <c r="D31" s="145"/>
      <c r="E31" s="145"/>
      <c r="F31" s="145"/>
      <c r="G31" s="144">
        <v>0.5</v>
      </c>
      <c r="H31" s="145">
        <v>0.5</v>
      </c>
      <c r="I31" s="145">
        <v>0.5</v>
      </c>
      <c r="J31" s="145"/>
      <c r="K31" s="144">
        <v>0.5</v>
      </c>
      <c r="L31" s="145">
        <v>0.5</v>
      </c>
      <c r="M31" s="145">
        <v>0.5</v>
      </c>
      <c r="N31" s="142"/>
      <c r="O31" s="145"/>
      <c r="P31" s="145"/>
      <c r="Q31" s="145"/>
      <c r="R31" s="142"/>
      <c r="S31" s="145"/>
      <c r="T31" s="145"/>
      <c r="U31" s="145"/>
      <c r="V31" s="142"/>
      <c r="W31" s="145"/>
      <c r="X31" s="145"/>
      <c r="Y31" s="145"/>
      <c r="Z31" s="145"/>
      <c r="AA31" s="144"/>
      <c r="AB31" s="145"/>
      <c r="AC31" s="145"/>
      <c r="AD31" s="145"/>
      <c r="AE31" s="144"/>
      <c r="AF31" s="145"/>
      <c r="AG31" s="145"/>
      <c r="AH31" s="145"/>
      <c r="AI31" s="144"/>
    </row>
    <row r="32" spans="1:35">
      <c r="A32" s="142"/>
      <c r="B32" s="159" t="s">
        <v>333</v>
      </c>
      <c r="C32" s="144"/>
      <c r="D32" s="145"/>
      <c r="E32" s="145"/>
      <c r="F32" s="145"/>
      <c r="G32" s="144">
        <v>0.25</v>
      </c>
      <c r="H32" s="145">
        <v>0.25</v>
      </c>
      <c r="I32" s="145">
        <v>0.25</v>
      </c>
      <c r="J32" s="145"/>
      <c r="K32" s="144"/>
      <c r="L32" s="145"/>
      <c r="M32" s="145"/>
      <c r="N32" s="142"/>
      <c r="O32" s="145"/>
      <c r="P32" s="145"/>
      <c r="Q32" s="145"/>
      <c r="R32" s="142"/>
      <c r="S32" s="145"/>
      <c r="T32" s="145"/>
      <c r="U32" s="145"/>
      <c r="V32" s="142"/>
      <c r="W32" s="145"/>
      <c r="X32" s="145"/>
      <c r="Y32" s="145"/>
      <c r="Z32" s="145"/>
      <c r="AA32" s="144"/>
      <c r="AB32" s="145"/>
      <c r="AC32" s="145"/>
      <c r="AD32" s="145"/>
      <c r="AE32" s="144"/>
      <c r="AF32" s="145"/>
      <c r="AG32" s="145"/>
      <c r="AH32" s="145"/>
      <c r="AI32" s="144"/>
    </row>
    <row r="33" spans="1:35">
      <c r="A33" s="142"/>
      <c r="B33" s="143"/>
      <c r="C33" s="144"/>
      <c r="D33" s="145"/>
      <c r="E33" s="145"/>
      <c r="F33" s="145"/>
      <c r="G33" s="144"/>
      <c r="H33" s="145"/>
      <c r="I33" s="145"/>
      <c r="J33" s="145"/>
      <c r="K33" s="144"/>
      <c r="L33" s="145"/>
      <c r="M33" s="145"/>
      <c r="N33" s="142"/>
      <c r="O33" s="145"/>
      <c r="P33" s="145"/>
      <c r="Q33" s="145"/>
      <c r="R33" s="142"/>
      <c r="S33" s="145"/>
      <c r="T33" s="145"/>
      <c r="U33" s="145"/>
      <c r="V33" s="142"/>
      <c r="W33" s="145"/>
      <c r="X33" s="145"/>
      <c r="Y33" s="145"/>
      <c r="Z33" s="145"/>
      <c r="AA33" s="144"/>
      <c r="AB33" s="145"/>
      <c r="AC33" s="145"/>
      <c r="AD33" s="145"/>
      <c r="AE33" s="144"/>
      <c r="AF33" s="145"/>
      <c r="AG33" s="145"/>
      <c r="AH33" s="145"/>
      <c r="AI33" s="144"/>
    </row>
    <row r="34" spans="1:35">
      <c r="A34" s="160"/>
      <c r="B34" s="143"/>
      <c r="C34" s="144"/>
      <c r="D34" s="145"/>
      <c r="E34" s="145"/>
      <c r="F34" s="145"/>
      <c r="G34" s="144"/>
      <c r="H34" s="145"/>
      <c r="I34" s="145"/>
      <c r="J34" s="145"/>
      <c r="K34" s="144"/>
      <c r="L34" s="145"/>
      <c r="M34" s="145"/>
      <c r="N34" s="142"/>
      <c r="O34" s="145"/>
      <c r="P34" s="145"/>
      <c r="Q34" s="145"/>
      <c r="R34" s="142"/>
      <c r="S34" s="145"/>
      <c r="T34" s="145"/>
      <c r="U34" s="145"/>
      <c r="V34" s="142"/>
      <c r="W34" s="145"/>
      <c r="X34" s="145"/>
      <c r="Y34" s="145"/>
      <c r="Z34" s="145"/>
      <c r="AA34" s="144"/>
      <c r="AB34" s="145"/>
      <c r="AC34" s="145"/>
      <c r="AD34" s="145"/>
      <c r="AE34" s="144"/>
      <c r="AF34" s="145"/>
      <c r="AG34" s="145"/>
      <c r="AH34" s="145"/>
      <c r="AI34" s="144"/>
    </row>
    <row r="35" spans="1:35">
      <c r="A35" s="142"/>
      <c r="B35" s="143"/>
      <c r="C35" s="144"/>
      <c r="D35" s="145"/>
      <c r="E35" s="145"/>
      <c r="F35" s="145"/>
      <c r="G35" s="144"/>
      <c r="H35" s="145"/>
      <c r="I35" s="145"/>
      <c r="J35" s="145"/>
      <c r="K35" s="144"/>
      <c r="L35" s="145"/>
      <c r="M35" s="145"/>
      <c r="N35" s="142"/>
      <c r="O35" s="145"/>
      <c r="P35" s="145"/>
      <c r="Q35" s="145"/>
      <c r="R35" s="142"/>
      <c r="S35" s="145"/>
      <c r="T35" s="145"/>
      <c r="U35" s="145"/>
      <c r="V35" s="142"/>
      <c r="W35" s="145"/>
      <c r="X35" s="145"/>
      <c r="Y35" s="145"/>
      <c r="Z35" s="145"/>
      <c r="AA35" s="144"/>
      <c r="AB35" s="145"/>
      <c r="AC35" s="145"/>
      <c r="AD35" s="145"/>
      <c r="AE35" s="144"/>
      <c r="AF35" s="145"/>
      <c r="AG35" s="145"/>
      <c r="AH35" s="145"/>
      <c r="AI35" s="144"/>
    </row>
    <row r="36" spans="1:35">
      <c r="A36" s="142"/>
      <c r="B36" s="143"/>
      <c r="C36" s="144"/>
      <c r="D36" s="145"/>
      <c r="E36" s="145"/>
      <c r="F36" s="145"/>
      <c r="G36" s="144"/>
      <c r="H36" s="145"/>
      <c r="I36" s="145"/>
      <c r="J36" s="145"/>
      <c r="K36" s="144"/>
      <c r="L36" s="145"/>
      <c r="M36" s="145"/>
      <c r="N36" s="142"/>
      <c r="O36" s="145"/>
      <c r="P36" s="145"/>
      <c r="Q36" s="145"/>
      <c r="R36" s="142"/>
      <c r="S36" s="145"/>
      <c r="T36" s="145"/>
      <c r="U36" s="145"/>
      <c r="V36" s="142"/>
      <c r="W36" s="145"/>
      <c r="X36" s="145"/>
      <c r="Y36" s="145"/>
      <c r="Z36" s="145"/>
      <c r="AA36" s="144"/>
      <c r="AB36" s="145"/>
      <c r="AC36" s="145"/>
      <c r="AD36" s="145"/>
      <c r="AE36" s="144"/>
      <c r="AF36" s="145"/>
      <c r="AG36" s="145"/>
      <c r="AH36" s="145"/>
      <c r="AI36" s="144"/>
    </row>
    <row r="37" spans="1:35">
      <c r="A37" s="142"/>
      <c r="B37" s="143"/>
      <c r="C37" s="144"/>
      <c r="D37" s="145"/>
      <c r="E37" s="145"/>
      <c r="F37" s="145"/>
      <c r="G37" s="144"/>
      <c r="H37" s="145"/>
      <c r="I37" s="145"/>
      <c r="J37" s="145"/>
      <c r="K37" s="144"/>
      <c r="L37" s="145"/>
      <c r="M37" s="145"/>
      <c r="N37" s="142"/>
      <c r="O37" s="145"/>
      <c r="P37" s="145"/>
      <c r="Q37" s="145"/>
      <c r="R37" s="142"/>
      <c r="S37" s="145"/>
      <c r="T37" s="145"/>
      <c r="U37" s="145"/>
      <c r="V37" s="142"/>
      <c r="W37" s="145"/>
      <c r="X37" s="145"/>
      <c r="Y37" s="145"/>
      <c r="Z37" s="145"/>
      <c r="AA37" s="144"/>
      <c r="AB37" s="145"/>
      <c r="AC37" s="145"/>
      <c r="AD37" s="145"/>
      <c r="AE37" s="144"/>
      <c r="AF37" s="145"/>
      <c r="AG37" s="145"/>
      <c r="AH37" s="145"/>
      <c r="AI37" s="144"/>
    </row>
    <row r="38" spans="1:35">
      <c r="A38" s="505" t="s">
        <v>230</v>
      </c>
      <c r="B38" s="159" t="s">
        <v>334</v>
      </c>
      <c r="C38" s="144">
        <v>3.89</v>
      </c>
      <c r="D38" s="145">
        <v>3.42</v>
      </c>
      <c r="E38" s="145">
        <v>3.25</v>
      </c>
      <c r="F38" s="145" t="s">
        <v>303</v>
      </c>
      <c r="G38" s="144">
        <v>3.89</v>
      </c>
      <c r="H38" s="145">
        <v>3.42</v>
      </c>
      <c r="I38" s="145">
        <v>3.25</v>
      </c>
      <c r="J38" s="145" t="s">
        <v>303</v>
      </c>
      <c r="K38" s="144">
        <v>3.89</v>
      </c>
      <c r="L38" s="145">
        <v>3.42</v>
      </c>
      <c r="M38" s="145">
        <v>3.25</v>
      </c>
      <c r="N38" s="142" t="s">
        <v>303</v>
      </c>
      <c r="O38" s="145">
        <v>3.89</v>
      </c>
      <c r="P38" s="145">
        <v>3.42</v>
      </c>
      <c r="Q38" s="145">
        <v>3.25</v>
      </c>
      <c r="R38" s="142" t="s">
        <v>303</v>
      </c>
      <c r="S38" s="145"/>
      <c r="T38" s="145"/>
      <c r="U38" s="145"/>
      <c r="V38" s="142"/>
      <c r="W38" s="145"/>
      <c r="X38" s="145"/>
      <c r="Y38" s="145"/>
      <c r="Z38" s="145"/>
      <c r="AA38" s="144"/>
      <c r="AB38" s="145"/>
      <c r="AC38" s="145"/>
      <c r="AD38" s="145"/>
      <c r="AE38" s="144"/>
      <c r="AF38" s="145"/>
      <c r="AG38" s="145"/>
      <c r="AH38" s="145"/>
      <c r="AI38" s="144"/>
    </row>
    <row r="39" spans="1:35">
      <c r="A39" s="505"/>
      <c r="B39" s="159" t="s">
        <v>335</v>
      </c>
      <c r="C39" s="144">
        <v>39000</v>
      </c>
      <c r="D39" s="145">
        <v>34000</v>
      </c>
      <c r="E39" s="145">
        <v>33000</v>
      </c>
      <c r="F39" s="145" t="s">
        <v>303</v>
      </c>
      <c r="G39" s="144">
        <v>39000</v>
      </c>
      <c r="H39" s="145">
        <v>34000</v>
      </c>
      <c r="I39" s="145">
        <v>33000</v>
      </c>
      <c r="J39" s="145" t="s">
        <v>303</v>
      </c>
      <c r="K39" s="144">
        <v>39000</v>
      </c>
      <c r="L39" s="145">
        <v>34000</v>
      </c>
      <c r="M39" s="145">
        <v>33000</v>
      </c>
      <c r="N39" s="142" t="s">
        <v>303</v>
      </c>
      <c r="O39" s="145">
        <v>39000</v>
      </c>
      <c r="P39" s="145">
        <v>34000</v>
      </c>
      <c r="Q39" s="145">
        <v>33000</v>
      </c>
      <c r="R39" s="142" t="s">
        <v>303</v>
      </c>
      <c r="S39" s="145"/>
      <c r="T39" s="145"/>
      <c r="U39" s="145"/>
      <c r="V39" s="142"/>
      <c r="W39" s="145"/>
      <c r="X39" s="145"/>
      <c r="Y39" s="145"/>
      <c r="Z39" s="145"/>
      <c r="AA39" s="144"/>
      <c r="AB39" s="145"/>
      <c r="AC39" s="145"/>
      <c r="AD39" s="145"/>
      <c r="AE39" s="144"/>
      <c r="AF39" s="145"/>
      <c r="AG39" s="145"/>
      <c r="AH39" s="145"/>
      <c r="AI39" s="144"/>
    </row>
    <row r="40" spans="1:35">
      <c r="A40" s="505"/>
      <c r="B40" s="159" t="s">
        <v>336</v>
      </c>
      <c r="C40" s="144"/>
      <c r="D40" s="145"/>
      <c r="E40" s="145"/>
      <c r="F40" s="145"/>
      <c r="G40" s="144">
        <v>4043.75</v>
      </c>
      <c r="H40" s="145">
        <v>4043.75</v>
      </c>
      <c r="I40" s="145">
        <v>4043.75</v>
      </c>
      <c r="J40" s="145"/>
      <c r="K40" s="144"/>
      <c r="L40" s="145"/>
      <c r="M40" s="145"/>
      <c r="N40" s="142"/>
      <c r="O40" s="145"/>
      <c r="P40" s="145"/>
      <c r="Q40" s="145"/>
      <c r="R40" s="142"/>
      <c r="S40" s="161">
        <v>4.04375E-5</v>
      </c>
      <c r="T40" s="161">
        <v>4.04375E-5</v>
      </c>
      <c r="U40" s="161">
        <v>4.04375E-5</v>
      </c>
      <c r="V40" s="142"/>
      <c r="W40" s="145"/>
      <c r="X40" s="145"/>
      <c r="Y40" s="145"/>
      <c r="Z40" s="145"/>
      <c r="AA40" s="144"/>
      <c r="AB40" s="145"/>
      <c r="AC40" s="145"/>
      <c r="AD40" s="145"/>
      <c r="AE40" s="144"/>
      <c r="AF40" s="145"/>
      <c r="AG40" s="145"/>
      <c r="AH40" s="145"/>
      <c r="AI40" s="144"/>
    </row>
    <row r="41" spans="1:35">
      <c r="A41" s="505"/>
      <c r="B41" s="159" t="s">
        <v>337</v>
      </c>
      <c r="C41" s="144"/>
      <c r="D41" s="145"/>
      <c r="E41" s="145"/>
      <c r="F41" s="145"/>
      <c r="G41" s="144">
        <v>11250</v>
      </c>
      <c r="H41" s="145">
        <v>11250</v>
      </c>
      <c r="I41" s="145">
        <v>11250</v>
      </c>
      <c r="J41" s="145"/>
      <c r="K41" s="144">
        <v>7500</v>
      </c>
      <c r="L41" s="145">
        <v>7500</v>
      </c>
      <c r="M41" s="145">
        <v>7500</v>
      </c>
      <c r="N41" s="142"/>
      <c r="O41" s="145"/>
      <c r="P41" s="145"/>
      <c r="Q41" s="145"/>
      <c r="R41" s="142"/>
      <c r="S41" s="145"/>
      <c r="T41" s="145"/>
      <c r="U41" s="145"/>
      <c r="V41" s="142"/>
      <c r="W41" s="145"/>
      <c r="X41" s="145"/>
      <c r="Y41" s="145"/>
      <c r="Z41" s="145"/>
      <c r="AA41" s="144"/>
      <c r="AB41" s="145"/>
      <c r="AC41" s="145"/>
      <c r="AD41" s="145"/>
      <c r="AE41" s="144"/>
      <c r="AF41" s="145"/>
      <c r="AG41" s="145"/>
      <c r="AH41" s="145"/>
      <c r="AI41" s="144"/>
    </row>
    <row r="42" spans="1:35">
      <c r="A42" s="505"/>
      <c r="B42" s="159" t="s">
        <v>338</v>
      </c>
      <c r="C42" s="144"/>
      <c r="D42" s="145"/>
      <c r="E42" s="145"/>
      <c r="F42" s="145"/>
      <c r="G42" s="144"/>
      <c r="H42" s="145"/>
      <c r="I42" s="145"/>
      <c r="J42" s="145"/>
      <c r="K42" s="144"/>
      <c r="L42" s="145"/>
      <c r="M42" s="145"/>
      <c r="N42" s="142"/>
      <c r="O42" s="145">
        <v>30738</v>
      </c>
      <c r="P42" s="145">
        <v>22690</v>
      </c>
      <c r="Q42" s="145">
        <v>18908</v>
      </c>
      <c r="R42" s="142"/>
      <c r="S42" s="145"/>
      <c r="T42" s="145"/>
      <c r="U42" s="145"/>
      <c r="V42" s="142"/>
      <c r="W42" s="145"/>
      <c r="X42" s="145"/>
      <c r="Y42" s="145"/>
      <c r="Z42" s="145"/>
      <c r="AA42" s="144"/>
      <c r="AB42" s="145"/>
      <c r="AC42" s="145"/>
      <c r="AD42" s="145"/>
      <c r="AE42" s="144"/>
      <c r="AF42" s="145"/>
      <c r="AG42" s="145"/>
      <c r="AH42" s="145"/>
      <c r="AI42" s="144"/>
    </row>
    <row r="43" spans="1:35">
      <c r="A43" s="505"/>
      <c r="B43" s="159" t="s">
        <v>339</v>
      </c>
      <c r="C43" s="144"/>
      <c r="D43" s="145"/>
      <c r="E43" s="145"/>
      <c r="F43" s="145"/>
      <c r="G43" s="144"/>
      <c r="H43" s="145"/>
      <c r="I43" s="145"/>
      <c r="J43" s="145"/>
      <c r="K43" s="144"/>
      <c r="L43" s="145"/>
      <c r="M43" s="145"/>
      <c r="N43" s="142"/>
      <c r="O43" s="145">
        <v>286</v>
      </c>
      <c r="P43" s="145">
        <v>286</v>
      </c>
      <c r="Q43" s="145">
        <v>286</v>
      </c>
      <c r="R43" s="142"/>
      <c r="S43" s="145"/>
      <c r="T43" s="145"/>
      <c r="U43" s="145"/>
      <c r="V43" s="142"/>
      <c r="W43" s="145"/>
      <c r="X43" s="145"/>
      <c r="Y43" s="145"/>
      <c r="Z43" s="145"/>
      <c r="AA43" s="144"/>
      <c r="AB43" s="145"/>
      <c r="AC43" s="145"/>
      <c r="AD43" s="145"/>
      <c r="AE43" s="144"/>
      <c r="AF43" s="145"/>
      <c r="AG43" s="145"/>
      <c r="AH43" s="145"/>
      <c r="AI43" s="144"/>
    </row>
    <row r="44" spans="1:35">
      <c r="A44" s="142"/>
      <c r="B44" s="159" t="s">
        <v>340</v>
      </c>
      <c r="C44" s="144"/>
      <c r="D44" s="145"/>
      <c r="E44" s="145"/>
      <c r="F44" s="145"/>
      <c r="G44" s="144"/>
      <c r="H44" s="145"/>
      <c r="I44" s="145"/>
      <c r="J44" s="145"/>
      <c r="K44" s="144"/>
      <c r="L44" s="145"/>
      <c r="M44" s="145"/>
      <c r="N44" s="142"/>
      <c r="O44" s="145">
        <v>4.5752320000000003E-3</v>
      </c>
      <c r="P44" s="145">
        <v>4.5752320000000003E-3</v>
      </c>
      <c r="Q44" s="145">
        <v>4.5752320000000003E-3</v>
      </c>
      <c r="R44" s="142" t="s">
        <v>322</v>
      </c>
      <c r="S44" s="145"/>
      <c r="T44" s="145"/>
      <c r="U44" s="145"/>
      <c r="V44" s="142"/>
      <c r="W44" s="145"/>
      <c r="X44" s="145"/>
      <c r="Y44" s="145"/>
      <c r="Z44" s="145"/>
      <c r="AA44" s="144"/>
      <c r="AB44" s="145"/>
      <c r="AC44" s="145"/>
      <c r="AD44" s="145"/>
      <c r="AE44" s="144">
        <v>4.5752320000000003E-3</v>
      </c>
      <c r="AF44" s="145">
        <v>4.5752320000000003E-3</v>
      </c>
      <c r="AG44" s="145">
        <v>4.5752320000000003E-3</v>
      </c>
      <c r="AH44" s="145" t="s">
        <v>322</v>
      </c>
      <c r="AI44" s="144"/>
    </row>
    <row r="45" spans="1:35">
      <c r="A45" s="142"/>
      <c r="B45" s="143" t="s">
        <v>341</v>
      </c>
      <c r="C45" s="144"/>
      <c r="D45" s="145"/>
      <c r="E45" s="145"/>
      <c r="F45" s="145"/>
      <c r="G45" s="144"/>
      <c r="H45" s="145"/>
      <c r="I45" s="145"/>
      <c r="J45" s="145"/>
      <c r="K45" s="144"/>
      <c r="L45" s="145"/>
      <c r="M45" s="145"/>
      <c r="N45" s="142"/>
      <c r="O45" s="145"/>
      <c r="P45" s="145"/>
      <c r="Q45" s="145"/>
      <c r="R45" s="142"/>
      <c r="S45" s="145"/>
      <c r="T45" s="145"/>
      <c r="U45" s="145"/>
      <c r="V45" s="142"/>
      <c r="W45" s="145"/>
      <c r="X45" s="145"/>
      <c r="Y45" s="145"/>
      <c r="Z45" s="145"/>
      <c r="AA45" s="162">
        <v>1.6592600000000001E-6</v>
      </c>
      <c r="AB45" s="161">
        <v>1.6592600000000001E-6</v>
      </c>
      <c r="AC45" s="161">
        <v>1.6592600000000001E-6</v>
      </c>
      <c r="AD45" s="145" t="s">
        <v>322</v>
      </c>
      <c r="AE45" s="144"/>
      <c r="AF45" s="145"/>
      <c r="AG45" s="145"/>
      <c r="AH45" s="145"/>
      <c r="AI45" s="144"/>
    </row>
    <row r="46" spans="1:35">
      <c r="A46" s="142"/>
      <c r="B46" s="159"/>
      <c r="C46" s="144"/>
      <c r="D46" s="145"/>
      <c r="E46" s="145"/>
      <c r="F46" s="145"/>
      <c r="G46" s="144"/>
      <c r="H46" s="145"/>
      <c r="I46" s="145"/>
      <c r="J46" s="145"/>
      <c r="K46" s="144"/>
      <c r="L46" s="145"/>
      <c r="M46" s="145"/>
      <c r="N46" s="142"/>
      <c r="O46" s="145"/>
      <c r="P46" s="145"/>
      <c r="Q46" s="145"/>
      <c r="R46" s="142"/>
      <c r="S46" s="145"/>
      <c r="T46" s="145"/>
      <c r="U46" s="145"/>
      <c r="V46" s="142"/>
      <c r="W46" s="145"/>
      <c r="X46" s="145"/>
      <c r="Y46" s="145"/>
      <c r="Z46" s="145"/>
      <c r="AA46" s="144"/>
      <c r="AB46" s="145"/>
      <c r="AC46" s="145"/>
      <c r="AD46" s="145"/>
      <c r="AE46" s="144"/>
      <c r="AF46" s="145"/>
      <c r="AG46" s="145"/>
      <c r="AH46" s="145"/>
      <c r="AI46" s="144"/>
    </row>
    <row r="47" spans="1:35">
      <c r="A47" s="488" t="s">
        <v>342</v>
      </c>
      <c r="B47" s="159" t="s">
        <v>343</v>
      </c>
      <c r="C47" s="144">
        <v>4800</v>
      </c>
      <c r="D47" s="145">
        <v>4850</v>
      </c>
      <c r="E47" s="145">
        <v>4900</v>
      </c>
      <c r="F47" s="145" t="s">
        <v>303</v>
      </c>
      <c r="G47" s="144">
        <v>4800</v>
      </c>
      <c r="H47" s="145">
        <v>4850</v>
      </c>
      <c r="I47" s="145">
        <v>4900</v>
      </c>
      <c r="J47" s="145" t="s">
        <v>303</v>
      </c>
      <c r="K47" s="144">
        <v>4800</v>
      </c>
      <c r="L47" s="145">
        <v>4850</v>
      </c>
      <c r="M47" s="145">
        <v>4900</v>
      </c>
      <c r="N47" s="142" t="s">
        <v>303</v>
      </c>
      <c r="O47" s="145">
        <v>4800</v>
      </c>
      <c r="P47" s="145">
        <v>4850</v>
      </c>
      <c r="Q47" s="145">
        <v>4900</v>
      </c>
      <c r="R47" s="142" t="s">
        <v>303</v>
      </c>
      <c r="S47" s="145"/>
      <c r="T47" s="145"/>
      <c r="U47" s="145"/>
      <c r="V47" s="142"/>
      <c r="W47" s="145"/>
      <c r="X47" s="145"/>
      <c r="Y47" s="145"/>
      <c r="Z47" s="145"/>
      <c r="AA47" s="144"/>
      <c r="AB47" s="145"/>
      <c r="AC47" s="145"/>
      <c r="AD47" s="145"/>
      <c r="AE47" s="144"/>
      <c r="AF47" s="145"/>
      <c r="AG47" s="145"/>
      <c r="AH47" s="145"/>
      <c r="AI47" s="144"/>
    </row>
    <row r="48" spans="1:35">
      <c r="A48" s="488"/>
      <c r="B48" s="159" t="s">
        <v>344</v>
      </c>
      <c r="C48" s="144"/>
      <c r="D48" s="145"/>
      <c r="E48" s="145"/>
      <c r="F48" s="145"/>
      <c r="G48" s="144">
        <v>100</v>
      </c>
      <c r="H48" s="145">
        <v>100</v>
      </c>
      <c r="I48" s="145">
        <v>100</v>
      </c>
      <c r="J48" s="145"/>
      <c r="K48" s="144"/>
      <c r="L48" s="145"/>
      <c r="M48" s="145"/>
      <c r="N48" s="142"/>
      <c r="O48" s="145"/>
      <c r="P48" s="145"/>
      <c r="Q48" s="145"/>
      <c r="R48" s="142"/>
      <c r="S48" s="145"/>
      <c r="T48" s="145"/>
      <c r="U48" s="145"/>
      <c r="V48" s="142"/>
      <c r="W48" s="145"/>
      <c r="X48" s="145"/>
      <c r="Y48" s="145"/>
      <c r="Z48" s="145"/>
      <c r="AA48" s="144"/>
      <c r="AB48" s="145"/>
      <c r="AC48" s="145"/>
      <c r="AD48" s="145"/>
      <c r="AE48" s="144"/>
      <c r="AF48" s="145"/>
      <c r="AG48" s="145"/>
      <c r="AH48" s="145"/>
      <c r="AI48" s="144"/>
    </row>
    <row r="49" spans="1:35">
      <c r="A49" s="488"/>
      <c r="B49" s="159" t="s">
        <v>345</v>
      </c>
      <c r="C49" s="144"/>
      <c r="D49" s="145"/>
      <c r="E49" s="145"/>
      <c r="F49" s="145"/>
      <c r="G49" s="163">
        <v>2.5000000000000001E-2</v>
      </c>
      <c r="H49" s="164">
        <v>2.5000000000000001E-2</v>
      </c>
      <c r="I49" s="164">
        <v>2.5000000000000001E-2</v>
      </c>
      <c r="J49" s="145" t="s">
        <v>320</v>
      </c>
      <c r="K49" s="163">
        <v>2.5000000000000001E-2</v>
      </c>
      <c r="L49" s="164">
        <v>2.5000000000000001E-2</v>
      </c>
      <c r="M49" s="164">
        <v>2.5000000000000001E-2</v>
      </c>
      <c r="N49" s="142" t="s">
        <v>320</v>
      </c>
      <c r="O49" s="145"/>
      <c r="P49" s="145"/>
      <c r="Q49" s="145"/>
      <c r="R49" s="142"/>
      <c r="S49" s="164">
        <v>2.5000000000000001E-2</v>
      </c>
      <c r="T49" s="164">
        <v>2.5000000000000001E-2</v>
      </c>
      <c r="U49" s="164">
        <v>2.5000000000000001E-2</v>
      </c>
      <c r="V49" s="142" t="s">
        <v>320</v>
      </c>
      <c r="W49" s="145"/>
      <c r="X49" s="145"/>
      <c r="Y49" s="145"/>
      <c r="Z49" s="145"/>
      <c r="AA49" s="144"/>
      <c r="AB49" s="145"/>
      <c r="AC49" s="145"/>
      <c r="AD49" s="145"/>
      <c r="AE49" s="144"/>
      <c r="AF49" s="145"/>
      <c r="AG49" s="145"/>
      <c r="AH49" s="145"/>
      <c r="AI49" s="144"/>
    </row>
    <row r="50" spans="1:35">
      <c r="A50" s="488"/>
      <c r="B50" s="159" t="s">
        <v>346</v>
      </c>
      <c r="C50" s="144"/>
      <c r="D50" s="145"/>
      <c r="E50" s="145"/>
      <c r="F50" s="145"/>
      <c r="G50" s="163">
        <v>1.4999999999999999E-2</v>
      </c>
      <c r="H50" s="164">
        <v>1.4999999999999999E-2</v>
      </c>
      <c r="I50" s="164">
        <v>1.4999999999999999E-2</v>
      </c>
      <c r="J50" s="145" t="s">
        <v>320</v>
      </c>
      <c r="K50" s="163">
        <v>1.4999999999999999E-2</v>
      </c>
      <c r="L50" s="164">
        <v>1.4999999999999999E-2</v>
      </c>
      <c r="M50" s="164">
        <v>1.4999999999999999E-2</v>
      </c>
      <c r="N50" s="142" t="s">
        <v>320</v>
      </c>
      <c r="O50" s="145"/>
      <c r="P50" s="145"/>
      <c r="Q50" s="145"/>
      <c r="R50" s="142"/>
      <c r="S50" s="145"/>
      <c r="T50" s="145"/>
      <c r="U50" s="145"/>
      <c r="V50" s="142"/>
      <c r="W50" s="145"/>
      <c r="X50" s="145"/>
      <c r="Y50" s="145"/>
      <c r="Z50" s="145"/>
      <c r="AA50" s="144"/>
      <c r="AB50" s="145"/>
      <c r="AC50" s="145"/>
      <c r="AD50" s="145"/>
      <c r="AE50" s="144"/>
      <c r="AF50" s="145"/>
      <c r="AG50" s="145"/>
      <c r="AH50" s="145"/>
      <c r="AI50" s="144"/>
    </row>
    <row r="51" spans="1:35">
      <c r="A51" s="488"/>
      <c r="B51" s="159" t="s">
        <v>347</v>
      </c>
      <c r="C51" s="144"/>
      <c r="D51" s="145"/>
      <c r="E51" s="145"/>
      <c r="F51" s="145"/>
      <c r="G51" s="144"/>
      <c r="H51" s="145"/>
      <c r="I51" s="145"/>
      <c r="J51" s="145"/>
      <c r="K51" s="144"/>
      <c r="L51" s="145"/>
      <c r="M51" s="145"/>
      <c r="N51" s="142"/>
      <c r="O51" s="164">
        <v>0.05</v>
      </c>
      <c r="P51" s="163">
        <v>0.05</v>
      </c>
      <c r="Q51" s="163">
        <v>0.05</v>
      </c>
      <c r="R51" s="142" t="s">
        <v>315</v>
      </c>
      <c r="S51" s="145"/>
      <c r="T51" s="145"/>
      <c r="U51" s="145"/>
      <c r="V51" s="142"/>
      <c r="W51" s="145"/>
      <c r="X51" s="145"/>
      <c r="Y51" s="145"/>
      <c r="Z51" s="145"/>
      <c r="AA51" s="144"/>
      <c r="AB51" s="145"/>
      <c r="AC51" s="145"/>
      <c r="AD51" s="145"/>
      <c r="AE51" s="165">
        <v>0.02</v>
      </c>
      <c r="AF51" s="165">
        <v>0.02</v>
      </c>
      <c r="AG51" s="165">
        <v>0.02</v>
      </c>
      <c r="AH51" s="145" t="s">
        <v>315</v>
      </c>
      <c r="AI51" s="144"/>
    </row>
    <row r="52" spans="1:35">
      <c r="A52" s="488"/>
      <c r="B52" s="159" t="s">
        <v>348</v>
      </c>
      <c r="C52" s="144"/>
      <c r="D52" s="145"/>
      <c r="E52" s="145"/>
      <c r="F52" s="145"/>
      <c r="G52" s="144"/>
      <c r="H52" s="145"/>
      <c r="I52" s="145"/>
      <c r="J52" s="145"/>
      <c r="K52" s="144"/>
      <c r="L52" s="145"/>
      <c r="M52" s="145"/>
      <c r="N52" s="142"/>
      <c r="O52" s="164">
        <v>0.02</v>
      </c>
      <c r="P52" s="163">
        <v>0.02</v>
      </c>
      <c r="Q52" s="163">
        <v>0.02</v>
      </c>
      <c r="R52" s="142" t="s">
        <v>317</v>
      </c>
      <c r="S52" s="145"/>
      <c r="T52" s="145"/>
      <c r="U52" s="145"/>
      <c r="V52" s="142"/>
      <c r="W52" s="145"/>
      <c r="X52" s="145"/>
      <c r="Y52" s="145"/>
      <c r="Z52" s="145"/>
      <c r="AA52" s="144"/>
      <c r="AB52" s="145"/>
      <c r="AC52" s="145"/>
      <c r="AD52" s="145"/>
      <c r="AE52" s="163">
        <v>0.02</v>
      </c>
      <c r="AF52" s="163">
        <v>0.02</v>
      </c>
      <c r="AG52" s="163">
        <v>0.02</v>
      </c>
      <c r="AH52" s="145" t="s">
        <v>317</v>
      </c>
      <c r="AI52" s="144"/>
    </row>
    <row r="53" spans="1:35">
      <c r="A53" s="488"/>
      <c r="B53" s="159" t="s">
        <v>349</v>
      </c>
      <c r="C53" s="144"/>
      <c r="D53" s="145"/>
      <c r="E53" s="145"/>
      <c r="F53" s="145"/>
      <c r="G53" s="144"/>
      <c r="H53" s="145"/>
      <c r="I53" s="145"/>
      <c r="J53" s="145"/>
      <c r="K53" s="144"/>
      <c r="L53" s="145"/>
      <c r="M53" s="145"/>
      <c r="N53" s="142"/>
      <c r="O53" s="145"/>
      <c r="P53" s="145"/>
      <c r="Q53" s="145"/>
      <c r="R53" s="142"/>
      <c r="S53" s="145"/>
      <c r="T53" s="145"/>
      <c r="U53" s="145"/>
      <c r="V53" s="142"/>
      <c r="W53" s="145"/>
      <c r="X53" s="145"/>
      <c r="Y53" s="145"/>
      <c r="Z53" s="145"/>
      <c r="AA53" s="144"/>
      <c r="AB53" s="145"/>
      <c r="AC53" s="145"/>
      <c r="AD53" s="145"/>
      <c r="AE53" s="165">
        <v>0.01</v>
      </c>
      <c r="AF53" s="166">
        <v>0.01</v>
      </c>
      <c r="AG53" s="166">
        <v>0.01</v>
      </c>
      <c r="AH53" s="145" t="s">
        <v>320</v>
      </c>
      <c r="AI53" s="144"/>
    </row>
    <row r="54" spans="1:35">
      <c r="A54" s="488"/>
      <c r="B54" s="143"/>
      <c r="C54" s="144"/>
      <c r="D54" s="145"/>
      <c r="E54" s="145"/>
      <c r="F54" s="145"/>
      <c r="G54" s="144"/>
      <c r="H54" s="145"/>
      <c r="I54" s="145"/>
      <c r="J54" s="145"/>
      <c r="K54" s="144"/>
      <c r="L54" s="145"/>
      <c r="M54" s="145"/>
      <c r="N54" s="142"/>
      <c r="O54" s="145"/>
      <c r="P54" s="145"/>
      <c r="Q54" s="145"/>
      <c r="R54" s="142"/>
      <c r="S54" s="145"/>
      <c r="T54" s="145"/>
      <c r="U54" s="145"/>
      <c r="V54" s="142"/>
      <c r="W54" s="145"/>
      <c r="X54" s="145"/>
      <c r="Y54" s="145"/>
      <c r="Z54" s="145"/>
      <c r="AA54" s="144"/>
      <c r="AB54" s="145"/>
      <c r="AC54" s="145"/>
      <c r="AD54" s="145"/>
      <c r="AE54" s="144"/>
      <c r="AF54" s="145"/>
      <c r="AG54" s="145"/>
      <c r="AH54" s="145"/>
      <c r="AI54" s="144"/>
    </row>
    <row r="55" spans="1:35">
      <c r="A55" s="142"/>
      <c r="B55" s="143"/>
      <c r="C55" s="144"/>
      <c r="D55" s="145"/>
      <c r="E55" s="145"/>
      <c r="F55" s="145"/>
      <c r="G55" s="144"/>
      <c r="N55" s="167"/>
      <c r="R55" s="167"/>
      <c r="V55" s="167"/>
      <c r="Y55" s="145"/>
      <c r="Z55" s="145"/>
      <c r="AA55" s="144"/>
      <c r="AB55" s="145"/>
      <c r="AC55" s="145"/>
      <c r="AD55" s="145"/>
      <c r="AE55" s="144"/>
      <c r="AF55" s="145"/>
      <c r="AG55" s="145"/>
      <c r="AH55" s="145"/>
      <c r="AI55" s="144"/>
    </row>
    <row r="56" spans="1:35">
      <c r="A56" s="488" t="s">
        <v>350</v>
      </c>
      <c r="B56" s="146" t="s">
        <v>351</v>
      </c>
      <c r="C56" s="144"/>
      <c r="D56" s="145"/>
      <c r="E56" s="145"/>
      <c r="F56" s="145"/>
      <c r="G56" s="147">
        <v>1.235E-3</v>
      </c>
      <c r="H56" s="146">
        <v>1.235E-3</v>
      </c>
      <c r="I56" s="146">
        <v>1.235E-3</v>
      </c>
      <c r="J56" s="146" t="s">
        <v>320</v>
      </c>
      <c r="K56" s="147">
        <v>1.235E-3</v>
      </c>
      <c r="L56" s="146">
        <v>1.235E-3</v>
      </c>
      <c r="M56" s="146">
        <v>1.235E-3</v>
      </c>
      <c r="N56" s="167" t="s">
        <v>320</v>
      </c>
      <c r="R56" s="167"/>
      <c r="S56" s="146">
        <v>1.235E-3</v>
      </c>
      <c r="T56" s="146">
        <v>1.235E-3</v>
      </c>
      <c r="U56" s="146">
        <v>1.235E-3</v>
      </c>
      <c r="V56" s="142" t="s">
        <v>320</v>
      </c>
      <c r="W56" s="146">
        <v>1.235E-3</v>
      </c>
      <c r="X56" s="146">
        <v>1.235E-3</v>
      </c>
      <c r="Y56" s="146">
        <v>1.235E-3</v>
      </c>
      <c r="Z56" s="145" t="s">
        <v>320</v>
      </c>
      <c r="AI56" s="144"/>
    </row>
    <row r="57" spans="1:35">
      <c r="A57" s="488"/>
      <c r="B57" s="146" t="s">
        <v>351</v>
      </c>
      <c r="C57" s="144"/>
      <c r="D57" s="145"/>
      <c r="E57" s="145"/>
      <c r="F57" s="145"/>
      <c r="G57" s="147">
        <v>2E-3</v>
      </c>
      <c r="H57" s="146">
        <v>2E-3</v>
      </c>
      <c r="I57" s="146">
        <v>2E-3</v>
      </c>
      <c r="J57" s="146" t="s">
        <v>352</v>
      </c>
      <c r="K57" s="147">
        <v>2E-3</v>
      </c>
      <c r="L57" s="146">
        <v>2E-3</v>
      </c>
      <c r="M57" s="146">
        <v>2E-3</v>
      </c>
      <c r="N57" s="167" t="s">
        <v>352</v>
      </c>
      <c r="R57" s="167"/>
      <c r="S57" s="146">
        <v>2E-3</v>
      </c>
      <c r="T57" s="146">
        <v>2E-3</v>
      </c>
      <c r="U57" s="146">
        <v>2E-3</v>
      </c>
      <c r="V57" s="167" t="s">
        <v>352</v>
      </c>
      <c r="AI57" s="144"/>
    </row>
    <row r="58" spans="1:35">
      <c r="A58" s="488"/>
      <c r="B58" s="146" t="s">
        <v>353</v>
      </c>
      <c r="C58" s="144"/>
      <c r="D58" s="145"/>
      <c r="E58" s="145"/>
      <c r="F58" s="145"/>
      <c r="G58" s="147">
        <v>0.5</v>
      </c>
      <c r="H58" s="146">
        <v>0.5</v>
      </c>
      <c r="I58" s="146">
        <v>0.5</v>
      </c>
      <c r="J58" s="146" t="s">
        <v>352</v>
      </c>
      <c r="K58" s="147">
        <v>0.5</v>
      </c>
      <c r="L58" s="146">
        <v>0.5</v>
      </c>
      <c r="M58" s="146">
        <v>0.5</v>
      </c>
      <c r="N58" s="167" t="s">
        <v>352</v>
      </c>
      <c r="R58" s="167"/>
      <c r="S58" s="146">
        <v>0.5</v>
      </c>
      <c r="T58" s="146">
        <v>0.5</v>
      </c>
      <c r="U58" s="146">
        <v>0.5</v>
      </c>
      <c r="V58" s="167" t="s">
        <v>352</v>
      </c>
      <c r="W58" s="146">
        <v>0.5</v>
      </c>
      <c r="X58" s="146">
        <v>0.5</v>
      </c>
      <c r="Y58" s="146">
        <v>0.5</v>
      </c>
      <c r="Z58" s="146" t="s">
        <v>352</v>
      </c>
      <c r="AI58" s="144"/>
    </row>
    <row r="59" spans="1:35">
      <c r="A59" s="488"/>
      <c r="B59" s="146" t="s">
        <v>354</v>
      </c>
      <c r="C59" s="144"/>
      <c r="D59" s="145"/>
      <c r="E59" s="145"/>
      <c r="F59" s="145"/>
      <c r="G59" s="147">
        <v>0.25</v>
      </c>
      <c r="H59" s="146">
        <v>0.25</v>
      </c>
      <c r="I59" s="146">
        <v>0.25</v>
      </c>
      <c r="J59" s="146" t="s">
        <v>352</v>
      </c>
      <c r="K59" s="147">
        <v>0.25</v>
      </c>
      <c r="L59" s="146">
        <v>0.25</v>
      </c>
      <c r="M59" s="146">
        <v>0.25</v>
      </c>
      <c r="N59" s="167" t="s">
        <v>352</v>
      </c>
      <c r="R59" s="167"/>
      <c r="V59" s="167"/>
      <c r="W59" s="146">
        <v>0.25</v>
      </c>
      <c r="X59" s="146">
        <v>0.25</v>
      </c>
      <c r="Y59" s="146">
        <v>0.25</v>
      </c>
      <c r="Z59" s="146" t="s">
        <v>352</v>
      </c>
      <c r="AA59" s="144"/>
      <c r="AB59" s="145"/>
      <c r="AC59" s="145"/>
      <c r="AD59" s="145"/>
      <c r="AE59" s="144"/>
      <c r="AF59" s="145"/>
      <c r="AG59" s="145"/>
      <c r="AH59" s="145"/>
      <c r="AI59" s="144"/>
    </row>
    <row r="60" spans="1:35">
      <c r="A60" s="488"/>
      <c r="B60" s="143" t="s">
        <v>355</v>
      </c>
      <c r="C60" s="144"/>
      <c r="D60" s="145"/>
      <c r="E60" s="145"/>
      <c r="F60" s="145"/>
      <c r="G60" s="144"/>
      <c r="H60" s="145"/>
      <c r="I60" s="145"/>
      <c r="J60" s="145"/>
      <c r="K60" s="144"/>
      <c r="L60" s="145"/>
      <c r="M60" s="145"/>
      <c r="N60" s="142"/>
      <c r="O60" s="145"/>
      <c r="P60" s="145"/>
      <c r="Q60" s="145"/>
      <c r="R60" s="142"/>
      <c r="S60" s="145"/>
      <c r="T60" s="145"/>
      <c r="U60" s="145"/>
      <c r="V60" s="142"/>
      <c r="W60" s="145"/>
      <c r="X60" s="145"/>
      <c r="Y60" s="145"/>
      <c r="Z60" s="145"/>
      <c r="AA60" s="144">
        <v>5.2857100000000003E-4</v>
      </c>
      <c r="AB60" s="145">
        <v>5.2857100000000003E-4</v>
      </c>
      <c r="AC60" s="145">
        <v>5.2857100000000003E-4</v>
      </c>
      <c r="AD60" s="145" t="s">
        <v>356</v>
      </c>
      <c r="AE60" s="144"/>
      <c r="AF60" s="145"/>
      <c r="AG60" s="145"/>
      <c r="AH60" s="145"/>
      <c r="AI60" s="144"/>
    </row>
    <row r="61" spans="1:35">
      <c r="A61" s="488"/>
      <c r="B61" s="143"/>
      <c r="C61" s="144"/>
      <c r="D61" s="145"/>
      <c r="E61" s="145"/>
      <c r="F61" s="145"/>
      <c r="G61" s="144"/>
      <c r="H61" s="145"/>
      <c r="I61" s="145"/>
      <c r="J61" s="145"/>
      <c r="K61" s="144"/>
      <c r="L61" s="145"/>
      <c r="M61" s="145"/>
      <c r="N61" s="142"/>
      <c r="O61" s="145"/>
      <c r="P61" s="145"/>
      <c r="Q61" s="145"/>
      <c r="R61" s="142"/>
      <c r="S61" s="145"/>
      <c r="T61" s="145"/>
      <c r="U61" s="145"/>
      <c r="V61" s="142"/>
      <c r="W61" s="145"/>
      <c r="X61" s="145"/>
      <c r="Y61" s="145"/>
      <c r="Z61" s="145"/>
      <c r="AA61" s="144"/>
      <c r="AB61" s="145"/>
      <c r="AC61" s="145"/>
      <c r="AD61" s="145"/>
      <c r="AE61" s="144"/>
      <c r="AF61" s="145"/>
      <c r="AG61" s="145"/>
      <c r="AH61" s="145"/>
      <c r="AI61" s="144"/>
    </row>
    <row r="62" spans="1:35">
      <c r="A62" s="488"/>
      <c r="B62" s="143"/>
      <c r="C62" s="144"/>
      <c r="D62" s="145"/>
      <c r="E62" s="145"/>
      <c r="F62" s="145"/>
      <c r="G62" s="144"/>
      <c r="H62" s="145"/>
      <c r="I62" s="145"/>
      <c r="J62" s="145"/>
      <c r="K62" s="144"/>
      <c r="L62" s="145"/>
      <c r="M62" s="145"/>
      <c r="N62" s="142"/>
      <c r="O62" s="145"/>
      <c r="P62" s="145"/>
      <c r="Q62" s="145"/>
      <c r="R62" s="142"/>
      <c r="S62" s="145"/>
      <c r="T62" s="145"/>
      <c r="U62" s="145"/>
      <c r="V62" s="142"/>
      <c r="W62" s="145"/>
      <c r="X62" s="145"/>
      <c r="Y62" s="145"/>
      <c r="Z62" s="145"/>
      <c r="AA62" s="144">
        <v>1.849112E-3</v>
      </c>
      <c r="AB62" s="145"/>
      <c r="AC62" s="145"/>
      <c r="AD62" s="145"/>
      <c r="AE62" s="144"/>
      <c r="AF62" s="145"/>
      <c r="AG62" s="145"/>
      <c r="AH62" s="145"/>
      <c r="AI62" s="144"/>
    </row>
    <row r="63" spans="1:35">
      <c r="A63" s="142"/>
      <c r="B63" s="143"/>
      <c r="C63" s="144"/>
      <c r="D63" s="145"/>
      <c r="E63" s="145"/>
      <c r="F63" s="145"/>
      <c r="G63" s="144"/>
      <c r="H63" s="145"/>
      <c r="I63" s="145"/>
      <c r="J63" s="145"/>
      <c r="K63" s="144"/>
      <c r="L63" s="145"/>
      <c r="M63" s="145"/>
      <c r="N63" s="142"/>
      <c r="O63" s="145"/>
      <c r="P63" s="145"/>
      <c r="Q63" s="145"/>
      <c r="R63" s="142"/>
      <c r="S63" s="145"/>
      <c r="T63" s="145"/>
      <c r="U63" s="145"/>
      <c r="V63" s="142"/>
      <c r="W63" s="145"/>
      <c r="X63" s="145"/>
      <c r="Y63" s="145"/>
      <c r="Z63" s="145"/>
      <c r="AA63" s="144"/>
      <c r="AB63" s="145"/>
      <c r="AC63" s="145"/>
      <c r="AD63" s="145"/>
      <c r="AE63" s="144"/>
      <c r="AF63" s="145"/>
      <c r="AG63" s="145"/>
      <c r="AH63" s="145"/>
      <c r="AI63" s="144"/>
    </row>
    <row r="64" spans="1:35">
      <c r="A64" s="142"/>
      <c r="B64" s="143"/>
      <c r="C64" s="144"/>
      <c r="D64" s="145"/>
      <c r="E64" s="145"/>
      <c r="F64" s="145"/>
      <c r="G64" s="144"/>
      <c r="H64" s="145"/>
      <c r="I64" s="145"/>
      <c r="J64" s="145"/>
      <c r="K64" s="144"/>
      <c r="L64" s="145"/>
      <c r="M64" s="145"/>
      <c r="N64" s="142"/>
      <c r="O64" s="145"/>
      <c r="P64" s="145"/>
      <c r="Q64" s="145"/>
      <c r="R64" s="142"/>
      <c r="S64" s="145"/>
      <c r="T64" s="145"/>
      <c r="U64" s="145"/>
      <c r="V64" s="142"/>
      <c r="W64" s="145"/>
      <c r="X64" s="145"/>
      <c r="Y64" s="145"/>
      <c r="Z64" s="145"/>
      <c r="AA64" s="144"/>
      <c r="AB64" s="145"/>
      <c r="AC64" s="145"/>
      <c r="AD64" s="145"/>
      <c r="AE64" s="144"/>
      <c r="AF64" s="145"/>
      <c r="AG64" s="145"/>
      <c r="AH64" s="145"/>
      <c r="AI64" s="144"/>
    </row>
    <row r="65" spans="1:35">
      <c r="A65" s="142"/>
      <c r="B65" s="143"/>
      <c r="C65" s="144"/>
      <c r="D65" s="145"/>
      <c r="E65" s="145"/>
      <c r="F65" s="145"/>
      <c r="G65" s="144"/>
      <c r="H65" s="145"/>
      <c r="I65" s="145"/>
      <c r="J65" s="145"/>
      <c r="K65" s="144"/>
      <c r="L65" s="145"/>
      <c r="M65" s="145"/>
      <c r="N65" s="142"/>
      <c r="O65" s="145"/>
      <c r="P65" s="145"/>
      <c r="Q65" s="145"/>
      <c r="R65" s="142"/>
      <c r="S65" s="145"/>
      <c r="T65" s="145"/>
      <c r="U65" s="145"/>
      <c r="V65" s="142"/>
      <c r="W65" s="145"/>
      <c r="X65" s="145"/>
      <c r="Y65" s="145"/>
      <c r="Z65" s="145"/>
      <c r="AA65" s="144"/>
      <c r="AB65" s="145"/>
      <c r="AC65" s="145"/>
      <c r="AD65" s="145"/>
      <c r="AE65" s="144"/>
      <c r="AF65" s="145"/>
      <c r="AG65" s="145"/>
      <c r="AH65" s="145"/>
      <c r="AI65" s="144"/>
    </row>
    <row r="66" spans="1:35">
      <c r="A66" s="142"/>
      <c r="B66" s="143"/>
      <c r="C66" s="144"/>
      <c r="D66" s="145"/>
      <c r="E66" s="145"/>
      <c r="F66" s="145"/>
      <c r="G66" s="144"/>
      <c r="H66" s="145"/>
      <c r="I66" s="145"/>
      <c r="J66" s="145"/>
      <c r="K66" s="144"/>
      <c r="L66" s="145"/>
      <c r="M66" s="145"/>
      <c r="N66" s="142"/>
      <c r="O66" s="145"/>
      <c r="P66" s="145"/>
      <c r="Q66" s="145"/>
      <c r="R66" s="142"/>
      <c r="S66" s="145"/>
      <c r="T66" s="145"/>
      <c r="U66" s="145"/>
      <c r="V66" s="142"/>
      <c r="W66" s="145"/>
      <c r="X66" s="145"/>
      <c r="Y66" s="145"/>
      <c r="Z66" s="145"/>
      <c r="AA66" s="144"/>
      <c r="AB66" s="145"/>
      <c r="AC66" s="145"/>
      <c r="AD66" s="145"/>
      <c r="AE66" s="144"/>
      <c r="AF66" s="145"/>
      <c r="AG66" s="145"/>
      <c r="AH66" s="145"/>
      <c r="AI66" s="144"/>
    </row>
    <row r="67" spans="1:35">
      <c r="A67" s="142"/>
      <c r="B67" s="143"/>
      <c r="C67" s="144"/>
      <c r="D67" s="145"/>
      <c r="E67" s="145"/>
      <c r="F67" s="145"/>
      <c r="G67" s="144"/>
      <c r="H67" s="145"/>
      <c r="I67" s="145"/>
      <c r="J67" s="145"/>
      <c r="K67" s="144"/>
      <c r="L67" s="145"/>
      <c r="M67" s="145"/>
      <c r="N67" s="142"/>
      <c r="O67" s="145"/>
      <c r="P67" s="145"/>
      <c r="Q67" s="145"/>
      <c r="R67" s="142"/>
      <c r="S67" s="145"/>
      <c r="T67" s="145"/>
      <c r="U67" s="145"/>
      <c r="V67" s="142"/>
      <c r="W67" s="145"/>
      <c r="X67" s="145"/>
      <c r="Y67" s="145"/>
      <c r="Z67" s="145"/>
      <c r="AA67" s="144"/>
      <c r="AB67" s="145"/>
      <c r="AC67" s="145"/>
      <c r="AD67" s="145"/>
      <c r="AE67" s="144"/>
      <c r="AF67" s="145"/>
      <c r="AG67" s="145"/>
      <c r="AH67" s="145"/>
      <c r="AI67" s="144"/>
    </row>
  </sheetData>
  <mergeCells count="12">
    <mergeCell ref="AA2:AD3"/>
    <mergeCell ref="AE2:AH3"/>
    <mergeCell ref="A10:A31"/>
    <mergeCell ref="A38:A43"/>
    <mergeCell ref="A47:A54"/>
    <mergeCell ref="S2:V3"/>
    <mergeCell ref="W2:Z3"/>
    <mergeCell ref="A56:A62"/>
    <mergeCell ref="C2:F3"/>
    <mergeCell ref="G2:J3"/>
    <mergeCell ref="K2:N3"/>
    <mergeCell ref="O2:R3"/>
  </mergeCells>
  <pageMargins left="0.7" right="0.7" top="0.78740157499999996" bottom="0.78740157499999996" header="0.3" footer="0.3"/>
  <headerFooter>
    <oddFooter>&amp;C_x000D_&amp;1#&amp;"Calibri"&amp;10&amp;K000000 ISC - Uso INTERNO / INTERNAL Use</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F7E2-2FC9-48EE-BFD7-E1D4A71832EE}">
  <sheetPr>
    <tabColor theme="5"/>
  </sheetPr>
  <dimension ref="B1:O1"/>
  <sheetViews>
    <sheetView topLeftCell="A18" zoomScale="85" zoomScaleNormal="85" workbookViewId="0">
      <selection activeCell="Q46" sqref="Q46"/>
    </sheetView>
  </sheetViews>
  <sheetFormatPr defaultColWidth="9.140625" defaultRowHeight="15"/>
  <cols>
    <col min="1" max="16384" width="9.140625" style="93"/>
  </cols>
  <sheetData>
    <row r="1" spans="2:15" ht="23.25">
      <c r="B1" s="441" t="s">
        <v>357</v>
      </c>
      <c r="C1" s="442"/>
      <c r="D1" s="442"/>
      <c r="E1" s="442"/>
      <c r="F1" s="442"/>
      <c r="G1" s="442"/>
      <c r="H1" s="442"/>
      <c r="I1" s="442"/>
      <c r="J1" s="442"/>
      <c r="K1" s="442"/>
      <c r="L1" s="442"/>
      <c r="M1" s="442"/>
      <c r="N1" s="442"/>
      <c r="O1" s="442"/>
    </row>
  </sheetData>
  <pageMargins left="0.7" right="0.7" top="0.75" bottom="0.75" header="0.3" footer="0.3"/>
  <headerFooter>
    <oddFooter>&amp;C_x000D_&amp;1#&amp;"Calibri"&amp;10&amp;K000000 ISC - Uso INTERNO / INTERNAL Use</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87D72-56CB-4D64-ACE7-F3196F8EB837}">
  <sheetPr>
    <tabColor theme="7"/>
  </sheetPr>
  <dimension ref="B1:L39"/>
  <sheetViews>
    <sheetView showGridLines="0" zoomScaleNormal="100" workbookViewId="0">
      <selection activeCell="G29" sqref="G29"/>
    </sheetView>
  </sheetViews>
  <sheetFormatPr defaultColWidth="9.140625" defaultRowHeight="15"/>
  <cols>
    <col min="1" max="1" width="3.5703125" customWidth="1"/>
    <col min="2" max="2" width="44.42578125" bestFit="1" customWidth="1"/>
    <col min="3" max="3" width="17" customWidth="1"/>
    <col min="4" max="6" width="11.140625" customWidth="1"/>
    <col min="7" max="7" width="60.5703125" bestFit="1" customWidth="1"/>
    <col min="8" max="8" width="60.7109375" customWidth="1"/>
    <col min="9" max="9" width="55.85546875" hidden="1" customWidth="1"/>
  </cols>
  <sheetData>
    <row r="1" spans="2:12" ht="14.45" customHeight="1">
      <c r="B1" s="441" t="s">
        <v>358</v>
      </c>
      <c r="D1" s="508" t="s">
        <v>359</v>
      </c>
      <c r="E1" s="508"/>
      <c r="F1" s="508"/>
      <c r="G1" s="509" t="s">
        <v>360</v>
      </c>
    </row>
    <row r="2" spans="2:12" ht="14.45" customHeight="1">
      <c r="D2" s="508"/>
      <c r="E2" s="508"/>
      <c r="F2" s="508"/>
      <c r="G2" s="509"/>
    </row>
    <row r="3" spans="2:12" ht="15" customHeight="1">
      <c r="B3" s="170" t="s">
        <v>361</v>
      </c>
      <c r="C3" s="171" t="s">
        <v>362</v>
      </c>
      <c r="D3" s="172">
        <v>2030</v>
      </c>
      <c r="E3" s="172">
        <v>2040</v>
      </c>
      <c r="F3" s="172">
        <v>2050</v>
      </c>
      <c r="G3" s="172" t="s">
        <v>363</v>
      </c>
      <c r="H3" s="172" t="s">
        <v>364</v>
      </c>
    </row>
    <row r="4" spans="2:12" ht="15.75" customHeight="1">
      <c r="B4" s="173" t="s">
        <v>365</v>
      </c>
      <c r="C4" s="174" t="s">
        <v>366</v>
      </c>
      <c r="D4" s="175">
        <f>'3.4.'!$E$25</f>
        <v>1.6808484848484848</v>
      </c>
      <c r="E4" s="175">
        <f>'3.4.'!$E$25</f>
        <v>1.6808484848484848</v>
      </c>
      <c r="F4" s="175">
        <f>'3.4.'!$E$25</f>
        <v>1.6808484848484848</v>
      </c>
      <c r="G4" s="176" t="s">
        <v>367</v>
      </c>
      <c r="H4" s="176" t="s">
        <v>368</v>
      </c>
    </row>
    <row r="5" spans="2:12" ht="15.75" customHeight="1">
      <c r="B5" s="177" t="s">
        <v>369</v>
      </c>
      <c r="C5" s="178" t="s">
        <v>366</v>
      </c>
      <c r="D5" s="179">
        <v>1.4</v>
      </c>
      <c r="E5" s="179">
        <v>1.4</v>
      </c>
      <c r="F5" s="179">
        <v>1.4</v>
      </c>
      <c r="G5" s="180" t="s">
        <v>370</v>
      </c>
      <c r="H5" s="510" t="s">
        <v>371</v>
      </c>
    </row>
    <row r="6" spans="2:12" ht="26.1" customHeight="1">
      <c r="B6" s="181" t="s">
        <v>372</v>
      </c>
      <c r="C6" s="178" t="s">
        <v>366</v>
      </c>
      <c r="D6" s="179">
        <v>1.8</v>
      </c>
      <c r="E6" s="179">
        <v>1.8</v>
      </c>
      <c r="F6" s="179">
        <v>1.8</v>
      </c>
      <c r="G6" s="180" t="s">
        <v>370</v>
      </c>
      <c r="H6" s="511"/>
    </row>
    <row r="7" spans="2:12" ht="15.75" customHeight="1">
      <c r="B7" s="177" t="s">
        <v>373</v>
      </c>
      <c r="C7" s="178" t="s">
        <v>366</v>
      </c>
      <c r="D7" s="179">
        <v>2.37</v>
      </c>
      <c r="E7" s="179">
        <v>2.37</v>
      </c>
      <c r="F7" s="179">
        <v>2.37</v>
      </c>
      <c r="G7" s="180" t="s">
        <v>370</v>
      </c>
      <c r="H7" s="511"/>
    </row>
    <row r="8" spans="2:12" ht="15.75" customHeight="1">
      <c r="B8" s="177" t="s">
        <v>374</v>
      </c>
      <c r="C8" s="178" t="s">
        <v>366</v>
      </c>
      <c r="D8" s="179">
        <v>3.1</v>
      </c>
      <c r="E8" s="179">
        <v>3.1</v>
      </c>
      <c r="F8" s="179">
        <v>3.1</v>
      </c>
      <c r="G8" s="180" t="s">
        <v>370</v>
      </c>
      <c r="H8" s="512"/>
    </row>
    <row r="9" spans="2:12" ht="15.75" customHeight="1">
      <c r="B9" s="183" t="s">
        <v>375</v>
      </c>
      <c r="C9" s="178" t="s">
        <v>366</v>
      </c>
      <c r="D9" s="179">
        <f>'3.4.'!H24</f>
        <v>1.7768679631525077</v>
      </c>
      <c r="E9" s="184">
        <f>(D9+F9)/2</f>
        <v>1.6479017400204707</v>
      </c>
      <c r="F9" s="179">
        <f>'3.4.'!J24</f>
        <v>1.518935516888434</v>
      </c>
      <c r="G9" s="180" t="s">
        <v>376</v>
      </c>
      <c r="H9" s="506"/>
    </row>
    <row r="10" spans="2:12" ht="15.75" customHeight="1">
      <c r="B10" s="183" t="s">
        <v>377</v>
      </c>
      <c r="C10" s="178" t="s">
        <v>366</v>
      </c>
      <c r="D10" s="179">
        <f>'3.4.'!H23</f>
        <v>6.2894512368495885</v>
      </c>
      <c r="E10" s="184">
        <f>(D10+F10)/2</f>
        <v>5.652544782485073</v>
      </c>
      <c r="F10" s="179">
        <f>'3.4.'!J23</f>
        <v>5.0156383281205574</v>
      </c>
      <c r="G10" s="180" t="s">
        <v>376</v>
      </c>
      <c r="H10" s="507"/>
    </row>
    <row r="11" spans="2:12" ht="15.75" customHeight="1">
      <c r="B11" s="183" t="s">
        <v>378</v>
      </c>
      <c r="C11" s="178" t="s">
        <v>366</v>
      </c>
      <c r="D11" s="179">
        <f>'3.4.'!H20</f>
        <v>9.1740614334470987</v>
      </c>
      <c r="E11" s="184">
        <f>(D11+F11)/2</f>
        <v>8.887372013651877</v>
      </c>
      <c r="F11" s="179">
        <f>'3.4.'!J20</f>
        <v>8.6006825938566553</v>
      </c>
      <c r="G11" s="180" t="s">
        <v>376</v>
      </c>
      <c r="H11" s="507"/>
      <c r="J11" s="185"/>
    </row>
    <row r="12" spans="2:12" ht="15.75" customHeight="1">
      <c r="B12" s="183" t="s">
        <v>379</v>
      </c>
      <c r="C12" s="178" t="s">
        <v>380</v>
      </c>
      <c r="D12" s="179">
        <f>'3.4.'!H19</f>
        <v>113.39999999999999</v>
      </c>
      <c r="E12" s="179">
        <f>'3.4.'!I19</f>
        <v>147</v>
      </c>
      <c r="F12" s="179">
        <f>'3.4.'!J19</f>
        <v>168</v>
      </c>
      <c r="G12" s="180" t="s">
        <v>376</v>
      </c>
      <c r="H12" s="513"/>
    </row>
    <row r="13" spans="2:12" ht="15.75" customHeight="1">
      <c r="B13" s="183" t="s">
        <v>381</v>
      </c>
      <c r="C13" s="178" t="s">
        <v>366</v>
      </c>
      <c r="D13" s="179">
        <f>'3.4.'!H26</f>
        <v>17.64</v>
      </c>
      <c r="E13" s="179">
        <f>'3.4.'!I26</f>
        <v>15.12</v>
      </c>
      <c r="F13" s="179">
        <f>'3.4.'!J26</f>
        <v>15.12</v>
      </c>
      <c r="G13" s="180" t="s">
        <v>382</v>
      </c>
      <c r="H13" s="506"/>
    </row>
    <row r="14" spans="2:12" ht="15.75" customHeight="1">
      <c r="B14" s="177" t="s">
        <v>383</v>
      </c>
      <c r="C14" s="178" t="s">
        <v>384</v>
      </c>
      <c r="D14" s="179">
        <f>'3.5.'!D26</f>
        <v>18.803793537698528</v>
      </c>
      <c r="E14" s="184">
        <f>(D14+F14)/2</f>
        <v>18.038378078081973</v>
      </c>
      <c r="F14" s="179">
        <f>'3.5.'!E26</f>
        <v>17.272962618465417</v>
      </c>
      <c r="G14" s="180" t="s">
        <v>385</v>
      </c>
      <c r="H14" s="513"/>
    </row>
    <row r="15" spans="2:12" ht="15.75" customHeight="1">
      <c r="B15" s="177" t="s">
        <v>386</v>
      </c>
      <c r="C15" s="178" t="s">
        <v>384</v>
      </c>
      <c r="D15" s="179">
        <f>'3.4.'!H31</f>
        <v>27.552</v>
      </c>
      <c r="E15" s="179">
        <f>'3.4.'!I31</f>
        <v>24.990000000000002</v>
      </c>
      <c r="F15" s="179">
        <f>'3.4.'!J31</f>
        <v>23.52</v>
      </c>
      <c r="G15" s="180" t="s">
        <v>387</v>
      </c>
      <c r="H15" s="180"/>
      <c r="L15" s="4"/>
    </row>
    <row r="16" spans="2:12" ht="15.75" customHeight="1">
      <c r="B16" s="183" t="s">
        <v>388</v>
      </c>
      <c r="C16" s="178" t="s">
        <v>366</v>
      </c>
      <c r="D16" s="179">
        <f>'3.4.'!H21</f>
        <v>11.742798634812287</v>
      </c>
      <c r="E16" s="184">
        <f>(D16+F16)/2</f>
        <v>11.375836177474403</v>
      </c>
      <c r="F16" s="179">
        <f>'3.4.'!J21</f>
        <v>11.008873720136519</v>
      </c>
      <c r="G16" s="180" t="s">
        <v>389</v>
      </c>
      <c r="H16" s="186" t="s">
        <v>390</v>
      </c>
    </row>
    <row r="17" spans="2:12" ht="15.75" customHeight="1">
      <c r="B17" s="183" t="s">
        <v>391</v>
      </c>
      <c r="C17" s="178" t="s">
        <v>366</v>
      </c>
      <c r="D17" s="179">
        <f>'3.4.'!H22</f>
        <v>9.6327645051194537</v>
      </c>
      <c r="E17" s="184">
        <f>(D17+F17)/2</f>
        <v>9.3317406143344712</v>
      </c>
      <c r="F17" s="179">
        <f>'3.4.'!J22</f>
        <v>9.0307167235494887</v>
      </c>
      <c r="G17" s="180" t="s">
        <v>392</v>
      </c>
      <c r="H17" s="186" t="s">
        <v>393</v>
      </c>
    </row>
    <row r="18" spans="2:12" ht="15.75" customHeight="1">
      <c r="B18" s="183" t="s">
        <v>394</v>
      </c>
      <c r="C18" s="178" t="s">
        <v>366</v>
      </c>
      <c r="D18" s="179">
        <v>1.86</v>
      </c>
      <c r="E18" s="179">
        <v>2.71</v>
      </c>
      <c r="F18" s="179">
        <v>3.93</v>
      </c>
      <c r="G18" s="180" t="s">
        <v>395</v>
      </c>
      <c r="H18" s="186"/>
    </row>
    <row r="19" spans="2:12" ht="15.75" customHeight="1">
      <c r="B19" s="177" t="s">
        <v>396</v>
      </c>
      <c r="C19" s="178" t="s">
        <v>366</v>
      </c>
      <c r="D19" s="179">
        <f>'3.3'!C19</f>
        <v>38.302585769400075</v>
      </c>
      <c r="E19" s="179">
        <f>'3.3'!D19</f>
        <v>30.117603582546735</v>
      </c>
      <c r="F19" s="179">
        <f>'3.3'!E19</f>
        <v>24.111307234938817</v>
      </c>
      <c r="G19" s="180" t="s">
        <v>397</v>
      </c>
      <c r="H19" s="180"/>
      <c r="I19" s="186"/>
      <c r="J19" s="187"/>
      <c r="L19" s="187"/>
    </row>
    <row r="20" spans="2:12" ht="15.75" customHeight="1">
      <c r="B20" s="188" t="s">
        <v>398</v>
      </c>
      <c r="C20" s="178" t="s">
        <v>366</v>
      </c>
      <c r="D20" s="179">
        <f>'3.2.'!C27</f>
        <v>7.4970245331058694</v>
      </c>
      <c r="E20" s="179">
        <f>'3.2.'!D27</f>
        <v>8.9869771315129992</v>
      </c>
      <c r="F20" s="179"/>
      <c r="G20" s="180" t="s">
        <v>399</v>
      </c>
      <c r="H20" s="180"/>
      <c r="I20" s="189"/>
      <c r="J20" s="187"/>
      <c r="L20" s="187"/>
    </row>
    <row r="21" spans="2:12" ht="15.75" customHeight="1">
      <c r="B21" s="188" t="s">
        <v>400</v>
      </c>
      <c r="C21" s="178" t="s">
        <v>366</v>
      </c>
      <c r="D21" s="179"/>
      <c r="E21" s="179">
        <f>'3.2.'!N27</f>
        <v>11.029284287723017</v>
      </c>
      <c r="F21" s="179">
        <f>'3.2.'!O27</f>
        <v>16.881212332362718</v>
      </c>
      <c r="G21" s="180" t="s">
        <v>399</v>
      </c>
      <c r="H21" s="180"/>
      <c r="I21" s="189"/>
      <c r="J21" s="187"/>
      <c r="L21" s="187"/>
    </row>
    <row r="22" spans="2:12" ht="15.75" customHeight="1">
      <c r="B22" s="188" t="s">
        <v>401</v>
      </c>
      <c r="C22" s="190" t="s">
        <v>366</v>
      </c>
      <c r="D22" s="191"/>
      <c r="E22" s="191">
        <f>'3.2.'!H27</f>
        <v>10.323258285999465</v>
      </c>
      <c r="F22" s="191">
        <f>'3.2.'!I27</f>
        <v>16.002441749617532</v>
      </c>
      <c r="G22" s="180" t="s">
        <v>399</v>
      </c>
      <c r="H22" s="180"/>
      <c r="I22" s="189"/>
      <c r="J22" s="187"/>
      <c r="L22" s="187"/>
    </row>
    <row r="23" spans="2:12" ht="16.5" customHeight="1">
      <c r="B23" s="192"/>
      <c r="C23" s="182"/>
      <c r="E23" s="443" t="s">
        <v>402</v>
      </c>
    </row>
    <row r="25" spans="2:12">
      <c r="B25" s="193"/>
      <c r="C25" s="193"/>
      <c r="E25" t="s">
        <v>403</v>
      </c>
      <c r="I25" s="194"/>
    </row>
    <row r="27" spans="2:12">
      <c r="B27" s="4"/>
      <c r="C27" s="4"/>
    </row>
    <row r="28" spans="2:12">
      <c r="B28" s="4"/>
      <c r="C28" s="4"/>
    </row>
    <row r="31" spans="2:12">
      <c r="I31" s="172" t="s">
        <v>364</v>
      </c>
    </row>
    <row r="32" spans="2:12" ht="14.45" customHeight="1">
      <c r="I32" s="506" t="s">
        <v>404</v>
      </c>
    </row>
    <row r="33" spans="9:11">
      <c r="I33" s="507"/>
    </row>
    <row r="34" spans="9:11">
      <c r="I34" s="507"/>
    </row>
    <row r="35" spans="9:11">
      <c r="I35" s="507"/>
    </row>
    <row r="36" spans="9:11">
      <c r="I36" s="507"/>
    </row>
    <row r="37" spans="9:11">
      <c r="I37" s="507"/>
    </row>
    <row r="39" spans="9:11">
      <c r="I39" s="195"/>
      <c r="J39" s="195"/>
      <c r="K39" s="195"/>
    </row>
  </sheetData>
  <mergeCells count="6">
    <mergeCell ref="I32:I37"/>
    <mergeCell ref="D1:F2"/>
    <mergeCell ref="G1:G2"/>
    <mergeCell ref="H5:H8"/>
    <mergeCell ref="H9:H12"/>
    <mergeCell ref="H13:H14"/>
  </mergeCells>
  <pageMargins left="0.7" right="0.7" top="0.75" bottom="0.75" header="0.3" footer="0.3"/>
  <pageSetup paperSize="9" orientation="portrait" r:id="rId1"/>
  <headerFooter>
    <oddFooter>&amp;C_x000D_&amp;1#&amp;"Calibri"&amp;10&amp;K000000 ISC - Uso INTERNO / INTERNAL Use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6B81D-FD9D-4D6C-8273-8C2B7C7D2308}">
  <sheetPr>
    <tabColor theme="7"/>
  </sheetPr>
  <dimension ref="B1:R27"/>
  <sheetViews>
    <sheetView tabSelected="1" workbookViewId="0">
      <selection activeCell="M48" sqref="M48"/>
    </sheetView>
  </sheetViews>
  <sheetFormatPr defaultRowHeight="15"/>
  <cols>
    <col min="2" max="2" width="20" bestFit="1" customWidth="1"/>
    <col min="3" max="4" width="10.5703125" bestFit="1" customWidth="1"/>
    <col min="7" max="7" width="18" bestFit="1" customWidth="1"/>
    <col min="10" max="10" width="50.28515625" bestFit="1" customWidth="1"/>
    <col min="13" max="13" width="18" bestFit="1" customWidth="1"/>
    <col min="16" max="16" width="50.28515625" bestFit="1" customWidth="1"/>
  </cols>
  <sheetData>
    <row r="1" spans="2:18" ht="23.25">
      <c r="B1" s="441" t="s">
        <v>405</v>
      </c>
      <c r="C1" s="195"/>
      <c r="D1" s="195"/>
    </row>
    <row r="2" spans="2:18" ht="23.25">
      <c r="B2" s="441"/>
      <c r="C2" s="195"/>
      <c r="D2" s="195"/>
    </row>
    <row r="3" spans="2:18">
      <c r="B3" s="196" t="s">
        <v>406</v>
      </c>
      <c r="C3" s="196"/>
      <c r="D3" s="196"/>
      <c r="F3" s="196" t="s">
        <v>407</v>
      </c>
      <c r="G3" s="196"/>
      <c r="H3" s="196"/>
      <c r="I3" s="196"/>
      <c r="J3" s="196"/>
      <c r="L3" s="196" t="s">
        <v>172</v>
      </c>
      <c r="M3" s="196"/>
      <c r="N3" s="196"/>
      <c r="O3" s="196"/>
      <c r="P3" s="196"/>
    </row>
    <row r="4" spans="2:18">
      <c r="B4" s="195"/>
      <c r="C4" s="195"/>
      <c r="D4" s="195"/>
    </row>
    <row r="5" spans="2:18">
      <c r="B5" s="195" t="s">
        <v>408</v>
      </c>
      <c r="C5" s="195"/>
      <c r="D5" s="195"/>
      <c r="F5" s="197" t="s">
        <v>409</v>
      </c>
      <c r="G5" s="198"/>
      <c r="H5" s="198">
        <v>2040</v>
      </c>
      <c r="I5" s="198">
        <v>2050</v>
      </c>
      <c r="J5" s="198" t="s">
        <v>282</v>
      </c>
      <c r="L5" s="197" t="s">
        <v>409</v>
      </c>
      <c r="M5" s="198"/>
      <c r="N5" s="198">
        <v>2040</v>
      </c>
      <c r="O5" s="198">
        <v>2050</v>
      </c>
      <c r="P5" s="198" t="s">
        <v>282</v>
      </c>
    </row>
    <row r="6" spans="2:18">
      <c r="B6" s="199" t="s">
        <v>410</v>
      </c>
      <c r="C6" s="199">
        <v>2030</v>
      </c>
      <c r="D6" s="199">
        <v>2040</v>
      </c>
      <c r="F6" s="514" t="s">
        <v>411</v>
      </c>
      <c r="G6" s="200" t="s">
        <v>377</v>
      </c>
      <c r="H6" s="201">
        <v>1348.0309724988449</v>
      </c>
      <c r="I6" s="201">
        <v>193.48896126456293</v>
      </c>
      <c r="J6" s="202" t="s">
        <v>412</v>
      </c>
      <c r="L6" s="514" t="s">
        <v>411</v>
      </c>
      <c r="M6" s="200" t="s">
        <v>377</v>
      </c>
      <c r="N6" s="201">
        <v>1245.3431466313177</v>
      </c>
      <c r="O6" s="201">
        <v>126.5396292812502</v>
      </c>
      <c r="P6" s="202" t="s">
        <v>412</v>
      </c>
    </row>
    <row r="7" spans="2:18">
      <c r="B7" s="203" t="s">
        <v>413</v>
      </c>
      <c r="C7" s="204">
        <v>4364.8829193708789</v>
      </c>
      <c r="D7" s="204">
        <v>68430.53185162702</v>
      </c>
      <c r="F7" s="515"/>
      <c r="G7" s="205" t="s">
        <v>383</v>
      </c>
      <c r="H7" s="206">
        <v>45</v>
      </c>
      <c r="I7" s="206">
        <v>90</v>
      </c>
      <c r="J7" s="207" t="s">
        <v>414</v>
      </c>
      <c r="L7" s="515"/>
      <c r="M7" s="205" t="s">
        <v>383</v>
      </c>
      <c r="N7" s="206">
        <v>45</v>
      </c>
      <c r="O7" s="206">
        <v>90</v>
      </c>
      <c r="P7" s="207" t="s">
        <v>414</v>
      </c>
    </row>
    <row r="8" spans="2:18">
      <c r="B8" s="203" t="s">
        <v>415</v>
      </c>
      <c r="C8" s="204">
        <v>74871.684212734195</v>
      </c>
      <c r="D8" s="204">
        <v>47735.048326490883</v>
      </c>
      <c r="F8" s="516"/>
      <c r="G8" s="205" t="s">
        <v>386</v>
      </c>
      <c r="H8" s="206">
        <v>50</v>
      </c>
      <c r="I8" s="206">
        <v>100</v>
      </c>
      <c r="J8" s="207" t="s">
        <v>416</v>
      </c>
      <c r="L8" s="516"/>
      <c r="M8" s="205" t="s">
        <v>386</v>
      </c>
      <c r="N8" s="206">
        <v>50</v>
      </c>
      <c r="O8" s="206">
        <v>100</v>
      </c>
      <c r="P8" s="207" t="s">
        <v>416</v>
      </c>
    </row>
    <row r="9" spans="2:18">
      <c r="B9" s="203" t="s">
        <v>383</v>
      </c>
      <c r="C9" s="204">
        <v>219117.36420527683</v>
      </c>
      <c r="D9" s="204">
        <v>318686.30802856782</v>
      </c>
      <c r="F9" s="517" t="s">
        <v>417</v>
      </c>
      <c r="G9" s="208" t="s">
        <v>377</v>
      </c>
      <c r="H9" s="209">
        <v>104.5082528864171</v>
      </c>
      <c r="I9" s="209">
        <v>9.5671458889679428</v>
      </c>
      <c r="J9" s="210" t="s">
        <v>418</v>
      </c>
      <c r="L9" s="517" t="s">
        <v>417</v>
      </c>
      <c r="M9" s="208" t="s">
        <v>377</v>
      </c>
      <c r="N9" s="209">
        <v>104.5082528864171</v>
      </c>
      <c r="O9" s="209">
        <v>9.5671458889679428</v>
      </c>
      <c r="P9" s="210" t="s">
        <v>418</v>
      </c>
    </row>
    <row r="10" spans="2:18">
      <c r="B10" s="203" t="s">
        <v>419</v>
      </c>
      <c r="C10" s="204">
        <v>2024797.1236312995</v>
      </c>
      <c r="D10" s="204">
        <v>1102054.3846067283</v>
      </c>
      <c r="F10" s="517"/>
      <c r="G10" s="208" t="s">
        <v>383</v>
      </c>
      <c r="H10" s="209">
        <v>651.72094227760999</v>
      </c>
      <c r="I10" s="209">
        <v>856.13460399199994</v>
      </c>
      <c r="J10" s="210" t="s">
        <v>420</v>
      </c>
      <c r="L10" s="517"/>
      <c r="M10" s="208" t="s">
        <v>383</v>
      </c>
      <c r="N10" s="209">
        <v>766.73052032659996</v>
      </c>
      <c r="O10" s="209">
        <v>1070.1682549899999</v>
      </c>
      <c r="P10" s="210" t="s">
        <v>420</v>
      </c>
    </row>
    <row r="11" spans="2:18">
      <c r="B11" s="203" t="s">
        <v>421</v>
      </c>
      <c r="C11" s="204">
        <v>24464.815995013232</v>
      </c>
      <c r="D11" s="204">
        <v>43712.938597226253</v>
      </c>
      <c r="F11" s="518"/>
      <c r="G11" s="211" t="s">
        <v>422</v>
      </c>
      <c r="H11" s="212">
        <v>46.075124969427591</v>
      </c>
      <c r="I11" s="212">
        <v>36.860099975542077</v>
      </c>
      <c r="J11" s="213" t="s">
        <v>423</v>
      </c>
      <c r="L11" s="518"/>
      <c r="M11" s="211" t="s">
        <v>422</v>
      </c>
      <c r="N11" s="212">
        <v>62.336933782166732</v>
      </c>
      <c r="O11" s="212">
        <v>74.804320538600081</v>
      </c>
      <c r="P11" s="213" t="s">
        <v>423</v>
      </c>
      <c r="Q11" s="195"/>
      <c r="R11" s="195"/>
    </row>
    <row r="12" spans="2:18">
      <c r="B12" s="195"/>
      <c r="C12" s="195"/>
      <c r="D12" s="195"/>
      <c r="E12" s="195"/>
      <c r="F12" s="195"/>
      <c r="G12" s="195"/>
      <c r="H12" s="195"/>
      <c r="I12" s="195"/>
      <c r="J12" s="195"/>
      <c r="K12" s="195"/>
      <c r="L12" s="195"/>
      <c r="M12" s="195"/>
      <c r="N12" s="195"/>
      <c r="O12" s="195"/>
      <c r="P12" s="195"/>
      <c r="Q12" s="195"/>
      <c r="R12" s="195"/>
    </row>
    <row r="13" spans="2:18">
      <c r="B13" s="196" t="s">
        <v>424</v>
      </c>
      <c r="C13" s="196"/>
      <c r="D13" s="196"/>
      <c r="E13" s="195"/>
      <c r="F13" s="195"/>
      <c r="G13" s="196" t="s">
        <v>425</v>
      </c>
      <c r="H13" s="196"/>
      <c r="I13" s="196"/>
      <c r="J13" s="195"/>
      <c r="K13" s="195"/>
      <c r="L13" s="195"/>
      <c r="M13" s="196" t="s">
        <v>426</v>
      </c>
      <c r="N13" s="196"/>
      <c r="O13" s="196"/>
      <c r="P13" s="195"/>
    </row>
    <row r="14" spans="2:18">
      <c r="B14" s="195"/>
      <c r="C14" s="195"/>
      <c r="D14" s="195"/>
    </row>
    <row r="15" spans="2:18">
      <c r="B15" s="214" t="s">
        <v>427</v>
      </c>
      <c r="C15" s="214">
        <v>2030</v>
      </c>
      <c r="D15" s="214">
        <v>2040</v>
      </c>
      <c r="G15" s="214" t="s">
        <v>427</v>
      </c>
      <c r="H15" s="214">
        <v>2040</v>
      </c>
      <c r="I15" s="214">
        <v>2050</v>
      </c>
      <c r="M15" s="214" t="s">
        <v>427</v>
      </c>
      <c r="N15" s="214">
        <v>2040</v>
      </c>
      <c r="O15" s="214">
        <v>2050</v>
      </c>
    </row>
    <row r="16" spans="2:18">
      <c r="B16" s="195" t="s">
        <v>428</v>
      </c>
      <c r="C16" s="215">
        <v>2124133.6238390468</v>
      </c>
      <c r="D16" s="215">
        <v>1193502.3715304455</v>
      </c>
      <c r="G16" s="195" t="s">
        <v>428</v>
      </c>
      <c r="H16" s="215">
        <f t="shared" ref="H16:H18" si="0">H9+H6</f>
        <v>1452.5392253852619</v>
      </c>
      <c r="I16" s="215">
        <f>I9+I6</f>
        <v>203.05610715353089</v>
      </c>
      <c r="M16" s="195" t="s">
        <v>428</v>
      </c>
      <c r="N16" s="215">
        <f t="shared" ref="N16:N18" si="1">N9+N6</f>
        <v>1349.8513995177348</v>
      </c>
      <c r="O16" s="215">
        <f>O9+O6</f>
        <v>136.10677517021816</v>
      </c>
    </row>
    <row r="17" spans="2:15">
      <c r="B17" s="195" t="s">
        <v>383</v>
      </c>
      <c r="C17" s="215">
        <v>219117.36420527683</v>
      </c>
      <c r="D17" s="215">
        <v>318686.30802856782</v>
      </c>
      <c r="G17" s="195" t="s">
        <v>383</v>
      </c>
      <c r="H17" s="215">
        <f t="shared" si="0"/>
        <v>696.72094227760999</v>
      </c>
      <c r="I17" s="215">
        <f>I10+I7</f>
        <v>946.13460399199994</v>
      </c>
      <c r="M17" s="195" t="s">
        <v>383</v>
      </c>
      <c r="N17" s="215">
        <f t="shared" si="1"/>
        <v>811.73052032659996</v>
      </c>
      <c r="O17" s="215">
        <f>O10+O7</f>
        <v>1160.1682549899999</v>
      </c>
    </row>
    <row r="18" spans="2:15">
      <c r="B18" s="216" t="s">
        <v>429</v>
      </c>
      <c r="C18" s="217">
        <v>4364.8829193708789</v>
      </c>
      <c r="D18" s="217">
        <v>68430.53185162702</v>
      </c>
      <c r="G18" s="216" t="s">
        <v>429</v>
      </c>
      <c r="H18" s="217">
        <f t="shared" si="0"/>
        <v>96.075124969427591</v>
      </c>
      <c r="I18" s="217">
        <f>I11+I8</f>
        <v>136.86009997554208</v>
      </c>
      <c r="M18" s="216" t="s">
        <v>429</v>
      </c>
      <c r="N18" s="217">
        <f t="shared" si="1"/>
        <v>112.33693378216674</v>
      </c>
      <c r="O18" s="217">
        <f>O11+O8</f>
        <v>174.80432053860008</v>
      </c>
    </row>
    <row r="19" spans="2:15">
      <c r="B19" s="195" t="s">
        <v>427</v>
      </c>
      <c r="C19" s="215">
        <f>SUM(C16:C18)</f>
        <v>2347615.8709636941</v>
      </c>
      <c r="D19" s="215">
        <f>SUM(D16:D18)</f>
        <v>1580619.2114106403</v>
      </c>
      <c r="G19" s="195" t="s">
        <v>427</v>
      </c>
      <c r="H19" s="215">
        <f>SUM(H16:H18)</f>
        <v>2245.3352926322996</v>
      </c>
      <c r="I19" s="215">
        <f>SUM(I16:I18)</f>
        <v>1286.0508111210729</v>
      </c>
      <c r="M19" s="195" t="s">
        <v>427</v>
      </c>
      <c r="N19" s="215">
        <f>SUM(N16:N18)</f>
        <v>2273.9188536265015</v>
      </c>
      <c r="O19" s="215">
        <f>SUM(O16:O18)</f>
        <v>1471.0793506988182</v>
      </c>
    </row>
    <row r="20" spans="2:15">
      <c r="B20" s="195"/>
      <c r="C20" s="195"/>
      <c r="D20" s="195"/>
      <c r="G20" s="195"/>
      <c r="H20" s="195"/>
      <c r="I20" s="195"/>
      <c r="M20" s="195"/>
      <c r="N20" s="195"/>
      <c r="O20" s="195"/>
    </row>
    <row r="21" spans="2:15">
      <c r="B21" s="214" t="s">
        <v>430</v>
      </c>
      <c r="C21" s="214">
        <v>2030</v>
      </c>
      <c r="D21" s="214">
        <v>2040</v>
      </c>
      <c r="G21" s="214" t="s">
        <v>430</v>
      </c>
      <c r="H21" s="214">
        <v>2040</v>
      </c>
      <c r="I21" s="214">
        <v>2050</v>
      </c>
      <c r="M21" s="214" t="s">
        <v>430</v>
      </c>
      <c r="N21" s="214">
        <v>2040</v>
      </c>
      <c r="O21" s="214">
        <v>2050</v>
      </c>
    </row>
    <row r="22" spans="2:15">
      <c r="B22" s="195" t="s">
        <v>428</v>
      </c>
      <c r="C22" s="218">
        <f t="shared" ref="C22:D24" si="2">C16/C$19</f>
        <v>0.90480459350749409</v>
      </c>
      <c r="D22" s="218">
        <f t="shared" si="2"/>
        <v>0.75508532536770301</v>
      </c>
      <c r="G22" s="195" t="s">
        <v>428</v>
      </c>
      <c r="H22" s="218">
        <f>H16/$H$19</f>
        <v>0.64691417364325576</v>
      </c>
      <c r="I22" s="218">
        <f>I16/$I$19</f>
        <v>0.15789120103001478</v>
      </c>
      <c r="M22" s="195" t="s">
        <v>428</v>
      </c>
      <c r="N22" s="218">
        <f t="shared" ref="N22:N24" si="3">N16/$N$19</f>
        <v>0.59362338166331607</v>
      </c>
      <c r="O22" s="218">
        <f>O16/$O$19</f>
        <v>9.2521708706986006E-2</v>
      </c>
    </row>
    <row r="23" spans="2:15">
      <c r="B23" s="195" t="s">
        <v>383</v>
      </c>
      <c r="C23" s="218">
        <f t="shared" si="2"/>
        <v>9.3336123219907086E-2</v>
      </c>
      <c r="D23" s="218">
        <f t="shared" si="2"/>
        <v>0.20162117841409308</v>
      </c>
      <c r="G23" s="195" t="s">
        <v>383</v>
      </c>
      <c r="H23" s="218">
        <f>H17/$H$19</f>
        <v>0.31029706100633869</v>
      </c>
      <c r="I23" s="218">
        <f>I17/$I$19</f>
        <v>0.73568990883590202</v>
      </c>
      <c r="M23" s="195" t="s">
        <v>383</v>
      </c>
      <c r="N23" s="218">
        <f t="shared" si="3"/>
        <v>0.35697426890675199</v>
      </c>
      <c r="O23" s="218">
        <f>O17/$O$19</f>
        <v>0.78865103669552306</v>
      </c>
    </row>
    <row r="24" spans="2:15">
      <c r="B24" s="216" t="s">
        <v>429</v>
      </c>
      <c r="C24" s="452">
        <f t="shared" si="2"/>
        <v>1.859283272599064E-3</v>
      </c>
      <c r="D24" s="452">
        <f t="shared" si="2"/>
        <v>4.3293496218203921E-2</v>
      </c>
      <c r="G24" s="216" t="s">
        <v>429</v>
      </c>
      <c r="H24" s="219">
        <f>H18/$H$19</f>
        <v>4.2788765350405523E-2</v>
      </c>
      <c r="I24" s="219">
        <f>I18/$I$19</f>
        <v>0.10641889013408323</v>
      </c>
      <c r="M24" s="216" t="s">
        <v>429</v>
      </c>
      <c r="N24" s="219">
        <f t="shared" si="3"/>
        <v>4.9402349429931963E-2</v>
      </c>
      <c r="O24" s="219">
        <f>O18/$O$19</f>
        <v>0.11882725459749091</v>
      </c>
    </row>
    <row r="25" spans="2:15">
      <c r="B25" s="195"/>
      <c r="C25" s="195"/>
      <c r="D25" s="195"/>
    </row>
    <row r="26" spans="2:15">
      <c r="B26" s="214" t="s">
        <v>431</v>
      </c>
      <c r="C26" s="214">
        <v>2030</v>
      </c>
      <c r="D26" s="214">
        <v>2040</v>
      </c>
      <c r="G26" s="214" t="s">
        <v>431</v>
      </c>
      <c r="H26" s="214">
        <v>2040</v>
      </c>
      <c r="I26" s="214">
        <v>2050</v>
      </c>
      <c r="M26" s="214" t="s">
        <v>431</v>
      </c>
      <c r="N26" s="214">
        <v>2040</v>
      </c>
      <c r="O26" s="214">
        <v>2050</v>
      </c>
    </row>
    <row r="27" spans="2:15">
      <c r="B27" s="216" t="s">
        <v>432</v>
      </c>
      <c r="C27" s="220">
        <f>C22*'3.1.'!D10+'3.2.'!C23*'3.1.'!D14+'3.2.'!C24*'3.1.'!D15</f>
        <v>7.4970245331058694</v>
      </c>
      <c r="D27" s="220">
        <f>D22*'3.1.'!E10+'3.2.'!D23*'3.1.'!E14+'3.2.'!D24*'3.1.'!E15</f>
        <v>8.9869771315129992</v>
      </c>
      <c r="G27" s="216" t="s">
        <v>432</v>
      </c>
      <c r="H27" s="220">
        <f>H22*'3.1.'!E10+'3.2.'!H23*'3.1.'!E14+'3.2.'!H24*'3.1.'!E15</f>
        <v>10.323258285999465</v>
      </c>
      <c r="I27" s="220">
        <f>I22*'3.1.'!F10+'3.2.'!I23*'3.1.'!F14+'3.2.'!I24*'3.1.'!F15</f>
        <v>16.002441749617532</v>
      </c>
      <c r="M27" s="216" t="s">
        <v>432</v>
      </c>
      <c r="N27" s="220">
        <f>N22*'3.1.'!E10+'3.2.'!N23*'3.1.'!E14+'3.2.'!N24*'3.1.'!E15</f>
        <v>11.029284287723017</v>
      </c>
      <c r="O27" s="220">
        <f>O22*'3.1.'!F10+'3.2.'!O23*'3.1.'!F14+'3.2.'!O24*'3.1.'!F15</f>
        <v>16.881212332362718</v>
      </c>
    </row>
  </sheetData>
  <mergeCells count="4">
    <mergeCell ref="F6:F8"/>
    <mergeCell ref="L6:L8"/>
    <mergeCell ref="F9:F11"/>
    <mergeCell ref="L9:L11"/>
  </mergeCells>
  <pageMargins left="0.7" right="0.7" top="0.75" bottom="0.75" header="0.3" footer="0.3"/>
  <headerFooter>
    <oddFooter>&amp;C_x000D_&amp;1#&amp;"Calibri"&amp;10&amp;K000000 ISC - Uso INTERNO / INTERNAL Use</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C8AC7-9C6B-4E9F-85F2-17BA654E9468}">
  <sheetPr>
    <tabColor theme="7"/>
  </sheetPr>
  <dimension ref="A1:Y42"/>
  <sheetViews>
    <sheetView showGridLines="0" workbookViewId="0">
      <selection activeCell="A40" sqref="A40"/>
    </sheetView>
  </sheetViews>
  <sheetFormatPr defaultRowHeight="15"/>
  <cols>
    <col min="1" max="1" width="25.7109375" bestFit="1" customWidth="1"/>
    <col min="2" max="2" width="13.140625" bestFit="1" customWidth="1"/>
    <col min="12" max="12" width="15.5703125" customWidth="1"/>
  </cols>
  <sheetData>
    <row r="1" spans="1:25" ht="23.25">
      <c r="A1" s="441" t="s">
        <v>433</v>
      </c>
    </row>
    <row r="2" spans="1:25">
      <c r="A2" t="s">
        <v>434</v>
      </c>
    </row>
    <row r="4" spans="1:25" ht="15.75" thickBot="1">
      <c r="C4">
        <v>2030</v>
      </c>
      <c r="D4">
        <v>2040</v>
      </c>
      <c r="E4">
        <v>2050</v>
      </c>
    </row>
    <row r="5" spans="1:25" ht="31.5">
      <c r="B5" t="s">
        <v>435</v>
      </c>
      <c r="C5" s="221">
        <v>1</v>
      </c>
      <c r="D5" s="221">
        <v>1</v>
      </c>
      <c r="E5" s="221">
        <v>1</v>
      </c>
      <c r="K5" s="222"/>
      <c r="L5" s="223" t="s">
        <v>436</v>
      </c>
      <c r="M5" s="223"/>
      <c r="N5" s="223"/>
      <c r="O5" s="224"/>
      <c r="P5" s="195"/>
      <c r="Q5" s="195"/>
      <c r="R5" s="195"/>
      <c r="S5" s="222" t="s">
        <v>437</v>
      </c>
      <c r="T5" s="223"/>
      <c r="U5" s="223"/>
      <c r="V5" s="223"/>
      <c r="W5" s="224"/>
      <c r="Y5" s="444" t="s">
        <v>438</v>
      </c>
    </row>
    <row r="6" spans="1:25" ht="32.25" thickBot="1">
      <c r="C6" t="s">
        <v>439</v>
      </c>
      <c r="K6" s="225"/>
      <c r="L6" s="195">
        <v>2030</v>
      </c>
      <c r="M6" s="195"/>
      <c r="N6" s="195"/>
      <c r="O6" s="226"/>
      <c r="P6" s="195"/>
      <c r="Q6" s="195"/>
      <c r="R6" s="195"/>
      <c r="S6" s="225"/>
      <c r="T6" s="195"/>
      <c r="U6" s="195"/>
      <c r="V6" s="195"/>
      <c r="W6" s="226"/>
      <c r="Y6" s="445" t="s">
        <v>440</v>
      </c>
    </row>
    <row r="7" spans="1:25" ht="32.25" thickTop="1">
      <c r="H7" t="s">
        <v>441</v>
      </c>
      <c r="K7" s="225"/>
      <c r="L7" s="227" t="s">
        <v>45</v>
      </c>
      <c r="M7" s="228" t="s">
        <v>442</v>
      </c>
      <c r="N7" s="229" t="s">
        <v>443</v>
      </c>
      <c r="O7" s="226"/>
      <c r="P7" s="195"/>
      <c r="Q7" s="195"/>
      <c r="R7" s="195"/>
      <c r="S7" s="225"/>
      <c r="T7" s="195"/>
      <c r="U7" s="195"/>
      <c r="V7" s="195"/>
      <c r="W7" s="226"/>
      <c r="Y7" s="445" t="s">
        <v>444</v>
      </c>
    </row>
    <row r="8" spans="1:25" ht="32.25" thickBot="1">
      <c r="A8" s="230" t="s">
        <v>445</v>
      </c>
      <c r="B8" s="230"/>
      <c r="C8" s="230">
        <v>2030</v>
      </c>
      <c r="D8" s="230">
        <v>2040</v>
      </c>
      <c r="E8" s="230">
        <v>2050</v>
      </c>
      <c r="K8" s="225"/>
      <c r="L8" s="231" t="s">
        <v>446</v>
      </c>
      <c r="M8" s="232" t="s">
        <v>447</v>
      </c>
      <c r="N8" s="233">
        <v>107.98436467199924</v>
      </c>
      <c r="O8" s="226"/>
      <c r="P8" s="195"/>
      <c r="Q8" s="195"/>
      <c r="R8" s="195"/>
      <c r="S8" s="225"/>
      <c r="T8" s="195">
        <v>2030</v>
      </c>
      <c r="U8" s="195"/>
      <c r="V8" s="195"/>
      <c r="W8" s="226"/>
      <c r="Y8" s="445" t="s">
        <v>448</v>
      </c>
    </row>
    <row r="9" spans="1:25" ht="32.25" thickTop="1">
      <c r="A9" s="234" t="s">
        <v>449</v>
      </c>
      <c r="B9" s="234" t="s">
        <v>450</v>
      </c>
      <c r="C9" s="235">
        <f>N13</f>
        <v>115.59009394535244</v>
      </c>
      <c r="D9" s="235">
        <f>N25</f>
        <v>90.630409587556116</v>
      </c>
      <c r="E9" s="235">
        <f>N36</f>
        <v>72.210657204277268</v>
      </c>
      <c r="K9" s="225"/>
      <c r="L9" s="231" t="s">
        <v>451</v>
      </c>
      <c r="M9" s="232" t="s">
        <v>452</v>
      </c>
      <c r="N9" s="233">
        <v>112.46043009129896</v>
      </c>
      <c r="O9" s="226"/>
      <c r="P9" s="195"/>
      <c r="Q9" s="195"/>
      <c r="R9" s="195"/>
      <c r="S9" s="225"/>
      <c r="T9" s="227" t="s">
        <v>45</v>
      </c>
      <c r="U9" s="228" t="s">
        <v>442</v>
      </c>
      <c r="V9" s="229" t="s">
        <v>443</v>
      </c>
      <c r="W9" s="226"/>
      <c r="Y9" s="445" t="s">
        <v>453</v>
      </c>
    </row>
    <row r="10" spans="1:25" ht="31.5">
      <c r="A10" t="s">
        <v>454</v>
      </c>
      <c r="B10" t="s">
        <v>450</v>
      </c>
      <c r="C10" s="236">
        <f>V15</f>
        <v>149.87968344547858</v>
      </c>
      <c r="D10" s="236">
        <f>V27</f>
        <v>117.8514922795307</v>
      </c>
      <c r="E10" s="236">
        <f>V38</f>
        <v>94.348593528021468</v>
      </c>
      <c r="K10" s="225"/>
      <c r="L10" s="231" t="s">
        <v>455</v>
      </c>
      <c r="M10" s="232" t="s">
        <v>456</v>
      </c>
      <c r="N10" s="233">
        <v>112.86074266340961</v>
      </c>
      <c r="O10" s="226"/>
      <c r="P10" s="195"/>
      <c r="Q10" s="195"/>
      <c r="R10" s="195"/>
      <c r="S10" s="225"/>
      <c r="T10" s="231" t="s">
        <v>446</v>
      </c>
      <c r="U10" s="232" t="s">
        <v>447</v>
      </c>
      <c r="V10" s="233">
        <v>139.14040967172517</v>
      </c>
      <c r="W10" s="226"/>
      <c r="Y10" s="445" t="s">
        <v>457</v>
      </c>
    </row>
    <row r="11" spans="1:25">
      <c r="A11" s="237" t="s">
        <v>458</v>
      </c>
      <c r="B11" s="237" t="s">
        <v>450</v>
      </c>
      <c r="C11" s="220">
        <f>C9*(1-C5)+C10*C5</f>
        <v>149.87968344547858</v>
      </c>
      <c r="D11" s="220">
        <f>D9*(1-D5)+D10*D5</f>
        <v>117.8514922795307</v>
      </c>
      <c r="E11" s="220">
        <f>E9*(1-E5)+E10*E5</f>
        <v>94.348593528021468</v>
      </c>
      <c r="F11" s="236"/>
      <c r="K11" s="225"/>
      <c r="L11" s="231" t="s">
        <v>459</v>
      </c>
      <c r="M11" s="232" t="s">
        <v>460</v>
      </c>
      <c r="N11" s="233">
        <v>113.61149883154501</v>
      </c>
      <c r="O11" s="226"/>
      <c r="P11" s="195"/>
      <c r="Q11" s="195"/>
      <c r="R11" s="195"/>
      <c r="S11" s="225"/>
      <c r="T11" s="231" t="s">
        <v>451</v>
      </c>
      <c r="U11" s="232" t="s">
        <v>452</v>
      </c>
      <c r="V11" s="233">
        <v>145.23053744133841</v>
      </c>
      <c r="W11" s="226"/>
    </row>
    <row r="12" spans="1:25">
      <c r="B12" s="11" t="s">
        <v>461</v>
      </c>
      <c r="C12" s="238">
        <f>C11/3.6</f>
        <v>41.633245401521826</v>
      </c>
      <c r="D12" s="238">
        <f>D11/3.6</f>
        <v>32.736525633202973</v>
      </c>
      <c r="E12" s="238">
        <f>E11/3.6</f>
        <v>26.207942646672628</v>
      </c>
      <c r="K12" s="225"/>
      <c r="L12" s="231" t="s">
        <v>462</v>
      </c>
      <c r="M12" s="232" t="s">
        <v>463</v>
      </c>
      <c r="N12" s="233">
        <v>115.05306991128934</v>
      </c>
      <c r="O12" s="226"/>
      <c r="P12" s="195"/>
      <c r="Q12" s="195"/>
      <c r="R12" s="195"/>
      <c r="S12" s="225"/>
      <c r="T12" s="231" t="s">
        <v>455</v>
      </c>
      <c r="U12" s="232" t="s">
        <v>456</v>
      </c>
      <c r="V12" s="233">
        <v>145.49254511577286</v>
      </c>
      <c r="W12" s="226"/>
    </row>
    <row r="13" spans="1:25">
      <c r="K13" s="225"/>
      <c r="L13" s="231" t="s">
        <v>464</v>
      </c>
      <c r="M13" s="232" t="s">
        <v>465</v>
      </c>
      <c r="N13" s="233">
        <v>115.59009394535244</v>
      </c>
      <c r="O13" s="226"/>
      <c r="P13" s="195"/>
      <c r="Q13" s="195"/>
      <c r="R13" s="195"/>
      <c r="S13" s="225"/>
      <c r="T13" s="231" t="s">
        <v>459</v>
      </c>
      <c r="U13" s="232" t="s">
        <v>460</v>
      </c>
      <c r="V13" s="233">
        <v>147.10374051581476</v>
      </c>
      <c r="W13" s="226"/>
    </row>
    <row r="14" spans="1:25">
      <c r="K14" s="225"/>
      <c r="L14" s="195"/>
      <c r="M14" s="195"/>
      <c r="N14" s="239">
        <v>112.92670001914911</v>
      </c>
      <c r="O14" s="226"/>
      <c r="P14" s="195"/>
      <c r="Q14" s="195"/>
      <c r="R14" s="195"/>
      <c r="S14" s="225"/>
      <c r="T14" s="231" t="s">
        <v>462</v>
      </c>
      <c r="U14" s="232" t="s">
        <v>463</v>
      </c>
      <c r="V14" s="233">
        <v>148.95990836758338</v>
      </c>
      <c r="W14" s="226"/>
    </row>
    <row r="15" spans="1:25">
      <c r="A15" s="230" t="s">
        <v>445</v>
      </c>
      <c r="B15" s="230"/>
      <c r="C15" s="230">
        <v>2030</v>
      </c>
      <c r="D15" s="230">
        <v>2040</v>
      </c>
      <c r="E15" s="230">
        <v>2050</v>
      </c>
      <c r="K15" s="225"/>
      <c r="L15" s="195"/>
      <c r="M15" s="195"/>
      <c r="N15" s="195"/>
      <c r="O15" s="226"/>
      <c r="P15" s="195"/>
      <c r="Q15" s="195"/>
      <c r="R15" s="195"/>
      <c r="S15" s="225"/>
      <c r="T15" s="231" t="s">
        <v>464</v>
      </c>
      <c r="U15" s="232" t="s">
        <v>465</v>
      </c>
      <c r="V15" s="233">
        <v>149.87968344547858</v>
      </c>
      <c r="W15" s="226"/>
    </row>
    <row r="16" spans="1:25">
      <c r="A16" s="234" t="s">
        <v>449</v>
      </c>
      <c r="B16" s="234" t="s">
        <v>466</v>
      </c>
      <c r="C16" s="235">
        <f>C9*0.92</f>
        <v>106.34288642972425</v>
      </c>
      <c r="D16" s="235">
        <f t="shared" ref="D16:E16" si="0">D9*0.92</f>
        <v>83.379976820551633</v>
      </c>
      <c r="E16" s="235">
        <f t="shared" si="0"/>
        <v>66.433804627935089</v>
      </c>
      <c r="K16" s="225"/>
      <c r="L16" s="195"/>
      <c r="M16" s="195"/>
      <c r="N16" s="195"/>
      <c r="O16" s="226"/>
      <c r="P16" s="195"/>
      <c r="Q16" s="195"/>
      <c r="R16" s="195"/>
      <c r="S16" s="225"/>
      <c r="T16" s="195"/>
      <c r="U16" s="195"/>
      <c r="V16" s="195">
        <v>145.96780409295221</v>
      </c>
      <c r="W16" s="226"/>
    </row>
    <row r="17" spans="1:23">
      <c r="A17" t="s">
        <v>454</v>
      </c>
      <c r="B17" t="s">
        <v>466</v>
      </c>
      <c r="C17" s="236">
        <f t="shared" ref="C17:E18" si="1">C10*0.92</f>
        <v>137.88930876984028</v>
      </c>
      <c r="D17" s="236">
        <f t="shared" si="1"/>
        <v>108.42337289716825</v>
      </c>
      <c r="E17" s="236">
        <f t="shared" si="1"/>
        <v>86.800706045779748</v>
      </c>
      <c r="K17" s="225"/>
      <c r="L17" s="195"/>
      <c r="M17" s="195"/>
      <c r="N17" s="195"/>
      <c r="O17" s="226"/>
      <c r="P17" s="195"/>
      <c r="Q17" s="195"/>
      <c r="R17" s="195"/>
      <c r="S17" s="225"/>
      <c r="T17" s="195"/>
      <c r="U17" s="195"/>
      <c r="V17" s="195"/>
      <c r="W17" s="226"/>
    </row>
    <row r="18" spans="1:23" ht="15.75" thickBot="1">
      <c r="A18" s="237" t="s">
        <v>458</v>
      </c>
      <c r="B18" s="237" t="s">
        <v>466</v>
      </c>
      <c r="C18" s="220">
        <f t="shared" si="1"/>
        <v>137.88930876984028</v>
      </c>
      <c r="D18" s="220">
        <f t="shared" si="1"/>
        <v>108.42337289716825</v>
      </c>
      <c r="E18" s="220">
        <f t="shared" si="1"/>
        <v>86.800706045779748</v>
      </c>
      <c r="K18" s="225"/>
      <c r="L18" s="195">
        <v>2040</v>
      </c>
      <c r="M18" s="195"/>
      <c r="N18" s="195"/>
      <c r="O18" s="226"/>
      <c r="P18" s="195"/>
      <c r="Q18" s="195"/>
      <c r="R18" s="195"/>
      <c r="S18" s="225"/>
      <c r="T18" s="195"/>
      <c r="U18" s="195"/>
      <c r="V18" s="195"/>
      <c r="W18" s="226"/>
    </row>
    <row r="19" spans="1:23" ht="15.75" thickTop="1">
      <c r="B19" s="11" t="s">
        <v>366</v>
      </c>
      <c r="C19" s="238">
        <f>C18/3.6</f>
        <v>38.302585769400075</v>
      </c>
      <c r="D19" s="238">
        <f>D18/3.6</f>
        <v>30.117603582546735</v>
      </c>
      <c r="E19" s="238">
        <f>E18/3.6</f>
        <v>24.111307234938817</v>
      </c>
      <c r="K19" s="225"/>
      <c r="L19" s="227" t="s">
        <v>45</v>
      </c>
      <c r="M19" s="228" t="s">
        <v>442</v>
      </c>
      <c r="N19" s="229" t="s">
        <v>443</v>
      </c>
      <c r="O19" s="226"/>
      <c r="P19" s="195"/>
      <c r="Q19" s="195"/>
      <c r="R19" s="195"/>
      <c r="S19" s="225"/>
      <c r="T19" s="195"/>
      <c r="U19" s="195"/>
      <c r="V19" s="195"/>
      <c r="W19" s="226"/>
    </row>
    <row r="20" spans="1:23" ht="15.75" thickBot="1">
      <c r="K20" s="225"/>
      <c r="L20" s="231" t="s">
        <v>446</v>
      </c>
      <c r="M20" s="232" t="s">
        <v>447</v>
      </c>
      <c r="N20" s="240">
        <v>85.518155802606685</v>
      </c>
      <c r="O20" s="226"/>
      <c r="P20" s="195"/>
      <c r="Q20" s="195"/>
      <c r="R20" s="195"/>
      <c r="S20" s="225"/>
      <c r="T20" s="195">
        <v>2040</v>
      </c>
      <c r="U20" s="195"/>
      <c r="V20" s="195"/>
      <c r="W20" s="226"/>
    </row>
    <row r="21" spans="1:23" ht="15.75" thickTop="1">
      <c r="K21" s="225"/>
      <c r="L21" s="231" t="s">
        <v>451</v>
      </c>
      <c r="M21" s="232" t="s">
        <v>452</v>
      </c>
      <c r="N21" s="240">
        <v>88.7954804154203</v>
      </c>
      <c r="O21" s="226"/>
      <c r="P21" s="195"/>
      <c r="Q21" s="195"/>
      <c r="R21" s="195"/>
      <c r="S21" s="225"/>
      <c r="T21" s="227" t="s">
        <v>45</v>
      </c>
      <c r="U21" s="228" t="s">
        <v>442</v>
      </c>
      <c r="V21" s="229" t="s">
        <v>443</v>
      </c>
      <c r="W21" s="226"/>
    </row>
    <row r="22" spans="1:23">
      <c r="K22" s="225"/>
      <c r="L22" s="231" t="s">
        <v>455</v>
      </c>
      <c r="M22" s="232" t="s">
        <v>456</v>
      </c>
      <c r="N22" s="240">
        <v>89.203595784330773</v>
      </c>
      <c r="O22" s="226"/>
      <c r="P22" s="195"/>
      <c r="Q22" s="195"/>
      <c r="R22" s="241"/>
      <c r="S22" s="225"/>
      <c r="T22" s="231" t="s">
        <v>446</v>
      </c>
      <c r="U22" s="232" t="s">
        <v>447</v>
      </c>
      <c r="V22" s="240">
        <v>110.3296062327499</v>
      </c>
      <c r="W22" s="226"/>
    </row>
    <row r="23" spans="1:23">
      <c r="K23" s="225"/>
      <c r="L23" s="231" t="s">
        <v>459</v>
      </c>
      <c r="M23" s="232" t="s">
        <v>460</v>
      </c>
      <c r="N23" s="240">
        <v>89.307926535601069</v>
      </c>
      <c r="O23" s="226"/>
      <c r="P23" s="195"/>
      <c r="Q23" s="195"/>
      <c r="R23" s="241"/>
      <c r="S23" s="225"/>
      <c r="T23" s="231" t="s">
        <v>451</v>
      </c>
      <c r="U23" s="232" t="s">
        <v>452</v>
      </c>
      <c r="V23" s="240">
        <v>114.87297167141332</v>
      </c>
      <c r="W23" s="226"/>
    </row>
    <row r="24" spans="1:23">
      <c r="K24" s="225"/>
      <c r="L24" s="231" t="s">
        <v>462</v>
      </c>
      <c r="M24" s="232" t="s">
        <v>463</v>
      </c>
      <c r="N24" s="240">
        <v>90.316778740709978</v>
      </c>
      <c r="O24" s="226"/>
      <c r="P24" s="195"/>
      <c r="Q24" s="195"/>
      <c r="R24" s="241"/>
      <c r="S24" s="225"/>
      <c r="T24" s="231" t="s">
        <v>455</v>
      </c>
      <c r="U24" s="232" t="s">
        <v>456</v>
      </c>
      <c r="V24" s="240">
        <v>115.14504747075078</v>
      </c>
      <c r="W24" s="226"/>
    </row>
    <row r="25" spans="1:23">
      <c r="K25" s="225"/>
      <c r="L25" s="231" t="s">
        <v>464</v>
      </c>
      <c r="M25" s="232" t="s">
        <v>465</v>
      </c>
      <c r="N25" s="240">
        <v>90.630409587556116</v>
      </c>
      <c r="O25" s="226"/>
      <c r="P25" s="195"/>
      <c r="Q25" s="195"/>
      <c r="R25" s="241"/>
      <c r="S25" s="225"/>
      <c r="T25" s="231" t="s">
        <v>459</v>
      </c>
      <c r="U25" s="232" t="s">
        <v>460</v>
      </c>
      <c r="V25" s="240">
        <v>115.92214555870865</v>
      </c>
      <c r="W25" s="226"/>
    </row>
    <row r="26" spans="1:23">
      <c r="K26" s="225"/>
      <c r="L26" s="195"/>
      <c r="M26" s="195"/>
      <c r="N26" s="239">
        <v>88.962057811037482</v>
      </c>
      <c r="O26" s="226"/>
      <c r="P26" s="195"/>
      <c r="Q26" s="195"/>
      <c r="R26" s="241"/>
      <c r="S26" s="225"/>
      <c r="T26" s="231" t="s">
        <v>462</v>
      </c>
      <c r="U26" s="232" t="s">
        <v>463</v>
      </c>
      <c r="V26" s="240">
        <v>117.21996647546383</v>
      </c>
      <c r="W26" s="226"/>
    </row>
    <row r="27" spans="1:23">
      <c r="K27" s="225"/>
      <c r="L27" s="195"/>
      <c r="M27" s="195"/>
      <c r="N27" s="195"/>
      <c r="O27" s="226"/>
      <c r="P27" s="195"/>
      <c r="Q27" s="195"/>
      <c r="R27" s="241"/>
      <c r="S27" s="225"/>
      <c r="T27" s="231" t="s">
        <v>464</v>
      </c>
      <c r="U27" s="232" t="s">
        <v>465</v>
      </c>
      <c r="V27" s="240">
        <v>117.8514922795307</v>
      </c>
      <c r="W27" s="226"/>
    </row>
    <row r="28" spans="1:23">
      <c r="K28" s="225"/>
      <c r="L28" s="195"/>
      <c r="M28" s="195"/>
      <c r="N28" s="195"/>
      <c r="O28" s="226"/>
      <c r="P28" s="195"/>
      <c r="Q28" s="195"/>
      <c r="R28" s="195"/>
      <c r="S28" s="225"/>
      <c r="T28" s="195"/>
      <c r="U28" s="195"/>
      <c r="V28" s="195">
        <v>115.22353828143621</v>
      </c>
      <c r="W28" s="226"/>
    </row>
    <row r="29" spans="1:23" ht="15.75" thickBot="1">
      <c r="K29" s="225"/>
      <c r="L29" s="195">
        <v>2050</v>
      </c>
      <c r="M29" s="195"/>
      <c r="N29" s="195"/>
      <c r="O29" s="226"/>
      <c r="P29" s="195"/>
      <c r="Q29" s="195"/>
      <c r="R29" s="195"/>
      <c r="S29" s="225"/>
      <c r="T29" s="195"/>
      <c r="U29" s="195"/>
      <c r="V29" s="195"/>
      <c r="W29" s="226"/>
    </row>
    <row r="30" spans="1:23" ht="15.75" thickTop="1">
      <c r="K30" s="225"/>
      <c r="L30" s="227" t="s">
        <v>45</v>
      </c>
      <c r="M30" s="228" t="s">
        <v>442</v>
      </c>
      <c r="N30" s="229" t="s">
        <v>443</v>
      </c>
      <c r="O30" s="226"/>
      <c r="P30" s="195"/>
      <c r="Q30" s="195"/>
      <c r="R30" s="195"/>
      <c r="S30" s="225"/>
      <c r="T30" s="195"/>
      <c r="U30" s="195"/>
      <c r="V30" s="195"/>
      <c r="W30" s="226"/>
    </row>
    <row r="31" spans="1:23" ht="15.75" thickBot="1">
      <c r="K31" s="225"/>
      <c r="L31" s="231" t="s">
        <v>446</v>
      </c>
      <c r="M31" s="232" t="s">
        <v>447</v>
      </c>
      <c r="N31" s="240">
        <v>68.984566289556128</v>
      </c>
      <c r="O31" s="226"/>
      <c r="P31" s="195"/>
      <c r="Q31" s="195"/>
      <c r="R31" s="195"/>
      <c r="S31" s="225"/>
      <c r="T31" s="195">
        <v>2050</v>
      </c>
      <c r="U31" s="195"/>
      <c r="V31" s="195"/>
      <c r="W31" s="226"/>
    </row>
    <row r="32" spans="1:23" ht="15.75" thickTop="1">
      <c r="K32" s="225"/>
      <c r="L32" s="231" t="s">
        <v>451</v>
      </c>
      <c r="M32" s="232" t="s">
        <v>452</v>
      </c>
      <c r="N32" s="240">
        <v>71.371715585684441</v>
      </c>
      <c r="O32" s="226"/>
      <c r="P32" s="195"/>
      <c r="Q32" s="195"/>
      <c r="R32" s="195"/>
      <c r="S32" s="225"/>
      <c r="T32" s="227" t="s">
        <v>45</v>
      </c>
      <c r="U32" s="228" t="s">
        <v>442</v>
      </c>
      <c r="V32" s="229" t="s">
        <v>443</v>
      </c>
      <c r="W32" s="226"/>
    </row>
    <row r="33" spans="11:23">
      <c r="K33" s="225"/>
      <c r="L33" s="231" t="s">
        <v>459</v>
      </c>
      <c r="M33" s="232" t="s">
        <v>460</v>
      </c>
      <c r="N33" s="240">
        <v>71.430841039739235</v>
      </c>
      <c r="O33" s="226"/>
      <c r="P33" s="195"/>
      <c r="Q33" s="195"/>
      <c r="R33" s="195"/>
      <c r="S33" s="225"/>
      <c r="T33" s="231" t="s">
        <v>446</v>
      </c>
      <c r="U33" s="232" t="s">
        <v>447</v>
      </c>
      <c r="V33" s="240">
        <v>89.260466023470713</v>
      </c>
      <c r="W33" s="226"/>
    </row>
    <row r="34" spans="11:23">
      <c r="K34" s="225"/>
      <c r="L34" s="231" t="s">
        <v>455</v>
      </c>
      <c r="M34" s="232" t="s">
        <v>456</v>
      </c>
      <c r="N34" s="240">
        <v>71.775373748088597</v>
      </c>
      <c r="O34" s="226"/>
      <c r="P34" s="195"/>
      <c r="Q34" s="195"/>
      <c r="R34" s="241"/>
      <c r="S34" s="242"/>
      <c r="T34" s="231" t="s">
        <v>451</v>
      </c>
      <c r="U34" s="232" t="s">
        <v>452</v>
      </c>
      <c r="V34" s="240">
        <v>92.655218150282138</v>
      </c>
      <c r="W34" s="226"/>
    </row>
    <row r="35" spans="11:23">
      <c r="K35" s="225"/>
      <c r="L35" s="231" t="s">
        <v>462</v>
      </c>
      <c r="M35" s="232" t="s">
        <v>463</v>
      </c>
      <c r="N35" s="240">
        <v>72.186657334661632</v>
      </c>
      <c r="O35" s="226"/>
      <c r="P35" s="195"/>
      <c r="Q35" s="195"/>
      <c r="R35" s="241"/>
      <c r="S35" s="242"/>
      <c r="T35" s="231" t="s">
        <v>455</v>
      </c>
      <c r="U35" s="232" t="s">
        <v>456</v>
      </c>
      <c r="V35" s="240">
        <v>92.921542715417857</v>
      </c>
      <c r="W35" s="226"/>
    </row>
    <row r="36" spans="11:23">
      <c r="K36" s="225"/>
      <c r="L36" s="231" t="s">
        <v>464</v>
      </c>
      <c r="M36" s="232" t="s">
        <v>465</v>
      </c>
      <c r="N36" s="240">
        <v>72.210657204277268</v>
      </c>
      <c r="O36" s="226"/>
      <c r="P36" s="195"/>
      <c r="Q36" s="195"/>
      <c r="R36" s="241"/>
      <c r="S36" s="242"/>
      <c r="T36" s="231" t="s">
        <v>459</v>
      </c>
      <c r="U36" s="232" t="s">
        <v>460</v>
      </c>
      <c r="V36" s="240">
        <v>93.119462145802018</v>
      </c>
      <c r="W36" s="226"/>
    </row>
    <row r="37" spans="11:23">
      <c r="K37" s="225"/>
      <c r="L37" s="195"/>
      <c r="M37" s="195"/>
      <c r="N37" s="239">
        <v>71.32663520033455</v>
      </c>
      <c r="O37" s="226"/>
      <c r="P37" s="195"/>
      <c r="Q37" s="195"/>
      <c r="R37" s="241"/>
      <c r="S37" s="242"/>
      <c r="T37" s="231" t="s">
        <v>462</v>
      </c>
      <c r="U37" s="232" t="s">
        <v>463</v>
      </c>
      <c r="V37" s="240">
        <v>94.090785113929428</v>
      </c>
      <c r="W37" s="226"/>
    </row>
    <row r="38" spans="11:23">
      <c r="K38" s="225"/>
      <c r="L38" s="195"/>
      <c r="M38" s="195"/>
      <c r="N38" s="195"/>
      <c r="O38" s="226"/>
      <c r="P38" s="195"/>
      <c r="Q38" s="195"/>
      <c r="R38" s="241"/>
      <c r="S38" s="242"/>
      <c r="T38" s="231" t="s">
        <v>464</v>
      </c>
      <c r="U38" s="232" t="s">
        <v>465</v>
      </c>
      <c r="V38" s="240">
        <v>94.348593528021468</v>
      </c>
      <c r="W38" s="226"/>
    </row>
    <row r="39" spans="11:23">
      <c r="K39" s="225"/>
      <c r="L39" s="195"/>
      <c r="M39" s="195"/>
      <c r="N39" s="195"/>
      <c r="O39" s="226"/>
      <c r="P39" s="195"/>
      <c r="Q39" s="195"/>
      <c r="R39" s="241"/>
      <c r="S39" s="242"/>
      <c r="T39" s="195"/>
      <c r="U39" s="195"/>
      <c r="V39" s="195">
        <v>92.732677946153942</v>
      </c>
      <c r="W39" s="226"/>
    </row>
    <row r="40" spans="11:23">
      <c r="K40" s="225"/>
      <c r="L40" s="195"/>
      <c r="M40" s="195"/>
      <c r="N40" s="195"/>
      <c r="O40" s="226"/>
      <c r="P40" s="195"/>
      <c r="Q40" s="195"/>
      <c r="R40" s="195"/>
      <c r="S40" s="225"/>
      <c r="T40" s="195"/>
      <c r="U40" s="195"/>
      <c r="V40" s="195"/>
      <c r="W40" s="226"/>
    </row>
    <row r="41" spans="11:23">
      <c r="K41" s="225"/>
      <c r="L41" s="195"/>
      <c r="M41" s="195"/>
      <c r="N41" s="195"/>
      <c r="O41" s="226"/>
      <c r="P41" s="195"/>
      <c r="Q41" s="195"/>
      <c r="R41" s="195"/>
      <c r="S41" s="225"/>
      <c r="T41" s="195"/>
      <c r="U41" s="195"/>
      <c r="V41" s="195"/>
      <c r="W41" s="226"/>
    </row>
    <row r="42" spans="11:23" ht="15.75" thickBot="1">
      <c r="K42" s="243"/>
      <c r="L42" s="244"/>
      <c r="M42" s="244"/>
      <c r="N42" s="244"/>
      <c r="O42" s="245"/>
      <c r="P42" s="195"/>
      <c r="Q42" s="195"/>
      <c r="R42" s="195"/>
      <c r="S42" s="243"/>
      <c r="T42" s="244"/>
      <c r="U42" s="244"/>
      <c r="V42" s="244"/>
      <c r="W42" s="245"/>
    </row>
  </sheetData>
  <conditionalFormatting sqref="N8:N13">
    <cfRule type="colorScale" priority="17">
      <colorScale>
        <cfvo type="percent" val="0"/>
        <cfvo type="percent" val="50"/>
        <cfvo type="percent" val="100"/>
        <color rgb="FF00B050"/>
        <color rgb="FFFFC000"/>
        <color rgb="FFC00000"/>
      </colorScale>
    </cfRule>
  </conditionalFormatting>
  <conditionalFormatting sqref="N14">
    <cfRule type="colorScale" priority="5">
      <colorScale>
        <cfvo type="percent" val="0"/>
        <cfvo type="percent" val="50"/>
        <cfvo type="percent" val="100"/>
        <color rgb="FF00B050"/>
        <color rgb="FFFFC000"/>
        <color rgb="FFC00000"/>
      </colorScale>
    </cfRule>
    <cfRule type="colorScale" priority="6">
      <colorScale>
        <cfvo type="percent" val="0"/>
        <cfvo type="percent" val="50"/>
        <cfvo type="percent" val="100"/>
        <color rgb="FF00B050"/>
        <color rgb="FFFFC000"/>
        <color rgb="FFC00000"/>
      </colorScale>
    </cfRule>
  </conditionalFormatting>
  <conditionalFormatting sqref="N20:N25 N27 N29">
    <cfRule type="colorScale" priority="18">
      <colorScale>
        <cfvo type="percent" val="0"/>
        <cfvo type="percent" val="50"/>
        <cfvo type="percent" val="100"/>
        <color rgb="FF00B050"/>
        <color rgb="FFFFC000"/>
        <color rgb="FFC00000"/>
      </colorScale>
    </cfRule>
  </conditionalFormatting>
  <conditionalFormatting sqref="N26">
    <cfRule type="colorScale" priority="3">
      <colorScale>
        <cfvo type="percent" val="0"/>
        <cfvo type="percent" val="50"/>
        <cfvo type="percent" val="100"/>
        <color rgb="FF00B050"/>
        <color rgb="FFFFC000"/>
        <color rgb="FFC00000"/>
      </colorScale>
    </cfRule>
    <cfRule type="colorScale" priority="4">
      <colorScale>
        <cfvo type="percent" val="0"/>
        <cfvo type="percent" val="50"/>
        <cfvo type="percent" val="100"/>
        <color rgb="FF00B050"/>
        <color rgb="FFFFC000"/>
        <color rgb="FFC00000"/>
      </colorScale>
    </cfRule>
  </conditionalFormatting>
  <conditionalFormatting sqref="N31:N36">
    <cfRule type="colorScale" priority="19">
      <colorScale>
        <cfvo type="percent" val="0"/>
        <cfvo type="percent" val="50"/>
        <cfvo type="percent" val="100"/>
        <color rgb="FF00B050"/>
        <color rgb="FFFFC000"/>
        <color rgb="FFC00000"/>
      </colorScale>
    </cfRule>
  </conditionalFormatting>
  <conditionalFormatting sqref="N37">
    <cfRule type="colorScale" priority="1">
      <colorScale>
        <cfvo type="percent" val="0"/>
        <cfvo type="percent" val="50"/>
        <cfvo type="percent" val="100"/>
        <color rgb="FF00B050"/>
        <color rgb="FFFFC000"/>
        <color rgb="FFC00000"/>
      </colorScale>
    </cfRule>
    <cfRule type="colorScale" priority="2">
      <colorScale>
        <cfvo type="percent" val="0"/>
        <cfvo type="percent" val="50"/>
        <cfvo type="percent" val="100"/>
        <color rgb="FF00B050"/>
        <color rgb="FFFFC000"/>
        <color rgb="FFC00000"/>
      </colorScale>
    </cfRule>
  </conditionalFormatting>
  <conditionalFormatting sqref="R22:R31">
    <cfRule type="colorScale" priority="16">
      <colorScale>
        <cfvo type="percent" val="0"/>
        <cfvo type="percent" val="50"/>
        <cfvo type="percent" val="100"/>
        <color rgb="FF00B050"/>
        <color rgb="FFFFC000"/>
        <color rgb="FFC00000"/>
      </colorScale>
    </cfRule>
  </conditionalFormatting>
  <conditionalFormatting sqref="R34:R42">
    <cfRule type="colorScale" priority="11">
      <colorScale>
        <cfvo type="percent" val="0"/>
        <cfvo type="percent" val="50"/>
        <cfvo type="percent" val="100"/>
        <color rgb="FF00B050"/>
        <color rgb="FFFFC000"/>
        <color rgb="FFC00000"/>
      </colorScale>
    </cfRule>
  </conditionalFormatting>
  <conditionalFormatting sqref="S34:S42">
    <cfRule type="colorScale" priority="10">
      <colorScale>
        <cfvo type="min"/>
        <cfvo type="num" val="0"/>
        <cfvo type="max"/>
        <color rgb="FF002060"/>
        <color rgb="FFFFFFFF"/>
        <color rgb="FFFF0000"/>
      </colorScale>
    </cfRule>
  </conditionalFormatting>
  <conditionalFormatting sqref="V7 N8:N14 V10:V17 N20:N27 V22:V30 N29 N31:N37 V33:V39 V42">
    <cfRule type="containsErrors" dxfId="0" priority="13">
      <formula>ISERROR(N7)</formula>
    </cfRule>
  </conditionalFormatting>
  <conditionalFormatting sqref="V10:V17 V42">
    <cfRule type="colorScale" priority="12">
      <colorScale>
        <cfvo type="percent" val="0"/>
        <cfvo type="percent" val="50"/>
        <cfvo type="percent" val="100"/>
        <color rgb="FF00B050"/>
        <color rgb="FFFFC000"/>
        <color rgb="FFC00000"/>
      </colorScale>
    </cfRule>
  </conditionalFormatting>
  <conditionalFormatting sqref="V22:V30 V7">
    <cfRule type="colorScale" priority="15">
      <colorScale>
        <cfvo type="percent" val="0"/>
        <cfvo type="percent" val="50"/>
        <cfvo type="percent" val="100"/>
        <color rgb="FF00B050"/>
        <color rgb="FFFFC000"/>
        <color rgb="FFC00000"/>
      </colorScale>
    </cfRule>
  </conditionalFormatting>
  <conditionalFormatting sqref="V28">
    <cfRule type="colorScale" priority="9">
      <colorScale>
        <cfvo type="percent" val="0"/>
        <cfvo type="percent" val="50"/>
        <cfvo type="percent" val="100"/>
        <color rgb="FF00B050"/>
        <color rgb="FFFFC000"/>
        <color rgb="FFC00000"/>
      </colorScale>
    </cfRule>
  </conditionalFormatting>
  <conditionalFormatting sqref="V33:V38">
    <cfRule type="colorScale" priority="14">
      <colorScale>
        <cfvo type="percent" val="0"/>
        <cfvo type="percent" val="50"/>
        <cfvo type="percent" val="100"/>
        <color rgb="FF00B050"/>
        <color rgb="FFFFC000"/>
        <color rgb="FFC00000"/>
      </colorScale>
    </cfRule>
  </conditionalFormatting>
  <conditionalFormatting sqref="V39">
    <cfRule type="colorScale" priority="7">
      <colorScale>
        <cfvo type="percent" val="0"/>
        <cfvo type="percent" val="50"/>
        <cfvo type="percent" val="100"/>
        <color rgb="FF00B050"/>
        <color rgb="FFFFC000"/>
        <color rgb="FFC00000"/>
      </colorScale>
    </cfRule>
    <cfRule type="colorScale" priority="8">
      <colorScale>
        <cfvo type="percent" val="0"/>
        <cfvo type="percent" val="50"/>
        <cfvo type="percent" val="100"/>
        <color rgb="FF00B050"/>
        <color rgb="FFFFC000"/>
        <color rgb="FFC00000"/>
      </colorScale>
    </cfRule>
  </conditionalFormatting>
  <pageMargins left="0.7" right="0.7" top="0.75" bottom="0.75" header="0.3" footer="0.3"/>
  <pageSetup paperSize="9" orientation="portrait" r:id="rId1"/>
  <headerFooter>
    <oddFooter>&amp;C_x000D_&amp;1#&amp;"Calibri"&amp;10&amp;K000000 ISC - Uso INTERNO / INTERNAL Use</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AD159-FF4F-4AC6-9577-687E7C6A24CD}">
  <sheetPr>
    <tabColor theme="7"/>
  </sheetPr>
  <dimension ref="A1:V100"/>
  <sheetViews>
    <sheetView topLeftCell="A29" workbookViewId="0">
      <selection activeCell="E37" sqref="E37"/>
    </sheetView>
  </sheetViews>
  <sheetFormatPr defaultColWidth="8.7109375" defaultRowHeight="15"/>
  <cols>
    <col min="1" max="1" width="64.140625" customWidth="1"/>
    <col min="2" max="2" width="14" bestFit="1" customWidth="1"/>
    <col min="7" max="7" width="8.7109375" customWidth="1"/>
    <col min="14" max="14" width="41.85546875" bestFit="1" customWidth="1"/>
    <col min="18" max="18" width="11.42578125" bestFit="1" customWidth="1"/>
  </cols>
  <sheetData>
    <row r="1" spans="1:20" ht="23.25">
      <c r="A1" s="441" t="s">
        <v>467</v>
      </c>
    </row>
    <row r="3" spans="1:20">
      <c r="A3" s="246" t="s">
        <v>468</v>
      </c>
      <c r="K3" t="s">
        <v>469</v>
      </c>
      <c r="L3" t="s">
        <v>470</v>
      </c>
      <c r="M3" t="s">
        <v>471</v>
      </c>
    </row>
    <row r="4" spans="1:20">
      <c r="A4" t="s">
        <v>472</v>
      </c>
      <c r="B4" t="s">
        <v>473</v>
      </c>
      <c r="C4">
        <v>0.84</v>
      </c>
      <c r="D4" t="s">
        <v>474</v>
      </c>
    </row>
    <row r="6" spans="1:20" ht="14.45" customHeight="1">
      <c r="C6" s="11"/>
      <c r="D6" s="11"/>
      <c r="E6" s="519" t="s">
        <v>475</v>
      </c>
      <c r="F6" s="519"/>
      <c r="G6" s="519"/>
      <c r="H6" s="520" t="s">
        <v>476</v>
      </c>
      <c r="I6" s="520"/>
      <c r="J6" s="520"/>
      <c r="K6" s="521" t="s">
        <v>477</v>
      </c>
      <c r="L6" s="521"/>
      <c r="M6" s="521"/>
    </row>
    <row r="7" spans="1:20">
      <c r="C7" s="11">
        <v>2010</v>
      </c>
      <c r="D7" s="11">
        <v>2021</v>
      </c>
      <c r="E7" s="247">
        <v>2030</v>
      </c>
      <c r="F7" s="247">
        <v>2040</v>
      </c>
      <c r="G7" s="247">
        <v>2050</v>
      </c>
      <c r="H7" s="248">
        <v>2030</v>
      </c>
      <c r="I7" s="248">
        <v>2040</v>
      </c>
      <c r="J7" s="248">
        <v>2050</v>
      </c>
      <c r="K7" s="249">
        <v>2030</v>
      </c>
      <c r="L7" s="249">
        <v>2040</v>
      </c>
      <c r="M7" s="249">
        <v>2050</v>
      </c>
    </row>
    <row r="8" spans="1:20">
      <c r="A8" t="s">
        <v>478</v>
      </c>
      <c r="B8" t="s">
        <v>479</v>
      </c>
      <c r="E8" s="250">
        <v>140</v>
      </c>
      <c r="F8" s="250">
        <v>205</v>
      </c>
      <c r="G8" s="250">
        <v>250</v>
      </c>
      <c r="H8" s="251">
        <v>135</v>
      </c>
      <c r="I8" s="251">
        <v>175</v>
      </c>
      <c r="J8" s="251">
        <v>200</v>
      </c>
      <c r="K8" s="252">
        <v>90</v>
      </c>
      <c r="L8" s="252">
        <v>98</v>
      </c>
      <c r="M8" s="252">
        <v>113</v>
      </c>
      <c r="R8" s="253" t="s">
        <v>480</v>
      </c>
      <c r="S8" s="253"/>
      <c r="T8" s="253"/>
    </row>
    <row r="9" spans="1:20">
      <c r="A9" t="s">
        <v>481</v>
      </c>
      <c r="B9" t="s">
        <v>482</v>
      </c>
      <c r="C9">
        <v>96</v>
      </c>
      <c r="D9">
        <v>69</v>
      </c>
      <c r="E9" s="250">
        <v>35</v>
      </c>
      <c r="F9" s="250"/>
      <c r="G9" s="250">
        <v>24</v>
      </c>
      <c r="H9" s="251">
        <v>64</v>
      </c>
      <c r="I9" s="251"/>
      <c r="J9" s="251">
        <v>60</v>
      </c>
      <c r="K9" s="252">
        <v>82</v>
      </c>
      <c r="L9" s="252"/>
      <c r="M9" s="252">
        <v>95</v>
      </c>
      <c r="N9">
        <f>18*0.84/3.6</f>
        <v>4.1999999999999993</v>
      </c>
      <c r="R9" t="s">
        <v>483</v>
      </c>
      <c r="S9">
        <v>5.86</v>
      </c>
      <c r="T9" t="s">
        <v>484</v>
      </c>
    </row>
    <row r="10" spans="1:20">
      <c r="A10" t="s">
        <v>419</v>
      </c>
      <c r="B10" t="s">
        <v>485</v>
      </c>
      <c r="C10">
        <v>9</v>
      </c>
      <c r="D10">
        <v>9.5</v>
      </c>
      <c r="E10" s="250">
        <v>4.5999999999999996</v>
      </c>
      <c r="F10" s="250"/>
      <c r="G10" s="250">
        <v>3.8</v>
      </c>
      <c r="H10" s="251">
        <v>7.9</v>
      </c>
      <c r="I10" s="251"/>
      <c r="J10" s="251">
        <v>6.3</v>
      </c>
      <c r="K10" s="252">
        <v>8.5</v>
      </c>
      <c r="L10" s="252"/>
      <c r="M10" s="252">
        <v>9.1999999999999993</v>
      </c>
      <c r="R10" t="s">
        <v>486</v>
      </c>
      <c r="S10">
        <v>1.0550999999999999</v>
      </c>
      <c r="T10" t="s">
        <v>484</v>
      </c>
    </row>
    <row r="11" spans="1:20">
      <c r="A11" t="s">
        <v>487</v>
      </c>
      <c r="B11" t="s">
        <v>479</v>
      </c>
      <c r="C11">
        <v>113</v>
      </c>
      <c r="D11">
        <v>120</v>
      </c>
      <c r="E11" s="250">
        <v>52</v>
      </c>
      <c r="F11" s="250"/>
      <c r="G11" s="250">
        <v>42</v>
      </c>
      <c r="H11" s="251">
        <v>62</v>
      </c>
      <c r="I11" s="251"/>
      <c r="J11" s="251">
        <v>53</v>
      </c>
      <c r="K11" s="252">
        <v>60</v>
      </c>
      <c r="L11" s="252"/>
      <c r="M11" s="252">
        <v>64</v>
      </c>
      <c r="R11" t="s">
        <v>488</v>
      </c>
      <c r="S11">
        <v>29.31</v>
      </c>
      <c r="T11" t="s">
        <v>484</v>
      </c>
    </row>
    <row r="12" spans="1:20">
      <c r="A12" t="s">
        <v>365</v>
      </c>
      <c r="B12" t="s">
        <v>489</v>
      </c>
      <c r="E12" s="250">
        <v>35</v>
      </c>
      <c r="F12" s="250">
        <v>35</v>
      </c>
      <c r="G12" s="250">
        <v>35</v>
      </c>
      <c r="H12" s="251">
        <v>35</v>
      </c>
      <c r="I12" s="251">
        <v>35</v>
      </c>
      <c r="J12" s="251">
        <v>35</v>
      </c>
      <c r="K12" s="252">
        <v>35</v>
      </c>
      <c r="L12" s="252">
        <v>35</v>
      </c>
      <c r="M12" s="252">
        <v>35</v>
      </c>
      <c r="N12" s="254" t="s">
        <v>490</v>
      </c>
      <c r="R12" t="s">
        <v>491</v>
      </c>
      <c r="S12">
        <v>3.6</v>
      </c>
      <c r="T12" t="s">
        <v>484</v>
      </c>
    </row>
    <row r="13" spans="1:20">
      <c r="A13" t="s">
        <v>492</v>
      </c>
      <c r="B13" t="s">
        <v>493</v>
      </c>
      <c r="D13">
        <v>24</v>
      </c>
      <c r="E13" s="250">
        <v>15</v>
      </c>
      <c r="F13" s="250">
        <v>14</v>
      </c>
      <c r="G13" s="250">
        <v>14</v>
      </c>
      <c r="H13" s="251">
        <v>21</v>
      </c>
      <c r="I13" s="251">
        <v>18</v>
      </c>
      <c r="J13" s="251">
        <v>18</v>
      </c>
      <c r="K13" s="252">
        <v>21</v>
      </c>
      <c r="L13" s="252">
        <v>21</v>
      </c>
      <c r="M13" s="252">
        <v>22</v>
      </c>
      <c r="N13" s="254"/>
      <c r="R13" t="s">
        <v>494</v>
      </c>
      <c r="S13">
        <v>0.27700000000000002</v>
      </c>
      <c r="T13" t="s">
        <v>175</v>
      </c>
    </row>
    <row r="14" spans="1:20">
      <c r="A14" t="s">
        <v>495</v>
      </c>
      <c r="B14" t="s">
        <v>493</v>
      </c>
      <c r="D14">
        <v>78</v>
      </c>
      <c r="E14" s="250">
        <v>40</v>
      </c>
      <c r="F14" s="250">
        <v>34</v>
      </c>
      <c r="G14" s="250">
        <v>31</v>
      </c>
      <c r="H14" s="251">
        <v>44</v>
      </c>
      <c r="I14" s="251">
        <v>38</v>
      </c>
      <c r="J14" s="251">
        <v>35</v>
      </c>
      <c r="K14" s="252">
        <v>48</v>
      </c>
      <c r="L14" s="252">
        <v>42</v>
      </c>
      <c r="M14" s="252">
        <v>39</v>
      </c>
      <c r="N14" s="254"/>
    </row>
    <row r="15" spans="1:20">
      <c r="A15" t="s">
        <v>496</v>
      </c>
      <c r="B15" t="s">
        <v>493</v>
      </c>
      <c r="D15">
        <v>58</v>
      </c>
      <c r="E15" s="250">
        <v>30</v>
      </c>
      <c r="F15" s="250">
        <v>25</v>
      </c>
      <c r="G15" s="250">
        <v>22</v>
      </c>
      <c r="H15" s="251">
        <v>28</v>
      </c>
      <c r="I15" s="251">
        <v>23</v>
      </c>
      <c r="J15" s="251">
        <v>21</v>
      </c>
      <c r="K15" s="252">
        <v>32</v>
      </c>
      <c r="L15" s="252">
        <v>27</v>
      </c>
      <c r="M15" s="252">
        <v>25</v>
      </c>
      <c r="N15" s="254"/>
    </row>
    <row r="17" spans="1:22" ht="14.45" customHeight="1">
      <c r="C17" s="11"/>
      <c r="D17" s="11"/>
      <c r="E17" s="485" t="s">
        <v>475</v>
      </c>
      <c r="F17" s="485"/>
      <c r="G17" s="485"/>
      <c r="H17" s="485" t="s">
        <v>476</v>
      </c>
      <c r="I17" s="485"/>
      <c r="J17" s="485"/>
      <c r="K17" s="485" t="s">
        <v>477</v>
      </c>
      <c r="L17" s="485"/>
      <c r="M17" s="485"/>
    </row>
    <row r="18" spans="1:22">
      <c r="C18" s="11">
        <v>2010</v>
      </c>
      <c r="D18" s="11">
        <v>2021</v>
      </c>
      <c r="E18" s="11">
        <v>2030</v>
      </c>
      <c r="F18" s="11">
        <v>2040</v>
      </c>
      <c r="G18" s="11">
        <v>2050</v>
      </c>
      <c r="H18" s="11">
        <v>2030</v>
      </c>
      <c r="I18" s="11">
        <v>2040</v>
      </c>
      <c r="J18" s="11">
        <v>2050</v>
      </c>
      <c r="K18" s="11">
        <v>2030</v>
      </c>
      <c r="L18" s="11">
        <v>2040</v>
      </c>
      <c r="M18" s="11">
        <v>2050</v>
      </c>
    </row>
    <row r="19" spans="1:22">
      <c r="A19" t="s">
        <v>478</v>
      </c>
      <c r="B19" t="s">
        <v>497</v>
      </c>
      <c r="E19" s="63">
        <f>E8*$C$4</f>
        <v>117.6</v>
      </c>
      <c r="F19" s="63">
        <f t="shared" ref="F19:M19" si="0">F8*$C$4</f>
        <v>172.2</v>
      </c>
      <c r="G19" s="63">
        <f t="shared" si="0"/>
        <v>210</v>
      </c>
      <c r="H19" s="63">
        <f t="shared" si="0"/>
        <v>113.39999999999999</v>
      </c>
      <c r="I19" s="63">
        <f t="shared" si="0"/>
        <v>147</v>
      </c>
      <c r="J19" s="63">
        <f t="shared" si="0"/>
        <v>168</v>
      </c>
      <c r="K19" s="63">
        <f t="shared" si="0"/>
        <v>75.599999999999994</v>
      </c>
      <c r="L19" s="63">
        <f t="shared" si="0"/>
        <v>82.32</v>
      </c>
      <c r="M19" s="63">
        <f t="shared" si="0"/>
        <v>94.92</v>
      </c>
    </row>
    <row r="20" spans="1:22">
      <c r="A20" t="s">
        <v>378</v>
      </c>
      <c r="B20" t="s">
        <v>498</v>
      </c>
      <c r="E20" s="63"/>
      <c r="F20" s="63"/>
      <c r="G20" s="63"/>
      <c r="H20" s="40">
        <f>H9*$C$4/$S$9</f>
        <v>9.1740614334470987</v>
      </c>
      <c r="I20" s="63"/>
      <c r="J20" s="40">
        <f>J9*$C$4/$S$9</f>
        <v>8.6006825938566553</v>
      </c>
      <c r="K20" s="63"/>
      <c r="L20" s="63"/>
      <c r="M20" s="63"/>
    </row>
    <row r="21" spans="1:22">
      <c r="A21" s="255" t="s">
        <v>499</v>
      </c>
      <c r="B21" s="255" t="s">
        <v>498</v>
      </c>
      <c r="C21" s="256">
        <f t="shared" ref="C21:D21" si="1">C9*$C$4/$S$9*1.28</f>
        <v>17.614197952218429</v>
      </c>
      <c r="D21" s="256">
        <f t="shared" si="1"/>
        <v>12.660204778156997</v>
      </c>
      <c r="E21" s="256">
        <f>E9*$C$4/$S$9*1.28</f>
        <v>6.4218430034129685</v>
      </c>
      <c r="F21" s="256"/>
      <c r="G21" s="256">
        <f t="shared" ref="G21:M21" si="2">G9*$C$4/$S$9*1.28</f>
        <v>4.4035494880546073</v>
      </c>
      <c r="H21" s="256">
        <f t="shared" si="2"/>
        <v>11.742798634812287</v>
      </c>
      <c r="I21" s="256"/>
      <c r="J21" s="256">
        <f t="shared" si="2"/>
        <v>11.008873720136519</v>
      </c>
      <c r="K21" s="256">
        <f>K9*$C$4/$S$9*1.28</f>
        <v>15.045460750853239</v>
      </c>
      <c r="L21" s="256"/>
      <c r="M21" s="256">
        <f t="shared" si="2"/>
        <v>17.430716723549487</v>
      </c>
    </row>
    <row r="22" spans="1:22">
      <c r="A22" s="255" t="s">
        <v>500</v>
      </c>
      <c r="B22" s="255" t="s">
        <v>498</v>
      </c>
      <c r="C22" s="256">
        <f>C9*$C$4/$S$9*1.05</f>
        <v>14.449146757679181</v>
      </c>
      <c r="D22" s="256">
        <f>D9*$C$4/$S$9*1.05</f>
        <v>10.385324232081912</v>
      </c>
      <c r="E22" s="256">
        <f>E9*$C$4/$S$9*1.05</f>
        <v>5.2679180887372015</v>
      </c>
      <c r="F22" s="255"/>
      <c r="G22" s="256">
        <f>G9*$C$4/$S$9*1.05</f>
        <v>3.6122866894197951</v>
      </c>
      <c r="H22" s="256">
        <f>H9*$C$4/$S$9*1.05</f>
        <v>9.6327645051194537</v>
      </c>
      <c r="I22" s="255"/>
      <c r="J22" s="256">
        <f>J9*$C$4/$S$9*1.05</f>
        <v>9.0307167235494887</v>
      </c>
      <c r="K22" s="256">
        <f>K9*$C$4/$S$9*1.05</f>
        <v>12.3419795221843</v>
      </c>
      <c r="L22" s="255"/>
      <c r="M22" s="256">
        <f>M9*$C$4/$S$9*1.05</f>
        <v>14.298634812286689</v>
      </c>
    </row>
    <row r="23" spans="1:22">
      <c r="A23" t="s">
        <v>419</v>
      </c>
      <c r="B23" t="s">
        <v>498</v>
      </c>
      <c r="C23" s="40">
        <f t="shared" ref="C23:D23" si="3">C10*$C$4/$S$10</f>
        <v>7.1651976116007958</v>
      </c>
      <c r="D23" s="40">
        <f t="shared" si="3"/>
        <v>7.5632641455786178</v>
      </c>
      <c r="E23" s="40">
        <f>E10*$C$4/$S$10</f>
        <v>3.6622121125959621</v>
      </c>
      <c r="F23" s="40"/>
      <c r="G23" s="40">
        <f t="shared" ref="G23:M23" si="4">G10*$C$4/$S$10</f>
        <v>3.025305658231447</v>
      </c>
      <c r="H23" s="40">
        <f>H10*$C$4/$S$10</f>
        <v>6.2894512368495885</v>
      </c>
      <c r="I23" s="40"/>
      <c r="J23" s="40">
        <f t="shared" si="4"/>
        <v>5.0156383281205574</v>
      </c>
      <c r="K23" s="40">
        <f t="shared" si="4"/>
        <v>6.7671310776229747</v>
      </c>
      <c r="L23" s="40"/>
      <c r="M23" s="40">
        <f t="shared" si="4"/>
        <v>7.3244242251919243</v>
      </c>
    </row>
    <row r="24" spans="1:22">
      <c r="A24" t="s">
        <v>487</v>
      </c>
      <c r="B24" t="s">
        <v>498</v>
      </c>
      <c r="C24" s="40">
        <f t="shared" ref="C24:D24" si="5">C11*$C$4/$S$11</f>
        <v>3.2384851586489254</v>
      </c>
      <c r="D24" s="40">
        <f t="shared" si="5"/>
        <v>3.4390992835209828</v>
      </c>
      <c r="E24" s="40">
        <f>E11*$C$4/$S$11</f>
        <v>1.4902763561924259</v>
      </c>
      <c r="G24" s="40">
        <f t="shared" ref="G24:H24" si="6">G11*$C$4/$S$11</f>
        <v>1.2036847492323439</v>
      </c>
      <c r="H24" s="40">
        <f t="shared" si="6"/>
        <v>1.7768679631525077</v>
      </c>
      <c r="J24" s="40">
        <f t="shared" ref="J24:K24" si="7">J11*$C$4/$S$11</f>
        <v>1.518935516888434</v>
      </c>
      <c r="K24" s="40">
        <f t="shared" si="7"/>
        <v>1.7195496417604914</v>
      </c>
      <c r="M24" s="40">
        <f>M11*$C$4/$S$11</f>
        <v>1.834186284544524</v>
      </c>
      <c r="R24" s="257"/>
      <c r="S24" s="258"/>
      <c r="U24" s="257"/>
      <c r="V24" s="2"/>
    </row>
    <row r="25" spans="1:22">
      <c r="A25" t="s">
        <v>365</v>
      </c>
      <c r="B25" t="s">
        <v>498</v>
      </c>
      <c r="E25" s="256">
        <f>B51*$C$4/$S$12</f>
        <v>1.6808484848484848</v>
      </c>
    </row>
    <row r="26" spans="1:22">
      <c r="A26" t="s">
        <v>492</v>
      </c>
      <c r="B26" t="s">
        <v>498</v>
      </c>
      <c r="E26" s="63">
        <f t="shared" ref="E26:M28" si="8">E13*$C$4</f>
        <v>12.6</v>
      </c>
      <c r="F26" s="63">
        <f t="shared" si="8"/>
        <v>11.76</v>
      </c>
      <c r="G26" s="63">
        <f t="shared" si="8"/>
        <v>11.76</v>
      </c>
      <c r="H26" s="259">
        <f t="shared" si="8"/>
        <v>17.64</v>
      </c>
      <c r="I26" s="259">
        <f t="shared" si="8"/>
        <v>15.12</v>
      </c>
      <c r="J26" s="259">
        <f t="shared" si="8"/>
        <v>15.12</v>
      </c>
      <c r="K26" s="63">
        <f t="shared" si="8"/>
        <v>17.64</v>
      </c>
      <c r="L26" s="63">
        <f t="shared" si="8"/>
        <v>17.64</v>
      </c>
      <c r="M26" s="63">
        <f t="shared" si="8"/>
        <v>18.48</v>
      </c>
    </row>
    <row r="27" spans="1:22" ht="20.25" customHeight="1">
      <c r="A27" t="s">
        <v>495</v>
      </c>
      <c r="B27" t="s">
        <v>498</v>
      </c>
      <c r="E27" s="63">
        <f t="shared" si="8"/>
        <v>33.6</v>
      </c>
      <c r="F27" s="63">
        <f t="shared" si="8"/>
        <v>28.56</v>
      </c>
      <c r="G27" s="63">
        <f t="shared" si="8"/>
        <v>26.04</v>
      </c>
      <c r="H27" s="259">
        <f>H14*$C$4</f>
        <v>36.96</v>
      </c>
      <c r="I27" s="259">
        <f t="shared" si="8"/>
        <v>31.919999999999998</v>
      </c>
      <c r="J27" s="259">
        <f t="shared" si="8"/>
        <v>29.4</v>
      </c>
      <c r="K27" s="63">
        <f t="shared" si="8"/>
        <v>40.32</v>
      </c>
      <c r="L27" s="63">
        <f t="shared" si="8"/>
        <v>35.28</v>
      </c>
      <c r="M27" s="63">
        <f t="shared" si="8"/>
        <v>32.76</v>
      </c>
    </row>
    <row r="28" spans="1:22" ht="18" customHeight="1">
      <c r="A28" t="s">
        <v>496</v>
      </c>
      <c r="B28" t="s">
        <v>498</v>
      </c>
      <c r="E28" s="63">
        <f t="shared" si="8"/>
        <v>25.2</v>
      </c>
      <c r="F28" s="63">
        <f t="shared" si="8"/>
        <v>21</v>
      </c>
      <c r="G28" s="63">
        <f t="shared" si="8"/>
        <v>18.48</v>
      </c>
      <c r="H28" s="259">
        <f t="shared" si="8"/>
        <v>23.52</v>
      </c>
      <c r="I28" s="259">
        <f t="shared" si="8"/>
        <v>19.32</v>
      </c>
      <c r="J28" s="259">
        <f t="shared" si="8"/>
        <v>17.64</v>
      </c>
      <c r="K28" s="63">
        <f t="shared" si="8"/>
        <v>26.88</v>
      </c>
      <c r="L28" s="63">
        <f t="shared" si="8"/>
        <v>22.68</v>
      </c>
      <c r="M28" s="63">
        <f t="shared" si="8"/>
        <v>21</v>
      </c>
    </row>
    <row r="29" spans="1:22">
      <c r="G29" t="s">
        <v>501</v>
      </c>
      <c r="H29">
        <v>0.3</v>
      </c>
      <c r="I29">
        <v>0.45</v>
      </c>
      <c r="J29">
        <v>0.5</v>
      </c>
    </row>
    <row r="30" spans="1:22">
      <c r="G30" t="s">
        <v>502</v>
      </c>
      <c r="H30">
        <f>1-H29</f>
        <v>0.7</v>
      </c>
      <c r="I30">
        <f t="shared" ref="I30:J30" si="9">1-I29</f>
        <v>0.55000000000000004</v>
      </c>
      <c r="J30">
        <f t="shared" si="9"/>
        <v>0.5</v>
      </c>
    </row>
    <row r="31" spans="1:22">
      <c r="G31" t="s">
        <v>503</v>
      </c>
      <c r="H31">
        <f>H27*H29+H28*H30</f>
        <v>27.552</v>
      </c>
      <c r="I31">
        <f t="shared" ref="I31:J31" si="10">I27*I29+I28*I30</f>
        <v>24.990000000000002</v>
      </c>
      <c r="J31">
        <f t="shared" si="10"/>
        <v>23.52</v>
      </c>
    </row>
    <row r="36" spans="1:9">
      <c r="A36" s="4" t="s">
        <v>504</v>
      </c>
    </row>
    <row r="37" spans="1:9" ht="15.75" thickBot="1"/>
    <row r="38" spans="1:9" ht="15.75" thickBot="1">
      <c r="A38" s="260" t="s">
        <v>505</v>
      </c>
      <c r="B38" s="261"/>
      <c r="C38" s="261"/>
      <c r="D38" s="262"/>
      <c r="E38" s="522" t="s">
        <v>427</v>
      </c>
      <c r="F38" s="523"/>
      <c r="G38" s="523"/>
      <c r="H38" s="523"/>
      <c r="I38" s="263"/>
    </row>
    <row r="39" spans="1:9" ht="65.25" thickBot="1">
      <c r="A39" s="264" t="s">
        <v>176</v>
      </c>
      <c r="B39" s="265" t="s">
        <v>365</v>
      </c>
      <c r="C39" s="265" t="s">
        <v>506</v>
      </c>
      <c r="D39" s="265" t="s">
        <v>507</v>
      </c>
      <c r="E39" s="265" t="s">
        <v>508</v>
      </c>
      <c r="F39" s="265" t="s">
        <v>365</v>
      </c>
      <c r="G39" s="265" t="s">
        <v>506</v>
      </c>
      <c r="H39" s="265" t="s">
        <v>507</v>
      </c>
      <c r="I39" s="265" t="s">
        <v>508</v>
      </c>
    </row>
    <row r="40" spans="1:9" ht="16.5" thickTop="1" thickBot="1">
      <c r="A40" s="266">
        <v>2011</v>
      </c>
      <c r="B40" s="267">
        <v>7.01</v>
      </c>
      <c r="C40" s="268">
        <v>27.08</v>
      </c>
      <c r="D40" s="268" t="s">
        <v>509</v>
      </c>
      <c r="E40" s="268">
        <v>38.799999999999997</v>
      </c>
      <c r="F40" s="268">
        <v>24.7</v>
      </c>
      <c r="G40" s="268">
        <v>35.090000000000003</v>
      </c>
      <c r="H40" s="268">
        <v>8.8800000000000008</v>
      </c>
      <c r="I40" s="268">
        <v>44.54</v>
      </c>
    </row>
    <row r="41" spans="1:9" ht="15.75" thickBot="1">
      <c r="A41" s="269">
        <v>2012</v>
      </c>
      <c r="B41" s="270">
        <v>7.61</v>
      </c>
      <c r="C41" s="271">
        <v>28.34</v>
      </c>
      <c r="D41" s="271" t="s">
        <v>509</v>
      </c>
      <c r="E41" s="271">
        <v>30.45</v>
      </c>
      <c r="F41" s="271">
        <v>27.42</v>
      </c>
      <c r="G41" s="271">
        <v>37.200000000000003</v>
      </c>
      <c r="H41" s="271">
        <v>11.34</v>
      </c>
      <c r="I41" s="271">
        <v>35.67</v>
      </c>
    </row>
    <row r="42" spans="1:9" ht="15.75" thickBot="1">
      <c r="A42" s="269">
        <v>2013</v>
      </c>
      <c r="B42" s="270">
        <v>8.14</v>
      </c>
      <c r="C42" s="271">
        <v>28.94</v>
      </c>
      <c r="D42" s="271" t="s">
        <v>509</v>
      </c>
      <c r="E42" s="271">
        <v>32.56</v>
      </c>
      <c r="F42" s="271">
        <v>27.29</v>
      </c>
      <c r="G42" s="271">
        <v>37.92</v>
      </c>
      <c r="H42" s="271">
        <v>10.88</v>
      </c>
      <c r="I42" s="271">
        <v>37.92</v>
      </c>
    </row>
    <row r="43" spans="1:9" ht="15.75" thickBot="1">
      <c r="A43" s="269">
        <v>2014</v>
      </c>
      <c r="B43" s="270">
        <v>7.71</v>
      </c>
      <c r="C43" s="271">
        <v>29.39</v>
      </c>
      <c r="D43" s="271" t="s">
        <v>509</v>
      </c>
      <c r="E43" s="271">
        <v>37.06</v>
      </c>
      <c r="F43" s="271">
        <v>26.79</v>
      </c>
      <c r="G43" s="271">
        <v>39.04</v>
      </c>
      <c r="H43" s="271">
        <v>11.9</v>
      </c>
      <c r="I43" s="271">
        <v>42.6</v>
      </c>
    </row>
    <row r="44" spans="1:9" ht="15.75" thickBot="1">
      <c r="A44" s="269">
        <v>2015</v>
      </c>
      <c r="B44" s="270">
        <v>7.48</v>
      </c>
      <c r="C44" s="271">
        <v>26.7</v>
      </c>
      <c r="D44" s="271" t="s">
        <v>509</v>
      </c>
      <c r="E44" s="271">
        <v>28.22</v>
      </c>
      <c r="F44" s="271">
        <v>25.71</v>
      </c>
      <c r="G44" s="271">
        <v>37.26</v>
      </c>
      <c r="H44" s="271">
        <v>13.42</v>
      </c>
      <c r="I44" s="271">
        <v>33.24</v>
      </c>
    </row>
    <row r="45" spans="1:9" ht="15.75" thickBot="1">
      <c r="A45" s="269">
        <v>2016</v>
      </c>
      <c r="B45" s="270">
        <v>7.45</v>
      </c>
      <c r="C45" s="271">
        <v>25.5</v>
      </c>
      <c r="D45" s="271" t="s">
        <v>509</v>
      </c>
      <c r="E45" s="271">
        <v>24.97</v>
      </c>
      <c r="F45" s="271">
        <v>25.36</v>
      </c>
      <c r="G45" s="271">
        <v>36.08</v>
      </c>
      <c r="H45" s="271">
        <v>10.98</v>
      </c>
      <c r="I45" s="271">
        <v>30.19</v>
      </c>
    </row>
    <row r="46" spans="1:9" ht="15.75" thickBot="1">
      <c r="A46" s="269">
        <v>2017</v>
      </c>
      <c r="B46" s="270">
        <v>7.47</v>
      </c>
      <c r="C46" s="271">
        <v>25.27</v>
      </c>
      <c r="D46" s="271" t="s">
        <v>509</v>
      </c>
      <c r="E46" s="271">
        <v>26.48</v>
      </c>
      <c r="F46" s="271">
        <v>24.38</v>
      </c>
      <c r="G46" s="271">
        <v>35.409999999999997</v>
      </c>
      <c r="H46" s="271">
        <v>10.29</v>
      </c>
      <c r="I46" s="271">
        <v>31.76</v>
      </c>
    </row>
    <row r="47" spans="1:9" ht="15.75" thickBot="1">
      <c r="A47" s="269">
        <v>2018</v>
      </c>
      <c r="B47" s="270">
        <v>7.15</v>
      </c>
      <c r="C47" s="271">
        <v>25.4</v>
      </c>
      <c r="D47" s="271" t="s">
        <v>509</v>
      </c>
      <c r="E47" s="271">
        <v>27.35</v>
      </c>
      <c r="F47" s="271">
        <v>23.86</v>
      </c>
      <c r="G47" s="271">
        <v>35.86</v>
      </c>
      <c r="H47" s="271">
        <v>10.65</v>
      </c>
      <c r="I47" s="271">
        <v>32.43</v>
      </c>
    </row>
    <row r="48" spans="1:9" ht="15.75" thickBot="1">
      <c r="A48" s="269">
        <v>2019</v>
      </c>
      <c r="B48" s="270">
        <v>6.81</v>
      </c>
      <c r="C48" s="271">
        <v>24.28</v>
      </c>
      <c r="D48" s="271" t="s">
        <v>509</v>
      </c>
      <c r="E48" s="271">
        <v>23.11</v>
      </c>
      <c r="F48" s="271">
        <v>23.73</v>
      </c>
      <c r="G48" s="271">
        <v>36.659999999999997</v>
      </c>
      <c r="H48" s="271">
        <v>10.8</v>
      </c>
      <c r="I48" s="271">
        <v>28.33</v>
      </c>
    </row>
    <row r="49" spans="1:9" ht="15.75" thickBot="1">
      <c r="A49" s="269">
        <v>2020</v>
      </c>
      <c r="B49" s="270">
        <v>6.1</v>
      </c>
      <c r="C49" s="271">
        <v>22.87</v>
      </c>
      <c r="D49" s="271" t="s">
        <v>509</v>
      </c>
      <c r="E49" s="271">
        <v>19.649999999999999</v>
      </c>
      <c r="F49" s="271">
        <v>21.92</v>
      </c>
      <c r="G49" s="271">
        <v>34.86</v>
      </c>
      <c r="H49" s="271">
        <v>12.71</v>
      </c>
      <c r="I49" s="271">
        <v>24.55</v>
      </c>
    </row>
    <row r="50" spans="1:9" ht="15.75" thickBot="1">
      <c r="A50" s="272">
        <v>2021</v>
      </c>
      <c r="B50" s="273">
        <v>6.31</v>
      </c>
      <c r="C50" s="274">
        <v>24.64</v>
      </c>
      <c r="D50" s="274" t="s">
        <v>509</v>
      </c>
      <c r="E50" s="274">
        <v>25.78</v>
      </c>
      <c r="F50" s="274">
        <v>22.74</v>
      </c>
      <c r="G50" s="274">
        <v>35.659999999999997</v>
      </c>
      <c r="H50" s="274">
        <v>12.3</v>
      </c>
      <c r="I50" s="274">
        <v>30.18</v>
      </c>
    </row>
    <row r="51" spans="1:9">
      <c r="B51" s="194">
        <f>AVERAGE(B40:B50)</f>
        <v>7.2036363636363632</v>
      </c>
    </row>
    <row r="62" spans="1:9">
      <c r="A62" s="246" t="s">
        <v>468</v>
      </c>
    </row>
    <row r="83" spans="1:21">
      <c r="B83" t="s">
        <v>473</v>
      </c>
      <c r="C83">
        <v>0.89</v>
      </c>
      <c r="D83" t="s">
        <v>510</v>
      </c>
    </row>
    <row r="85" spans="1:21" hidden="1">
      <c r="C85" s="11"/>
      <c r="D85" s="11"/>
      <c r="E85" s="519" t="s">
        <v>511</v>
      </c>
      <c r="F85" s="519"/>
      <c r="G85" s="519"/>
      <c r="H85" s="520" t="s">
        <v>512</v>
      </c>
      <c r="I85" s="520"/>
      <c r="J85" s="520"/>
      <c r="K85" s="521" t="s">
        <v>477</v>
      </c>
      <c r="L85" s="521"/>
      <c r="M85" s="521"/>
    </row>
    <row r="86" spans="1:21" hidden="1">
      <c r="C86" s="11"/>
      <c r="D86" s="11"/>
      <c r="E86" s="247">
        <v>2025</v>
      </c>
      <c r="F86" s="247">
        <v>2040</v>
      </c>
      <c r="G86" s="247"/>
      <c r="H86" s="248">
        <v>2025</v>
      </c>
      <c r="I86" s="248">
        <v>2040</v>
      </c>
      <c r="J86" s="248"/>
      <c r="K86" s="249">
        <v>2030</v>
      </c>
      <c r="L86" s="249">
        <v>2040</v>
      </c>
      <c r="M86" s="249"/>
    </row>
    <row r="87" spans="1:21" hidden="1">
      <c r="A87" t="s">
        <v>478</v>
      </c>
      <c r="B87" t="s">
        <v>479</v>
      </c>
      <c r="E87" s="250"/>
      <c r="F87" s="250"/>
      <c r="G87" s="250"/>
      <c r="H87" s="251"/>
      <c r="I87" s="251">
        <v>140</v>
      </c>
      <c r="J87" s="251"/>
      <c r="K87" s="252"/>
      <c r="L87" s="252">
        <v>52</v>
      </c>
      <c r="M87" s="252"/>
      <c r="R87" t="s">
        <v>483</v>
      </c>
      <c r="S87">
        <v>5.86</v>
      </c>
      <c r="T87" t="s">
        <v>484</v>
      </c>
    </row>
    <row r="88" spans="1:21" hidden="1">
      <c r="A88" t="s">
        <v>481</v>
      </c>
      <c r="B88" t="s">
        <v>482</v>
      </c>
      <c r="E88" s="250">
        <v>59</v>
      </c>
      <c r="F88" s="250">
        <v>72</v>
      </c>
      <c r="G88" s="250"/>
      <c r="H88" s="251">
        <v>57</v>
      </c>
      <c r="I88" s="251">
        <v>53</v>
      </c>
      <c r="J88" s="251"/>
      <c r="K88" s="252">
        <v>76</v>
      </c>
      <c r="L88" s="252">
        <v>85</v>
      </c>
      <c r="M88" s="252"/>
      <c r="R88" t="s">
        <v>486</v>
      </c>
      <c r="S88">
        <v>1.0550999999999999</v>
      </c>
      <c r="T88" t="s">
        <v>484</v>
      </c>
      <c r="U88" t="s">
        <v>513</v>
      </c>
    </row>
    <row r="89" spans="1:21" hidden="1">
      <c r="A89" t="s">
        <v>419</v>
      </c>
      <c r="B89" t="s">
        <v>485</v>
      </c>
      <c r="E89" s="250">
        <v>6.3</v>
      </c>
      <c r="F89" s="250">
        <v>7.6</v>
      </c>
      <c r="G89" s="250"/>
      <c r="H89" s="251">
        <v>4.8</v>
      </c>
      <c r="I89" s="251">
        <v>4.9000000000000004</v>
      </c>
      <c r="J89" s="251"/>
      <c r="K89" s="252">
        <v>7.5</v>
      </c>
      <c r="L89" s="252">
        <v>7.9</v>
      </c>
      <c r="M89" s="252"/>
      <c r="R89" t="s">
        <v>488</v>
      </c>
      <c r="S89">
        <v>29.31</v>
      </c>
      <c r="T89" t="s">
        <v>484</v>
      </c>
    </row>
    <row r="90" spans="1:21" hidden="1">
      <c r="A90" t="s">
        <v>487</v>
      </c>
      <c r="B90" t="s">
        <v>479</v>
      </c>
      <c r="E90" s="250">
        <v>60</v>
      </c>
      <c r="F90" s="250">
        <v>64</v>
      </c>
      <c r="G90" s="250"/>
      <c r="H90" s="251">
        <v>57</v>
      </c>
      <c r="I90" s="251">
        <v>55</v>
      </c>
      <c r="J90" s="251"/>
      <c r="K90" s="252">
        <v>71</v>
      </c>
      <c r="L90" s="252">
        <v>69</v>
      </c>
      <c r="M90" s="252"/>
      <c r="R90" t="s">
        <v>491</v>
      </c>
      <c r="S90">
        <v>3.6</v>
      </c>
      <c r="T90" t="s">
        <v>484</v>
      </c>
    </row>
    <row r="91" spans="1:21" hidden="1">
      <c r="A91" s="254"/>
      <c r="B91" s="254"/>
      <c r="C91" s="254"/>
      <c r="D91" s="254"/>
      <c r="E91" s="254"/>
      <c r="F91" s="254"/>
      <c r="G91" s="254"/>
      <c r="H91" s="254"/>
      <c r="I91" s="254"/>
      <c r="J91" s="254"/>
      <c r="K91" s="254"/>
      <c r="L91" s="254"/>
      <c r="M91" s="254"/>
      <c r="N91" s="254"/>
    </row>
    <row r="92" spans="1:21" hidden="1"/>
    <row r="93" spans="1:21" hidden="1">
      <c r="C93" s="11"/>
      <c r="D93" s="11"/>
      <c r="E93" s="485" t="s">
        <v>511</v>
      </c>
      <c r="F93" s="485"/>
      <c r="G93" s="485"/>
      <c r="H93" s="485" t="s">
        <v>512</v>
      </c>
      <c r="I93" s="485"/>
      <c r="J93" s="485"/>
      <c r="K93" s="485" t="s">
        <v>477</v>
      </c>
      <c r="L93" s="485"/>
      <c r="M93" s="485"/>
    </row>
    <row r="94" spans="1:21" hidden="1">
      <c r="C94" s="11"/>
      <c r="D94" s="11"/>
      <c r="E94" s="11">
        <v>2030</v>
      </c>
      <c r="F94" s="11">
        <v>2040</v>
      </c>
      <c r="G94" s="11">
        <v>2050</v>
      </c>
      <c r="H94" s="11">
        <v>2030</v>
      </c>
      <c r="I94" s="11">
        <v>2040</v>
      </c>
      <c r="J94" s="11">
        <v>2050</v>
      </c>
      <c r="K94" s="11">
        <v>2030</v>
      </c>
      <c r="L94" s="11">
        <v>2040</v>
      </c>
      <c r="M94" s="11">
        <v>2050</v>
      </c>
    </row>
    <row r="95" spans="1:21" hidden="1">
      <c r="A95" t="s">
        <v>478</v>
      </c>
      <c r="B95" t="s">
        <v>497</v>
      </c>
      <c r="E95" s="63"/>
      <c r="F95" s="63"/>
      <c r="G95" s="63"/>
      <c r="H95" s="63"/>
      <c r="I95" s="63">
        <f>I87*$C$83</f>
        <v>124.60000000000001</v>
      </c>
      <c r="J95" s="63"/>
      <c r="K95" s="63"/>
      <c r="L95" s="63">
        <f>L87*$C$83</f>
        <v>46.28</v>
      </c>
      <c r="M95" s="63"/>
    </row>
    <row r="96" spans="1:21" hidden="1">
      <c r="A96" t="s">
        <v>499</v>
      </c>
      <c r="B96" t="s">
        <v>498</v>
      </c>
      <c r="C96" s="40"/>
      <c r="D96" s="40"/>
      <c r="E96" s="40">
        <f>E88*$C$83/$S$9*1.28</f>
        <v>11.46976109215017</v>
      </c>
      <c r="F96" s="40">
        <f>F88*$C$83/$S$9*1.28</f>
        <v>13.996996587030715</v>
      </c>
      <c r="G96" s="40"/>
      <c r="H96" s="40">
        <f>H88*$C$83/$S$9*1.28</f>
        <v>11.080955631399318</v>
      </c>
      <c r="I96" s="40">
        <f>I88*$C$83/$S$9*1.28</f>
        <v>10.30334470989761</v>
      </c>
      <c r="J96" s="40"/>
      <c r="K96" s="40">
        <f>K88*$C$83/$S$9*1.28</f>
        <v>14.774607508532423</v>
      </c>
      <c r="L96" s="40">
        <f>L88*$C$83/$S$9*1.28</f>
        <v>16.524232081911265</v>
      </c>
      <c r="M96" s="40"/>
    </row>
    <row r="97" spans="1:22" hidden="1">
      <c r="A97" t="s">
        <v>500</v>
      </c>
      <c r="B97" t="s">
        <v>498</v>
      </c>
      <c r="C97" s="40"/>
      <c r="D97" s="40"/>
      <c r="E97" s="40">
        <f>E88*$C$83/$S$9*1.05</f>
        <v>9.4087883959044376</v>
      </c>
      <c r="F97" s="40">
        <f>F88*$C$83/$S$9*1.05</f>
        <v>11.481911262798633</v>
      </c>
      <c r="G97" s="40"/>
      <c r="H97" s="40">
        <f>H88*$C$83/$S$9*1.05</f>
        <v>9.0898464163822528</v>
      </c>
      <c r="I97" s="40">
        <f>I88*$C$83/$S$9*1.05</f>
        <v>8.4519624573378831</v>
      </c>
      <c r="J97" s="40"/>
      <c r="K97" s="40">
        <f>K88*$C$83/$S$9*1.05</f>
        <v>12.119795221843003</v>
      </c>
      <c r="L97" s="40">
        <f>L88*$C$83/$S$9*1.05</f>
        <v>13.555034129692833</v>
      </c>
      <c r="M97" s="40"/>
    </row>
    <row r="98" spans="1:22" hidden="1">
      <c r="A98" t="s">
        <v>419</v>
      </c>
      <c r="B98" t="s">
        <v>498</v>
      </c>
      <c r="C98" s="40"/>
      <c r="D98" s="40"/>
      <c r="E98" s="40">
        <f>E89*$C$83/$S$10</f>
        <v>5.3141882286039239</v>
      </c>
      <c r="F98" s="40">
        <f>F89*$C$83/$S$10</f>
        <v>6.410766751966638</v>
      </c>
      <c r="G98" s="40"/>
      <c r="H98" s="40">
        <f>H89*$C$83/$S$10</f>
        <v>4.0489053170315614</v>
      </c>
      <c r="I98" s="40">
        <f>I89*$C$83/$S$10</f>
        <v>4.1332575111363861</v>
      </c>
      <c r="J98" s="40"/>
      <c r="K98" s="40">
        <f>K89*$C$83/$S$10</f>
        <v>6.3264145578618143</v>
      </c>
      <c r="L98" s="40">
        <f>L89*$C$83/$S$10</f>
        <v>6.663823334281112</v>
      </c>
      <c r="M98" s="40"/>
    </row>
    <row r="99" spans="1:22" hidden="1">
      <c r="A99" t="s">
        <v>487</v>
      </c>
      <c r="B99" t="s">
        <v>498</v>
      </c>
      <c r="C99" s="40"/>
      <c r="D99" s="40"/>
      <c r="E99" s="40">
        <f>E90*$C$83/$S$11</f>
        <v>1.8219037871033776</v>
      </c>
      <c r="F99" s="40">
        <f>F90*$C$83/$S$11</f>
        <v>1.9433640395769363</v>
      </c>
      <c r="G99" s="40"/>
      <c r="H99" s="40">
        <f>H90*$C$83/$S$11</f>
        <v>1.7308085977482091</v>
      </c>
      <c r="I99" s="40">
        <f>I90*$C$83/$S$11</f>
        <v>1.6700784715114296</v>
      </c>
      <c r="J99" s="40"/>
      <c r="K99" s="40">
        <f>K90*$C$83/$S$11</f>
        <v>2.1559194814056637</v>
      </c>
      <c r="L99" s="40">
        <f>L90*$C$83/$S$11</f>
        <v>2.0951893551688845</v>
      </c>
      <c r="M99" s="40"/>
      <c r="R99" s="257"/>
      <c r="S99" s="258"/>
      <c r="U99" s="257"/>
      <c r="V99" s="2"/>
    </row>
    <row r="100" spans="1:22">
      <c r="E100" s="40"/>
    </row>
  </sheetData>
  <mergeCells count="13">
    <mergeCell ref="E38:H38"/>
    <mergeCell ref="E85:G85"/>
    <mergeCell ref="H85:J85"/>
    <mergeCell ref="K85:M85"/>
    <mergeCell ref="E93:G93"/>
    <mergeCell ref="H93:J93"/>
    <mergeCell ref="K93:M93"/>
    <mergeCell ref="E6:G6"/>
    <mergeCell ref="H6:J6"/>
    <mergeCell ref="K6:M6"/>
    <mergeCell ref="E17:G17"/>
    <mergeCell ref="H17:J17"/>
    <mergeCell ref="K17:M17"/>
  </mergeCells>
  <hyperlinks>
    <hyperlink ref="A36" r:id="rId1" xr:uid="{A717F6ED-0B1F-4019-ABB4-8C78EDA5133C}"/>
  </hyperlinks>
  <pageMargins left="0.7" right="0.7" top="0.75" bottom="0.75" header="0.3" footer="0.3"/>
  <headerFooter>
    <oddFooter>&amp;C_x000D_&amp;1#&amp;"Calibri"&amp;10&amp;K000000 ISC - Uso INTERNO / INTERNAL Use</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19952-2022-4149-BE5C-152C7A120B77}">
  <sheetPr>
    <tabColor theme="7"/>
  </sheetPr>
  <dimension ref="B1:R42"/>
  <sheetViews>
    <sheetView showGridLines="0" zoomScale="85" zoomScaleNormal="85" workbookViewId="0">
      <selection activeCell="B34" sqref="B34"/>
    </sheetView>
  </sheetViews>
  <sheetFormatPr defaultRowHeight="15"/>
  <cols>
    <col min="2" max="2" width="79" bestFit="1" customWidth="1"/>
    <col min="3" max="3" width="22.28515625" bestFit="1" customWidth="1"/>
    <col min="8" max="8" width="58.5703125" customWidth="1"/>
    <col min="9" max="9" width="4.85546875" customWidth="1"/>
    <col min="17" max="17" width="7.7109375" bestFit="1" customWidth="1"/>
    <col min="18" max="18" width="10.42578125" bestFit="1" customWidth="1"/>
  </cols>
  <sheetData>
    <row r="1" spans="2:12" ht="23.25">
      <c r="B1" s="441" t="s">
        <v>514</v>
      </c>
    </row>
    <row r="3" spans="2:12">
      <c r="B3" s="170" t="s">
        <v>515</v>
      </c>
      <c r="C3" s="275"/>
      <c r="D3" s="275"/>
      <c r="E3" s="275"/>
      <c r="G3" s="277" t="s">
        <v>516</v>
      </c>
      <c r="H3" s="277"/>
      <c r="I3" s="277">
        <v>2050</v>
      </c>
    </row>
    <row r="4" spans="2:12">
      <c r="B4" s="276" t="s">
        <v>176</v>
      </c>
      <c r="C4" s="276">
        <v>2020</v>
      </c>
      <c r="D4" s="276">
        <v>2030</v>
      </c>
      <c r="E4" s="276">
        <v>2050</v>
      </c>
      <c r="G4" t="s">
        <v>517</v>
      </c>
      <c r="I4" s="279">
        <f>C62</f>
        <v>0</v>
      </c>
    </row>
    <row r="5" spans="2:12">
      <c r="B5" s="234" t="s">
        <v>518</v>
      </c>
      <c r="C5" s="278">
        <f>'3.6.'!T34</f>
        <v>69.796073902038714</v>
      </c>
      <c r="D5" s="278">
        <f>'3.6.'!U34</f>
        <v>68.177836555505465</v>
      </c>
      <c r="E5" s="278">
        <f>'3.6.'!V34</f>
        <v>66.179358583734938</v>
      </c>
      <c r="G5" s="237" t="s">
        <v>519</v>
      </c>
      <c r="H5" s="237"/>
      <c r="I5" s="281">
        <f>C63</f>
        <v>0</v>
      </c>
    </row>
    <row r="6" spans="2:12">
      <c r="B6" s="237" t="s">
        <v>520</v>
      </c>
      <c r="C6" s="280">
        <f>'3.7.'!T20</f>
        <v>82.615893632440645</v>
      </c>
      <c r="D6" s="280">
        <f>'3.7.'!U20</f>
        <v>61.338796600960819</v>
      </c>
      <c r="E6" s="280">
        <f>'3.7.'!V20</f>
        <v>56.056034721396358</v>
      </c>
    </row>
    <row r="8" spans="2:12">
      <c r="B8" s="282" t="s">
        <v>521</v>
      </c>
      <c r="C8" s="282">
        <v>2030</v>
      </c>
      <c r="D8" s="282">
        <v>2050</v>
      </c>
    </row>
    <row r="9" spans="2:12">
      <c r="B9" t="s">
        <v>522</v>
      </c>
      <c r="C9">
        <v>420</v>
      </c>
      <c r="D9">
        <v>1001</v>
      </c>
    </row>
    <row r="10" spans="2:12">
      <c r="B10" s="237" t="s">
        <v>523</v>
      </c>
      <c r="C10" s="237">
        <v>32</v>
      </c>
      <c r="D10" s="237">
        <v>653</v>
      </c>
      <c r="H10" s="283" t="str">
        <f>B3</f>
        <v>Overview biomethane costs (€/MWh) including feedstock</v>
      </c>
      <c r="I10" s="284"/>
      <c r="J10" s="284"/>
      <c r="K10" s="284"/>
      <c r="L10" s="284"/>
    </row>
    <row r="11" spans="2:12">
      <c r="B11" t="s">
        <v>427</v>
      </c>
      <c r="C11">
        <f>C10+C9</f>
        <v>452</v>
      </c>
      <c r="D11">
        <f>D10+D9</f>
        <v>1654</v>
      </c>
      <c r="H11" t="str">
        <f>B4</f>
        <v>Year</v>
      </c>
      <c r="J11">
        <f t="shared" ref="J11:L13" si="0">C4</f>
        <v>2020</v>
      </c>
      <c r="K11">
        <f t="shared" si="0"/>
        <v>2030</v>
      </c>
      <c r="L11">
        <f t="shared" si="0"/>
        <v>2050</v>
      </c>
    </row>
    <row r="12" spans="2:12">
      <c r="H12" s="234" t="str">
        <f>B5</f>
        <v>biomethane - Anaerobic digestion including upgrade and injection</v>
      </c>
      <c r="I12" s="278"/>
      <c r="J12" s="278">
        <f t="shared" si="0"/>
        <v>69.796073902038714</v>
      </c>
      <c r="K12" s="278">
        <f t="shared" si="0"/>
        <v>68.177836555505465</v>
      </c>
      <c r="L12" s="278">
        <f t="shared" si="0"/>
        <v>66.179358583734938</v>
      </c>
    </row>
    <row r="13" spans="2:12">
      <c r="B13" s="285" t="s">
        <v>524</v>
      </c>
      <c r="C13" s="285">
        <v>2030</v>
      </c>
      <c r="D13" s="285">
        <v>2050</v>
      </c>
      <c r="H13" s="237" t="str">
        <f>B6</f>
        <v>SNG - Thermal gasification</v>
      </c>
      <c r="I13" s="280"/>
      <c r="J13" s="280">
        <f t="shared" si="0"/>
        <v>82.615893632440645</v>
      </c>
      <c r="K13" s="280">
        <f t="shared" si="0"/>
        <v>61.338796600960819</v>
      </c>
      <c r="L13" s="280">
        <f t="shared" si="0"/>
        <v>56.056034721396358</v>
      </c>
    </row>
    <row r="14" spans="2:12">
      <c r="B14" t="s">
        <v>525</v>
      </c>
      <c r="C14" s="286">
        <f>C9/($C$9+$C$10)</f>
        <v>0.92920353982300885</v>
      </c>
      <c r="D14" s="286">
        <f>D9/($D$9+$D$10)</f>
        <v>0.60519951632406288</v>
      </c>
      <c r="H14" t="s">
        <v>526</v>
      </c>
    </row>
    <row r="15" spans="2:12">
      <c r="B15" s="237" t="s">
        <v>527</v>
      </c>
      <c r="C15" s="287">
        <f>C10/($C$9+$C$10)</f>
        <v>7.0796460176991149E-2</v>
      </c>
      <c r="D15" s="287">
        <f>D10/($D$9+$D$10)</f>
        <v>0.39480048367593712</v>
      </c>
    </row>
    <row r="16" spans="2:12">
      <c r="B16" t="s">
        <v>528</v>
      </c>
    </row>
    <row r="21" spans="2:18">
      <c r="B21" s="288" t="s">
        <v>529</v>
      </c>
      <c r="C21" s="288">
        <f>C4</f>
        <v>2020</v>
      </c>
      <c r="D21" s="288">
        <f>D4</f>
        <v>2030</v>
      </c>
      <c r="E21" s="288">
        <f>E4</f>
        <v>2050</v>
      </c>
    </row>
    <row r="22" spans="2:18" ht="15.75" thickBot="1">
      <c r="B22" s="289"/>
      <c r="C22" s="290">
        <f>C5</f>
        <v>69.796073902038714</v>
      </c>
      <c r="D22" s="290">
        <f>D5*C14+D6*C15</f>
        <v>67.693656735714697</v>
      </c>
      <c r="E22" s="290">
        <f>E5*D14+E6*D15</f>
        <v>62.182665426475509</v>
      </c>
    </row>
    <row r="23" spans="2:18" ht="15.75" thickTop="1">
      <c r="B23" t="s">
        <v>530</v>
      </c>
      <c r="R23" s="291"/>
    </row>
    <row r="25" spans="2:18">
      <c r="B25" s="288" t="s">
        <v>531</v>
      </c>
      <c r="C25" s="288">
        <f>C21</f>
        <v>2020</v>
      </c>
      <c r="D25" s="288">
        <f t="shared" ref="D25:E25" si="1">D21</f>
        <v>2030</v>
      </c>
      <c r="E25" s="288">
        <f t="shared" si="1"/>
        <v>2050</v>
      </c>
    </row>
    <row r="26" spans="2:18" ht="15.75" thickBot="1">
      <c r="B26" s="289"/>
      <c r="C26" s="290">
        <f>C22/3.6</f>
        <v>19.387798306121866</v>
      </c>
      <c r="D26" s="290">
        <f t="shared" ref="D26:E26" si="2">D22/3.6</f>
        <v>18.803793537698528</v>
      </c>
      <c r="E26" s="290">
        <f t="shared" si="2"/>
        <v>17.272962618465417</v>
      </c>
    </row>
    <row r="27" spans="2:18" ht="15.75" thickTop="1">
      <c r="B27" t="s">
        <v>530</v>
      </c>
    </row>
    <row r="34" spans="2:2">
      <c r="B34" s="297"/>
    </row>
    <row r="35" spans="2:2">
      <c r="B35" s="297"/>
    </row>
    <row r="36" spans="2:2">
      <c r="B36" s="297"/>
    </row>
    <row r="37" spans="2:2">
      <c r="B37" s="297"/>
    </row>
    <row r="38" spans="2:2">
      <c r="B38" s="297"/>
    </row>
    <row r="39" spans="2:2">
      <c r="B39" s="297"/>
    </row>
    <row r="40" spans="2:2">
      <c r="B40" s="297"/>
    </row>
    <row r="41" spans="2:2">
      <c r="B41" s="297"/>
    </row>
    <row r="42" spans="2:2">
      <c r="B42" s="297"/>
    </row>
  </sheetData>
  <pageMargins left="0.7" right="0.7" top="0.75" bottom="0.75" header="0.3" footer="0.3"/>
  <pageSetup paperSize="9" orientation="portrait" r:id="rId1"/>
  <headerFooter>
    <oddFooter>&amp;C_x000D_&amp;1#&amp;"Calibri"&amp;10&amp;K000000 ISC - Uso INTERNO / INTERNAL Use</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5FAD0-9C9D-4C5E-A561-44661C357B87}">
  <sheetPr>
    <tabColor theme="7"/>
  </sheetPr>
  <dimension ref="A1:V75"/>
  <sheetViews>
    <sheetView zoomScale="85" zoomScaleNormal="85" workbookViewId="0">
      <selection activeCell="A50" sqref="A50:K50"/>
    </sheetView>
  </sheetViews>
  <sheetFormatPr defaultRowHeight="15"/>
  <cols>
    <col min="2" max="2" width="45.7109375" bestFit="1" customWidth="1"/>
    <col min="3" max="3" width="12.28515625" customWidth="1"/>
    <col min="4" max="4" width="12" bestFit="1" customWidth="1"/>
    <col min="5" max="5" width="11" bestFit="1" customWidth="1"/>
    <col min="6" max="10" width="12" bestFit="1" customWidth="1"/>
    <col min="11" max="11" width="5.42578125" bestFit="1" customWidth="1"/>
    <col min="12" max="12" width="4.85546875" bestFit="1" customWidth="1"/>
    <col min="15" max="15" width="42.5703125" bestFit="1" customWidth="1"/>
    <col min="16" max="16" width="12" bestFit="1" customWidth="1"/>
    <col min="17" max="17" width="25.28515625" bestFit="1" customWidth="1"/>
    <col min="18" max="18" width="18" customWidth="1"/>
    <col min="19" max="19" width="57.140625" bestFit="1" customWidth="1"/>
    <col min="20" max="22" width="11.5703125" bestFit="1" customWidth="1"/>
    <col min="26" max="26" width="12" bestFit="1" customWidth="1"/>
    <col min="30" max="30" width="12.7109375" bestFit="1" customWidth="1"/>
    <col min="31" max="31" width="4.85546875" bestFit="1" customWidth="1"/>
  </cols>
  <sheetData>
    <row r="1" spans="1:22">
      <c r="B1" t="s">
        <v>532</v>
      </c>
    </row>
    <row r="3" spans="1:22" ht="23.25">
      <c r="B3" s="441" t="s">
        <v>533</v>
      </c>
    </row>
    <row r="5" spans="1:22" ht="15.75" thickBot="1">
      <c r="B5" s="302" t="s">
        <v>534</v>
      </c>
      <c r="C5" s="303"/>
      <c r="D5" s="303"/>
      <c r="E5" s="303"/>
      <c r="F5" s="303"/>
      <c r="G5" s="303"/>
      <c r="H5" s="303"/>
      <c r="I5" s="303"/>
      <c r="J5" s="303"/>
      <c r="K5" s="303"/>
      <c r="L5" s="303"/>
      <c r="O5" s="302" t="s">
        <v>535</v>
      </c>
      <c r="P5" s="303"/>
      <c r="Q5" s="303"/>
      <c r="R5" s="303"/>
      <c r="S5" s="303"/>
      <c r="T5" s="303"/>
      <c r="U5" s="303"/>
      <c r="V5" s="303"/>
    </row>
    <row r="6" spans="1:22">
      <c r="A6" s="294"/>
      <c r="B6" s="292"/>
      <c r="C6" s="292"/>
      <c r="D6" s="292"/>
      <c r="E6" s="292"/>
      <c r="F6" s="292"/>
      <c r="G6" s="292"/>
      <c r="H6" s="292"/>
      <c r="I6" s="292"/>
      <c r="J6" s="292"/>
      <c r="K6" s="292"/>
      <c r="L6" s="293"/>
    </row>
    <row r="7" spans="1:22">
      <c r="A7" s="295"/>
      <c r="B7" s="304" t="s">
        <v>281</v>
      </c>
      <c r="C7" s="526" t="s">
        <v>536</v>
      </c>
      <c r="D7" s="527"/>
      <c r="E7" s="527"/>
      <c r="F7" s="527"/>
      <c r="G7" s="527"/>
      <c r="H7" s="527"/>
      <c r="I7" s="527"/>
      <c r="J7" s="527"/>
      <c r="K7" s="527"/>
      <c r="L7" s="528"/>
      <c r="O7" s="283" t="s">
        <v>537</v>
      </c>
      <c r="P7" s="284"/>
      <c r="Q7" s="284"/>
      <c r="S7" s="305" t="s">
        <v>538</v>
      </c>
      <c r="T7" s="306"/>
      <c r="U7" s="306"/>
      <c r="V7" s="306"/>
    </row>
    <row r="8" spans="1:22">
      <c r="A8" s="295"/>
      <c r="B8" s="307"/>
      <c r="C8" s="308">
        <v>2015</v>
      </c>
      <c r="D8" s="308">
        <v>2020</v>
      </c>
      <c r="E8" s="308">
        <v>2030</v>
      </c>
      <c r="F8" s="308">
        <v>2050</v>
      </c>
      <c r="G8" s="529" t="s">
        <v>539</v>
      </c>
      <c r="H8" s="530"/>
      <c r="I8" s="529" t="s">
        <v>540</v>
      </c>
      <c r="J8" s="530"/>
      <c r="K8" s="308" t="s">
        <v>541</v>
      </c>
      <c r="L8" s="309" t="s">
        <v>542</v>
      </c>
      <c r="O8" t="s">
        <v>543</v>
      </c>
      <c r="P8" s="236">
        <f>D11</f>
        <v>8.6829269484640879</v>
      </c>
      <c r="Q8" t="s">
        <v>544</v>
      </c>
      <c r="S8" t="s">
        <v>176</v>
      </c>
      <c r="T8" s="63">
        <v>2020</v>
      </c>
      <c r="U8" s="63">
        <v>2030</v>
      </c>
      <c r="V8" s="63">
        <v>2050</v>
      </c>
    </row>
    <row r="9" spans="1:22">
      <c r="A9" s="295"/>
      <c r="B9" s="310" t="s">
        <v>545</v>
      </c>
      <c r="C9" s="311"/>
      <c r="D9" s="311"/>
      <c r="E9" s="311"/>
      <c r="F9" s="311"/>
      <c r="G9" s="311" t="s">
        <v>546</v>
      </c>
      <c r="H9" s="311" t="s">
        <v>547</v>
      </c>
      <c r="I9" s="311" t="s">
        <v>546</v>
      </c>
      <c r="J9" s="311" t="s">
        <v>547</v>
      </c>
      <c r="K9" s="311"/>
      <c r="L9" s="312"/>
      <c r="O9" t="s">
        <v>548</v>
      </c>
      <c r="P9" s="74">
        <f>D14</f>
        <v>365000</v>
      </c>
      <c r="Q9" t="s">
        <v>549</v>
      </c>
      <c r="S9" s="237" t="s">
        <v>550</v>
      </c>
      <c r="T9" s="280">
        <f>D31*D11</f>
        <v>14.85381395551847</v>
      </c>
      <c r="U9" s="280">
        <f>E31*E11</f>
        <v>13.368432559966623</v>
      </c>
      <c r="V9" s="280">
        <f>F31*F11</f>
        <v>12.031589303969961</v>
      </c>
    </row>
    <row r="10" spans="1:22">
      <c r="A10" s="295"/>
      <c r="B10" s="313" t="s">
        <v>551</v>
      </c>
      <c r="G10" s="314"/>
      <c r="H10" s="314"/>
      <c r="I10" s="314"/>
      <c r="J10" s="314"/>
      <c r="L10" s="296"/>
      <c r="O10" t="s">
        <v>552</v>
      </c>
      <c r="P10">
        <v>10</v>
      </c>
      <c r="Q10" t="s">
        <v>553</v>
      </c>
      <c r="S10" s="234" t="s">
        <v>554</v>
      </c>
      <c r="T10" s="235">
        <f t="shared" ref="T10:V10" si="0">T9*$P$16</f>
        <v>1.1919084614399982</v>
      </c>
      <c r="U10" s="235">
        <f t="shared" si="0"/>
        <v>1.0727176152959985</v>
      </c>
      <c r="V10" s="235">
        <f t="shared" si="0"/>
        <v>0.96544585376639858</v>
      </c>
    </row>
    <row r="11" spans="1:22">
      <c r="A11" s="295"/>
      <c r="B11" s="315" t="s">
        <v>555</v>
      </c>
      <c r="C11" s="316">
        <v>9.2417432910061201</v>
      </c>
      <c r="D11" s="316">
        <v>8.6829269484640879</v>
      </c>
      <c r="E11" s="316">
        <v>8.6829269484640879</v>
      </c>
      <c r="F11" s="316">
        <v>8.6829269484640879</v>
      </c>
      <c r="G11" s="316">
        <v>8.3175689619055078</v>
      </c>
      <c r="H11" s="316">
        <v>9.5512196433104979</v>
      </c>
      <c r="I11" s="316">
        <v>8.3175689619055078</v>
      </c>
      <c r="J11" s="316">
        <v>9.5512196433104979</v>
      </c>
      <c r="K11" s="317" t="s">
        <v>556</v>
      </c>
      <c r="L11" s="318"/>
      <c r="O11" t="s">
        <v>557</v>
      </c>
      <c r="P11">
        <v>20</v>
      </c>
      <c r="Q11" t="s">
        <v>558</v>
      </c>
      <c r="S11" s="237" t="s">
        <v>559</v>
      </c>
      <c r="T11" s="220">
        <f>(D35*D14)/1000000</f>
        <v>1.6906963066411287</v>
      </c>
      <c r="U11" s="220">
        <f>(E35*E14)/1000000</f>
        <v>1.7166358372765085</v>
      </c>
      <c r="V11" s="220">
        <f>(F35*F14)/1000000</f>
        <v>1.6994424934413019</v>
      </c>
    </row>
    <row r="12" spans="1:22">
      <c r="A12" s="295"/>
      <c r="B12" s="49"/>
      <c r="C12" s="49"/>
      <c r="D12" s="49"/>
      <c r="E12" s="317"/>
      <c r="F12" s="317"/>
      <c r="G12" s="317"/>
      <c r="H12" s="317"/>
      <c r="I12" s="317"/>
      <c r="J12" s="317"/>
      <c r="K12" s="317"/>
      <c r="L12" s="320"/>
      <c r="S12" s="11" t="s">
        <v>560</v>
      </c>
      <c r="T12" s="238">
        <f t="shared" ref="T12:V12" si="1">T11+T10</f>
        <v>2.8826047680811269</v>
      </c>
      <c r="U12" s="238">
        <f t="shared" si="1"/>
        <v>2.7893534525725068</v>
      </c>
      <c r="V12" s="238">
        <f t="shared" si="1"/>
        <v>2.6648883472077003</v>
      </c>
    </row>
    <row r="13" spans="1:22">
      <c r="A13" s="295"/>
      <c r="B13" s="321" t="s">
        <v>561</v>
      </c>
      <c r="C13" s="317"/>
      <c r="D13" s="317"/>
      <c r="E13" s="317"/>
      <c r="F13" s="317"/>
      <c r="G13" s="317"/>
      <c r="H13" s="317"/>
      <c r="I13" s="317"/>
      <c r="J13" s="317"/>
      <c r="K13" s="317"/>
      <c r="L13" s="320"/>
      <c r="O13" s="322" t="s">
        <v>562</v>
      </c>
      <c r="P13" s="323"/>
      <c r="Q13" s="323"/>
    </row>
    <row r="14" spans="1:22">
      <c r="A14" s="295"/>
      <c r="B14" s="324" t="s">
        <v>563</v>
      </c>
      <c r="C14" s="325">
        <v>365000</v>
      </c>
      <c r="D14" s="325">
        <v>365000</v>
      </c>
      <c r="E14" s="325">
        <v>365000</v>
      </c>
      <c r="F14" s="325">
        <v>365000</v>
      </c>
      <c r="G14" s="325">
        <v>365000</v>
      </c>
      <c r="H14" s="325">
        <v>365000</v>
      </c>
      <c r="I14" s="325">
        <v>365000</v>
      </c>
      <c r="J14" s="325">
        <v>365000</v>
      </c>
      <c r="K14" s="317" t="s">
        <v>564</v>
      </c>
      <c r="L14" s="318" t="s">
        <v>565</v>
      </c>
      <c r="O14" t="s">
        <v>566</v>
      </c>
      <c r="P14">
        <v>5</v>
      </c>
      <c r="Q14" t="s">
        <v>567</v>
      </c>
      <c r="S14" t="s">
        <v>568</v>
      </c>
      <c r="T14" s="74">
        <f>D11*24*(365-10)</f>
        <v>73978.537600914031</v>
      </c>
      <c r="U14" s="74">
        <f>E11*24*(365-10)</f>
        <v>73978.537600914031</v>
      </c>
      <c r="V14" s="74">
        <f>F11*24*(365-10)</f>
        <v>73978.537600914031</v>
      </c>
    </row>
    <row r="15" spans="1:22">
      <c r="A15" s="295"/>
      <c r="B15" s="326" t="s">
        <v>569</v>
      </c>
      <c r="C15" s="316">
        <v>3.6969498399920031</v>
      </c>
      <c r="D15" s="316">
        <v>3.8195864970641451</v>
      </c>
      <c r="E15" s="316">
        <v>3.8195864970641451</v>
      </c>
      <c r="F15" s="316">
        <v>3.8195864970641451</v>
      </c>
      <c r="G15" s="316">
        <v>1.9194756290809074</v>
      </c>
      <c r="H15" s="316">
        <v>6.7181647017831763</v>
      </c>
      <c r="I15" s="316">
        <v>1.9194756290809074</v>
      </c>
      <c r="J15" s="316">
        <v>6.7181647017831763</v>
      </c>
      <c r="K15" s="327" t="s">
        <v>556</v>
      </c>
      <c r="L15" s="318" t="s">
        <v>565</v>
      </c>
      <c r="O15" t="s">
        <v>570</v>
      </c>
      <c r="P15">
        <v>20</v>
      </c>
      <c r="Q15" t="s">
        <v>247</v>
      </c>
    </row>
    <row r="16" spans="1:22" ht="15.75" thickBot="1">
      <c r="A16" s="295"/>
      <c r="B16" s="328" t="s">
        <v>571</v>
      </c>
      <c r="C16" s="316">
        <v>8.1999027314237374</v>
      </c>
      <c r="D16" s="316">
        <v>7.9596457265634744</v>
      </c>
      <c r="E16" s="316">
        <v>7.9596457265634744</v>
      </c>
      <c r="F16" s="316">
        <v>7.9596457265634744</v>
      </c>
      <c r="G16" s="316">
        <f>G15*C16/C15</f>
        <v>4.257432244153974</v>
      </c>
      <c r="H16" s="316">
        <f t="shared" ref="H16:J16" si="2">H15*D16/D15</f>
        <v>14</v>
      </c>
      <c r="I16" s="316">
        <f t="shared" si="2"/>
        <v>4</v>
      </c>
      <c r="J16" s="316">
        <f t="shared" si="2"/>
        <v>14</v>
      </c>
      <c r="K16" s="327"/>
      <c r="L16" s="318"/>
      <c r="O16" t="s">
        <v>572</v>
      </c>
      <c r="P16" s="329">
        <f>(P14/100)/(1 - POWER(1 + (P14/100),-P15))</f>
        <v>8.0242587190691314E-2</v>
      </c>
      <c r="S16" s="298" t="s">
        <v>573</v>
      </c>
      <c r="T16" s="330">
        <f>(T12*1000000)/D43</f>
        <v>38.965419722564398</v>
      </c>
      <c r="U16" s="330">
        <f>(U12*1000000)/E43</f>
        <v>37.704901219053617</v>
      </c>
      <c r="V16" s="330">
        <f>(V12*1000000)/F43</f>
        <v>36.022452371034369</v>
      </c>
    </row>
    <row r="17" spans="1:22" ht="15.75" thickTop="1">
      <c r="A17" s="295"/>
      <c r="B17" s="49" t="s">
        <v>574</v>
      </c>
      <c r="C17" s="316">
        <v>8.3858637444973674</v>
      </c>
      <c r="D17" s="316">
        <v>8.9255616752262199</v>
      </c>
      <c r="E17" s="316">
        <v>8.9255616752262199</v>
      </c>
      <c r="F17" s="316">
        <v>8.9255616752262199</v>
      </c>
      <c r="G17" s="316">
        <v>7.1980336090534029</v>
      </c>
      <c r="H17" s="316">
        <v>11.996722681755671</v>
      </c>
      <c r="I17" s="316">
        <v>7.1980336090534029</v>
      </c>
      <c r="J17" s="316">
        <v>11.996722681755671</v>
      </c>
      <c r="K17" s="331" t="s">
        <v>556</v>
      </c>
      <c r="L17" s="318" t="s">
        <v>565</v>
      </c>
    </row>
    <row r="18" spans="1:22">
      <c r="A18" s="295"/>
      <c r="B18" s="332" t="s">
        <v>575</v>
      </c>
      <c r="C18" s="316">
        <v>18.600000000000001</v>
      </c>
      <c r="D18" s="316">
        <v>18.600000000000001</v>
      </c>
      <c r="E18" s="316">
        <v>18.600000000000001</v>
      </c>
      <c r="F18" s="316">
        <v>18.600000000000001</v>
      </c>
      <c r="G18" s="316">
        <f t="shared" ref="G18:J18" si="3">G17*C18/C17</f>
        <v>15.965370915577404</v>
      </c>
      <c r="H18" s="316">
        <f t="shared" si="3"/>
        <v>25</v>
      </c>
      <c r="I18" s="316">
        <f t="shared" si="3"/>
        <v>15</v>
      </c>
      <c r="J18" s="316">
        <f t="shared" si="3"/>
        <v>25</v>
      </c>
      <c r="K18" s="331"/>
      <c r="L18" s="333"/>
      <c r="O18" s="334" t="s">
        <v>576</v>
      </c>
      <c r="P18" s="335"/>
      <c r="Q18" s="335"/>
      <c r="S18" t="s">
        <v>577</v>
      </c>
      <c r="T18" s="329">
        <f>($Q$28*$P$9)/1000000</f>
        <v>2.0171144323375767</v>
      </c>
      <c r="U18" s="329">
        <f t="shared" ref="U18:V18" si="4">($Q$28*$P$9)/1000000</f>
        <v>2.0171144323375767</v>
      </c>
      <c r="V18" s="329">
        <f t="shared" si="4"/>
        <v>2.0171144323375767</v>
      </c>
    </row>
    <row r="19" spans="1:22">
      <c r="A19" s="295"/>
      <c r="B19" s="324"/>
      <c r="C19" s="336"/>
      <c r="D19" s="336"/>
      <c r="E19" s="336"/>
      <c r="F19" s="336"/>
      <c r="G19" s="337"/>
      <c r="H19" s="337"/>
      <c r="I19" s="327"/>
      <c r="J19" s="327"/>
      <c r="K19" s="327"/>
      <c r="L19" s="338"/>
      <c r="O19" s="237" t="s">
        <v>578</v>
      </c>
      <c r="P19" s="237" t="s">
        <v>579</v>
      </c>
      <c r="Q19" s="237" t="s">
        <v>580</v>
      </c>
      <c r="S19" s="237" t="s">
        <v>581</v>
      </c>
      <c r="T19" s="220">
        <f>(T18*1000000)/T14</f>
        <v>27.26621122492498</v>
      </c>
      <c r="U19" s="220">
        <f t="shared" ref="U19:V19" si="5">(U18*1000000)/U14</f>
        <v>27.26621122492498</v>
      </c>
      <c r="V19" s="220">
        <f t="shared" si="5"/>
        <v>27.26621122492498</v>
      </c>
    </row>
    <row r="20" spans="1:22">
      <c r="A20" s="295"/>
      <c r="B20" s="339" t="s">
        <v>582</v>
      </c>
      <c r="C20" s="340"/>
      <c r="D20" s="340"/>
      <c r="E20" s="341"/>
      <c r="F20" s="341"/>
      <c r="G20" s="327"/>
      <c r="H20" s="327"/>
      <c r="I20" s="327"/>
      <c r="J20" s="327"/>
      <c r="K20" s="327"/>
      <c r="L20" s="342"/>
      <c r="O20" s="234" t="s">
        <v>583</v>
      </c>
      <c r="P20" s="343">
        <v>0.83789139679172331</v>
      </c>
      <c r="Q20" s="343">
        <v>3.3557046979865772</v>
      </c>
    </row>
    <row r="21" spans="1:22" ht="15.75" thickBot="1">
      <c r="A21" s="295"/>
      <c r="B21" s="344" t="s">
        <v>584</v>
      </c>
      <c r="C21" s="345">
        <v>100</v>
      </c>
      <c r="D21" s="345">
        <v>100</v>
      </c>
      <c r="E21" s="345">
        <v>100</v>
      </c>
      <c r="F21" s="346">
        <v>100</v>
      </c>
      <c r="G21" s="346">
        <v>95.792225493464429</v>
      </c>
      <c r="H21" s="346">
        <v>110.00000000000001</v>
      </c>
      <c r="I21" s="346">
        <v>95.792225493464429</v>
      </c>
      <c r="J21" s="345">
        <v>110.00000000000001</v>
      </c>
      <c r="K21" s="327" t="s">
        <v>585</v>
      </c>
      <c r="L21" s="347"/>
      <c r="O21" t="s">
        <v>586</v>
      </c>
      <c r="P21" s="40">
        <v>8.4638327610316366E-2</v>
      </c>
      <c r="Q21" s="40">
        <v>6.7114093959731544</v>
      </c>
      <c r="S21" s="298" t="s">
        <v>587</v>
      </c>
      <c r="T21" s="330">
        <f>T19+T16</f>
        <v>66.231630947489379</v>
      </c>
      <c r="U21" s="330">
        <f t="shared" ref="U21:V21" si="6">U19+U16</f>
        <v>64.971112443978598</v>
      </c>
      <c r="V21" s="330">
        <f t="shared" si="6"/>
        <v>63.288663595959349</v>
      </c>
    </row>
    <row r="22" spans="1:22" ht="15.75" thickTop="1">
      <c r="A22" s="295"/>
      <c r="B22" s="324" t="s">
        <v>588</v>
      </c>
      <c r="C22" s="348">
        <v>0.79848662034292872</v>
      </c>
      <c r="D22" s="348">
        <v>0.75020488834729715</v>
      </c>
      <c r="E22" s="348">
        <v>0.75020488834729715</v>
      </c>
      <c r="F22" s="348">
        <v>0.75020488834729715</v>
      </c>
      <c r="G22" s="348">
        <v>0.71863795830863586</v>
      </c>
      <c r="H22" s="348">
        <v>0.82522537718202693</v>
      </c>
      <c r="I22" s="348">
        <v>0.71863795830863586</v>
      </c>
      <c r="J22" s="348">
        <v>0.82522537718202693</v>
      </c>
      <c r="K22" s="327" t="s">
        <v>589</v>
      </c>
      <c r="L22" s="318" t="s">
        <v>590</v>
      </c>
      <c r="O22" t="s">
        <v>591</v>
      </c>
      <c r="P22" s="40">
        <v>2.4390632528287944E-3</v>
      </c>
      <c r="Q22" s="40">
        <v>6.7114093959731544</v>
      </c>
    </row>
    <row r="23" spans="1:22">
      <c r="A23" s="295"/>
      <c r="B23" s="324" t="s">
        <v>592</v>
      </c>
      <c r="C23" s="331"/>
      <c r="D23" s="331"/>
      <c r="E23" s="331"/>
      <c r="F23" s="331"/>
      <c r="G23" s="331"/>
      <c r="H23" s="331"/>
      <c r="I23" s="331"/>
      <c r="J23" s="331"/>
      <c r="K23" s="327" t="s">
        <v>593</v>
      </c>
      <c r="L23" s="342"/>
      <c r="O23" t="s">
        <v>594</v>
      </c>
      <c r="P23" s="40">
        <v>0</v>
      </c>
      <c r="Q23" s="40">
        <v>67.382550335570471</v>
      </c>
      <c r="S23" s="349" t="s">
        <v>595</v>
      </c>
      <c r="T23" s="350"/>
      <c r="U23" s="350"/>
      <c r="V23" s="350"/>
    </row>
    <row r="24" spans="1:22">
      <c r="A24" s="295"/>
      <c r="B24" s="324"/>
      <c r="C24" s="331"/>
      <c r="D24" s="331"/>
      <c r="E24" s="331"/>
      <c r="F24" s="331"/>
      <c r="G24" s="331"/>
      <c r="H24" s="331"/>
      <c r="I24" s="331"/>
      <c r="J24" s="331"/>
      <c r="K24" s="327"/>
      <c r="L24" s="342"/>
      <c r="O24" t="s">
        <v>596</v>
      </c>
      <c r="P24" s="40">
        <v>1.2008799662457062E-2</v>
      </c>
      <c r="Q24" s="40">
        <v>40.268456375838923</v>
      </c>
      <c r="S24" t="s">
        <v>597</v>
      </c>
      <c r="T24" s="74">
        <v>302000</v>
      </c>
      <c r="U24" s="74">
        <v>272000</v>
      </c>
      <c r="V24" s="74">
        <v>245000</v>
      </c>
    </row>
    <row r="25" spans="1:22">
      <c r="A25" s="295"/>
      <c r="B25" s="324" t="s">
        <v>598</v>
      </c>
      <c r="C25" s="327">
        <v>0</v>
      </c>
      <c r="D25" s="327">
        <v>0</v>
      </c>
      <c r="E25" s="351">
        <v>0</v>
      </c>
      <c r="F25" s="352">
        <v>0</v>
      </c>
      <c r="G25" s="327"/>
      <c r="H25" s="327"/>
      <c r="I25" s="327"/>
      <c r="J25" s="327"/>
      <c r="K25" s="327"/>
      <c r="L25" s="342"/>
      <c r="O25" t="s">
        <v>599</v>
      </c>
      <c r="P25" s="40">
        <v>1.2462465427483218E-2</v>
      </c>
      <c r="Q25" s="40">
        <v>18.859060402684563</v>
      </c>
      <c r="S25" t="s">
        <v>600</v>
      </c>
      <c r="T25" s="74">
        <v>121000</v>
      </c>
      <c r="U25" s="74">
        <v>109000</v>
      </c>
      <c r="V25" s="74">
        <v>98000</v>
      </c>
    </row>
    <row r="26" spans="1:22">
      <c r="A26" s="295"/>
      <c r="B26" s="324" t="s">
        <v>601</v>
      </c>
      <c r="C26" s="327">
        <v>10</v>
      </c>
      <c r="D26" s="327">
        <v>10</v>
      </c>
      <c r="E26" s="351">
        <v>10</v>
      </c>
      <c r="F26" s="352">
        <v>10</v>
      </c>
      <c r="G26" s="327"/>
      <c r="H26" s="327"/>
      <c r="I26" s="327"/>
      <c r="J26" s="327"/>
      <c r="K26" s="327"/>
      <c r="L26" s="338"/>
      <c r="O26" t="s">
        <v>602</v>
      </c>
      <c r="P26" s="40">
        <v>0</v>
      </c>
      <c r="Q26" s="40">
        <v>34.899328859060404</v>
      </c>
      <c r="S26" t="s">
        <v>603</v>
      </c>
      <c r="T26" s="74">
        <f>(T25+T24)*$P$31</f>
        <v>2504160</v>
      </c>
      <c r="U26" s="74">
        <f t="shared" ref="U26:V26" si="7">(U25+U24)*$P$31</f>
        <v>2255520</v>
      </c>
      <c r="V26" s="74">
        <f t="shared" si="7"/>
        <v>2030560</v>
      </c>
    </row>
    <row r="27" spans="1:22">
      <c r="A27" s="295"/>
      <c r="B27" s="315" t="s">
        <v>604</v>
      </c>
      <c r="C27" s="327">
        <v>20</v>
      </c>
      <c r="D27" s="327">
        <v>20</v>
      </c>
      <c r="E27" s="351">
        <v>20</v>
      </c>
      <c r="F27" s="352">
        <v>20</v>
      </c>
      <c r="G27" s="317"/>
      <c r="H27" s="317"/>
      <c r="I27" s="317"/>
      <c r="J27" s="317"/>
      <c r="K27" s="317"/>
      <c r="L27" s="320"/>
      <c r="O27" s="237" t="s">
        <v>605</v>
      </c>
      <c r="P27" s="353">
        <v>5.0559947255191202E-2</v>
      </c>
      <c r="Q27" s="353">
        <v>27.919463087248321</v>
      </c>
      <c r="T27" s="74"/>
      <c r="U27" s="74"/>
      <c r="V27" s="74"/>
    </row>
    <row r="28" spans="1:22" ht="15.75" thickBot="1">
      <c r="A28" s="295"/>
      <c r="B28" s="315" t="s">
        <v>606</v>
      </c>
      <c r="C28" s="327">
        <v>1</v>
      </c>
      <c r="D28" s="327">
        <v>1</v>
      </c>
      <c r="E28" s="351">
        <v>1</v>
      </c>
      <c r="F28" s="352">
        <v>1</v>
      </c>
      <c r="G28" s="317"/>
      <c r="H28" s="317"/>
      <c r="I28" s="317"/>
      <c r="J28" s="317"/>
      <c r="K28" s="317"/>
      <c r="L28" s="320"/>
      <c r="O28" s="354" t="s">
        <v>607</v>
      </c>
      <c r="P28" s="354"/>
      <c r="Q28" s="355">
        <f>SUMPRODUCT(P20:P27,Q20:Q27)</f>
        <v>5.526340910513909</v>
      </c>
      <c r="S28" t="s">
        <v>608</v>
      </c>
      <c r="T28" s="74">
        <v>10600</v>
      </c>
      <c r="U28" s="74">
        <v>9500</v>
      </c>
      <c r="V28" s="74">
        <v>8600</v>
      </c>
    </row>
    <row r="29" spans="1:22" ht="15.75" thickTop="1">
      <c r="A29" s="295"/>
      <c r="B29" s="315"/>
      <c r="C29" s="317"/>
      <c r="D29" s="317"/>
      <c r="E29" s="317"/>
      <c r="F29" s="317"/>
      <c r="G29" s="317"/>
      <c r="H29" s="317"/>
      <c r="I29" s="317"/>
      <c r="J29" s="317"/>
      <c r="K29" s="317"/>
      <c r="L29" s="320"/>
      <c r="S29" t="s">
        <v>609</v>
      </c>
      <c r="T29" s="74">
        <f>T28*$P$31</f>
        <v>62752</v>
      </c>
      <c r="U29" s="74">
        <f t="shared" ref="U29:V29" si="8">U28*$P$31</f>
        <v>56240</v>
      </c>
      <c r="V29" s="74">
        <f t="shared" si="8"/>
        <v>50912</v>
      </c>
    </row>
    <row r="30" spans="1:22">
      <c r="A30" s="295"/>
      <c r="B30" s="304" t="s">
        <v>610</v>
      </c>
      <c r="C30" s="356"/>
      <c r="D30" s="356"/>
      <c r="E30" s="356"/>
      <c r="F30" s="356"/>
      <c r="G30" s="356"/>
      <c r="H30" s="356"/>
      <c r="I30" s="356"/>
      <c r="J30" s="356"/>
      <c r="K30" s="356"/>
      <c r="L30" s="357"/>
      <c r="O30" s="358" t="s">
        <v>611</v>
      </c>
      <c r="P30" s="359"/>
      <c r="Q30" s="359"/>
      <c r="T30" s="74"/>
      <c r="U30" s="74"/>
      <c r="V30" s="74"/>
    </row>
    <row r="31" spans="1:22">
      <c r="A31" s="295"/>
      <c r="B31" s="315" t="s">
        <v>612</v>
      </c>
      <c r="C31" s="360">
        <v>1.8141415733691493</v>
      </c>
      <c r="D31" s="360">
        <v>1.7106920331911744</v>
      </c>
      <c r="E31" s="360">
        <v>1.5396228298720569</v>
      </c>
      <c r="F31" s="360">
        <v>1.3856605468848513</v>
      </c>
      <c r="G31" s="360">
        <v>1.5396228298720569</v>
      </c>
      <c r="H31" s="360">
        <v>1.9007689257679714</v>
      </c>
      <c r="I31" s="360">
        <v>1.2470944921963663</v>
      </c>
      <c r="J31" s="360">
        <v>1.5396228298720569</v>
      </c>
      <c r="K31" s="317" t="s">
        <v>613</v>
      </c>
      <c r="L31" s="361" t="s">
        <v>614</v>
      </c>
      <c r="O31" t="s">
        <v>615</v>
      </c>
      <c r="P31">
        <v>5.92</v>
      </c>
      <c r="Q31" t="s">
        <v>616</v>
      </c>
      <c r="S31" s="237" t="s">
        <v>617</v>
      </c>
      <c r="T31" s="362">
        <f t="shared" ref="T31:V31" si="9">T26*$P$16+T29</f>
        <v>263692.27713944158</v>
      </c>
      <c r="U31" s="362">
        <f t="shared" si="9"/>
        <v>237228.76026034806</v>
      </c>
      <c r="V31" s="362">
        <f t="shared" si="9"/>
        <v>213849.38784593015</v>
      </c>
    </row>
    <row r="32" spans="1:22" ht="15.75" thickBot="1">
      <c r="A32" s="295"/>
      <c r="B32" s="324" t="s">
        <v>618</v>
      </c>
      <c r="C32" s="363" t="s">
        <v>619</v>
      </c>
      <c r="D32" s="363" t="s">
        <v>619</v>
      </c>
      <c r="E32" s="317"/>
      <c r="F32" s="317"/>
      <c r="G32" s="317"/>
      <c r="H32" s="317"/>
      <c r="I32" s="317"/>
      <c r="J32" s="317"/>
      <c r="K32" s="317"/>
      <c r="L32" s="320"/>
      <c r="O32" t="s">
        <v>620</v>
      </c>
      <c r="P32" s="74">
        <v>1000</v>
      </c>
      <c r="Q32" t="s">
        <v>621</v>
      </c>
      <c r="S32" s="354" t="s">
        <v>622</v>
      </c>
      <c r="T32" s="364">
        <f t="shared" ref="T32:V32" si="10">T31/T14</f>
        <v>3.5644429545493419</v>
      </c>
      <c r="U32" s="364">
        <f t="shared" si="10"/>
        <v>3.2067241115268681</v>
      </c>
      <c r="V32" s="364">
        <f t="shared" si="10"/>
        <v>2.8906949877755892</v>
      </c>
    </row>
    <row r="33" spans="1:22" ht="15.75" thickTop="1">
      <c r="A33" s="295"/>
      <c r="B33" s="315" t="s">
        <v>623</v>
      </c>
      <c r="C33" s="363" t="s">
        <v>619</v>
      </c>
      <c r="D33" s="363" t="s">
        <v>619</v>
      </c>
      <c r="E33" s="317"/>
      <c r="F33" s="317"/>
      <c r="G33" s="317"/>
      <c r="H33" s="317"/>
      <c r="I33" s="317"/>
      <c r="J33" s="317"/>
      <c r="K33" s="317"/>
      <c r="L33" s="320"/>
      <c r="O33" t="s">
        <v>624</v>
      </c>
      <c r="P33" s="74">
        <v>594</v>
      </c>
      <c r="Q33" t="s">
        <v>621</v>
      </c>
    </row>
    <row r="34" spans="1:22" ht="15.75" thickBot="1">
      <c r="A34" s="295"/>
      <c r="B34" s="315" t="s">
        <v>625</v>
      </c>
      <c r="C34" s="365">
        <f>C35*$A$12/C11</f>
        <v>0</v>
      </c>
      <c r="D34" s="365">
        <f t="shared" ref="D34:J34" si="11">D35*$A$12/D11</f>
        <v>0</v>
      </c>
      <c r="E34" s="365">
        <f t="shared" si="11"/>
        <v>0</v>
      </c>
      <c r="F34" s="365">
        <f t="shared" si="11"/>
        <v>0</v>
      </c>
      <c r="G34" s="365">
        <f t="shared" si="11"/>
        <v>0</v>
      </c>
      <c r="H34" s="365">
        <f t="shared" si="11"/>
        <v>0</v>
      </c>
      <c r="I34" s="365">
        <f t="shared" si="11"/>
        <v>0</v>
      </c>
      <c r="J34" s="365">
        <f t="shared" si="11"/>
        <v>0</v>
      </c>
      <c r="K34" s="317"/>
      <c r="L34" s="320"/>
      <c r="O34" t="s">
        <v>626</v>
      </c>
      <c r="P34" s="74">
        <f>(P33*24*365*11)/1000</f>
        <v>57237.84</v>
      </c>
      <c r="Q34" t="s">
        <v>175</v>
      </c>
      <c r="S34" s="354" t="s">
        <v>627</v>
      </c>
      <c r="T34" s="364">
        <f t="shared" ref="T34:V34" si="12">T32+T21</f>
        <v>69.796073902038714</v>
      </c>
      <c r="U34" s="364">
        <f t="shared" si="12"/>
        <v>68.177836555505465</v>
      </c>
      <c r="V34" s="364">
        <f t="shared" si="12"/>
        <v>66.179358583734938</v>
      </c>
    </row>
    <row r="35" spans="1:22" ht="15.75" thickTop="1">
      <c r="A35" s="295"/>
      <c r="B35" s="307" t="s">
        <v>628</v>
      </c>
      <c r="C35" s="366">
        <f>SUM(C36:C38)</f>
        <v>5.0332098576529329</v>
      </c>
      <c r="D35" s="366">
        <f>SUM(D36:D38)</f>
        <v>4.6320446757291194</v>
      </c>
      <c r="E35" s="366">
        <f t="shared" ref="E35:J35" si="13">SUM(E36:E38)</f>
        <v>4.7031118829493384</v>
      </c>
      <c r="F35" s="366">
        <f t="shared" si="13"/>
        <v>4.6560068313460325</v>
      </c>
      <c r="G35" s="367">
        <f t="shared" si="13"/>
        <v>3.5183906273995653</v>
      </c>
      <c r="H35" s="367">
        <f t="shared" si="13"/>
        <v>6.4261400408198313</v>
      </c>
      <c r="I35" s="367">
        <f t="shared" si="13"/>
        <v>3.4182015918040287</v>
      </c>
      <c r="J35" s="367">
        <f t="shared" si="13"/>
        <v>6.6057513868398958</v>
      </c>
      <c r="K35" s="317" t="s">
        <v>629</v>
      </c>
      <c r="L35" s="368" t="s">
        <v>630</v>
      </c>
      <c r="O35" t="s">
        <v>631</v>
      </c>
      <c r="P35" s="74">
        <v>40</v>
      </c>
      <c r="Q35" t="s">
        <v>632</v>
      </c>
    </row>
    <row r="36" spans="1:22">
      <c r="A36" s="295"/>
      <c r="B36" s="369" t="s">
        <v>633</v>
      </c>
      <c r="C36" s="366">
        <v>4.1066159855732369</v>
      </c>
      <c r="D36" s="366">
        <v>3.6728291205962398</v>
      </c>
      <c r="E36" s="366">
        <v>3.4891876645664275</v>
      </c>
      <c r="F36" s="366">
        <v>3.3147282813381058</v>
      </c>
      <c r="G36" s="367">
        <v>2.8146278025529408</v>
      </c>
      <c r="H36" s="367">
        <v>5.0501400408198309</v>
      </c>
      <c r="I36" s="367">
        <v>2.5402015918040286</v>
      </c>
      <c r="J36" s="367">
        <v>4.5577513868398958</v>
      </c>
      <c r="K36" s="317" t="s">
        <v>629</v>
      </c>
      <c r="L36" s="368" t="s">
        <v>630</v>
      </c>
      <c r="O36" t="s">
        <v>634</v>
      </c>
      <c r="P36" s="74">
        <v>36</v>
      </c>
      <c r="Q36" t="s">
        <v>635</v>
      </c>
    </row>
    <row r="37" spans="1:22">
      <c r="A37" s="295"/>
      <c r="B37" s="369" t="s">
        <v>636</v>
      </c>
      <c r="C37" s="366">
        <f>C16*0.063</f>
        <v>0.51659387207969543</v>
      </c>
      <c r="D37" s="366">
        <f>D16*0.069</f>
        <v>0.54921555513287978</v>
      </c>
      <c r="E37" s="366">
        <f>E16*0.101</f>
        <v>0.80392421838291095</v>
      </c>
      <c r="F37" s="366">
        <f>F16*0.117</f>
        <v>0.93127855000792659</v>
      </c>
      <c r="G37" s="366">
        <f>G16*0.069</f>
        <v>0.29376282484662425</v>
      </c>
      <c r="H37" s="366">
        <f>H16*0.069</f>
        <v>0.96600000000000008</v>
      </c>
      <c r="I37" s="366">
        <f>I16*0.117</f>
        <v>0.46800000000000003</v>
      </c>
      <c r="J37" s="366">
        <f>J16*0.117</f>
        <v>1.6380000000000001</v>
      </c>
      <c r="K37" s="317" t="s">
        <v>637</v>
      </c>
      <c r="L37" s="370"/>
      <c r="O37" s="237" t="s">
        <v>638</v>
      </c>
      <c r="P37" s="362">
        <v>60</v>
      </c>
      <c r="Q37" s="237" t="s">
        <v>567</v>
      </c>
    </row>
    <row r="38" spans="1:22">
      <c r="A38" s="295"/>
      <c r="B38" s="369" t="s">
        <v>639</v>
      </c>
      <c r="C38" s="366">
        <v>0.41</v>
      </c>
      <c r="D38" s="366">
        <v>0.41</v>
      </c>
      <c r="E38" s="366">
        <v>0.41</v>
      </c>
      <c r="F38" s="366">
        <v>0.41</v>
      </c>
      <c r="G38" s="366">
        <v>0.41</v>
      </c>
      <c r="H38" s="366">
        <v>0.41</v>
      </c>
      <c r="I38" s="366">
        <v>0.41</v>
      </c>
      <c r="J38" s="366">
        <v>0.41</v>
      </c>
      <c r="K38" s="317"/>
      <c r="L38" s="370"/>
    </row>
    <row r="39" spans="1:22">
      <c r="A39" s="295"/>
      <c r="B39" s="307"/>
      <c r="C39" s="365"/>
      <c r="D39" s="365"/>
      <c r="E39" s="365"/>
      <c r="F39" s="365"/>
      <c r="G39" s="365"/>
      <c r="H39" s="365"/>
      <c r="I39" s="365"/>
      <c r="J39" s="365"/>
      <c r="K39" s="317"/>
      <c r="L39" s="370"/>
    </row>
    <row r="40" spans="1:22">
      <c r="A40" s="295"/>
      <c r="B40" s="371" t="s">
        <v>640</v>
      </c>
      <c r="C40" s="372"/>
      <c r="D40" s="372"/>
      <c r="E40" s="372"/>
      <c r="F40" s="372"/>
      <c r="G40" s="373"/>
      <c r="H40" s="373"/>
      <c r="I40" s="331"/>
      <c r="J40" s="331"/>
      <c r="K40" s="331"/>
      <c r="L40" s="374"/>
    </row>
    <row r="41" spans="1:22">
      <c r="A41" s="295"/>
      <c r="B41" s="375" t="s">
        <v>641</v>
      </c>
      <c r="C41" s="366">
        <v>0.44</v>
      </c>
      <c r="D41" s="366">
        <v>0.42</v>
      </c>
      <c r="E41" s="366">
        <v>0.42</v>
      </c>
      <c r="F41" s="366">
        <v>0.42</v>
      </c>
      <c r="G41" s="376">
        <v>0.17</v>
      </c>
      <c r="H41" s="376">
        <v>0.88</v>
      </c>
      <c r="I41" s="376">
        <v>0.17</v>
      </c>
      <c r="J41" s="376">
        <v>0.88</v>
      </c>
      <c r="K41" s="331" t="s">
        <v>593</v>
      </c>
      <c r="L41" s="374" t="s">
        <v>642</v>
      </c>
    </row>
    <row r="42" spans="1:22">
      <c r="A42" s="295"/>
      <c r="B42" t="s">
        <v>643</v>
      </c>
      <c r="C42" s="74">
        <f>C14</f>
        <v>365000</v>
      </c>
      <c r="D42" s="74">
        <f t="shared" ref="D42:F42" si="14">D14</f>
        <v>365000</v>
      </c>
      <c r="E42" s="74">
        <f t="shared" si="14"/>
        <v>365000</v>
      </c>
      <c r="F42" s="74">
        <f t="shared" si="14"/>
        <v>365000</v>
      </c>
      <c r="L42" s="296"/>
    </row>
    <row r="43" spans="1:22">
      <c r="A43" s="295"/>
      <c r="B43" t="s">
        <v>644</v>
      </c>
      <c r="C43" s="63">
        <f>C11*(365-10)*24</f>
        <v>78739.652839372138</v>
      </c>
      <c r="D43" s="63">
        <f t="shared" ref="D43:J43" si="15">D11*(365-10)*24</f>
        <v>73978.537600914016</v>
      </c>
      <c r="E43" s="63">
        <f t="shared" si="15"/>
        <v>73978.537600914016</v>
      </c>
      <c r="F43" s="63">
        <f t="shared" si="15"/>
        <v>73978.537600914016</v>
      </c>
      <c r="G43" s="63">
        <f t="shared" si="15"/>
        <v>70865.687555434924</v>
      </c>
      <c r="H43" s="63">
        <f t="shared" si="15"/>
        <v>81376.39136100543</v>
      </c>
      <c r="I43" s="63">
        <f t="shared" si="15"/>
        <v>70865.687555434924</v>
      </c>
      <c r="J43" s="63">
        <f t="shared" si="15"/>
        <v>81376.39136100543</v>
      </c>
      <c r="L43" s="296"/>
    </row>
    <row r="44" spans="1:22">
      <c r="A44" s="295"/>
      <c r="L44" s="296"/>
    </row>
    <row r="45" spans="1:22">
      <c r="A45" s="295"/>
      <c r="L45" s="296"/>
      <c r="S45" s="74"/>
    </row>
    <row r="46" spans="1:22">
      <c r="A46" s="295"/>
      <c r="L46" s="296"/>
    </row>
    <row r="47" spans="1:22">
      <c r="A47" s="377"/>
      <c r="B47" s="378"/>
      <c r="C47" s="378"/>
      <c r="D47" s="378"/>
      <c r="E47" s="378"/>
      <c r="F47" s="378"/>
      <c r="G47" s="378"/>
      <c r="L47" s="296"/>
    </row>
    <row r="48" spans="1:22">
      <c r="A48" s="531"/>
      <c r="B48" s="532"/>
      <c r="C48" s="532"/>
      <c r="D48" s="532"/>
      <c r="E48" s="532"/>
      <c r="F48" s="532"/>
      <c r="G48" s="532"/>
      <c r="H48" s="532"/>
      <c r="I48" s="532"/>
      <c r="J48" s="532"/>
      <c r="K48" s="532"/>
      <c r="L48" s="296"/>
    </row>
    <row r="49" spans="1:12">
      <c r="A49" s="533"/>
      <c r="B49" s="534"/>
      <c r="C49" s="534"/>
      <c r="D49" s="534"/>
      <c r="E49" s="534"/>
      <c r="F49" s="534"/>
      <c r="G49" s="534"/>
      <c r="L49" s="296"/>
    </row>
    <row r="50" spans="1:12">
      <c r="A50" s="535"/>
      <c r="B50" s="536"/>
      <c r="C50" s="536"/>
      <c r="D50" s="536"/>
      <c r="E50" s="536"/>
      <c r="F50" s="536"/>
      <c r="G50" s="536"/>
      <c r="H50" s="536"/>
      <c r="I50" s="536"/>
      <c r="J50" s="536"/>
      <c r="K50" s="536"/>
      <c r="L50" s="296"/>
    </row>
    <row r="51" spans="1:12">
      <c r="A51" s="533"/>
      <c r="B51" s="534"/>
      <c r="C51" s="534"/>
      <c r="D51" s="534"/>
      <c r="E51" s="534"/>
      <c r="F51" s="534"/>
      <c r="G51" s="534"/>
      <c r="L51" s="296"/>
    </row>
    <row r="52" spans="1:12" ht="45">
      <c r="A52" s="379" t="s">
        <v>645</v>
      </c>
      <c r="B52" s="380" t="s">
        <v>646</v>
      </c>
      <c r="C52" s="380" t="s">
        <v>647</v>
      </c>
      <c r="D52" s="381" t="s">
        <v>648</v>
      </c>
      <c r="L52" s="296"/>
    </row>
    <row r="53" spans="1:12">
      <c r="A53" s="379" t="s">
        <v>583</v>
      </c>
      <c r="B53" s="382">
        <v>0.79800000000000004</v>
      </c>
      <c r="C53" s="382">
        <v>0.83789139679172331</v>
      </c>
      <c r="D53" s="383">
        <v>3.3557046979865772</v>
      </c>
      <c r="E53">
        <f>D53*C53</f>
        <v>2.8117160966165211</v>
      </c>
      <c r="L53" s="296"/>
    </row>
    <row r="54" spans="1:12">
      <c r="A54" s="379" t="s">
        <v>586</v>
      </c>
      <c r="B54" s="382">
        <v>0.08</v>
      </c>
      <c r="C54" s="382">
        <v>8.4638327610316366E-2</v>
      </c>
      <c r="D54" s="383">
        <v>6.7114093959731544</v>
      </c>
      <c r="E54">
        <f t="shared" ref="E54:E60" si="16">D54*C54</f>
        <v>0.56804246718333129</v>
      </c>
      <c r="G54" t="e" cm="1">
        <f t="array" aca="1" ref="G54" ca="1">SUMPRODUKT(C53:C60,D53:D60)</f>
        <v>#NAME?</v>
      </c>
      <c r="L54" s="296"/>
    </row>
    <row r="55" spans="1:12">
      <c r="A55" s="379" t="s">
        <v>591</v>
      </c>
      <c r="B55" s="382">
        <v>6.0999999999999999E-2</v>
      </c>
      <c r="C55" s="382">
        <v>2.4390632528287944E-3</v>
      </c>
      <c r="D55" s="383">
        <v>6.7114093959731544</v>
      </c>
      <c r="E55">
        <f t="shared" si="16"/>
        <v>1.6369552032408016E-2</v>
      </c>
      <c r="L55" s="296"/>
    </row>
    <row r="56" spans="1:12">
      <c r="A56" s="379" t="s">
        <v>594</v>
      </c>
      <c r="B56" s="382">
        <v>0</v>
      </c>
      <c r="C56" s="382">
        <v>0</v>
      </c>
      <c r="D56" s="384">
        <v>67.382550335570471</v>
      </c>
      <c r="E56">
        <f t="shared" si="16"/>
        <v>0</v>
      </c>
      <c r="L56" s="296"/>
    </row>
    <row r="57" spans="1:12">
      <c r="A57" s="379" t="s">
        <v>596</v>
      </c>
      <c r="B57" s="382">
        <v>0.01</v>
      </c>
      <c r="C57" s="382">
        <v>1.2008799662457062E-2</v>
      </c>
      <c r="D57" s="384">
        <v>40.268456375838923</v>
      </c>
      <c r="E57">
        <f t="shared" si="16"/>
        <v>0.48357582533384136</v>
      </c>
      <c r="L57" s="296"/>
    </row>
    <row r="58" spans="1:12">
      <c r="A58" s="379" t="s">
        <v>599</v>
      </c>
      <c r="B58" s="382">
        <v>1.6E-2</v>
      </c>
      <c r="C58" s="382">
        <v>1.2462465427483218E-2</v>
      </c>
      <c r="D58" s="384">
        <v>18.859060402684563</v>
      </c>
      <c r="E58">
        <f t="shared" si="16"/>
        <v>0.2350303882632741</v>
      </c>
      <c r="L58" s="296"/>
    </row>
    <row r="59" spans="1:12">
      <c r="A59" s="379" t="s">
        <v>602</v>
      </c>
      <c r="B59" s="382">
        <v>0</v>
      </c>
      <c r="C59" s="15">
        <v>0</v>
      </c>
      <c r="D59" s="384">
        <v>34.899328859060404</v>
      </c>
      <c r="E59">
        <f t="shared" si="16"/>
        <v>0</v>
      </c>
      <c r="G59">
        <f>SUM(E53:E60)</f>
        <v>5.526340910513909</v>
      </c>
      <c r="H59" t="s">
        <v>380</v>
      </c>
      <c r="L59" s="296"/>
    </row>
    <row r="60" spans="1:12">
      <c r="A60" s="379" t="s">
        <v>605</v>
      </c>
      <c r="B60" s="382">
        <v>3.5000000000000003E-2</v>
      </c>
      <c r="C60" s="382">
        <v>5.0559947255191202E-2</v>
      </c>
      <c r="D60" s="384">
        <v>27.919463087248321</v>
      </c>
      <c r="E60">
        <f t="shared" si="16"/>
        <v>1.4116065810845329</v>
      </c>
      <c r="L60" s="296"/>
    </row>
    <row r="61" spans="1:12">
      <c r="A61" s="295"/>
      <c r="L61" s="296"/>
    </row>
    <row r="62" spans="1:12">
      <c r="A62" s="533"/>
      <c r="B62" s="534"/>
      <c r="C62" s="534"/>
      <c r="D62" s="534"/>
      <c r="E62" s="534"/>
      <c r="F62" s="534"/>
      <c r="G62" s="534"/>
      <c r="H62" s="534"/>
      <c r="I62" s="534"/>
      <c r="J62" s="534"/>
      <c r="K62" s="534"/>
      <c r="L62" s="296"/>
    </row>
    <row r="63" spans="1:12">
      <c r="A63" s="533"/>
      <c r="B63" s="534"/>
      <c r="C63" s="534"/>
      <c r="D63" s="534"/>
      <c r="E63" s="534"/>
      <c r="F63" s="534"/>
      <c r="G63" s="534"/>
      <c r="H63" s="534"/>
      <c r="I63" s="534"/>
      <c r="J63" s="534"/>
      <c r="K63" s="534"/>
      <c r="L63" s="296"/>
    </row>
    <row r="64" spans="1:12">
      <c r="A64" s="533"/>
      <c r="B64" s="534"/>
      <c r="C64" s="534"/>
      <c r="D64" s="534"/>
      <c r="E64" s="534"/>
      <c r="F64" s="534"/>
      <c r="G64" s="534"/>
      <c r="H64" s="534"/>
      <c r="I64" s="534"/>
      <c r="J64" s="76"/>
      <c r="K64" s="76"/>
      <c r="L64" s="296"/>
    </row>
    <row r="65" spans="1:12">
      <c r="A65" s="533"/>
      <c r="B65" s="534"/>
      <c r="C65" s="534"/>
      <c r="D65" s="534"/>
      <c r="E65" s="534"/>
      <c r="F65" s="534"/>
      <c r="G65" s="534"/>
      <c r="H65" s="534"/>
      <c r="I65" s="534"/>
      <c r="J65" s="76"/>
      <c r="K65" s="76"/>
      <c r="L65" s="296"/>
    </row>
    <row r="66" spans="1:12">
      <c r="A66" s="524"/>
      <c r="B66" s="525"/>
      <c r="C66" s="525"/>
      <c r="D66" s="525"/>
      <c r="E66" s="525"/>
      <c r="F66" s="525"/>
      <c r="G66" s="525"/>
      <c r="H66" s="525"/>
      <c r="I66" s="525"/>
      <c r="J66" s="76"/>
      <c r="K66" s="76"/>
      <c r="L66" s="296"/>
    </row>
    <row r="67" spans="1:12">
      <c r="A67" s="537"/>
      <c r="B67" s="538"/>
      <c r="C67" s="538"/>
      <c r="D67" s="538"/>
      <c r="E67" s="538"/>
      <c r="F67" s="538"/>
      <c r="G67" s="538"/>
      <c r="H67" s="538"/>
      <c r="I67" s="538"/>
      <c r="J67" s="76"/>
      <c r="K67" s="76"/>
      <c r="L67" s="296"/>
    </row>
    <row r="68" spans="1:12">
      <c r="A68" s="385"/>
      <c r="B68" s="386"/>
      <c r="C68" s="386"/>
      <c r="D68" s="386"/>
      <c r="E68" s="386"/>
      <c r="F68" s="386"/>
      <c r="G68" s="386"/>
      <c r="H68" s="386"/>
      <c r="I68" s="386"/>
      <c r="J68" s="76"/>
      <c r="K68" s="76"/>
      <c r="L68" s="296"/>
    </row>
    <row r="69" spans="1:12">
      <c r="A69" s="539" t="s">
        <v>649</v>
      </c>
      <c r="B69" s="540"/>
      <c r="C69" s="540"/>
      <c r="D69" s="540"/>
      <c r="E69" s="540"/>
      <c r="F69" s="540"/>
      <c r="G69" s="540"/>
      <c r="H69" s="540"/>
      <c r="I69" s="540"/>
      <c r="L69" s="296"/>
    </row>
    <row r="70" spans="1:12">
      <c r="A70" s="539" t="s">
        <v>650</v>
      </c>
      <c r="B70" s="540"/>
      <c r="C70" s="540"/>
      <c r="D70" s="540"/>
      <c r="E70" s="540"/>
      <c r="F70" s="540"/>
      <c r="G70" s="540"/>
      <c r="L70" s="296"/>
    </row>
    <row r="71" spans="1:12">
      <c r="A71" s="539" t="s">
        <v>651</v>
      </c>
      <c r="B71" s="540"/>
      <c r="C71" s="540"/>
      <c r="D71" s="540"/>
      <c r="E71" s="540"/>
      <c r="F71" s="540"/>
      <c r="G71" s="540"/>
      <c r="H71" s="540"/>
      <c r="I71" s="540"/>
      <c r="L71" s="296"/>
    </row>
    <row r="72" spans="1:12">
      <c r="A72" s="539" t="s">
        <v>652</v>
      </c>
      <c r="B72" s="540"/>
      <c r="C72" s="540"/>
      <c r="D72" s="540"/>
      <c r="E72" s="540"/>
      <c r="F72" s="540"/>
      <c r="G72" s="540"/>
      <c r="H72" s="540"/>
      <c r="I72" s="540"/>
      <c r="L72" s="296"/>
    </row>
    <row r="73" spans="1:12">
      <c r="A73" s="295"/>
      <c r="L73" s="296"/>
    </row>
    <row r="74" spans="1:12">
      <c r="A74" s="295"/>
      <c r="L74" s="296"/>
    </row>
    <row r="75" spans="1:12" ht="15.75" thickBot="1">
      <c r="A75" s="299"/>
      <c r="B75" s="300"/>
      <c r="C75" s="300"/>
      <c r="D75" s="300"/>
      <c r="E75" s="300"/>
      <c r="F75" s="300"/>
      <c r="G75" s="300"/>
      <c r="H75" s="300"/>
      <c r="I75" s="300"/>
      <c r="J75" s="300"/>
      <c r="K75" s="300"/>
      <c r="L75" s="301"/>
    </row>
  </sheetData>
  <mergeCells count="17">
    <mergeCell ref="A67:I67"/>
    <mergeCell ref="A69:I69"/>
    <mergeCell ref="A70:G70"/>
    <mergeCell ref="A71:I71"/>
    <mergeCell ref="A72:I72"/>
    <mergeCell ref="A66:I66"/>
    <mergeCell ref="C7:L7"/>
    <mergeCell ref="G8:H8"/>
    <mergeCell ref="I8:J8"/>
    <mergeCell ref="A48:K48"/>
    <mergeCell ref="A49:G49"/>
    <mergeCell ref="A50:K50"/>
    <mergeCell ref="A51:G51"/>
    <mergeCell ref="A62:K62"/>
    <mergeCell ref="A63:K63"/>
    <mergeCell ref="A64:I64"/>
    <mergeCell ref="A65:I65"/>
  </mergeCells>
  <hyperlinks>
    <hyperlink ref="C7" location="INDEX" display="Biogas plant, basic configuration" xr:uid="{E844C231-20B1-48C3-AF7E-70DA3D0D22D1}"/>
  </hyperlinks>
  <pageMargins left="0.7" right="0.7" top="0.75" bottom="0.75" header="0.3" footer="0.3"/>
  <pageSetup paperSize="9" orientation="portrait" r:id="rId1"/>
  <headerFooter>
    <oddFooter>&amp;C_x000D_&amp;1#&amp;"Calibri"&amp;10&amp;K000000 ISC - Uso INTERNO / INTERNAL Use</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1AB9-104C-4DA9-9F0A-0A702570E919}">
  <sheetPr>
    <tabColor theme="7"/>
  </sheetPr>
  <dimension ref="A1:W52"/>
  <sheetViews>
    <sheetView zoomScale="85" zoomScaleNormal="85" workbookViewId="0">
      <selection activeCell="N60" sqref="N60"/>
    </sheetView>
  </sheetViews>
  <sheetFormatPr defaultRowHeight="15"/>
  <cols>
    <col min="2" max="2" width="34" bestFit="1" customWidth="1"/>
    <col min="14" max="14" width="25.85546875" bestFit="1" customWidth="1"/>
    <col min="19" max="19" width="39.5703125" bestFit="1" customWidth="1"/>
    <col min="20" max="20" width="12.28515625" bestFit="1" customWidth="1"/>
    <col min="21" max="21" width="11.140625" bestFit="1" customWidth="1"/>
    <col min="22" max="23" width="12.28515625" bestFit="1" customWidth="1"/>
  </cols>
  <sheetData>
    <row r="1" spans="2:23" ht="23.25">
      <c r="B1" s="441" t="s">
        <v>653</v>
      </c>
    </row>
    <row r="2" spans="2:23">
      <c r="B2" t="s">
        <v>532</v>
      </c>
    </row>
    <row r="4" spans="2:23">
      <c r="B4" s="387" t="s">
        <v>281</v>
      </c>
      <c r="C4" s="541" t="s">
        <v>654</v>
      </c>
      <c r="D4" s="542"/>
      <c r="E4" s="542"/>
      <c r="F4" s="542"/>
      <c r="G4" s="542"/>
      <c r="H4" s="542"/>
      <c r="I4" s="542"/>
      <c r="J4" s="542"/>
      <c r="K4" s="542"/>
      <c r="L4" s="542"/>
      <c r="N4" s="302" t="s">
        <v>655</v>
      </c>
      <c r="O4" s="303"/>
      <c r="P4" s="303"/>
      <c r="Q4" s="303"/>
      <c r="R4" s="303"/>
      <c r="S4" s="303"/>
      <c r="T4" s="303"/>
      <c r="U4" s="303"/>
      <c r="V4" s="303"/>
      <c r="W4" s="388"/>
    </row>
    <row r="5" spans="2:23">
      <c r="B5" s="389"/>
      <c r="C5" s="390">
        <v>2015</v>
      </c>
      <c r="D5" s="390">
        <v>2020</v>
      </c>
      <c r="E5" s="390">
        <v>2030</v>
      </c>
      <c r="F5" s="390">
        <v>2050</v>
      </c>
      <c r="G5" s="543" t="s">
        <v>539</v>
      </c>
      <c r="H5" s="543"/>
      <c r="I5" s="543" t="s">
        <v>540</v>
      </c>
      <c r="J5" s="543"/>
      <c r="K5" s="390" t="s">
        <v>541</v>
      </c>
      <c r="L5" s="390" t="s">
        <v>542</v>
      </c>
    </row>
    <row r="6" spans="2:23">
      <c r="B6" s="391" t="s">
        <v>545</v>
      </c>
      <c r="C6" s="391"/>
      <c r="D6" s="391"/>
      <c r="E6" s="391"/>
      <c r="F6" s="391"/>
      <c r="G6" s="392" t="s">
        <v>546</v>
      </c>
      <c r="H6" s="392" t="s">
        <v>547</v>
      </c>
      <c r="I6" s="392" t="s">
        <v>546</v>
      </c>
      <c r="J6" s="392" t="s">
        <v>547</v>
      </c>
      <c r="K6" s="391"/>
      <c r="L6" s="393"/>
      <c r="N6" s="394" t="s">
        <v>656</v>
      </c>
      <c r="O6" s="395"/>
      <c r="P6" s="395"/>
      <c r="S6" s="305" t="s">
        <v>538</v>
      </c>
      <c r="T6" s="306"/>
      <c r="U6" s="306"/>
      <c r="V6" s="306"/>
    </row>
    <row r="7" spans="2:23">
      <c r="B7" s="396" t="s">
        <v>657</v>
      </c>
      <c r="C7" s="397">
        <v>32</v>
      </c>
      <c r="D7" s="397">
        <v>154</v>
      </c>
      <c r="E7" s="397">
        <v>400</v>
      </c>
      <c r="F7" s="397">
        <v>400</v>
      </c>
      <c r="G7" s="397"/>
      <c r="H7" s="397"/>
      <c r="I7" s="397"/>
      <c r="J7" s="397"/>
      <c r="K7" s="397"/>
      <c r="L7" s="398" t="s">
        <v>658</v>
      </c>
      <c r="N7" t="s">
        <v>659</v>
      </c>
      <c r="O7" t="s">
        <v>660</v>
      </c>
      <c r="P7" t="s">
        <v>661</v>
      </c>
      <c r="S7" s="237" t="s">
        <v>176</v>
      </c>
      <c r="T7" s="280">
        <v>2020</v>
      </c>
      <c r="U7" s="280">
        <v>2030</v>
      </c>
      <c r="V7" s="280">
        <v>2050</v>
      </c>
    </row>
    <row r="8" spans="2:23">
      <c r="B8" s="399"/>
      <c r="C8" s="397"/>
      <c r="D8" s="397"/>
      <c r="E8" s="397"/>
      <c r="F8" s="397"/>
      <c r="G8" s="397"/>
      <c r="H8" s="397"/>
      <c r="I8" s="397"/>
      <c r="J8" s="397"/>
      <c r="K8" s="397"/>
      <c r="L8" s="398"/>
      <c r="N8" t="s">
        <v>662</v>
      </c>
      <c r="O8" t="s">
        <v>663</v>
      </c>
      <c r="P8" t="s">
        <v>567</v>
      </c>
      <c r="S8" t="s">
        <v>664</v>
      </c>
      <c r="T8" s="400">
        <f>D7</f>
        <v>154</v>
      </c>
      <c r="U8" s="400">
        <f>E7</f>
        <v>400</v>
      </c>
      <c r="V8" s="400">
        <f>F7</f>
        <v>400</v>
      </c>
    </row>
    <row r="9" spans="2:23">
      <c r="B9" s="401" t="s">
        <v>665</v>
      </c>
      <c r="C9" s="397"/>
      <c r="D9" s="397"/>
      <c r="E9" s="397"/>
      <c r="F9" s="397"/>
      <c r="G9" s="397"/>
      <c r="H9" s="397"/>
      <c r="I9" s="397"/>
      <c r="J9" s="397"/>
      <c r="K9" s="397" t="s">
        <v>666</v>
      </c>
      <c r="L9" s="398"/>
      <c r="N9" t="s">
        <v>667</v>
      </c>
      <c r="O9">
        <v>20</v>
      </c>
      <c r="P9" t="s">
        <v>567</v>
      </c>
      <c r="S9" s="237" t="s">
        <v>550</v>
      </c>
      <c r="T9" s="402">
        <f>D23*D7</f>
        <v>385</v>
      </c>
      <c r="U9" s="402">
        <f>E23*E7</f>
        <v>640</v>
      </c>
      <c r="V9" s="402">
        <f>F23*F7</f>
        <v>600</v>
      </c>
    </row>
    <row r="10" spans="2:23">
      <c r="B10" s="403" t="s">
        <v>668</v>
      </c>
      <c r="C10" s="397">
        <v>91</v>
      </c>
      <c r="D10" s="397">
        <v>100</v>
      </c>
      <c r="E10" s="397">
        <v>100</v>
      </c>
      <c r="F10" s="397">
        <v>100</v>
      </c>
      <c r="G10" s="397"/>
      <c r="H10" s="397"/>
      <c r="I10" s="397"/>
      <c r="J10" s="397"/>
      <c r="K10" s="397"/>
      <c r="L10" s="398"/>
      <c r="N10" t="s">
        <v>669</v>
      </c>
      <c r="O10">
        <v>3</v>
      </c>
      <c r="P10" t="s">
        <v>567</v>
      </c>
      <c r="S10" s="234" t="s">
        <v>554</v>
      </c>
      <c r="T10" s="404">
        <f t="shared" ref="T10:V10" si="0">T9*$O$18</f>
        <v>30.893396068416155</v>
      </c>
      <c r="U10" s="404">
        <f t="shared" si="0"/>
        <v>51.355255802042443</v>
      </c>
      <c r="V10" s="404">
        <f t="shared" si="0"/>
        <v>48.145552314414786</v>
      </c>
    </row>
    <row r="11" spans="2:23">
      <c r="B11" s="403" t="s">
        <v>670</v>
      </c>
      <c r="C11" s="397">
        <v>9</v>
      </c>
      <c r="D11" s="397">
        <v>0</v>
      </c>
      <c r="E11" s="397">
        <v>0</v>
      </c>
      <c r="F11" s="397">
        <v>0</v>
      </c>
      <c r="G11" s="397"/>
      <c r="H11" s="397"/>
      <c r="I11" s="397"/>
      <c r="J11" s="397"/>
      <c r="K11" s="397" t="s">
        <v>666</v>
      </c>
      <c r="L11" s="398"/>
      <c r="N11" t="s">
        <v>671</v>
      </c>
      <c r="O11">
        <v>3</v>
      </c>
      <c r="P11" t="s">
        <v>672</v>
      </c>
      <c r="S11" s="237" t="s">
        <v>559</v>
      </c>
      <c r="T11" s="319">
        <f>(D26*D7+D27*O13*T8)/1000000</f>
        <v>9.5206594560000006</v>
      </c>
      <c r="U11" s="405">
        <f>(E26*E7+E27*O13*U8)/1000000</f>
        <v>15.925657599999999</v>
      </c>
      <c r="V11" s="405">
        <f>(F26*F7+F27*O13*V8)/1000000</f>
        <v>14.7653248</v>
      </c>
    </row>
    <row r="12" spans="2:23" ht="14.25" customHeight="1" thickBot="1">
      <c r="B12" s="406"/>
      <c r="C12" s="397"/>
      <c r="D12" s="397"/>
      <c r="E12" s="397"/>
      <c r="F12" s="397"/>
      <c r="G12" s="397"/>
      <c r="H12" s="397"/>
      <c r="I12" s="397"/>
      <c r="J12" s="397"/>
      <c r="K12" s="397"/>
      <c r="L12" s="398"/>
      <c r="N12" t="s">
        <v>557</v>
      </c>
      <c r="O12">
        <v>20</v>
      </c>
      <c r="P12" t="s">
        <v>247</v>
      </c>
      <c r="S12" s="354" t="s">
        <v>673</v>
      </c>
      <c r="T12" s="364">
        <f t="shared" ref="T12" si="1">T11+T10</f>
        <v>40.414055524416156</v>
      </c>
      <c r="U12" s="364">
        <f>U11+U10</f>
        <v>67.280913402042444</v>
      </c>
      <c r="V12" s="364">
        <f>V11+V10</f>
        <v>62.910877114414788</v>
      </c>
    </row>
    <row r="13" spans="2:23" ht="15.75" customHeight="1" thickTop="1">
      <c r="B13" s="401" t="s">
        <v>674</v>
      </c>
      <c r="C13" s="397"/>
      <c r="D13" s="397"/>
      <c r="E13" s="397"/>
      <c r="F13" s="397"/>
      <c r="G13" s="397"/>
      <c r="H13" s="397"/>
      <c r="I13" s="397"/>
      <c r="J13" s="397"/>
      <c r="K13" s="397" t="s">
        <v>666</v>
      </c>
      <c r="L13" s="398"/>
      <c r="N13" t="s">
        <v>675</v>
      </c>
      <c r="O13" s="63">
        <f>((24*365)-(24*7*O11))*((100-O10)/100)</f>
        <v>8008.32</v>
      </c>
      <c r="P13" t="s">
        <v>676</v>
      </c>
    </row>
    <row r="14" spans="2:23" ht="22.5">
      <c r="B14" s="403" t="s">
        <v>677</v>
      </c>
      <c r="C14" s="397">
        <v>56</v>
      </c>
      <c r="D14" s="397">
        <v>60</v>
      </c>
      <c r="E14" s="397">
        <v>63</v>
      </c>
      <c r="F14" s="397">
        <v>70</v>
      </c>
      <c r="G14" s="397">
        <v>58</v>
      </c>
      <c r="H14" s="397">
        <v>65</v>
      </c>
      <c r="I14" s="397">
        <v>65</v>
      </c>
      <c r="J14" s="397">
        <v>75</v>
      </c>
      <c r="K14" s="397" t="s">
        <v>589</v>
      </c>
      <c r="L14" s="398" t="s">
        <v>678</v>
      </c>
      <c r="S14" s="237" t="s">
        <v>679</v>
      </c>
      <c r="T14" s="407">
        <f>T8*$O$13*(D14/100)</f>
        <v>739968.76800000004</v>
      </c>
      <c r="U14" s="407">
        <f>U8*$O$13*(E14/100)</f>
        <v>2018096.6400000001</v>
      </c>
      <c r="V14" s="407">
        <f>V8*$O$13*(F14/100)</f>
        <v>2242329.5999999996</v>
      </c>
    </row>
    <row r="15" spans="2:23" ht="22.5">
      <c r="B15" s="403" t="s">
        <v>680</v>
      </c>
      <c r="C15" s="397">
        <v>15</v>
      </c>
      <c r="D15" s="397">
        <v>20</v>
      </c>
      <c r="E15" s="397">
        <v>22</v>
      </c>
      <c r="F15" s="397">
        <v>20</v>
      </c>
      <c r="G15" s="397"/>
      <c r="H15" s="397"/>
      <c r="I15" s="397"/>
      <c r="J15" s="397"/>
      <c r="K15" s="397" t="s">
        <v>681</v>
      </c>
      <c r="L15" s="398" t="s">
        <v>678</v>
      </c>
      <c r="N15" s="322" t="s">
        <v>562</v>
      </c>
      <c r="O15" s="323"/>
      <c r="P15" s="323"/>
    </row>
    <row r="16" spans="2:23" ht="15.75" thickBot="1">
      <c r="B16" s="403"/>
      <c r="C16" s="397"/>
      <c r="D16" s="397"/>
      <c r="E16" s="397"/>
      <c r="F16" s="397"/>
      <c r="G16" s="397"/>
      <c r="H16" s="397"/>
      <c r="I16" s="397"/>
      <c r="J16" s="397"/>
      <c r="K16" s="397"/>
      <c r="L16" s="398"/>
      <c r="N16" t="s">
        <v>682</v>
      </c>
      <c r="O16">
        <v>5</v>
      </c>
      <c r="P16" t="s">
        <v>567</v>
      </c>
      <c r="S16" s="298" t="s">
        <v>683</v>
      </c>
      <c r="T16" s="298">
        <f>(T12*1000000)/T14</f>
        <v>54.615893632440653</v>
      </c>
      <c r="U16" s="408">
        <f t="shared" ref="U16" si="2">(U12*1000000)/U14</f>
        <v>33.338796600960819</v>
      </c>
      <c r="V16" s="408">
        <f>(V12*1000000)/V14</f>
        <v>28.056034721396355</v>
      </c>
    </row>
    <row r="17" spans="2:22" ht="15.75" thickTop="1">
      <c r="B17" s="403" t="s">
        <v>684</v>
      </c>
      <c r="C17" s="397">
        <v>3</v>
      </c>
      <c r="D17" s="397">
        <v>3</v>
      </c>
      <c r="E17" s="397">
        <v>3</v>
      </c>
      <c r="F17" s="397">
        <v>3</v>
      </c>
      <c r="G17" s="397"/>
      <c r="H17" s="397"/>
      <c r="I17" s="397"/>
      <c r="J17" s="397"/>
      <c r="K17" s="397"/>
      <c r="L17" s="398"/>
      <c r="N17" t="s">
        <v>570</v>
      </c>
      <c r="O17">
        <v>20</v>
      </c>
      <c r="P17" t="s">
        <v>247</v>
      </c>
    </row>
    <row r="18" spans="2:22">
      <c r="B18" s="403" t="s">
        <v>685</v>
      </c>
      <c r="C18" s="397">
        <v>3</v>
      </c>
      <c r="D18" s="397">
        <v>3</v>
      </c>
      <c r="E18" s="397">
        <v>3</v>
      </c>
      <c r="F18" s="397">
        <v>3</v>
      </c>
      <c r="G18" s="397"/>
      <c r="H18" s="397"/>
      <c r="I18" s="397"/>
      <c r="J18" s="397"/>
      <c r="K18" s="397"/>
      <c r="L18" s="398"/>
      <c r="N18" t="s">
        <v>572</v>
      </c>
      <c r="O18" s="329">
        <f>(O16/100)/(1 - POWER(1 + (O16/100),-O17))</f>
        <v>8.0242587190691314E-2</v>
      </c>
      <c r="S18" t="s">
        <v>686</v>
      </c>
      <c r="T18">
        <v>28</v>
      </c>
      <c r="U18">
        <v>28</v>
      </c>
      <c r="V18">
        <v>28</v>
      </c>
    </row>
    <row r="19" spans="2:22">
      <c r="B19" s="403" t="s">
        <v>604</v>
      </c>
      <c r="C19" s="397">
        <v>15</v>
      </c>
      <c r="D19" s="397">
        <v>20</v>
      </c>
      <c r="E19" s="397">
        <v>20</v>
      </c>
      <c r="F19" s="397">
        <v>20</v>
      </c>
      <c r="G19" s="397"/>
      <c r="H19" s="397"/>
      <c r="I19" s="397"/>
      <c r="J19" s="397"/>
      <c r="K19" s="397"/>
      <c r="L19" s="398"/>
    </row>
    <row r="20" spans="2:22" ht="15.75" thickBot="1">
      <c r="B20" s="403" t="s">
        <v>606</v>
      </c>
      <c r="C20" s="397">
        <v>2.5</v>
      </c>
      <c r="D20" s="397">
        <v>2.5</v>
      </c>
      <c r="E20" s="397">
        <v>2.5</v>
      </c>
      <c r="F20" s="397">
        <v>2.5</v>
      </c>
      <c r="G20" s="397"/>
      <c r="H20" s="397"/>
      <c r="I20" s="397"/>
      <c r="J20" s="397"/>
      <c r="K20" s="397"/>
      <c r="L20" s="398"/>
      <c r="S20" s="298" t="s">
        <v>687</v>
      </c>
      <c r="T20" s="408">
        <f t="shared" ref="T20:V20" si="3">T18+T16</f>
        <v>82.615893632440645</v>
      </c>
      <c r="U20" s="408">
        <f t="shared" si="3"/>
        <v>61.338796600960819</v>
      </c>
      <c r="V20" s="408">
        <f t="shared" si="3"/>
        <v>56.056034721396358</v>
      </c>
    </row>
    <row r="21" spans="2:22" ht="15.75" thickTop="1">
      <c r="B21" s="403"/>
      <c r="C21" s="397"/>
      <c r="D21" s="397"/>
      <c r="E21" s="397"/>
      <c r="F21" s="397"/>
      <c r="G21" s="397"/>
      <c r="H21" s="397"/>
      <c r="I21" s="397"/>
      <c r="J21" s="397"/>
      <c r="K21" s="397"/>
      <c r="L21" s="398"/>
    </row>
    <row r="22" spans="2:22">
      <c r="B22" s="391" t="s">
        <v>610</v>
      </c>
      <c r="C22" s="391"/>
      <c r="D22" s="391"/>
      <c r="E22" s="391"/>
      <c r="F22" s="391"/>
      <c r="G22" s="391"/>
      <c r="H22" s="391"/>
      <c r="I22" s="391"/>
      <c r="J22" s="391"/>
      <c r="K22" s="391"/>
      <c r="L22" s="409"/>
    </row>
    <row r="23" spans="2:22" ht="22.5">
      <c r="B23" s="396" t="s">
        <v>688</v>
      </c>
      <c r="C23" s="397">
        <v>4</v>
      </c>
      <c r="D23" s="397">
        <v>2.5</v>
      </c>
      <c r="E23" s="397">
        <v>1.6</v>
      </c>
      <c r="F23" s="397">
        <v>1.5</v>
      </c>
      <c r="G23" s="397">
        <v>1.8</v>
      </c>
      <c r="H23" s="397">
        <v>3</v>
      </c>
      <c r="I23" s="397">
        <v>1.4</v>
      </c>
      <c r="J23" s="397">
        <v>2.6</v>
      </c>
      <c r="K23" s="397" t="s">
        <v>689</v>
      </c>
      <c r="L23" s="410" t="s">
        <v>690</v>
      </c>
    </row>
    <row r="24" spans="2:22">
      <c r="B24" s="403" t="s">
        <v>618</v>
      </c>
      <c r="C24" s="397" t="s">
        <v>619</v>
      </c>
      <c r="D24" s="397"/>
      <c r="E24" s="397"/>
      <c r="F24" s="397"/>
      <c r="G24" s="397"/>
      <c r="H24" s="397"/>
      <c r="I24" s="397"/>
      <c r="J24" s="397"/>
      <c r="K24" s="397"/>
      <c r="L24" s="398"/>
    </row>
    <row r="25" spans="2:22">
      <c r="B25" s="403" t="s">
        <v>623</v>
      </c>
      <c r="C25" s="397" t="s">
        <v>619</v>
      </c>
      <c r="D25" s="397"/>
      <c r="E25" s="397"/>
      <c r="F25" s="397"/>
      <c r="G25" s="397"/>
      <c r="H25" s="397"/>
      <c r="I25" s="397"/>
      <c r="J25" s="397"/>
      <c r="K25" s="397"/>
      <c r="L25" s="398"/>
    </row>
    <row r="26" spans="2:22" ht="22.5">
      <c r="B26" s="403" t="s">
        <v>691</v>
      </c>
      <c r="C26" s="411">
        <v>80500</v>
      </c>
      <c r="D26" s="411">
        <v>40200</v>
      </c>
      <c r="E26" s="411">
        <v>26200</v>
      </c>
      <c r="F26" s="411">
        <v>24100</v>
      </c>
      <c r="G26" s="411">
        <v>30200</v>
      </c>
      <c r="H26" s="411">
        <v>50300</v>
      </c>
      <c r="I26" s="411">
        <v>18100</v>
      </c>
      <c r="J26" s="411">
        <v>30200</v>
      </c>
      <c r="K26" s="397" t="s">
        <v>585</v>
      </c>
      <c r="L26" s="398" t="s">
        <v>692</v>
      </c>
    </row>
    <row r="27" spans="2:22" ht="22.5">
      <c r="B27" s="403" t="s">
        <v>693</v>
      </c>
      <c r="C27" s="397">
        <v>5.3</v>
      </c>
      <c r="D27" s="397">
        <v>2.7</v>
      </c>
      <c r="E27" s="397">
        <v>1.7</v>
      </c>
      <c r="F27" s="397">
        <v>1.6</v>
      </c>
      <c r="G27" s="397">
        <v>1.8</v>
      </c>
      <c r="H27" s="397">
        <v>3.5</v>
      </c>
      <c r="I27" s="397">
        <v>1.1000000000000001</v>
      </c>
      <c r="J27" s="397">
        <v>2.1</v>
      </c>
      <c r="K27" s="397" t="s">
        <v>585</v>
      </c>
      <c r="L27" s="398" t="s">
        <v>692</v>
      </c>
    </row>
    <row r="28" spans="2:22">
      <c r="B28" s="403"/>
      <c r="C28" s="412"/>
      <c r="D28" s="413"/>
      <c r="E28" s="413"/>
      <c r="F28" s="413"/>
      <c r="G28" s="397"/>
      <c r="H28" s="397"/>
      <c r="I28" s="397"/>
      <c r="J28" s="397"/>
      <c r="K28" s="397"/>
      <c r="L28" s="398"/>
    </row>
    <row r="29" spans="2:22">
      <c r="B29" s="414" t="s">
        <v>694</v>
      </c>
      <c r="C29" s="415"/>
      <c r="D29" s="415"/>
      <c r="E29" s="415"/>
      <c r="F29" s="415"/>
      <c r="G29" s="397"/>
      <c r="H29" s="397"/>
      <c r="I29" s="397"/>
      <c r="J29" s="397"/>
      <c r="K29" s="397"/>
      <c r="L29" s="398"/>
    </row>
    <row r="30" spans="2:22">
      <c r="B30" s="403" t="s">
        <v>695</v>
      </c>
      <c r="C30" s="397">
        <v>6</v>
      </c>
      <c r="D30" s="397">
        <v>6</v>
      </c>
      <c r="E30" s="397">
        <v>6</v>
      </c>
      <c r="F30" s="397">
        <v>6</v>
      </c>
      <c r="G30" s="397"/>
      <c r="H30" s="397"/>
      <c r="I30" s="397"/>
      <c r="J30" s="397"/>
      <c r="K30" s="397" t="s">
        <v>696</v>
      </c>
      <c r="L30" s="398"/>
    </row>
    <row r="31" spans="2:22">
      <c r="B31" s="403" t="s">
        <v>697</v>
      </c>
      <c r="C31" s="397">
        <v>12</v>
      </c>
      <c r="D31" s="397">
        <v>12</v>
      </c>
      <c r="E31" s="397">
        <v>12</v>
      </c>
      <c r="F31" s="397">
        <v>12</v>
      </c>
      <c r="G31" s="397"/>
      <c r="H31" s="397"/>
      <c r="I31" s="397"/>
      <c r="J31" s="397"/>
      <c r="K31" s="397" t="s">
        <v>696</v>
      </c>
      <c r="L31" s="398"/>
    </row>
    <row r="32" spans="2:22">
      <c r="B32" s="403"/>
      <c r="C32" s="397"/>
      <c r="D32" s="397"/>
      <c r="E32" s="397"/>
      <c r="F32" s="397"/>
      <c r="G32" s="397"/>
      <c r="H32" s="397"/>
      <c r="I32" s="397"/>
      <c r="J32" s="397"/>
      <c r="K32" s="397"/>
      <c r="L32" s="398"/>
    </row>
    <row r="33" spans="1:12">
      <c r="B33" s="391" t="s">
        <v>698</v>
      </c>
      <c r="C33" s="391"/>
      <c r="D33" s="391"/>
      <c r="E33" s="391"/>
      <c r="F33" s="391"/>
      <c r="G33" s="391"/>
      <c r="H33" s="391"/>
      <c r="I33" s="391"/>
      <c r="J33" s="391"/>
      <c r="K33" s="391"/>
      <c r="L33" s="409"/>
    </row>
    <row r="34" spans="1:12">
      <c r="B34" s="403" t="s">
        <v>699</v>
      </c>
      <c r="C34" s="397">
        <v>16</v>
      </c>
      <c r="D34" s="397">
        <v>20</v>
      </c>
      <c r="E34" s="397">
        <v>20</v>
      </c>
      <c r="F34" s="397">
        <v>20</v>
      </c>
      <c r="G34" s="397"/>
      <c r="H34" s="397"/>
      <c r="I34" s="397"/>
      <c r="J34" s="397"/>
      <c r="K34" s="397" t="s">
        <v>700</v>
      </c>
      <c r="L34" s="398" t="s">
        <v>701</v>
      </c>
    </row>
    <row r="35" spans="1:12">
      <c r="B35" s="403" t="s">
        <v>702</v>
      </c>
      <c r="C35" s="397">
        <v>0</v>
      </c>
      <c r="D35" s="397">
        <v>0</v>
      </c>
      <c r="E35" s="397">
        <v>0</v>
      </c>
      <c r="F35" s="397">
        <v>0</v>
      </c>
      <c r="G35" s="397"/>
      <c r="H35" s="397"/>
      <c r="I35" s="416"/>
      <c r="J35" s="416"/>
      <c r="K35" s="397" t="s">
        <v>700</v>
      </c>
      <c r="L35" s="398">
        <v>29</v>
      </c>
    </row>
    <row r="36" spans="1:12">
      <c r="B36" s="403" t="s">
        <v>703</v>
      </c>
      <c r="C36" s="397">
        <v>0.3</v>
      </c>
      <c r="D36" s="397">
        <v>1</v>
      </c>
      <c r="E36" s="397">
        <v>1</v>
      </c>
      <c r="F36" s="397">
        <v>0</v>
      </c>
      <c r="G36" s="397"/>
      <c r="H36" s="397"/>
      <c r="I36" s="415"/>
      <c r="J36" s="415"/>
      <c r="K36" s="397" t="s">
        <v>700</v>
      </c>
      <c r="L36" s="398" t="s">
        <v>701</v>
      </c>
    </row>
    <row r="37" spans="1:12">
      <c r="A37" t="s">
        <v>704</v>
      </c>
    </row>
    <row r="38" spans="1:12" ht="15" customHeight="1">
      <c r="A38">
        <v>1</v>
      </c>
      <c r="B38" t="s">
        <v>705</v>
      </c>
    </row>
    <row r="39" spans="1:12" ht="15" customHeight="1">
      <c r="A39">
        <v>2</v>
      </c>
      <c r="B39" t="s">
        <v>706</v>
      </c>
    </row>
    <row r="40" spans="1:12">
      <c r="A40">
        <v>3</v>
      </c>
      <c r="B40" t="s">
        <v>707</v>
      </c>
    </row>
    <row r="41" spans="1:12" ht="15" customHeight="1">
      <c r="A41">
        <v>4</v>
      </c>
      <c r="B41" t="s">
        <v>708</v>
      </c>
    </row>
    <row r="42" spans="1:12">
      <c r="A42">
        <v>5</v>
      </c>
      <c r="B42" t="s">
        <v>709</v>
      </c>
    </row>
    <row r="43" spans="1:12" ht="15" customHeight="1">
      <c r="A43">
        <v>6</v>
      </c>
      <c r="B43" t="s">
        <v>710</v>
      </c>
    </row>
    <row r="44" spans="1:12">
      <c r="A44" t="s">
        <v>711</v>
      </c>
    </row>
    <row r="45" spans="1:12">
      <c r="A45" t="s">
        <v>556</v>
      </c>
      <c r="B45" t="s">
        <v>712</v>
      </c>
    </row>
    <row r="46" spans="1:12" ht="15" customHeight="1">
      <c r="A46" t="s">
        <v>666</v>
      </c>
      <c r="B46" t="s">
        <v>713</v>
      </c>
    </row>
    <row r="47" spans="1:12" ht="15" customHeight="1">
      <c r="A47" t="s">
        <v>696</v>
      </c>
      <c r="B47" t="s">
        <v>714</v>
      </c>
    </row>
    <row r="48" spans="1:12" ht="15" customHeight="1">
      <c r="A48" t="s">
        <v>700</v>
      </c>
      <c r="B48" t="s">
        <v>715</v>
      </c>
    </row>
    <row r="49" spans="1:2" ht="15" customHeight="1">
      <c r="A49" t="s">
        <v>689</v>
      </c>
      <c r="B49" t="s">
        <v>716</v>
      </c>
    </row>
    <row r="50" spans="1:2" ht="15" customHeight="1">
      <c r="A50" t="s">
        <v>585</v>
      </c>
      <c r="B50" t="s">
        <v>717</v>
      </c>
    </row>
    <row r="51" spans="1:2" ht="15" customHeight="1">
      <c r="A51" t="s">
        <v>589</v>
      </c>
      <c r="B51" t="s">
        <v>718</v>
      </c>
    </row>
    <row r="52" spans="1:2" ht="15" customHeight="1">
      <c r="A52" t="s">
        <v>681</v>
      </c>
      <c r="B52" t="s">
        <v>719</v>
      </c>
    </row>
  </sheetData>
  <mergeCells count="3">
    <mergeCell ref="C4:L4"/>
    <mergeCell ref="G5:H5"/>
    <mergeCell ref="I5:J5"/>
  </mergeCells>
  <hyperlinks>
    <hyperlink ref="C4" location="INDEX" display="Gasifier, biomass, bio-SNG, medium - large scale" xr:uid="{3A4D616B-16B8-4FEA-9296-13ADA2527145}"/>
  </hyperlinks>
  <pageMargins left="0.7" right="0.7" top="0.75" bottom="0.75" header="0.3" footer="0.3"/>
  <headerFooter>
    <oddFooter>&amp;C_x000D_&amp;1#&amp;"Calibri"&amp;10&amp;K000000 ISC - Uso INTERNO / INTERNAL Use</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8B474-D273-4915-ABC2-21DCECEE6291}">
  <sheetPr>
    <tabColor theme="5"/>
  </sheetPr>
  <dimension ref="B1"/>
  <sheetViews>
    <sheetView workbookViewId="0">
      <selection activeCell="Q18" sqref="Q18"/>
    </sheetView>
  </sheetViews>
  <sheetFormatPr defaultRowHeight="15"/>
  <sheetData>
    <row r="1" spans="2:2" ht="23.25">
      <c r="B1" s="439" t="s">
        <v>21</v>
      </c>
    </row>
  </sheetData>
  <pageMargins left="0.7" right="0.7" top="0.75" bottom="0.75" header="0.3" footer="0.3"/>
  <headerFooter>
    <oddFooter>&amp;C_x000D_&amp;1#&amp;"Calibri"&amp;10&amp;K000000 ISC - Uso INTERNO / INTERNAL Use</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4E78F-5ED8-463E-BB41-0A57043CB2BF}">
  <sheetPr>
    <tabColor theme="7"/>
  </sheetPr>
  <dimension ref="B1:L56"/>
  <sheetViews>
    <sheetView showGridLines="0" zoomScaleNormal="100" workbookViewId="0">
      <selection activeCell="B1" sqref="B1"/>
    </sheetView>
  </sheetViews>
  <sheetFormatPr defaultRowHeight="15"/>
  <cols>
    <col min="2" max="2" width="29.42578125" customWidth="1"/>
    <col min="3" max="3" width="11.28515625" customWidth="1"/>
  </cols>
  <sheetData>
    <row r="1" spans="2:6" ht="23.25">
      <c r="B1" s="439" t="s">
        <v>22</v>
      </c>
    </row>
    <row r="3" spans="2:6">
      <c r="B3" s="11" t="s">
        <v>720</v>
      </c>
    </row>
    <row r="4" spans="2:6">
      <c r="B4" s="417" t="s">
        <v>721</v>
      </c>
      <c r="C4" s="253"/>
      <c r="D4" s="253"/>
      <c r="E4" s="253"/>
      <c r="F4" s="253"/>
    </row>
    <row r="5" spans="2:6">
      <c r="B5" s="237" t="s">
        <v>722</v>
      </c>
      <c r="C5" s="237" t="s">
        <v>723</v>
      </c>
      <c r="D5" s="237">
        <v>2030</v>
      </c>
      <c r="E5" s="237">
        <v>2040</v>
      </c>
      <c r="F5" s="237">
        <v>2050</v>
      </c>
    </row>
    <row r="6" spans="2:6">
      <c r="B6" s="418" t="s">
        <v>724</v>
      </c>
      <c r="C6" s="418" t="s">
        <v>725</v>
      </c>
      <c r="D6" s="63">
        <v>163.52000000000001</v>
      </c>
      <c r="E6">
        <v>259</v>
      </c>
      <c r="F6">
        <v>259</v>
      </c>
    </row>
    <row r="7" spans="2:6">
      <c r="B7" s="77" t="s">
        <v>724</v>
      </c>
      <c r="C7" s="77" t="s">
        <v>726</v>
      </c>
      <c r="D7" s="419">
        <v>0</v>
      </c>
      <c r="E7" s="419">
        <v>89.424999999999997</v>
      </c>
      <c r="F7" s="419">
        <v>89.424999999999997</v>
      </c>
    </row>
    <row r="8" spans="2:6">
      <c r="B8" s="11" t="s">
        <v>727</v>
      </c>
      <c r="C8" s="11"/>
      <c r="D8" s="420">
        <f>D7+D6</f>
        <v>163.52000000000001</v>
      </c>
      <c r="E8" s="421">
        <f>E7+E6</f>
        <v>348.42500000000001</v>
      </c>
      <c r="F8" s="420">
        <f>F7+F6</f>
        <v>348.42500000000001</v>
      </c>
    </row>
    <row r="9" spans="2:6">
      <c r="B9" s="77" t="s">
        <v>728</v>
      </c>
      <c r="C9" s="77" t="s">
        <v>729</v>
      </c>
      <c r="D9" s="419">
        <v>0</v>
      </c>
      <c r="E9" s="419">
        <v>73</v>
      </c>
      <c r="F9" s="419">
        <v>73</v>
      </c>
    </row>
    <row r="10" spans="2:6">
      <c r="B10" s="77" t="s">
        <v>730</v>
      </c>
      <c r="C10" s="77" t="s">
        <v>731</v>
      </c>
      <c r="D10" s="419">
        <v>151.11000000000001</v>
      </c>
      <c r="E10" s="419">
        <v>151.11000000000001</v>
      </c>
      <c r="F10" s="419">
        <v>151.11000000000001</v>
      </c>
    </row>
    <row r="11" spans="2:6">
      <c r="B11" s="11" t="s">
        <v>732</v>
      </c>
      <c r="C11" s="11"/>
      <c r="D11" s="421">
        <v>151.11000000000001</v>
      </c>
      <c r="E11" s="421">
        <v>224.11</v>
      </c>
      <c r="F11" s="421">
        <v>224.11</v>
      </c>
    </row>
    <row r="12" spans="2:6">
      <c r="B12" s="77" t="s">
        <v>733</v>
      </c>
      <c r="C12" s="77" t="s">
        <v>734</v>
      </c>
      <c r="D12" s="419">
        <v>0</v>
      </c>
      <c r="E12" s="419">
        <v>54.75</v>
      </c>
      <c r="F12" s="419">
        <v>54.75</v>
      </c>
    </row>
    <row r="13" spans="2:6">
      <c r="B13" s="77" t="s">
        <v>733</v>
      </c>
      <c r="C13" s="77" t="s">
        <v>735</v>
      </c>
      <c r="D13" s="419">
        <v>0</v>
      </c>
      <c r="E13" s="419">
        <v>62.707000000000008</v>
      </c>
      <c r="F13" s="419">
        <v>62.707000000000008</v>
      </c>
    </row>
    <row r="14" spans="2:6">
      <c r="B14" s="77" t="s">
        <v>733</v>
      </c>
      <c r="C14" s="77" t="s">
        <v>736</v>
      </c>
      <c r="D14" s="419">
        <v>87.6</v>
      </c>
      <c r="E14" s="419">
        <v>113.88</v>
      </c>
      <c r="F14" s="419">
        <v>113.88</v>
      </c>
    </row>
    <row r="15" spans="2:6">
      <c r="B15" t="s">
        <v>737</v>
      </c>
      <c r="D15" s="421">
        <v>87.6</v>
      </c>
      <c r="E15" s="421">
        <v>231.33699999999999</v>
      </c>
      <c r="F15" s="421">
        <v>231.33699999999999</v>
      </c>
    </row>
    <row r="16" spans="2:6">
      <c r="B16" s="237" t="s">
        <v>738</v>
      </c>
      <c r="C16" s="237"/>
      <c r="D16" s="422">
        <v>164</v>
      </c>
      <c r="E16" s="422">
        <v>164</v>
      </c>
      <c r="F16" s="422">
        <v>164</v>
      </c>
    </row>
    <row r="17" spans="2:9" ht="15.75" thickBot="1">
      <c r="B17" s="354" t="s">
        <v>427</v>
      </c>
      <c r="C17" s="354"/>
      <c r="D17" s="423">
        <v>573.53000000000009</v>
      </c>
      <c r="E17" s="423">
        <v>1000.472</v>
      </c>
      <c r="F17" s="423">
        <v>1049.2719999999999</v>
      </c>
    </row>
    <row r="18" spans="2:9" ht="15.75" thickTop="1"/>
    <row r="19" spans="2:9">
      <c r="B19" t="s">
        <v>739</v>
      </c>
    </row>
    <row r="20" spans="2:9">
      <c r="B20" s="424" t="s">
        <v>740</v>
      </c>
      <c r="C20" s="253"/>
      <c r="D20" s="253"/>
      <c r="E20" s="253"/>
      <c r="F20" s="253"/>
      <c r="G20" s="253"/>
      <c r="H20" s="253"/>
      <c r="I20" s="253"/>
    </row>
    <row r="21" spans="2:9">
      <c r="B21" s="237" t="s">
        <v>741</v>
      </c>
      <c r="C21" s="237">
        <v>2030</v>
      </c>
      <c r="D21" s="237">
        <v>2040</v>
      </c>
      <c r="E21" s="237">
        <v>2050</v>
      </c>
    </row>
    <row r="22" spans="2:9">
      <c r="B22" t="s">
        <v>728</v>
      </c>
      <c r="C22" s="234">
        <v>39</v>
      </c>
      <c r="D22" s="234">
        <v>134</v>
      </c>
      <c r="E22" s="234">
        <v>88</v>
      </c>
    </row>
    <row r="23" spans="2:9">
      <c r="B23" t="s">
        <v>742</v>
      </c>
      <c r="C23" s="425">
        <v>70</v>
      </c>
      <c r="D23">
        <v>196</v>
      </c>
      <c r="E23">
        <v>490</v>
      </c>
    </row>
    <row r="24" spans="2:9">
      <c r="B24" s="237" t="s">
        <v>743</v>
      </c>
      <c r="C24">
        <v>12</v>
      </c>
      <c r="D24">
        <v>50</v>
      </c>
      <c r="E24">
        <v>100</v>
      </c>
    </row>
    <row r="25" spans="2:9" ht="15.75" thickBot="1">
      <c r="B25" s="354" t="s">
        <v>744</v>
      </c>
      <c r="C25" s="354">
        <f>C24+C23+C22</f>
        <v>121</v>
      </c>
      <c r="D25" s="354">
        <f>D24+D23+D22</f>
        <v>380</v>
      </c>
      <c r="E25" s="354">
        <f>E24+E23+E22</f>
        <v>678</v>
      </c>
    </row>
    <row r="26" spans="2:9" ht="15.75" thickTop="1"/>
    <row r="27" spans="2:9">
      <c r="B27" t="s">
        <v>745</v>
      </c>
    </row>
    <row r="28" spans="2:9">
      <c r="B28" s="424" t="s">
        <v>746</v>
      </c>
      <c r="C28" s="424"/>
      <c r="D28" s="424"/>
      <c r="E28" s="424"/>
      <c r="F28" s="424"/>
      <c r="G28" s="424"/>
      <c r="H28" s="424"/>
      <c r="I28" s="424"/>
    </row>
    <row r="29" spans="2:9">
      <c r="B29" s="237" t="s">
        <v>747</v>
      </c>
      <c r="C29" s="237">
        <v>2030</v>
      </c>
      <c r="D29" s="237">
        <v>2040</v>
      </c>
      <c r="E29" s="237">
        <v>2050</v>
      </c>
    </row>
    <row r="30" spans="2:9" ht="15.75" thickBot="1">
      <c r="B30" s="289" t="s">
        <v>748</v>
      </c>
      <c r="C30" s="426">
        <v>199.98</v>
      </c>
      <c r="D30" s="427">
        <v>274.97249999999997</v>
      </c>
      <c r="E30" s="428" t="s">
        <v>749</v>
      </c>
    </row>
    <row r="31" spans="2:9" ht="15.75" thickTop="1"/>
    <row r="32" spans="2:9">
      <c r="B32" t="s">
        <v>750</v>
      </c>
    </row>
    <row r="33" spans="2:12">
      <c r="B33" s="424" t="s">
        <v>751</v>
      </c>
      <c r="C33" s="424"/>
      <c r="D33" s="424"/>
      <c r="E33" s="424"/>
      <c r="F33" s="424"/>
      <c r="G33" s="424"/>
      <c r="H33" s="424"/>
      <c r="I33" s="424"/>
    </row>
    <row r="34" spans="2:12">
      <c r="B34" s="237" t="s">
        <v>752</v>
      </c>
      <c r="C34" s="237">
        <v>2030</v>
      </c>
      <c r="D34" s="237">
        <v>2040</v>
      </c>
      <c r="E34" s="237">
        <v>2050</v>
      </c>
    </row>
    <row r="35" spans="2:12">
      <c r="B35" t="s">
        <v>753</v>
      </c>
      <c r="E35" s="429">
        <v>250</v>
      </c>
    </row>
    <row r="36" spans="2:12">
      <c r="B36" t="s">
        <v>754</v>
      </c>
      <c r="E36" s="425">
        <v>661.66666666666663</v>
      </c>
    </row>
    <row r="37" spans="2:12">
      <c r="B37" t="s">
        <v>755</v>
      </c>
      <c r="E37" s="425">
        <v>446.11111111111109</v>
      </c>
    </row>
    <row r="38" spans="2:12" ht="15.75" thickBot="1">
      <c r="B38" s="289" t="s">
        <v>427</v>
      </c>
      <c r="C38" s="289"/>
      <c r="D38" s="289"/>
      <c r="E38" s="430">
        <f>E37+E35+E36</f>
        <v>1357.7777777777778</v>
      </c>
    </row>
    <row r="39" spans="2:12" ht="15.75" thickTop="1"/>
    <row r="40" spans="2:12">
      <c r="B40" t="s">
        <v>756</v>
      </c>
    </row>
    <row r="41" spans="2:12">
      <c r="B41" s="424" t="s">
        <v>757</v>
      </c>
      <c r="C41" s="424"/>
      <c r="D41" s="424"/>
      <c r="E41" s="424"/>
    </row>
    <row r="42" spans="2:12">
      <c r="B42" s="237" t="s">
        <v>752</v>
      </c>
      <c r="C42" s="237">
        <v>2030</v>
      </c>
      <c r="D42" s="237">
        <v>2040</v>
      </c>
      <c r="E42" s="237">
        <v>2050</v>
      </c>
    </row>
    <row r="43" spans="2:12" ht="19.5" thickBot="1">
      <c r="B43" s="289" t="s">
        <v>758</v>
      </c>
      <c r="C43" s="431">
        <v>7</v>
      </c>
      <c r="D43" s="431">
        <v>33</v>
      </c>
      <c r="E43" s="427">
        <v>81</v>
      </c>
      <c r="L43" s="432"/>
    </row>
    <row r="44" spans="2:12" ht="15.75" thickTop="1">
      <c r="H44" s="4"/>
    </row>
    <row r="45" spans="2:12">
      <c r="H45" s="4"/>
    </row>
    <row r="46" spans="2:12">
      <c r="B46" s="433" t="s">
        <v>759</v>
      </c>
      <c r="C46" s="194"/>
      <c r="D46" s="194"/>
      <c r="E46" s="194"/>
    </row>
    <row r="48" spans="2:12">
      <c r="B48" s="424" t="s">
        <v>760</v>
      </c>
      <c r="C48" s="424"/>
      <c r="D48" s="424"/>
      <c r="E48" s="424"/>
    </row>
    <row r="49" spans="2:5">
      <c r="B49" s="276" t="s">
        <v>761</v>
      </c>
      <c r="C49" s="276">
        <v>2030</v>
      </c>
      <c r="D49" s="276">
        <v>2040</v>
      </c>
      <c r="E49" s="276">
        <v>2050</v>
      </c>
    </row>
    <row r="50" spans="2:5">
      <c r="B50" s="234" t="s">
        <v>728</v>
      </c>
      <c r="C50" s="278">
        <f>D11</f>
        <v>151.11000000000001</v>
      </c>
      <c r="D50" s="278">
        <f t="shared" ref="D50:E50" si="0">E11</f>
        <v>224.11</v>
      </c>
      <c r="E50" s="278">
        <f t="shared" si="0"/>
        <v>224.11</v>
      </c>
    </row>
    <row r="51" spans="2:5">
      <c r="B51" t="s">
        <v>742</v>
      </c>
      <c r="C51" s="63">
        <f>C23+C43</f>
        <v>77</v>
      </c>
      <c r="D51" s="63">
        <f>E8+D43</f>
        <v>381.42500000000001</v>
      </c>
      <c r="E51" s="63">
        <f>E36</f>
        <v>661.66666666666663</v>
      </c>
    </row>
    <row r="52" spans="2:5">
      <c r="B52" t="s">
        <v>743</v>
      </c>
      <c r="C52" s="63">
        <f>D15</f>
        <v>87.6</v>
      </c>
      <c r="D52" s="63">
        <f t="shared" ref="D52:E52" si="1">E15</f>
        <v>231.33699999999999</v>
      </c>
      <c r="E52" s="63">
        <f t="shared" si="1"/>
        <v>231.33699999999999</v>
      </c>
    </row>
    <row r="53" spans="2:5">
      <c r="B53" s="237" t="s">
        <v>762</v>
      </c>
      <c r="C53" s="280">
        <f>MAX(C30,C35)</f>
        <v>199.98</v>
      </c>
      <c r="D53" s="434">
        <f>(C53+E53)/2</f>
        <v>448.04555555555555</v>
      </c>
      <c r="E53" s="280">
        <f>E35+E37</f>
        <v>696.11111111111109</v>
      </c>
    </row>
    <row r="54" spans="2:5" ht="15.75" thickBot="1">
      <c r="B54" s="354" t="s">
        <v>427</v>
      </c>
      <c r="C54" s="423">
        <f>SUM(C50:C53)</f>
        <v>515.69000000000005</v>
      </c>
      <c r="D54" s="423">
        <f t="shared" ref="D54:E54" si="2">SUM(D50:D53)</f>
        <v>1284.9175555555557</v>
      </c>
      <c r="E54" s="423">
        <f t="shared" si="2"/>
        <v>1813.2247777777777</v>
      </c>
    </row>
    <row r="55" spans="2:5" ht="15.75" thickTop="1"/>
    <row r="56" spans="2:5">
      <c r="B56" s="435" t="s">
        <v>763</v>
      </c>
    </row>
  </sheetData>
  <pageMargins left="0.7" right="0.7" top="0.75" bottom="0.75" header="0.3" footer="0.3"/>
  <pageSetup paperSize="9" orientation="portrait" r:id="rId1"/>
  <headerFooter>
    <oddFooter>&amp;C_x000D_&amp;1#&amp;"Calibri"&amp;10&amp;K000000 ISC - Uso INTERNO / INTERNAL Use</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2910-2574-45A5-BB45-D79209FE59A1}">
  <sheetPr>
    <tabColor theme="7"/>
  </sheetPr>
  <dimension ref="B4:F24"/>
  <sheetViews>
    <sheetView showGridLines="0" workbookViewId="0">
      <selection activeCell="I33" sqref="I33"/>
    </sheetView>
  </sheetViews>
  <sheetFormatPr defaultRowHeight="15"/>
  <cols>
    <col min="2" max="2" width="34.7109375" customWidth="1"/>
    <col min="3" max="3" width="11.5703125" customWidth="1"/>
    <col min="14" max="14" width="36.5703125" bestFit="1" customWidth="1"/>
  </cols>
  <sheetData>
    <row r="4" spans="2:6" ht="23.25">
      <c r="B4" s="438" t="s">
        <v>23</v>
      </c>
    </row>
    <row r="6" spans="2:6">
      <c r="B6" s="11" t="s">
        <v>764</v>
      </c>
    </row>
    <row r="7" spans="2:6">
      <c r="B7" s="282" t="s">
        <v>45</v>
      </c>
      <c r="C7" s="282">
        <v>2030</v>
      </c>
      <c r="D7" s="282">
        <v>2040</v>
      </c>
      <c r="E7" s="282">
        <v>2050</v>
      </c>
    </row>
    <row r="8" spans="2:6">
      <c r="B8" t="s">
        <v>724</v>
      </c>
      <c r="C8" s="63">
        <v>456.74324324324317</v>
      </c>
      <c r="D8" s="63">
        <v>456.74324324324317</v>
      </c>
      <c r="E8" s="63">
        <v>456.74324324324317</v>
      </c>
    </row>
    <row r="9" spans="2:6">
      <c r="B9" t="s">
        <v>765</v>
      </c>
      <c r="C9" s="63">
        <v>228.20720720720715</v>
      </c>
      <c r="D9" s="63">
        <v>228.20720720720715</v>
      </c>
      <c r="E9" s="63">
        <v>228.20720720720715</v>
      </c>
    </row>
    <row r="10" spans="2:6">
      <c r="B10" t="s">
        <v>766</v>
      </c>
      <c r="C10" s="63">
        <v>116.73423423423422</v>
      </c>
      <c r="D10" s="63">
        <v>116.73423423423422</v>
      </c>
      <c r="E10" s="63">
        <v>116.73423423423422</v>
      </c>
    </row>
    <row r="11" spans="2:6">
      <c r="B11" t="s">
        <v>728</v>
      </c>
      <c r="C11" s="63">
        <v>1420.5405405405404</v>
      </c>
      <c r="D11" s="63">
        <v>1088.638545087143</v>
      </c>
      <c r="E11" s="63">
        <v>1088.638545087143</v>
      </c>
    </row>
    <row r="12" spans="2:6">
      <c r="B12" t="s">
        <v>767</v>
      </c>
      <c r="C12" s="63">
        <v>63.160899999999998</v>
      </c>
      <c r="D12" s="63">
        <v>63.160899999999998</v>
      </c>
      <c r="E12" s="63">
        <v>63.160899999999998</v>
      </c>
    </row>
    <row r="13" spans="2:6">
      <c r="B13" t="s">
        <v>768</v>
      </c>
      <c r="C13" s="63">
        <v>336.3112857142857</v>
      </c>
      <c r="D13" s="63">
        <v>336.3112857142857</v>
      </c>
      <c r="E13" s="63">
        <v>336.3112857142857</v>
      </c>
    </row>
    <row r="14" spans="2:6">
      <c r="B14" t="s">
        <v>769</v>
      </c>
      <c r="C14" s="63">
        <v>380</v>
      </c>
      <c r="D14" s="63">
        <v>380</v>
      </c>
      <c r="E14" s="63">
        <v>380</v>
      </c>
      <c r="F14" t="s">
        <v>770</v>
      </c>
    </row>
    <row r="15" spans="2:6">
      <c r="B15" s="237" t="s">
        <v>771</v>
      </c>
      <c r="C15" s="280">
        <v>110</v>
      </c>
      <c r="D15" s="280">
        <v>110</v>
      </c>
      <c r="E15" s="280">
        <v>110</v>
      </c>
    </row>
    <row r="16" spans="2:6">
      <c r="B16" s="436" t="s">
        <v>427</v>
      </c>
      <c r="C16" s="437">
        <f>SUM(C8:C15)</f>
        <v>3111.6974109395101</v>
      </c>
      <c r="D16" s="437">
        <f t="shared" ref="D16:E16" si="0">SUM(D8:D15)</f>
        <v>2779.7954154861131</v>
      </c>
      <c r="E16" s="437">
        <f t="shared" si="0"/>
        <v>2779.7954154861131</v>
      </c>
    </row>
    <row r="18" spans="2:5">
      <c r="B18" s="11" t="s">
        <v>772</v>
      </c>
    </row>
    <row r="19" spans="2:5">
      <c r="B19" s="305" t="s">
        <v>178</v>
      </c>
      <c r="C19" s="305">
        <v>2030</v>
      </c>
      <c r="D19" s="305">
        <v>2040</v>
      </c>
      <c r="E19" s="305">
        <v>2050</v>
      </c>
    </row>
    <row r="20" spans="2:5">
      <c r="B20" t="s">
        <v>773</v>
      </c>
      <c r="C20" s="63">
        <v>379.16923423423418</v>
      </c>
      <c r="D20" s="63">
        <v>387.19923423423421</v>
      </c>
      <c r="E20" s="63">
        <v>387.19923423423421</v>
      </c>
    </row>
    <row r="21" spans="2:5">
      <c r="B21" t="s">
        <v>774</v>
      </c>
      <c r="C21" s="63">
        <v>221.31166666666664</v>
      </c>
      <c r="D21" s="63">
        <v>200.45076576576577</v>
      </c>
      <c r="E21" s="63">
        <v>200.45076576576577</v>
      </c>
    </row>
    <row r="22" spans="2:5">
      <c r="B22" t="s">
        <v>775</v>
      </c>
      <c r="C22" s="63">
        <v>479.26966292134836</v>
      </c>
      <c r="D22" s="63">
        <v>473.44262295081967</v>
      </c>
      <c r="E22" s="63">
        <v>473.44262295081967</v>
      </c>
    </row>
    <row r="23" spans="2:5">
      <c r="B23" s="237" t="s">
        <v>776</v>
      </c>
      <c r="C23" s="280">
        <v>385.81148564294637</v>
      </c>
      <c r="D23" s="280">
        <v>403.25683060109293</v>
      </c>
      <c r="E23" s="280">
        <v>403.25683060109293</v>
      </c>
    </row>
    <row r="24" spans="2:5">
      <c r="B24" s="436" t="s">
        <v>427</v>
      </c>
      <c r="C24" s="437">
        <f t="shared" ref="C24:E24" si="1">SUM(C20:C23)</f>
        <v>1465.5620494651955</v>
      </c>
      <c r="D24" s="437">
        <f t="shared" si="1"/>
        <v>1464.3494535519126</v>
      </c>
      <c r="E24" s="437">
        <f t="shared" si="1"/>
        <v>1464.3494535519126</v>
      </c>
    </row>
  </sheetData>
  <pageMargins left="0.7" right="0.7" top="0.75" bottom="0.75" header="0.3" footer="0.3"/>
  <pageSetup orientation="portrait" r:id="rId1"/>
  <headerFooter>
    <oddFooter>&amp;C_x000D_&amp;1#&amp;"Calibri"&amp;10&amp;K000000 ISC - Uso INTERNO / INTERNAL Use</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DCB9-854C-4637-94CC-BABF961D9B2A}">
  <sheetPr>
    <tabColor theme="7"/>
  </sheetPr>
  <dimension ref="A1:I46"/>
  <sheetViews>
    <sheetView workbookViewId="0">
      <selection activeCell="G14" sqref="G14"/>
    </sheetView>
  </sheetViews>
  <sheetFormatPr defaultRowHeight="15"/>
  <cols>
    <col min="4" max="4" width="30.140625" bestFit="1" customWidth="1"/>
    <col min="5" max="5" width="11.7109375" bestFit="1" customWidth="1"/>
    <col min="6" max="6" width="12" bestFit="1" customWidth="1"/>
  </cols>
  <sheetData>
    <row r="1" spans="1:9" ht="23.25">
      <c r="B1" s="439" t="s">
        <v>777</v>
      </c>
    </row>
    <row r="2" spans="1:9">
      <c r="A2" s="195"/>
      <c r="B2" s="195"/>
      <c r="C2" s="195"/>
      <c r="D2" s="195"/>
      <c r="E2" s="195"/>
      <c r="F2" s="195"/>
      <c r="G2" s="195"/>
      <c r="H2" s="195"/>
      <c r="I2" s="195"/>
    </row>
    <row r="3" spans="1:9">
      <c r="A3" s="195"/>
      <c r="B3" s="195" t="s">
        <v>778</v>
      </c>
      <c r="C3" s="195"/>
      <c r="D3" s="195"/>
      <c r="E3" s="195"/>
      <c r="F3" s="195"/>
      <c r="G3" s="195"/>
      <c r="H3" s="195"/>
      <c r="I3" s="195"/>
    </row>
    <row r="4" spans="1:9">
      <c r="A4" s="195"/>
      <c r="B4" s="195"/>
      <c r="C4" s="195"/>
      <c r="D4" s="195"/>
      <c r="E4" s="195"/>
      <c r="F4" s="195"/>
      <c r="G4" s="195"/>
      <c r="H4" s="195"/>
      <c r="I4" s="195"/>
    </row>
    <row r="5" spans="1:9">
      <c r="A5" s="449" t="s">
        <v>779</v>
      </c>
      <c r="B5" s="449" t="s">
        <v>722</v>
      </c>
      <c r="C5" s="449" t="s">
        <v>723</v>
      </c>
      <c r="D5" s="449" t="s">
        <v>780</v>
      </c>
      <c r="E5" s="450" t="s">
        <v>781</v>
      </c>
      <c r="F5" s="450" t="s">
        <v>782</v>
      </c>
      <c r="G5" s="195"/>
      <c r="H5" s="195"/>
      <c r="I5" s="195"/>
    </row>
    <row r="6" spans="1:9">
      <c r="A6" s="446">
        <v>2030</v>
      </c>
      <c r="B6" s="446" t="s">
        <v>783</v>
      </c>
      <c r="C6" s="446" t="s">
        <v>784</v>
      </c>
      <c r="D6" s="447">
        <v>63</v>
      </c>
      <c r="E6" s="451">
        <f t="shared" ref="E6:E12" si="0">D6</f>
        <v>63</v>
      </c>
      <c r="F6" s="451">
        <f t="shared" ref="F6:F12" si="1">D6</f>
        <v>63</v>
      </c>
      <c r="G6" s="195"/>
      <c r="H6" s="448" t="s">
        <v>785</v>
      </c>
      <c r="I6" s="195"/>
    </row>
    <row r="7" spans="1:9">
      <c r="A7" s="446">
        <v>2030</v>
      </c>
      <c r="B7" s="446" t="s">
        <v>786</v>
      </c>
      <c r="C7" s="446" t="s">
        <v>784</v>
      </c>
      <c r="D7" s="447">
        <v>63</v>
      </c>
      <c r="E7" s="451">
        <f t="shared" si="0"/>
        <v>63</v>
      </c>
      <c r="F7" s="451">
        <f t="shared" si="1"/>
        <v>63</v>
      </c>
      <c r="G7" s="195"/>
      <c r="I7" s="195"/>
    </row>
    <row r="8" spans="1:9">
      <c r="A8" s="446">
        <v>2030</v>
      </c>
      <c r="B8" s="446" t="s">
        <v>783</v>
      </c>
      <c r="C8" s="446" t="s">
        <v>787</v>
      </c>
      <c r="D8" s="447">
        <v>63</v>
      </c>
      <c r="E8" s="451">
        <f t="shared" si="0"/>
        <v>63</v>
      </c>
      <c r="F8" s="451">
        <f t="shared" si="1"/>
        <v>63</v>
      </c>
      <c r="G8" s="195"/>
      <c r="H8" t="s">
        <v>788</v>
      </c>
      <c r="I8" s="195"/>
    </row>
    <row r="9" spans="1:9">
      <c r="A9" s="446">
        <v>2030</v>
      </c>
      <c r="B9" s="446" t="s">
        <v>789</v>
      </c>
      <c r="C9" s="446" t="s">
        <v>219</v>
      </c>
      <c r="D9" s="447">
        <v>48</v>
      </c>
      <c r="E9" s="451">
        <f t="shared" si="0"/>
        <v>48</v>
      </c>
      <c r="F9" s="451">
        <f t="shared" si="1"/>
        <v>48</v>
      </c>
      <c r="G9" s="195"/>
      <c r="H9" s="195" t="s">
        <v>790</v>
      </c>
      <c r="I9" s="195"/>
    </row>
    <row r="10" spans="1:9">
      <c r="A10" s="446">
        <v>2030</v>
      </c>
      <c r="B10" s="446" t="s">
        <v>791</v>
      </c>
      <c r="C10" s="446" t="s">
        <v>792</v>
      </c>
      <c r="D10" s="447">
        <v>78</v>
      </c>
      <c r="E10" s="451">
        <f t="shared" si="0"/>
        <v>78</v>
      </c>
      <c r="F10" s="451">
        <f t="shared" si="1"/>
        <v>78</v>
      </c>
      <c r="G10" s="195"/>
      <c r="H10" s="195" t="s">
        <v>793</v>
      </c>
      <c r="I10" s="195"/>
    </row>
    <row r="11" spans="1:9">
      <c r="A11" s="446">
        <v>2030</v>
      </c>
      <c r="B11" s="446" t="s">
        <v>791</v>
      </c>
      <c r="C11" s="446" t="s">
        <v>794</v>
      </c>
      <c r="D11" s="447">
        <v>78</v>
      </c>
      <c r="E11" s="451">
        <f t="shared" si="0"/>
        <v>78</v>
      </c>
      <c r="F11" s="451">
        <f t="shared" si="1"/>
        <v>78</v>
      </c>
      <c r="G11" s="195"/>
      <c r="H11" s="195" t="s">
        <v>795</v>
      </c>
      <c r="I11" s="195"/>
    </row>
    <row r="12" spans="1:9">
      <c r="A12" s="446">
        <v>2030</v>
      </c>
      <c r="B12" s="446" t="s">
        <v>791</v>
      </c>
      <c r="C12" s="446" t="s">
        <v>796</v>
      </c>
      <c r="D12" s="447">
        <v>78</v>
      </c>
      <c r="E12" s="451">
        <f t="shared" si="0"/>
        <v>78</v>
      </c>
      <c r="F12" s="451">
        <f t="shared" si="1"/>
        <v>78</v>
      </c>
      <c r="G12" s="195"/>
      <c r="H12" s="195"/>
      <c r="I12" s="195"/>
    </row>
    <row r="13" spans="1:9">
      <c r="A13" s="446">
        <v>2035</v>
      </c>
      <c r="B13" s="446" t="s">
        <v>783</v>
      </c>
      <c r="C13" s="446" t="s">
        <v>784</v>
      </c>
      <c r="D13" s="447">
        <v>52.5</v>
      </c>
      <c r="E13" s="451">
        <f t="shared" ref="E13:F16" si="2">(E6+E21)/2</f>
        <v>55.65</v>
      </c>
      <c r="F13" s="451">
        <f t="shared" si="2"/>
        <v>49.349999999999994</v>
      </c>
      <c r="G13" s="195"/>
      <c r="H13" s="195"/>
      <c r="I13" s="195"/>
    </row>
    <row r="14" spans="1:9">
      <c r="A14" s="446">
        <v>2035</v>
      </c>
      <c r="B14" s="446" t="s">
        <v>786</v>
      </c>
      <c r="C14" s="446" t="s">
        <v>784</v>
      </c>
      <c r="D14" s="447">
        <v>52.5</v>
      </c>
      <c r="E14" s="451">
        <f t="shared" si="2"/>
        <v>55.65</v>
      </c>
      <c r="F14" s="451">
        <f t="shared" si="2"/>
        <v>49.349999999999994</v>
      </c>
      <c r="G14" s="195"/>
      <c r="H14" s="195"/>
      <c r="I14" s="195"/>
    </row>
    <row r="15" spans="1:9">
      <c r="A15" s="446">
        <v>2035</v>
      </c>
      <c r="B15" s="446" t="s">
        <v>783</v>
      </c>
      <c r="C15" s="446" t="s">
        <v>787</v>
      </c>
      <c r="D15" s="447">
        <v>52.5</v>
      </c>
      <c r="E15" s="451">
        <f t="shared" si="2"/>
        <v>55.65</v>
      </c>
      <c r="F15" s="451">
        <f t="shared" si="2"/>
        <v>49.349999999999994</v>
      </c>
      <c r="G15" s="195"/>
      <c r="H15" s="195"/>
      <c r="I15" s="195"/>
    </row>
    <row r="16" spans="1:9">
      <c r="A16" s="446">
        <v>2035</v>
      </c>
      <c r="B16" s="446" t="s">
        <v>789</v>
      </c>
      <c r="C16" s="446" t="s">
        <v>219</v>
      </c>
      <c r="D16" s="447">
        <v>48</v>
      </c>
      <c r="E16" s="451">
        <f t="shared" si="2"/>
        <v>51.599999999999994</v>
      </c>
      <c r="F16" s="451">
        <f t="shared" si="2"/>
        <v>44.4</v>
      </c>
      <c r="G16" s="195"/>
      <c r="H16" s="195"/>
      <c r="I16" s="195"/>
    </row>
    <row r="17" spans="1:9">
      <c r="A17" s="446">
        <v>2035</v>
      </c>
      <c r="B17" s="446" t="s">
        <v>789</v>
      </c>
      <c r="C17" s="446" t="s">
        <v>177</v>
      </c>
      <c r="D17" s="447">
        <v>48</v>
      </c>
      <c r="E17" s="451">
        <f>E16</f>
        <v>51.599999999999994</v>
      </c>
      <c r="F17" s="451">
        <f>F16</f>
        <v>44.4</v>
      </c>
      <c r="G17" s="195"/>
      <c r="H17" s="195"/>
      <c r="I17" s="195"/>
    </row>
    <row r="18" spans="1:9">
      <c r="A18" s="446">
        <v>2035</v>
      </c>
      <c r="B18" s="446" t="s">
        <v>791</v>
      </c>
      <c r="C18" s="446" t="s">
        <v>792</v>
      </c>
      <c r="D18" s="447">
        <v>64.5</v>
      </c>
      <c r="E18" s="451">
        <f t="shared" ref="E18:F20" si="3">(E10+E26)/2</f>
        <v>68.325000000000003</v>
      </c>
      <c r="F18" s="451">
        <f t="shared" si="3"/>
        <v>60.674999999999997</v>
      </c>
      <c r="G18" s="195"/>
      <c r="H18" s="195"/>
      <c r="I18" s="195"/>
    </row>
    <row r="19" spans="1:9">
      <c r="A19" s="446">
        <v>2035</v>
      </c>
      <c r="B19" s="446" t="s">
        <v>791</v>
      </c>
      <c r="C19" s="446" t="s">
        <v>794</v>
      </c>
      <c r="D19" s="447">
        <v>64.5</v>
      </c>
      <c r="E19" s="451">
        <f t="shared" si="3"/>
        <v>68.325000000000003</v>
      </c>
      <c r="F19" s="451">
        <f t="shared" si="3"/>
        <v>60.674999999999997</v>
      </c>
      <c r="G19" s="195"/>
      <c r="H19" s="195"/>
      <c r="I19" s="195"/>
    </row>
    <row r="20" spans="1:9">
      <c r="A20" s="446">
        <v>2035</v>
      </c>
      <c r="B20" s="446" t="s">
        <v>791</v>
      </c>
      <c r="C20" s="446" t="s">
        <v>796</v>
      </c>
      <c r="D20" s="447">
        <v>64.5</v>
      </c>
      <c r="E20" s="451">
        <f t="shared" si="3"/>
        <v>68.325000000000003</v>
      </c>
      <c r="F20" s="451">
        <f t="shared" si="3"/>
        <v>60.674999999999997</v>
      </c>
      <c r="G20" s="195"/>
      <c r="H20" s="195"/>
      <c r="I20" s="195"/>
    </row>
    <row r="21" spans="1:9">
      <c r="A21" s="446">
        <v>2040</v>
      </c>
      <c r="B21" s="446" t="s">
        <v>783</v>
      </c>
      <c r="C21" s="446" t="s">
        <v>784</v>
      </c>
      <c r="D21" s="447">
        <v>42</v>
      </c>
      <c r="E21" s="451">
        <v>48.3</v>
      </c>
      <c r="F21" s="451">
        <v>35.699999999999996</v>
      </c>
      <c r="G21" s="195"/>
      <c r="H21" s="195"/>
      <c r="I21" s="195"/>
    </row>
    <row r="22" spans="1:9">
      <c r="A22" s="446">
        <v>2040</v>
      </c>
      <c r="B22" s="446" t="s">
        <v>786</v>
      </c>
      <c r="C22" s="446" t="s">
        <v>784</v>
      </c>
      <c r="D22" s="447">
        <v>42</v>
      </c>
      <c r="E22" s="451">
        <v>48.3</v>
      </c>
      <c r="F22" s="451">
        <v>35.699999999999996</v>
      </c>
      <c r="G22" s="195"/>
      <c r="H22" s="195"/>
      <c r="I22" s="195"/>
    </row>
    <row r="23" spans="1:9">
      <c r="A23" s="446">
        <v>2040</v>
      </c>
      <c r="B23" s="446" t="s">
        <v>783</v>
      </c>
      <c r="C23" s="446" t="s">
        <v>787</v>
      </c>
      <c r="D23" s="447">
        <v>42</v>
      </c>
      <c r="E23" s="451">
        <v>48.3</v>
      </c>
      <c r="F23" s="451">
        <v>35.699999999999996</v>
      </c>
      <c r="G23" s="195"/>
      <c r="H23" s="195"/>
      <c r="I23" s="195"/>
    </row>
    <row r="24" spans="1:9">
      <c r="A24" s="446">
        <v>2040</v>
      </c>
      <c r="B24" s="446" t="s">
        <v>789</v>
      </c>
      <c r="C24" s="446" t="s">
        <v>219</v>
      </c>
      <c r="D24" s="447">
        <v>48</v>
      </c>
      <c r="E24" s="451">
        <v>55.199999999999996</v>
      </c>
      <c r="F24" s="451">
        <v>40.799999999999997</v>
      </c>
      <c r="G24" s="195"/>
      <c r="H24" s="195"/>
      <c r="I24" s="195"/>
    </row>
    <row r="25" spans="1:9">
      <c r="A25" s="446">
        <v>2040</v>
      </c>
      <c r="B25" s="446" t="s">
        <v>789</v>
      </c>
      <c r="C25" s="446" t="s">
        <v>177</v>
      </c>
      <c r="D25" s="447">
        <v>48</v>
      </c>
      <c r="E25" s="451">
        <v>55.199999999999996</v>
      </c>
      <c r="F25" s="451">
        <v>40.799999999999997</v>
      </c>
      <c r="G25" s="195"/>
      <c r="H25" s="195"/>
      <c r="I25" s="195"/>
    </row>
    <row r="26" spans="1:9">
      <c r="A26" s="446">
        <v>2040</v>
      </c>
      <c r="B26" s="446" t="s">
        <v>791</v>
      </c>
      <c r="C26" s="446" t="s">
        <v>792</v>
      </c>
      <c r="D26" s="447">
        <v>51</v>
      </c>
      <c r="E26" s="451">
        <v>58.65</v>
      </c>
      <c r="F26" s="451">
        <v>43.35</v>
      </c>
      <c r="G26" s="195"/>
      <c r="H26" s="195"/>
      <c r="I26" s="195"/>
    </row>
    <row r="27" spans="1:9">
      <c r="A27" s="446">
        <v>2040</v>
      </c>
      <c r="B27" s="446" t="s">
        <v>791</v>
      </c>
      <c r="C27" s="446" t="s">
        <v>794</v>
      </c>
      <c r="D27" s="447">
        <v>51</v>
      </c>
      <c r="E27" s="451">
        <v>58.65</v>
      </c>
      <c r="F27" s="451">
        <v>43.35</v>
      </c>
      <c r="G27" s="195"/>
      <c r="H27" s="195"/>
      <c r="I27" s="195"/>
    </row>
    <row r="28" spans="1:9">
      <c r="A28" s="446">
        <v>2040</v>
      </c>
      <c r="B28" s="446" t="s">
        <v>791</v>
      </c>
      <c r="C28" s="446" t="s">
        <v>796</v>
      </c>
      <c r="D28" s="447">
        <v>51</v>
      </c>
      <c r="E28" s="451">
        <v>58.65</v>
      </c>
      <c r="F28" s="451">
        <v>43.35</v>
      </c>
      <c r="G28" s="195"/>
      <c r="H28" s="195"/>
      <c r="I28" s="195"/>
    </row>
    <row r="29" spans="1:9">
      <c r="A29" s="446">
        <v>2045</v>
      </c>
      <c r="B29" s="446" t="s">
        <v>783</v>
      </c>
      <c r="C29" s="446" t="s">
        <v>784</v>
      </c>
      <c r="D29" s="447">
        <v>42</v>
      </c>
      <c r="E29" s="451">
        <v>48.3</v>
      </c>
      <c r="F29" s="451">
        <v>35.699999999999996</v>
      </c>
      <c r="G29" s="195"/>
      <c r="H29" s="195"/>
      <c r="I29" s="195"/>
    </row>
    <row r="30" spans="1:9">
      <c r="A30" s="446">
        <v>2045</v>
      </c>
      <c r="B30" s="446" t="s">
        <v>786</v>
      </c>
      <c r="C30" s="446" t="s">
        <v>784</v>
      </c>
      <c r="D30" s="447">
        <v>42</v>
      </c>
      <c r="E30" s="451">
        <v>48.3</v>
      </c>
      <c r="F30" s="451">
        <v>35.699999999999996</v>
      </c>
      <c r="G30" s="195"/>
      <c r="H30" s="195"/>
      <c r="I30" s="195"/>
    </row>
    <row r="31" spans="1:9">
      <c r="A31" s="446">
        <v>2045</v>
      </c>
      <c r="B31" s="446" t="s">
        <v>783</v>
      </c>
      <c r="C31" s="446" t="s">
        <v>787</v>
      </c>
      <c r="D31" s="447">
        <v>42</v>
      </c>
      <c r="E31" s="451">
        <v>48.3</v>
      </c>
      <c r="F31" s="451">
        <v>35.699999999999996</v>
      </c>
      <c r="G31" s="195"/>
      <c r="H31" s="195"/>
      <c r="I31" s="195"/>
    </row>
    <row r="32" spans="1:9">
      <c r="A32" s="446">
        <v>2045</v>
      </c>
      <c r="B32" s="446" t="s">
        <v>789</v>
      </c>
      <c r="C32" s="446" t="s">
        <v>219</v>
      </c>
      <c r="D32" s="447">
        <v>48</v>
      </c>
      <c r="E32" s="451">
        <v>55.199999999999996</v>
      </c>
      <c r="F32" s="451">
        <v>40.799999999999997</v>
      </c>
      <c r="G32" s="195"/>
      <c r="H32" s="195"/>
      <c r="I32" s="195"/>
    </row>
    <row r="33" spans="1:9">
      <c r="A33" s="446">
        <v>2045</v>
      </c>
      <c r="B33" s="446" t="s">
        <v>789</v>
      </c>
      <c r="C33" s="446" t="s">
        <v>177</v>
      </c>
      <c r="D33" s="447">
        <v>48</v>
      </c>
      <c r="E33" s="451">
        <v>55.199999999999996</v>
      </c>
      <c r="F33" s="451">
        <v>40.799999999999997</v>
      </c>
      <c r="G33" s="195"/>
      <c r="H33" s="195"/>
      <c r="I33" s="195"/>
    </row>
    <row r="34" spans="1:9">
      <c r="A34" s="446">
        <v>2045</v>
      </c>
      <c r="B34" s="446" t="s">
        <v>791</v>
      </c>
      <c r="C34" s="446" t="s">
        <v>792</v>
      </c>
      <c r="D34" s="447">
        <v>51</v>
      </c>
      <c r="E34" s="451">
        <v>58.65</v>
      </c>
      <c r="F34" s="451">
        <v>43.35</v>
      </c>
      <c r="G34" s="195"/>
      <c r="H34" s="195"/>
      <c r="I34" s="195"/>
    </row>
    <row r="35" spans="1:9">
      <c r="A35" s="446">
        <v>2045</v>
      </c>
      <c r="B35" s="446" t="s">
        <v>791</v>
      </c>
      <c r="C35" s="446" t="s">
        <v>794</v>
      </c>
      <c r="D35" s="447">
        <v>51</v>
      </c>
      <c r="E35" s="451">
        <v>58.65</v>
      </c>
      <c r="F35" s="451">
        <v>43.35</v>
      </c>
      <c r="G35" s="195"/>
      <c r="H35" s="195"/>
      <c r="I35" s="195"/>
    </row>
    <row r="36" spans="1:9">
      <c r="A36" s="446">
        <v>2045</v>
      </c>
      <c r="B36" s="446" t="s">
        <v>791</v>
      </c>
      <c r="C36" s="446" t="s">
        <v>796</v>
      </c>
      <c r="D36" s="447">
        <v>51</v>
      </c>
      <c r="E36" s="451">
        <v>58.65</v>
      </c>
      <c r="F36" s="451">
        <v>43.35</v>
      </c>
      <c r="G36" s="195"/>
      <c r="H36" s="195"/>
      <c r="I36" s="195"/>
    </row>
    <row r="37" spans="1:9">
      <c r="A37" s="446">
        <v>2050</v>
      </c>
      <c r="B37" s="446" t="s">
        <v>783</v>
      </c>
      <c r="C37" s="446" t="s">
        <v>784</v>
      </c>
      <c r="D37" s="447">
        <v>42</v>
      </c>
      <c r="E37" s="451">
        <v>50.4</v>
      </c>
      <c r="F37" s="451">
        <v>33.6</v>
      </c>
      <c r="G37" s="195"/>
      <c r="H37" s="195"/>
      <c r="I37" s="195"/>
    </row>
    <row r="38" spans="1:9">
      <c r="A38" s="446">
        <v>2050</v>
      </c>
      <c r="B38" s="446" t="s">
        <v>786</v>
      </c>
      <c r="C38" s="446" t="s">
        <v>784</v>
      </c>
      <c r="D38" s="447">
        <v>42</v>
      </c>
      <c r="E38" s="451">
        <v>50.4</v>
      </c>
      <c r="F38" s="451">
        <v>33.6</v>
      </c>
      <c r="G38" s="195"/>
      <c r="H38" s="195"/>
      <c r="I38" s="195"/>
    </row>
    <row r="39" spans="1:9">
      <c r="A39" s="446">
        <v>2050</v>
      </c>
      <c r="B39" s="446" t="s">
        <v>783</v>
      </c>
      <c r="C39" s="446" t="s">
        <v>787</v>
      </c>
      <c r="D39" s="447">
        <v>42</v>
      </c>
      <c r="E39" s="451">
        <v>50.4</v>
      </c>
      <c r="F39" s="451">
        <v>33.6</v>
      </c>
      <c r="G39" s="195"/>
      <c r="H39" s="195"/>
      <c r="I39" s="195"/>
    </row>
    <row r="40" spans="1:9">
      <c r="A40" s="446">
        <v>2050</v>
      </c>
      <c r="B40" s="446" t="s">
        <v>789</v>
      </c>
      <c r="C40" s="446" t="s">
        <v>219</v>
      </c>
      <c r="D40" s="447">
        <v>48</v>
      </c>
      <c r="E40" s="451">
        <v>57.599999999999994</v>
      </c>
      <c r="F40" s="451">
        <v>38.400000000000006</v>
      </c>
      <c r="G40" s="195"/>
      <c r="H40" s="195"/>
      <c r="I40" s="195"/>
    </row>
    <row r="41" spans="1:9">
      <c r="A41" s="446">
        <v>2050</v>
      </c>
      <c r="B41" s="446" t="s">
        <v>789</v>
      </c>
      <c r="C41" s="446" t="s">
        <v>177</v>
      </c>
      <c r="D41" s="447">
        <v>48</v>
      </c>
      <c r="E41" s="451">
        <v>57.599999999999994</v>
      </c>
      <c r="F41" s="451">
        <v>38.400000000000006</v>
      </c>
      <c r="G41" s="195"/>
      <c r="H41" s="195"/>
      <c r="I41" s="195"/>
    </row>
    <row r="42" spans="1:9">
      <c r="A42" s="446">
        <v>2050</v>
      </c>
      <c r="B42" s="446" t="s">
        <v>791</v>
      </c>
      <c r="C42" s="446" t="s">
        <v>792</v>
      </c>
      <c r="D42" s="447">
        <v>51</v>
      </c>
      <c r="E42" s="451">
        <v>61.199999999999996</v>
      </c>
      <c r="F42" s="451">
        <v>40.800000000000004</v>
      </c>
      <c r="G42" s="195"/>
      <c r="H42" s="195"/>
      <c r="I42" s="195"/>
    </row>
    <row r="43" spans="1:9">
      <c r="A43" s="446">
        <v>2050</v>
      </c>
      <c r="B43" s="446" t="s">
        <v>791</v>
      </c>
      <c r="C43" s="446" t="s">
        <v>794</v>
      </c>
      <c r="D43" s="447">
        <v>51</v>
      </c>
      <c r="E43" s="451">
        <v>61.199999999999996</v>
      </c>
      <c r="F43" s="451">
        <v>40.800000000000004</v>
      </c>
      <c r="G43" s="195"/>
      <c r="H43" s="195"/>
      <c r="I43" s="195"/>
    </row>
    <row r="44" spans="1:9">
      <c r="A44" s="446">
        <v>2050</v>
      </c>
      <c r="B44" s="446" t="s">
        <v>791</v>
      </c>
      <c r="C44" s="446" t="s">
        <v>796</v>
      </c>
      <c r="D44" s="447">
        <v>51</v>
      </c>
      <c r="E44" s="451">
        <v>61.199999999999996</v>
      </c>
      <c r="F44" s="451">
        <v>40.800000000000004</v>
      </c>
      <c r="G44" s="195"/>
      <c r="H44" s="195"/>
      <c r="I44" s="195"/>
    </row>
    <row r="45" spans="1:9">
      <c r="A45" s="195"/>
      <c r="B45" s="195"/>
      <c r="C45" s="195"/>
      <c r="D45" s="195"/>
      <c r="E45" s="195"/>
      <c r="F45" s="195"/>
      <c r="G45" s="195"/>
      <c r="H45" s="195"/>
      <c r="I45" s="195"/>
    </row>
    <row r="46" spans="1:9">
      <c r="A46" s="195"/>
      <c r="B46" s="195"/>
      <c r="C46" s="195"/>
      <c r="D46" s="195"/>
      <c r="E46" s="195"/>
      <c r="F46" s="195"/>
      <c r="G46" s="195"/>
    </row>
  </sheetData>
  <pageMargins left="0.7" right="0.7" top="0.75" bottom="0.75" header="0.3" footer="0.3"/>
  <headerFooter>
    <oddFooter>&amp;C_x000D_&amp;1#&amp;"Calibri"&amp;10&amp;K000000 ISC - Uso INTERNO / INTERNAL Use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ebcdd9f-8e8a-4082-9087-afb1140160c2" xsi:nil="true"/>
    <lcf76f155ced4ddcb4097134ff3c332f xmlns="747bd86c-ce71-45ea-b8eb-b2faa30a321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2F167BEA0C28E478AD30C3D133B867E" ma:contentTypeVersion="13" ma:contentTypeDescription="Create a new document." ma:contentTypeScope="" ma:versionID="8af8b811e58073fd8c1cb0296aeb1a4f">
  <xsd:schema xmlns:xsd="http://www.w3.org/2001/XMLSchema" xmlns:xs="http://www.w3.org/2001/XMLSchema" xmlns:p="http://schemas.microsoft.com/office/2006/metadata/properties" xmlns:ns2="747bd86c-ce71-45ea-b8eb-b2faa30a321f" xmlns:ns3="febcdd9f-8e8a-4082-9087-afb1140160c2" targetNamespace="http://schemas.microsoft.com/office/2006/metadata/properties" ma:root="true" ma:fieldsID="9e2ded022ee16493c6e354fd2a22ff44" ns2:_="" ns3:_="">
    <xsd:import namespace="747bd86c-ce71-45ea-b8eb-b2faa30a321f"/>
    <xsd:import namespace="febcdd9f-8e8a-4082-9087-afb1140160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7bd86c-ce71-45ea-b8eb-b2faa30a32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9f341b7-1cc6-4f7d-a23c-d8e53df16cc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ebcdd9f-8e8a-4082-9087-afb1140160c2"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dbc146de-de01-462e-a035-c0def959c37b}" ma:internalName="TaxCatchAll" ma:showField="CatchAllData" ma:web="febcdd9f-8e8a-4082-9087-afb1140160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0DB24B-CDC2-4738-8C6F-C387EEAFE7B7}">
  <ds:schemaRefs>
    <ds:schemaRef ds:uri="http://purl.org/dc/terms/"/>
    <ds:schemaRef ds:uri="http://schemas.microsoft.com/office/2006/metadata/properties"/>
    <ds:schemaRef ds:uri="http://www.w3.org/XML/1998/namespace"/>
    <ds:schemaRef ds:uri="http://schemas.openxmlformats.org/package/2006/metadata/core-properties"/>
    <ds:schemaRef ds:uri="http://schemas.microsoft.com/office/2006/documentManagement/types"/>
    <ds:schemaRef ds:uri="http://purl.org/dc/dcmitype/"/>
    <ds:schemaRef ds:uri="febcdd9f-8e8a-4082-9087-afb1140160c2"/>
    <ds:schemaRef ds:uri="http://schemas.microsoft.com/office/infopath/2007/PartnerControls"/>
    <ds:schemaRef ds:uri="747bd86c-ce71-45ea-b8eb-b2faa30a321f"/>
    <ds:schemaRef ds:uri="http://purl.org/dc/elements/1.1/"/>
  </ds:schemaRefs>
</ds:datastoreItem>
</file>

<file path=customXml/itemProps2.xml><?xml version="1.0" encoding="utf-8"?>
<ds:datastoreItem xmlns:ds="http://schemas.openxmlformats.org/officeDocument/2006/customXml" ds:itemID="{A42371CB-C23B-40A8-B24F-50A3B1D762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7bd86c-ce71-45ea-b8eb-b2faa30a321f"/>
    <ds:schemaRef ds:uri="febcdd9f-8e8a-4082-9087-afb1140160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BAACDF-1085-413A-9C8D-90AF926A6A2C}">
  <ds:schemaRefs>
    <ds:schemaRef ds:uri="http://schemas.microsoft.com/sharepoint/v3/contenttype/forms"/>
  </ds:schemaRefs>
</ds:datastoreItem>
</file>

<file path=docMetadata/LabelInfo.xml><?xml version="1.0" encoding="utf-8"?>
<clbl:labelList xmlns:clbl="http://schemas.microsoft.com/office/2020/mipLabelMetadata">
  <clbl:label id="{d65a070e-ad16-4345-879f-c1de6464f1fb}" enabled="1" method="Standard" siteId="{eccd734e-7022-4709-aba5-a5dd77929e27}"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Contents</vt:lpstr>
      <vt:lpstr>_TYNDP2024 Scenarios</vt:lpstr>
      <vt:lpstr>1. </vt:lpstr>
      <vt:lpstr>1.1.</vt:lpstr>
      <vt:lpstr>1.2.</vt:lpstr>
      <vt:lpstr>1.3.</vt:lpstr>
      <vt:lpstr>1.4.</vt:lpstr>
      <vt:lpstr>1.5.</vt:lpstr>
      <vt:lpstr>1.6.</vt:lpstr>
      <vt:lpstr>2.</vt:lpstr>
      <vt:lpstr>2.1.</vt:lpstr>
      <vt:lpstr>2.2.</vt:lpstr>
      <vt:lpstr>3.</vt:lpstr>
      <vt:lpstr>3.1.</vt:lpstr>
      <vt:lpstr>3.2.</vt:lpstr>
      <vt:lpstr>3.3</vt:lpstr>
      <vt:lpstr>3.4.</vt:lpstr>
      <vt:lpstr>3.5.</vt:lpstr>
      <vt:lpstr>3.6.</vt:lpstr>
      <vt:lpstr>3.7.</vt:lpstr>
      <vt:lpstr>4.</vt:lpstr>
      <vt:lpstr>4.1.</vt:lpstr>
      <vt:lpstr>4.2.</vt:lpstr>
      <vt:lpstr>4.3.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Nalan Buyuk</dc:creator>
  <cp:keywords/>
  <dc:description/>
  <cp:lastModifiedBy>Alexander Kättlitz</cp:lastModifiedBy>
  <cp:revision/>
  <dcterms:created xsi:type="dcterms:W3CDTF">2023-06-22T08:53:51Z</dcterms:created>
  <dcterms:modified xsi:type="dcterms:W3CDTF">2023-07-06T12:20:33Z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0x01010062F167BEA0C28E478AD30C3D133B867E</vt:lpwstr>
  </property>
  <property fmtid="{D5CDD505-2E9C-101B-9397-08002B2CF9AE}" pid="3" name="MediaServiceImageTags">
    <vt:lpwstr/>
  </property>
</Properties>
</file>