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4" firstSheet="28" activeTab="39"/>
  </bookViews>
  <sheets>
    <sheet name="THEO DÕI NVL ĐANG LẤY HÀNG " sheetId="36" r:id="rId1"/>
    <sheet name="TH" sheetId="1" r:id="rId2"/>
    <sheet name="Tân Long" sheetId="2" r:id="rId3"/>
    <sheet name="Khai Minh" sheetId="4" r:id="rId4"/>
    <sheet name="Tùng Lâm" sheetId="6" r:id="rId5"/>
    <sheet name="TMBN" sheetId="7" r:id="rId6"/>
    <sheet name="Hưng Gia Nam" sheetId="8" state="hidden" r:id="rId7"/>
    <sheet name="HÀ Thị" sheetId="5" r:id="rId8"/>
    <sheet name="Tedeco- Agrimax" sheetId="9" r:id="rId9"/>
    <sheet name="AP" sheetId="10" state="hidden" r:id="rId10"/>
    <sheet name="Agrimex" sheetId="18" r:id="rId11"/>
    <sheet name="Phuc hưng" sheetId="11" r:id="rId12"/>
    <sheet name="TMBN GIA CÔNG" sheetId="12" r:id="rId13"/>
    <sheet name="HUNG GIA NAM GIA CÔNG" sheetId="26" r:id="rId14"/>
    <sheet name="Minh Việt" sheetId="13" r:id="rId15"/>
    <sheet name="Nhất Thành" sheetId="14" state="hidden" r:id="rId16"/>
    <sheet name="Văn Sơn" sheetId="16" r:id="rId17"/>
    <sheet name="Việt Nam Ấn Độ" sheetId="17" r:id="rId18"/>
    <sheet name="Vi l­îng AVCO" sheetId="15" r:id="rId19"/>
    <sheet name="CKVN" sheetId="37" r:id="rId20"/>
    <sheet name="Mennon" sheetId="38" r:id="rId21"/>
    <sheet name="Nguyễn Danh Sơn " sheetId="19" r:id="rId22"/>
    <sheet name="Tân Quang Minh" sheetId="20" r:id="rId23"/>
    <sheet name="Minh ĐAn" sheetId="21" r:id="rId24"/>
    <sheet name="Hoàng Minh" sheetId="22" r:id="rId25"/>
    <sheet name="Minh Hiền" sheetId="23" r:id="rId26"/>
    <sheet name="Hợp Lực" sheetId="24" r:id="rId27"/>
    <sheet name="Quang Dũng " sheetId="25" r:id="rId28"/>
    <sheet name="Thuận AN" sheetId="27" r:id="rId29"/>
    <sheet name="Intermax" sheetId="28" r:id="rId30"/>
    <sheet name="Japa" sheetId="29" r:id="rId31"/>
    <sheet name="DUOC THU Y GIA CÔNG" sheetId="30" r:id="rId32"/>
    <sheet name="DƯỢC THÚ Ý" sheetId="33" r:id="rId33"/>
    <sheet name="Nông lâm Tâm Phát" sheetId="31" r:id="rId34"/>
    <sheet name="Khang Đạt" sheetId="32" r:id="rId35"/>
    <sheet name="Bảo Lâm" sheetId="34" r:id="rId36"/>
    <sheet name="An Dương" sheetId="35" r:id="rId37"/>
    <sheet name="AFT" sheetId="39" r:id="rId38"/>
    <sheet name="Tâm Phát" sheetId="40" r:id="rId39"/>
    <sheet name="Nguyễn Xuân Hiền" sheetId="41" r:id="rId40"/>
    <sheet name="sheet" sheetId="3" r:id="rId41"/>
  </sheets>
  <definedNames>
    <definedName name="_xlnm._FilterDatabase" localSheetId="37" hidden="1">AFT!$A$4:$K$6</definedName>
    <definedName name="_xlnm._FilterDatabase" localSheetId="10" hidden="1">Agrimex!$A$4:$K$5</definedName>
    <definedName name="_xlnm._FilterDatabase" localSheetId="36" hidden="1">'An Dương'!$A$4:$K$6</definedName>
    <definedName name="_xlnm._FilterDatabase" localSheetId="9" hidden="1">AP!$A$4:$K$6</definedName>
    <definedName name="_xlnm._FilterDatabase" localSheetId="35" hidden="1">'Bảo Lâm'!$A$4:$K$6</definedName>
    <definedName name="_xlnm._FilterDatabase" localSheetId="19" hidden="1">CKVN!$A$4:$K$6</definedName>
    <definedName name="_xlnm._FilterDatabase" localSheetId="32" hidden="1">'DƯỢC THÚ Ý'!$A$4:$K$6</definedName>
    <definedName name="_xlnm._FilterDatabase" localSheetId="31" hidden="1">'DUOC THU Y GIA CÔNG'!#REF!</definedName>
    <definedName name="_xlnm._FilterDatabase" localSheetId="7" hidden="1">'HÀ Thị'!$A$4:$K$6</definedName>
    <definedName name="_xlnm._FilterDatabase" localSheetId="24" hidden="1">'Hoàng Minh'!$A$4:$K$6</definedName>
    <definedName name="_xlnm._FilterDatabase" localSheetId="26" hidden="1">'Hợp Lực'!$A$4:$K$6</definedName>
    <definedName name="_xlnm._FilterDatabase" localSheetId="6" hidden="1">'Hưng Gia Nam'!$A$4:$K$6</definedName>
    <definedName name="_xlnm._FilterDatabase" localSheetId="13" hidden="1">'HUNG GIA NAM GIA CÔNG'!#REF!</definedName>
    <definedName name="_xlnm._FilterDatabase" localSheetId="29" hidden="1">Intermax!$A$4:$K$6</definedName>
    <definedName name="_xlnm._FilterDatabase" localSheetId="30" hidden="1">Japa!$A$4:$K$6</definedName>
    <definedName name="_xlnm._FilterDatabase" localSheetId="3" hidden="1">'Khai Minh'!$A$4:$K$6</definedName>
    <definedName name="_xlnm._FilterDatabase" localSheetId="34" hidden="1">'Khang Đạt'!$A$4:$K$6</definedName>
    <definedName name="_xlnm._FilterDatabase" localSheetId="20" hidden="1">Mennon!$A$4:$K$6</definedName>
    <definedName name="_xlnm._FilterDatabase" localSheetId="23" hidden="1">'Minh ĐAn'!$A$4:$K$6</definedName>
    <definedName name="_xlnm._FilterDatabase" localSheetId="25" hidden="1">'Minh Hiền'!$A$4:$K$6</definedName>
    <definedName name="_xlnm._FilterDatabase" localSheetId="14" hidden="1">'Minh Việt'!$A$4:$K$6</definedName>
    <definedName name="_xlnm._FilterDatabase" localSheetId="21" hidden="1">'Nguyễn Danh Sơn '!$A$4:$K$6</definedName>
    <definedName name="_xlnm._FilterDatabase" localSheetId="39" hidden="1">'Nguyễn Xuân Hiền'!$A$4:$K$6</definedName>
    <definedName name="_xlnm._FilterDatabase" localSheetId="15" hidden="1">'Nhất Thành'!$A$4:$K$6</definedName>
    <definedName name="_xlnm._FilterDatabase" localSheetId="33" hidden="1">'Nông lâm Tâm Phát'!$A$4:$K$6</definedName>
    <definedName name="_xlnm._FilterDatabase" localSheetId="11" hidden="1">'Phuc hưng'!$A$4:$K$6</definedName>
    <definedName name="_xlnm._FilterDatabase" localSheetId="27" hidden="1">'Quang Dũng '!$A$4:$K$6</definedName>
    <definedName name="_xlnm._FilterDatabase" localSheetId="38" hidden="1">'Tâm Phát'!$A$4:$K$6</definedName>
    <definedName name="_xlnm._FilterDatabase" localSheetId="2" hidden="1">'Tân Long'!$A$4:$K$6</definedName>
    <definedName name="_xlnm._FilterDatabase" localSheetId="22" hidden="1">'Tân Quang Minh'!$A$4:$K$6</definedName>
    <definedName name="_xlnm._FilterDatabase" localSheetId="8" hidden="1">'Tedeco- Agrimax'!$A$4:$K$6</definedName>
    <definedName name="_xlnm._FilterDatabase" localSheetId="28" hidden="1">'Thuận AN'!$A$4:$K$6</definedName>
    <definedName name="_xlnm._FilterDatabase" localSheetId="5" hidden="1">TMBN!$A$4:$K$6</definedName>
    <definedName name="_xlnm._FilterDatabase" localSheetId="12" hidden="1">'TMBN GIA CÔNG'!#REF!</definedName>
    <definedName name="_xlnm._FilterDatabase" localSheetId="4" hidden="1">'Tùng Lâm'!$A$4:$K$6</definedName>
    <definedName name="_xlnm._FilterDatabase" localSheetId="16" hidden="1">'Văn Sơn'!$A$4:$K$6</definedName>
    <definedName name="_xlnm._FilterDatabase" localSheetId="18" hidden="1">'Vi l­îng AVCO'!$A$4:$K$6</definedName>
    <definedName name="_xlnm._FilterDatabase" localSheetId="17" hidden="1">'Việt Nam Ấn Độ'!$A$4:$K$6</definedName>
  </definedNames>
  <calcPr calcId="162913"/>
</workbook>
</file>

<file path=xl/calcChain.xml><?xml version="1.0" encoding="utf-8"?>
<calcChain xmlns="http://schemas.openxmlformats.org/spreadsheetml/2006/main">
  <c r="J223" i="11" l="1"/>
  <c r="J224" i="11" s="1"/>
  <c r="J225" i="11" s="1"/>
  <c r="J226" i="11" s="1"/>
  <c r="J227" i="11" s="1"/>
  <c r="J228" i="11" s="1"/>
  <c r="J229" i="11" s="1"/>
  <c r="J58" i="33"/>
  <c r="J59" i="33" s="1"/>
  <c r="J60" i="33" s="1"/>
  <c r="J61" i="33" s="1"/>
  <c r="J62" i="33" s="1"/>
  <c r="L59" i="33"/>
  <c r="L60" i="33"/>
  <c r="L61" i="33"/>
  <c r="L62" i="33"/>
  <c r="L58" i="33"/>
  <c r="M63" i="33"/>
  <c r="H63" i="33"/>
  <c r="L63" i="33" s="1"/>
  <c r="N63" i="33" s="1"/>
  <c r="H110" i="23"/>
  <c r="H48" i="15"/>
  <c r="H49" i="15"/>
  <c r="H109" i="23"/>
  <c r="H107" i="23"/>
  <c r="L40" i="24"/>
  <c r="M40" i="24" s="1"/>
  <c r="N40" i="24" s="1"/>
  <c r="H46" i="15"/>
  <c r="H34" i="41"/>
  <c r="L34" i="41" s="1"/>
  <c r="E34" i="41"/>
  <c r="M25" i="41"/>
  <c r="K25" i="41"/>
  <c r="H25" i="41"/>
  <c r="L25" i="41" s="1"/>
  <c r="L23" i="41"/>
  <c r="H16" i="41"/>
  <c r="L16" i="41" s="1"/>
  <c r="M14" i="41"/>
  <c r="M16" i="41" s="1"/>
  <c r="L14" i="41"/>
  <c r="H10" i="41"/>
  <c r="G10" i="41"/>
  <c r="F10" i="41"/>
  <c r="E10" i="41"/>
  <c r="J6" i="41"/>
  <c r="I6" i="41"/>
  <c r="I10" i="41" s="1"/>
  <c r="H38" i="40"/>
  <c r="L38" i="40" s="1"/>
  <c r="E38" i="40"/>
  <c r="M29" i="40"/>
  <c r="K29" i="40"/>
  <c r="H29" i="40"/>
  <c r="L29" i="40" s="1"/>
  <c r="N29" i="40" s="1"/>
  <c r="L27" i="40"/>
  <c r="H20" i="40"/>
  <c r="L20" i="40" s="1"/>
  <c r="M18" i="40"/>
  <c r="M20" i="40" s="1"/>
  <c r="L18" i="40"/>
  <c r="H10" i="40"/>
  <c r="G10" i="40"/>
  <c r="F10" i="40"/>
  <c r="E10" i="40"/>
  <c r="J6" i="40"/>
  <c r="I6" i="40"/>
  <c r="I10" i="40" s="1"/>
  <c r="H56" i="33"/>
  <c r="H14" i="38"/>
  <c r="H13" i="38"/>
  <c r="H12" i="38"/>
  <c r="H11" i="38"/>
  <c r="H44" i="15"/>
  <c r="H11" i="37"/>
  <c r="H14" i="37"/>
  <c r="H12" i="37"/>
  <c r="H13" i="37"/>
  <c r="H27" i="39"/>
  <c r="H47" i="15"/>
  <c r="H15" i="37"/>
  <c r="H230" i="11"/>
  <c r="H245" i="11"/>
  <c r="H72" i="9"/>
  <c r="E60" i="9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H103" i="23"/>
  <c r="H102" i="23"/>
  <c r="H45" i="15"/>
  <c r="G15" i="36"/>
  <c r="H36" i="39"/>
  <c r="L36" i="39" s="1"/>
  <c r="E36" i="39"/>
  <c r="M27" i="39"/>
  <c r="K27" i="39"/>
  <c r="L27" i="39"/>
  <c r="L25" i="39"/>
  <c r="H16" i="39"/>
  <c r="L16" i="39" s="1"/>
  <c r="M14" i="39"/>
  <c r="M16" i="39" s="1"/>
  <c r="L14" i="39"/>
  <c r="H10" i="39"/>
  <c r="G10" i="39"/>
  <c r="F10" i="39"/>
  <c r="E10" i="39"/>
  <c r="J7" i="39"/>
  <c r="J6" i="39"/>
  <c r="I6" i="39"/>
  <c r="I10" i="39" s="1"/>
  <c r="J18" i="34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H41" i="24"/>
  <c r="E7" i="36"/>
  <c r="H237" i="11"/>
  <c r="G7" i="36" s="1"/>
  <c r="E231" i="11"/>
  <c r="J232" i="11" s="1"/>
  <c r="J233" i="11" s="1"/>
  <c r="J234" i="11" s="1"/>
  <c r="J235" i="11" s="1"/>
  <c r="J236" i="11" s="1"/>
  <c r="H36" i="15"/>
  <c r="H97" i="23"/>
  <c r="H117" i="23" s="1"/>
  <c r="H34" i="15"/>
  <c r="J165" i="5"/>
  <c r="J166" i="5" s="1"/>
  <c r="J167" i="5" s="1"/>
  <c r="E53" i="9"/>
  <c r="H175" i="5"/>
  <c r="G10" i="36"/>
  <c r="E9" i="36"/>
  <c r="I7" i="36" l="1"/>
  <c r="G14" i="36"/>
  <c r="J10" i="41"/>
  <c r="N25" i="41"/>
  <c r="N16" i="41"/>
  <c r="J7" i="41"/>
  <c r="J8" i="41" s="1"/>
  <c r="J9" i="41" s="1"/>
  <c r="K6" i="41"/>
  <c r="K10" i="41" s="1"/>
  <c r="N20" i="40"/>
  <c r="J7" i="40"/>
  <c r="J8" i="40" s="1"/>
  <c r="J9" i="40" s="1"/>
  <c r="K6" i="40"/>
  <c r="K10" i="40" s="1"/>
  <c r="N16" i="39"/>
  <c r="N27" i="39"/>
  <c r="J8" i="39"/>
  <c r="J9" i="39" s="1"/>
  <c r="K6" i="39"/>
  <c r="K10" i="39" s="1"/>
  <c r="H163" i="5"/>
  <c r="H31" i="34"/>
  <c r="G11" i="36" s="1"/>
  <c r="J55" i="9"/>
  <c r="J54" i="9"/>
  <c r="J56" i="38"/>
  <c r="J57" i="38" s="1"/>
  <c r="J58" i="38" s="1"/>
  <c r="J55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K19" i="38"/>
  <c r="J19" i="38"/>
  <c r="J18" i="38"/>
  <c r="J17" i="38"/>
  <c r="K16" i="38"/>
  <c r="J16" i="38"/>
  <c r="J15" i="38"/>
  <c r="J14" i="38"/>
  <c r="J13" i="38"/>
  <c r="J12" i="38"/>
  <c r="J11" i="38"/>
  <c r="H10" i="38"/>
  <c r="H98" i="38" s="1"/>
  <c r="G10" i="38"/>
  <c r="F10" i="38"/>
  <c r="F98" i="38" s="1"/>
  <c r="E10" i="38"/>
  <c r="E98" i="38" s="1"/>
  <c r="J6" i="38"/>
  <c r="J7" i="38" s="1"/>
  <c r="I6" i="38"/>
  <c r="J55" i="37"/>
  <c r="J56" i="37" s="1"/>
  <c r="J57" i="37" s="1"/>
  <c r="J58" i="37" s="1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K19" i="37"/>
  <c r="J19" i="37"/>
  <c r="J18" i="37"/>
  <c r="J17" i="37"/>
  <c r="K16" i="37"/>
  <c r="J16" i="37"/>
  <c r="J15" i="37"/>
  <c r="J14" i="37"/>
  <c r="J13" i="37"/>
  <c r="J12" i="37"/>
  <c r="J11" i="37"/>
  <c r="H10" i="37"/>
  <c r="G10" i="37"/>
  <c r="F10" i="37"/>
  <c r="F98" i="37" s="1"/>
  <c r="E10" i="37"/>
  <c r="E98" i="37" s="1"/>
  <c r="J6" i="37"/>
  <c r="I6" i="37"/>
  <c r="I10" i="37" s="1"/>
  <c r="H51" i="33"/>
  <c r="J53" i="33"/>
  <c r="J54" i="33" s="1"/>
  <c r="J55" i="33" s="1"/>
  <c r="K6" i="38" l="1"/>
  <c r="K10" i="38" s="1"/>
  <c r="I10" i="38"/>
  <c r="I98" i="38" s="1"/>
  <c r="J10" i="40"/>
  <c r="J10" i="39"/>
  <c r="L31" i="34"/>
  <c r="J53" i="38"/>
  <c r="J8" i="38"/>
  <c r="J9" i="38" s="1"/>
  <c r="J53" i="37"/>
  <c r="H98" i="37"/>
  <c r="K6" i="37"/>
  <c r="K10" i="37" s="1"/>
  <c r="J7" i="37"/>
  <c r="J8" i="37" s="1"/>
  <c r="J9" i="37" s="1"/>
  <c r="I98" i="37"/>
  <c r="J150" i="2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49" i="2"/>
  <c r="J155" i="5"/>
  <c r="J156" i="5" s="1"/>
  <c r="J157" i="5" s="1"/>
  <c r="J158" i="5" s="1"/>
  <c r="J159" i="5" s="1"/>
  <c r="J160" i="5" s="1"/>
  <c r="J161" i="5" s="1"/>
  <c r="J162" i="5" s="1"/>
  <c r="J154" i="5"/>
  <c r="J10" i="38" l="1"/>
  <c r="J10" i="37"/>
  <c r="J97" i="23"/>
  <c r="J98" i="23" s="1"/>
  <c r="J99" i="23" s="1"/>
  <c r="J100" i="23" s="1"/>
  <c r="J101" i="23" s="1"/>
  <c r="J102" i="23" s="1"/>
  <c r="J103" i="23" s="1"/>
  <c r="J104" i="23" s="1"/>
  <c r="J105" i="23" s="1"/>
  <c r="J106" i="23" s="1"/>
  <c r="J107" i="23" s="1"/>
  <c r="J108" i="23" s="1"/>
  <c r="J109" i="23" s="1"/>
  <c r="J110" i="23" s="1"/>
  <c r="J111" i="23" s="1"/>
  <c r="J112" i="23" s="1"/>
  <c r="J113" i="23" s="1"/>
  <c r="J114" i="23" s="1"/>
  <c r="J115" i="23" s="1"/>
  <c r="J116" i="23" s="1"/>
  <c r="H95" i="23"/>
  <c r="J79" i="23"/>
  <c r="J80" i="23" s="1"/>
  <c r="J81" i="23" s="1"/>
  <c r="J82" i="23" s="1"/>
  <c r="J83" i="23" s="1"/>
  <c r="J84" i="23" s="1"/>
  <c r="J85" i="23" s="1"/>
  <c r="J86" i="23" s="1"/>
  <c r="J87" i="23" s="1"/>
  <c r="J88" i="23" s="1"/>
  <c r="J89" i="23" s="1"/>
  <c r="J90" i="23" s="1"/>
  <c r="J91" i="23" s="1"/>
  <c r="J92" i="23" s="1"/>
  <c r="J93" i="23" s="1"/>
  <c r="J94" i="23" s="1"/>
  <c r="H30" i="15"/>
  <c r="E49" i="15"/>
  <c r="L117" i="23" l="1"/>
  <c r="G8" i="36"/>
  <c r="I8" i="36" s="1"/>
  <c r="J48" i="33"/>
  <c r="J49" i="33" s="1"/>
  <c r="J50" i="33" s="1"/>
  <c r="H43" i="15"/>
  <c r="H58" i="7"/>
  <c r="G13" i="36" s="1"/>
  <c r="I46" i="7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45" i="7"/>
  <c r="H200" i="11"/>
  <c r="H208" i="11" s="1"/>
  <c r="P24" i="30"/>
  <c r="H77" i="23"/>
  <c r="J70" i="23"/>
  <c r="J71" i="23" s="1"/>
  <c r="J72" i="23" s="1"/>
  <c r="J73" i="23" s="1"/>
  <c r="J74" i="23" s="1"/>
  <c r="J75" i="23" s="1"/>
  <c r="J76" i="23" s="1"/>
  <c r="H70" i="23"/>
  <c r="H68" i="23"/>
  <c r="H69" i="23" s="1"/>
  <c r="I30" i="29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H45" i="33"/>
  <c r="J37" i="33"/>
  <c r="J38" i="33" s="1"/>
  <c r="J39" i="33" s="1"/>
  <c r="J40" i="33" s="1"/>
  <c r="J41" i="33" s="1"/>
  <c r="J42" i="33" s="1"/>
  <c r="J43" i="33" s="1"/>
  <c r="J44" i="33" s="1"/>
  <c r="J200" i="11"/>
  <c r="J201" i="11" s="1"/>
  <c r="J202" i="11" s="1"/>
  <c r="J203" i="11" s="1"/>
  <c r="J204" i="11" s="1"/>
  <c r="J205" i="11" s="1"/>
  <c r="J206" i="11" s="1"/>
  <c r="J207" i="11" s="1"/>
  <c r="H221" i="11"/>
  <c r="G6" i="36" s="1"/>
  <c r="I6" i="36" s="1"/>
  <c r="J210" i="11"/>
  <c r="J211" i="11" s="1"/>
  <c r="J212" i="11" s="1"/>
  <c r="J213" i="11" s="1"/>
  <c r="L45" i="33" l="1"/>
  <c r="N45" i="33" s="1"/>
  <c r="J214" i="11"/>
  <c r="J215" i="11" s="1"/>
  <c r="J216" i="11" s="1"/>
  <c r="J217" i="11" s="1"/>
  <c r="J218" i="11" s="1"/>
  <c r="J219" i="11" s="1"/>
  <c r="J220" i="11" s="1"/>
  <c r="I15" i="36"/>
  <c r="I13" i="36"/>
  <c r="G9" i="36"/>
  <c r="I9" i="36" s="1"/>
  <c r="J62" i="23"/>
  <c r="J63" i="23" s="1"/>
  <c r="J64" i="23" s="1"/>
  <c r="J65" i="23" s="1"/>
  <c r="J66" i="23" s="1"/>
  <c r="J67" i="23" s="1"/>
  <c r="J68" i="23" s="1"/>
  <c r="J61" i="23"/>
  <c r="H42" i="15"/>
  <c r="I11" i="36"/>
  <c r="H35" i="33"/>
  <c r="H35" i="15"/>
  <c r="F20" i="30"/>
  <c r="H20" i="30"/>
  <c r="M20" i="30"/>
  <c r="P20" i="30"/>
  <c r="F21" i="30"/>
  <c r="H21" i="30"/>
  <c r="M21" i="30"/>
  <c r="P21" i="30"/>
  <c r="H24" i="31"/>
  <c r="G12" i="36" s="1"/>
  <c r="I12" i="36" s="1"/>
  <c r="J19" i="31"/>
  <c r="J20" i="31" s="1"/>
  <c r="J21" i="31" s="1"/>
  <c r="J22" i="31" s="1"/>
  <c r="J23" i="31" s="1"/>
  <c r="J18" i="31"/>
  <c r="H152" i="5"/>
  <c r="J143" i="5"/>
  <c r="J144" i="5" s="1"/>
  <c r="J145" i="5" s="1"/>
  <c r="J146" i="5" s="1"/>
  <c r="J147" i="5" s="1"/>
  <c r="J148" i="5" s="1"/>
  <c r="J149" i="5" s="1"/>
  <c r="J150" i="5" s="1"/>
  <c r="J151" i="5" s="1"/>
  <c r="H38" i="15"/>
  <c r="H41" i="29"/>
  <c r="E124" i="5"/>
  <c r="J56" i="23"/>
  <c r="J57" i="23" s="1"/>
  <c r="J58" i="23" s="1"/>
  <c r="I10" i="36"/>
  <c r="E15" i="35" l="1"/>
  <c r="H32" i="35"/>
  <c r="L32" i="35" s="1"/>
  <c r="E32" i="35"/>
  <c r="M23" i="35"/>
  <c r="K23" i="35"/>
  <c r="H23" i="35"/>
  <c r="L23" i="35" s="1"/>
  <c r="L21" i="35"/>
  <c r="H14" i="35"/>
  <c r="L14" i="35" s="1"/>
  <c r="M12" i="35"/>
  <c r="M14" i="35" s="1"/>
  <c r="L12" i="35"/>
  <c r="H10" i="35"/>
  <c r="G10" i="35"/>
  <c r="F10" i="35"/>
  <c r="E10" i="35"/>
  <c r="J6" i="35"/>
  <c r="I6" i="35"/>
  <c r="I10" i="35" s="1"/>
  <c r="H40" i="34"/>
  <c r="L40" i="34" s="1"/>
  <c r="E40" i="34"/>
  <c r="M31" i="34"/>
  <c r="K31" i="34"/>
  <c r="L29" i="34"/>
  <c r="H16" i="34"/>
  <c r="L16" i="34" s="1"/>
  <c r="L15" i="34"/>
  <c r="L14" i="34"/>
  <c r="M12" i="34"/>
  <c r="M16" i="34" s="1"/>
  <c r="L12" i="34"/>
  <c r="J12" i="34"/>
  <c r="H10" i="34"/>
  <c r="G10" i="34"/>
  <c r="F10" i="34"/>
  <c r="E10" i="34"/>
  <c r="J6" i="34"/>
  <c r="J7" i="34" s="1"/>
  <c r="J8" i="34" s="1"/>
  <c r="I6" i="34"/>
  <c r="I10" i="34" s="1"/>
  <c r="J52" i="23"/>
  <c r="J53" i="23" s="1"/>
  <c r="J54" i="23" s="1"/>
  <c r="J51" i="23"/>
  <c r="J31" i="13"/>
  <c r="J30" i="13"/>
  <c r="J49" i="23"/>
  <c r="J48" i="23"/>
  <c r="J135" i="5"/>
  <c r="J136" i="5" s="1"/>
  <c r="J137" i="5" s="1"/>
  <c r="J138" i="5" s="1"/>
  <c r="J139" i="5" s="1"/>
  <c r="J140" i="5" s="1"/>
  <c r="J141" i="5" s="1"/>
  <c r="J142" i="5" s="1"/>
  <c r="H18" i="33"/>
  <c r="J18" i="33" s="1"/>
  <c r="J19" i="33" s="1"/>
  <c r="J20" i="33" s="1"/>
  <c r="J21" i="33" s="1"/>
  <c r="J22" i="33" s="1"/>
  <c r="J23" i="33" s="1"/>
  <c r="J24" i="33" s="1"/>
  <c r="J25" i="33" s="1"/>
  <c r="J48" i="15"/>
  <c r="J49" i="15"/>
  <c r="J50" i="15"/>
  <c r="J51" i="15"/>
  <c r="J52" i="15"/>
  <c r="J44" i="15"/>
  <c r="J45" i="15"/>
  <c r="J46" i="15"/>
  <c r="J47" i="15"/>
  <c r="P25" i="30"/>
  <c r="P26" i="30"/>
  <c r="P27" i="30"/>
  <c r="P28" i="30"/>
  <c r="P29" i="30"/>
  <c r="P30" i="30"/>
  <c r="E39" i="1"/>
  <c r="H133" i="5"/>
  <c r="H41" i="15"/>
  <c r="E19" i="30"/>
  <c r="D19" i="30"/>
  <c r="H163" i="11"/>
  <c r="F19" i="30" l="1"/>
  <c r="N31" i="34"/>
  <c r="I14" i="36"/>
  <c r="N14" i="35"/>
  <c r="N23" i="35"/>
  <c r="J7" i="35"/>
  <c r="J8" i="35" s="1"/>
  <c r="J9" i="35" s="1"/>
  <c r="K6" i="35"/>
  <c r="K10" i="35" s="1"/>
  <c r="J13" i="34"/>
  <c r="J14" i="34" s="1"/>
  <c r="J15" i="34" s="1"/>
  <c r="N16" i="34"/>
  <c r="K6" i="34"/>
  <c r="K10" i="34" s="1"/>
  <c r="J9" i="34"/>
  <c r="J10" i="34" s="1"/>
  <c r="H145" i="4"/>
  <c r="J125" i="5"/>
  <c r="J126" i="5" s="1"/>
  <c r="J127" i="5" s="1"/>
  <c r="J128" i="5" s="1"/>
  <c r="J129" i="5" s="1"/>
  <c r="J130" i="5" s="1"/>
  <c r="J131" i="5" s="1"/>
  <c r="M16" i="33"/>
  <c r="P18" i="30"/>
  <c r="P23" i="30"/>
  <c r="Q31" i="30"/>
  <c r="L31" i="30"/>
  <c r="K190" i="11"/>
  <c r="J191" i="11"/>
  <c r="J192" i="11" s="1"/>
  <c r="J193" i="11" s="1"/>
  <c r="J194" i="11" s="1"/>
  <c r="J195" i="11" s="1"/>
  <c r="J196" i="11" s="1"/>
  <c r="J10" i="35" l="1"/>
  <c r="H37" i="15"/>
  <c r="E27" i="33"/>
  <c r="J28" i="33" s="1"/>
  <c r="J29" i="33" s="1"/>
  <c r="J30" i="33" s="1"/>
  <c r="J31" i="33" s="1"/>
  <c r="J32" i="33" s="1"/>
  <c r="J33" i="33" s="1"/>
  <c r="J34" i="33" s="1"/>
  <c r="H19" i="30"/>
  <c r="E167" i="11" l="1"/>
  <c r="J168" i="11" s="1"/>
  <c r="J169" i="11" s="1"/>
  <c r="J170" i="11" s="1"/>
  <c r="J171" i="11" s="1"/>
  <c r="J172" i="11" s="1"/>
  <c r="J173" i="11" s="1"/>
  <c r="E150" i="11"/>
  <c r="I44" i="23"/>
  <c r="I45" i="23" s="1"/>
  <c r="I142" i="4"/>
  <c r="I143" i="4" s="1"/>
  <c r="I144" i="4" s="1"/>
  <c r="I141" i="4"/>
  <c r="G54" i="1" l="1"/>
  <c r="G72" i="1"/>
  <c r="G10" i="1"/>
  <c r="H175" i="2"/>
  <c r="J175" i="2" s="1"/>
  <c r="I171" i="2"/>
  <c r="I172" i="2" s="1"/>
  <c r="I173" i="2" s="1"/>
  <c r="I174" i="2" s="1"/>
  <c r="H28" i="15"/>
  <c r="H122" i="1"/>
  <c r="I122" i="1"/>
  <c r="E122" i="1"/>
  <c r="E118" i="1"/>
  <c r="H118" i="1"/>
  <c r="H114" i="1"/>
  <c r="I114" i="1"/>
  <c r="E114" i="1"/>
  <c r="H16" i="31"/>
  <c r="G115" i="1" s="1"/>
  <c r="G118" i="1" s="1"/>
  <c r="H28" i="13"/>
  <c r="G47" i="1" s="1"/>
  <c r="I47" i="1" s="1"/>
  <c r="G46" i="1"/>
  <c r="I46" i="1" s="1"/>
  <c r="G92" i="1"/>
  <c r="I92" i="1" s="1"/>
  <c r="G35" i="1"/>
  <c r="H12" i="33" l="1"/>
  <c r="M26" i="33" l="1"/>
  <c r="K26" i="33"/>
  <c r="H26" i="33"/>
  <c r="L25" i="33"/>
  <c r="L26" i="33" s="1"/>
  <c r="H16" i="33"/>
  <c r="L16" i="33" s="1"/>
  <c r="N16" i="33" s="1"/>
  <c r="O16" i="33" s="1"/>
  <c r="O17" i="33" s="1"/>
  <c r="L15" i="33"/>
  <c r="L14" i="33"/>
  <c r="L13" i="33"/>
  <c r="L12" i="33"/>
  <c r="J12" i="33"/>
  <c r="J13" i="33" s="1"/>
  <c r="J14" i="33" s="1"/>
  <c r="J15" i="33" s="1"/>
  <c r="H10" i="33"/>
  <c r="G10" i="33"/>
  <c r="F10" i="33"/>
  <c r="E10" i="33"/>
  <c r="J6" i="33"/>
  <c r="I6" i="33"/>
  <c r="I10" i="33" s="1"/>
  <c r="G17" i="30"/>
  <c r="G31" i="30" s="1"/>
  <c r="H29" i="32"/>
  <c r="L29" i="32" s="1"/>
  <c r="E29" i="32"/>
  <c r="M20" i="32"/>
  <c r="K20" i="32"/>
  <c r="H20" i="32"/>
  <c r="J20" i="32" s="1"/>
  <c r="L18" i="32"/>
  <c r="L20" i="32" s="1"/>
  <c r="H15" i="32"/>
  <c r="L14" i="32"/>
  <c r="L13" i="32"/>
  <c r="M12" i="32"/>
  <c r="M15" i="32" s="1"/>
  <c r="L12" i="32"/>
  <c r="J12" i="32"/>
  <c r="J13" i="32" s="1"/>
  <c r="J14" i="32" s="1"/>
  <c r="H10" i="32"/>
  <c r="G10" i="32"/>
  <c r="F10" i="32"/>
  <c r="E10" i="32"/>
  <c r="J6" i="32"/>
  <c r="I6" i="32"/>
  <c r="I10" i="32" s="1"/>
  <c r="I68" i="20"/>
  <c r="I69" i="20" s="1"/>
  <c r="I70" i="20" s="1"/>
  <c r="H71" i="20"/>
  <c r="G71" i="1" s="1"/>
  <c r="H66" i="20"/>
  <c r="G70" i="1" s="1"/>
  <c r="H58" i="20"/>
  <c r="L15" i="32" l="1"/>
  <c r="G119" i="1"/>
  <c r="G122" i="1" s="1"/>
  <c r="N26" i="33"/>
  <c r="L67" i="33"/>
  <c r="G112" i="1"/>
  <c r="J26" i="33"/>
  <c r="G111" i="1"/>
  <c r="J7" i="33"/>
  <c r="J8" i="33" s="1"/>
  <c r="J9" i="33" s="1"/>
  <c r="K6" i="33"/>
  <c r="K10" i="33" s="1"/>
  <c r="N15" i="32"/>
  <c r="N20" i="32"/>
  <c r="J7" i="32"/>
  <c r="J8" i="32" s="1"/>
  <c r="J9" i="32" s="1"/>
  <c r="K6" i="32"/>
  <c r="K10" i="32" s="1"/>
  <c r="H66" i="15"/>
  <c r="H197" i="11"/>
  <c r="G43" i="1" s="1"/>
  <c r="I27" i="1"/>
  <c r="E27" i="1"/>
  <c r="G23" i="1"/>
  <c r="G27" i="1" s="1"/>
  <c r="H38" i="31"/>
  <c r="L38" i="31" s="1"/>
  <c r="E38" i="31"/>
  <c r="M29" i="31"/>
  <c r="K29" i="31"/>
  <c r="H29" i="31"/>
  <c r="J29" i="31" s="1"/>
  <c r="L27" i="31"/>
  <c r="L29" i="31" s="1"/>
  <c r="M24" i="31"/>
  <c r="L24" i="31"/>
  <c r="L23" i="31"/>
  <c r="L22" i="31"/>
  <c r="L21" i="31"/>
  <c r="L20" i="31"/>
  <c r="L19" i="31"/>
  <c r="L18" i="31"/>
  <c r="L17" i="31"/>
  <c r="L16" i="31"/>
  <c r="L13" i="31"/>
  <c r="M12" i="31"/>
  <c r="L12" i="31"/>
  <c r="J12" i="31"/>
  <c r="J13" i="31" s="1"/>
  <c r="I10" i="31"/>
  <c r="H10" i="31"/>
  <c r="G10" i="31"/>
  <c r="F10" i="31"/>
  <c r="E10" i="31"/>
  <c r="J6" i="31"/>
  <c r="I6" i="31"/>
  <c r="K6" i="31" s="1"/>
  <c r="K10" i="31" s="1"/>
  <c r="L169" i="2"/>
  <c r="N24" i="31" l="1"/>
  <c r="N29" i="31"/>
  <c r="G114" i="1"/>
  <c r="J10" i="32"/>
  <c r="J10" i="33"/>
  <c r="J7" i="31"/>
  <c r="J8" i="31" s="1"/>
  <c r="J9" i="31" s="1"/>
  <c r="H139" i="4"/>
  <c r="E135" i="4"/>
  <c r="G19" i="1"/>
  <c r="J10" i="31" l="1"/>
  <c r="E18" i="30"/>
  <c r="H18" i="30" s="1"/>
  <c r="I10" i="1"/>
  <c r="I11" i="1"/>
  <c r="I12" i="1"/>
  <c r="I13" i="1"/>
  <c r="H169" i="2"/>
  <c r="I19" i="1"/>
  <c r="I20" i="1"/>
  <c r="I21" i="1"/>
  <c r="G18" i="1"/>
  <c r="I18" i="1" s="1"/>
  <c r="I42" i="1"/>
  <c r="I43" i="1"/>
  <c r="I44" i="1"/>
  <c r="H174" i="11"/>
  <c r="G39" i="1" s="1"/>
  <c r="G107" i="1"/>
  <c r="E7" i="30"/>
  <c r="F7" i="30" s="1"/>
  <c r="I7" i="30" s="1"/>
  <c r="E8" i="30"/>
  <c r="F8" i="30" s="1"/>
  <c r="I8" i="30" s="1"/>
  <c r="E9" i="30"/>
  <c r="E10" i="30"/>
  <c r="F10" i="30" s="1"/>
  <c r="I10" i="30" s="1"/>
  <c r="E11" i="30"/>
  <c r="F11" i="30" s="1"/>
  <c r="I11" i="30" s="1"/>
  <c r="E12" i="30"/>
  <c r="F12" i="30" s="1"/>
  <c r="I12" i="30" s="1"/>
  <c r="E13" i="30"/>
  <c r="F13" i="30" s="1"/>
  <c r="I13" i="30" s="1"/>
  <c r="E14" i="30"/>
  <c r="F14" i="30" s="1"/>
  <c r="I14" i="30" s="1"/>
  <c r="E16" i="30"/>
  <c r="E6" i="30"/>
  <c r="I136" i="4"/>
  <c r="I137" i="4" s="1"/>
  <c r="I138" i="4" s="1"/>
  <c r="H185" i="11"/>
  <c r="G40" i="1" s="1"/>
  <c r="H189" i="11"/>
  <c r="G41" i="1" s="1"/>
  <c r="I41" i="1" s="1"/>
  <c r="I187" i="11"/>
  <c r="I188" i="11" s="1"/>
  <c r="I28" i="27"/>
  <c r="L55" i="26"/>
  <c r="L56" i="26"/>
  <c r="L58" i="26"/>
  <c r="L59" i="26"/>
  <c r="L60" i="26"/>
  <c r="L53" i="26"/>
  <c r="H23" i="15"/>
  <c r="E38" i="15"/>
  <c r="P16" i="30"/>
  <c r="D15" i="30"/>
  <c r="H29" i="15"/>
  <c r="K134" i="4"/>
  <c r="J169" i="2" l="1"/>
  <c r="L170" i="2" s="1"/>
  <c r="F16" i="30"/>
  <c r="I16" i="30" s="1"/>
  <c r="H16" i="30"/>
  <c r="F6" i="30"/>
  <c r="H6" i="30"/>
  <c r="F9" i="30"/>
  <c r="I9" i="30" s="1"/>
  <c r="H9" i="30"/>
  <c r="G9" i="1"/>
  <c r="I9" i="1" s="1"/>
  <c r="E22" i="30"/>
  <c r="F18" i="30"/>
  <c r="E15" i="30"/>
  <c r="F15" i="30" s="1"/>
  <c r="I15" i="30" s="1"/>
  <c r="K14" i="30"/>
  <c r="J177" i="11"/>
  <c r="J178" i="11" s="1"/>
  <c r="J179" i="11" s="1"/>
  <c r="J180" i="11" s="1"/>
  <c r="J181" i="11" s="1"/>
  <c r="J176" i="11"/>
  <c r="J49" i="20"/>
  <c r="J50" i="20" s="1"/>
  <c r="J51" i="20" s="1"/>
  <c r="J52" i="20" s="1"/>
  <c r="J53" i="20" s="1"/>
  <c r="J54" i="20" s="1"/>
  <c r="J55" i="20" s="1"/>
  <c r="J56" i="20" s="1"/>
  <c r="J57" i="20" s="1"/>
  <c r="I31" i="1"/>
  <c r="I32" i="1"/>
  <c r="E36" i="15"/>
  <c r="E35" i="15"/>
  <c r="J35" i="15"/>
  <c r="J36" i="15"/>
  <c r="J37" i="15"/>
  <c r="J38" i="15"/>
  <c r="J39" i="15"/>
  <c r="J40" i="15"/>
  <c r="J41" i="15"/>
  <c r="J42" i="15"/>
  <c r="J43" i="15"/>
  <c r="E34" i="15"/>
  <c r="J34" i="15" s="1"/>
  <c r="O11" i="30"/>
  <c r="O12" i="30"/>
  <c r="K11" i="30"/>
  <c r="H32" i="15"/>
  <c r="K12" i="30" l="1"/>
  <c r="P12" i="30" s="1"/>
  <c r="N6" i="30"/>
  <c r="I6" i="30"/>
  <c r="L66" i="20"/>
  <c r="G69" i="1"/>
  <c r="F22" i="30"/>
  <c r="J33" i="15"/>
  <c r="H21" i="15"/>
  <c r="H20" i="15"/>
  <c r="H134" i="4"/>
  <c r="J126" i="4"/>
  <c r="J127" i="4" s="1"/>
  <c r="J128" i="4" s="1"/>
  <c r="J129" i="4" s="1"/>
  <c r="J130" i="4" s="1"/>
  <c r="J131" i="4" s="1"/>
  <c r="J132" i="4" s="1"/>
  <c r="J133" i="4" s="1"/>
  <c r="H7" i="30"/>
  <c r="H8" i="30"/>
  <c r="H10" i="30"/>
  <c r="H11" i="30"/>
  <c r="H12" i="30"/>
  <c r="H13" i="30"/>
  <c r="H14" i="30"/>
  <c r="H15" i="30"/>
  <c r="P11" i="30"/>
  <c r="P13" i="30"/>
  <c r="P14" i="30"/>
  <c r="P15" i="30"/>
  <c r="O10" i="30"/>
  <c r="O9" i="30"/>
  <c r="J32" i="15"/>
  <c r="E91" i="1"/>
  <c r="E33" i="24"/>
  <c r="H33" i="24"/>
  <c r="N71" i="6"/>
  <c r="L77" i="6"/>
  <c r="H57" i="26"/>
  <c r="L57" i="26" s="1"/>
  <c r="H91" i="6"/>
  <c r="G30" i="1" s="1"/>
  <c r="I30" i="1" s="1"/>
  <c r="J84" i="6"/>
  <c r="J85" i="6" s="1"/>
  <c r="J86" i="6" s="1"/>
  <c r="J87" i="6" s="1"/>
  <c r="J88" i="6" s="1"/>
  <c r="J89" i="6" s="1"/>
  <c r="J90" i="6" s="1"/>
  <c r="J83" i="6"/>
  <c r="J134" i="4" l="1"/>
  <c r="L134" i="4" s="1"/>
  <c r="I17" i="30"/>
  <c r="H17" i="30"/>
  <c r="I32" i="24"/>
  <c r="I31" i="24"/>
  <c r="J123" i="4"/>
  <c r="J124" i="4" s="1"/>
  <c r="N78" i="26"/>
  <c r="L25" i="29"/>
  <c r="K27" i="29"/>
  <c r="L27" i="29"/>
  <c r="H27" i="29"/>
  <c r="J27" i="29" s="1"/>
  <c r="H81" i="6" l="1"/>
  <c r="J79" i="6"/>
  <c r="J80" i="6" s="1"/>
  <c r="H14" i="15"/>
  <c r="J31" i="15"/>
  <c r="H12" i="15"/>
  <c r="I53" i="15"/>
  <c r="P6" i="30"/>
  <c r="E17" i="30"/>
  <c r="E31" i="30" s="1"/>
  <c r="G29" i="1" l="1"/>
  <c r="J81" i="6"/>
  <c r="J91" i="6" s="1"/>
  <c r="F17" i="30"/>
  <c r="F31" i="30" s="1"/>
  <c r="N7" i="30"/>
  <c r="N8" i="30" s="1"/>
  <c r="N9" i="30" s="1"/>
  <c r="N10" i="30" s="1"/>
  <c r="N77" i="26"/>
  <c r="L79" i="6"/>
  <c r="L81" i="6" s="1"/>
  <c r="L91" i="6" s="1"/>
  <c r="H77" i="6"/>
  <c r="J77" i="6" s="1"/>
  <c r="M77" i="6" s="1"/>
  <c r="L77" i="26"/>
  <c r="L78" i="26"/>
  <c r="L79" i="26"/>
  <c r="L80" i="26"/>
  <c r="L81" i="26"/>
  <c r="L82" i="26"/>
  <c r="L83" i="26"/>
  <c r="L84" i="26"/>
  <c r="H86" i="26"/>
  <c r="L76" i="26"/>
  <c r="L85" i="26"/>
  <c r="K22" i="30"/>
  <c r="J22" i="30"/>
  <c r="J31" i="30" s="1"/>
  <c r="D22" i="30"/>
  <c r="P19" i="30"/>
  <c r="M19" i="30"/>
  <c r="M18" i="30"/>
  <c r="K17" i="30"/>
  <c r="K31" i="30" s="1"/>
  <c r="D17" i="30"/>
  <c r="P10" i="30"/>
  <c r="P9" i="30"/>
  <c r="P8" i="30"/>
  <c r="P7" i="30"/>
  <c r="M17" i="30"/>
  <c r="G60" i="1"/>
  <c r="I60" i="1" s="1"/>
  <c r="I61" i="1"/>
  <c r="L12" i="28"/>
  <c r="G17" i="1"/>
  <c r="I17" i="1" s="1"/>
  <c r="E110" i="1"/>
  <c r="G100" i="1"/>
  <c r="H14" i="1"/>
  <c r="G10" i="26"/>
  <c r="H10" i="26" s="1"/>
  <c r="L31" i="26"/>
  <c r="L16" i="26"/>
  <c r="K32" i="26"/>
  <c r="R31" i="26"/>
  <c r="N72" i="26"/>
  <c r="N74" i="26"/>
  <c r="M92" i="6" l="1"/>
  <c r="M91" i="6"/>
  <c r="N92" i="6"/>
  <c r="N93" i="6" s="1"/>
  <c r="D31" i="30"/>
  <c r="M22" i="30"/>
  <c r="M31" i="30" s="1"/>
  <c r="P22" i="30"/>
  <c r="H22" i="30"/>
  <c r="H31" i="30" s="1"/>
  <c r="N11" i="30"/>
  <c r="N12" i="30" s="1"/>
  <c r="N13" i="30" s="1"/>
  <c r="N14" i="30" s="1"/>
  <c r="N15" i="30" s="1"/>
  <c r="N16" i="30" s="1"/>
  <c r="I18" i="30" s="1"/>
  <c r="I31" i="30" s="1"/>
  <c r="P33" i="30"/>
  <c r="P17" i="30"/>
  <c r="P31" i="30" s="1"/>
  <c r="H30" i="26"/>
  <c r="R29" i="26"/>
  <c r="R32" i="26" s="1"/>
  <c r="L150" i="11"/>
  <c r="H166" i="11"/>
  <c r="G38" i="1" s="1"/>
  <c r="J23" i="15"/>
  <c r="P32" i="30" l="1"/>
  <c r="J152" i="1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51" i="11"/>
  <c r="N71" i="26"/>
  <c r="N68" i="26"/>
  <c r="M11" i="21"/>
  <c r="L69" i="26"/>
  <c r="L70" i="26"/>
  <c r="L71" i="26"/>
  <c r="L72" i="26"/>
  <c r="L73" i="26"/>
  <c r="L74" i="26"/>
  <c r="L75" i="26"/>
  <c r="L37" i="25"/>
  <c r="L36" i="25"/>
  <c r="L35" i="25"/>
  <c r="L33" i="25"/>
  <c r="L31" i="25"/>
  <c r="L30" i="25"/>
  <c r="L29" i="25"/>
  <c r="L28" i="25"/>
  <c r="L27" i="25"/>
  <c r="F29" i="25"/>
  <c r="L34" i="25" s="1"/>
  <c r="L32" i="25" l="1"/>
  <c r="N86" i="26"/>
  <c r="N18" i="30"/>
  <c r="N19" i="30" s="1"/>
  <c r="N20" i="30" s="1"/>
  <c r="N21" i="30" s="1"/>
  <c r="N23" i="30" s="1"/>
  <c r="M86" i="26"/>
  <c r="M66" i="26"/>
  <c r="L68" i="26"/>
  <c r="L86" i="26" s="1"/>
  <c r="J68" i="26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J84" i="26" s="1"/>
  <c r="J85" i="26" s="1"/>
  <c r="H51" i="21"/>
  <c r="L51" i="21"/>
  <c r="M51" i="21"/>
  <c r="N24" i="30" l="1"/>
  <c r="N25" i="30" s="1"/>
  <c r="N26" i="30" s="1"/>
  <c r="N87" i="26"/>
  <c r="J86" i="26"/>
  <c r="G51" i="1"/>
  <c r="I27" i="24"/>
  <c r="I28" i="24" s="1"/>
  <c r="N31" i="30" l="1"/>
  <c r="L18" i="21"/>
  <c r="L19" i="21"/>
  <c r="L20" i="21"/>
  <c r="L21" i="21"/>
  <c r="L22" i="21"/>
  <c r="L23" i="21"/>
  <c r="L24" i="21"/>
  <c r="H54" i="26"/>
  <c r="L54" i="26" s="1"/>
  <c r="G6" i="26"/>
  <c r="G7" i="26"/>
  <c r="G8" i="26"/>
  <c r="G9" i="26"/>
  <c r="G5" i="26"/>
  <c r="I19" i="17"/>
  <c r="M22" i="27"/>
  <c r="I29" i="17"/>
  <c r="I28" i="17"/>
  <c r="M12" i="29"/>
  <c r="M22" i="29" s="1"/>
  <c r="M22" i="28"/>
  <c r="L41" i="29"/>
  <c r="E41" i="29"/>
  <c r="H22" i="29"/>
  <c r="L21" i="29"/>
  <c r="L20" i="29"/>
  <c r="L19" i="29"/>
  <c r="L18" i="29"/>
  <c r="L17" i="29"/>
  <c r="L16" i="29"/>
  <c r="L15" i="29"/>
  <c r="L14" i="29"/>
  <c r="L13" i="29"/>
  <c r="L12" i="29"/>
  <c r="J12" i="29"/>
  <c r="J13" i="29" s="1"/>
  <c r="J14" i="29" s="1"/>
  <c r="J15" i="29" s="1"/>
  <c r="J16" i="29" s="1"/>
  <c r="J17" i="29" s="1"/>
  <c r="J18" i="29" s="1"/>
  <c r="J19" i="29" s="1"/>
  <c r="J20" i="29" s="1"/>
  <c r="J21" i="29" s="1"/>
  <c r="H10" i="29"/>
  <c r="G10" i="29"/>
  <c r="F10" i="29"/>
  <c r="E10" i="29"/>
  <c r="J6" i="29"/>
  <c r="I6" i="29"/>
  <c r="I10" i="29" s="1"/>
  <c r="H102" i="1"/>
  <c r="E102" i="1"/>
  <c r="H98" i="1"/>
  <c r="E98" i="1"/>
  <c r="F94" i="1"/>
  <c r="H94" i="1"/>
  <c r="E94" i="1"/>
  <c r="G75" i="1"/>
  <c r="E75" i="1"/>
  <c r="G45" i="1"/>
  <c r="H45" i="1"/>
  <c r="H37" i="1"/>
  <c r="E37" i="1"/>
  <c r="H33" i="1"/>
  <c r="E33" i="1"/>
  <c r="I100" i="1"/>
  <c r="I101" i="1"/>
  <c r="I104" i="1"/>
  <c r="I105" i="1"/>
  <c r="I107" i="1"/>
  <c r="I108" i="1"/>
  <c r="I109" i="1"/>
  <c r="I115" i="1"/>
  <c r="G87" i="1"/>
  <c r="I87" i="1" s="1"/>
  <c r="H39" i="23"/>
  <c r="G76" i="1"/>
  <c r="I76" i="1" s="1"/>
  <c r="E59" i="1"/>
  <c r="E63" i="1" s="1"/>
  <c r="E50" i="1"/>
  <c r="E53" i="1" s="1"/>
  <c r="E38" i="1"/>
  <c r="I38" i="1" s="1"/>
  <c r="G34" i="1"/>
  <c r="G37" i="1" s="1"/>
  <c r="H42" i="9"/>
  <c r="G16" i="1"/>
  <c r="I16" i="1" s="1"/>
  <c r="G15" i="1"/>
  <c r="I15" i="1" s="1"/>
  <c r="I35" i="1"/>
  <c r="I36" i="1"/>
  <c r="I39" i="1"/>
  <c r="I40" i="1"/>
  <c r="I51" i="1"/>
  <c r="I52" i="1"/>
  <c r="I62" i="1"/>
  <c r="I69" i="1"/>
  <c r="I74" i="1"/>
  <c r="I77" i="1"/>
  <c r="I78" i="1"/>
  <c r="I80" i="1"/>
  <c r="I81" i="1"/>
  <c r="I83" i="1"/>
  <c r="I84" i="1"/>
  <c r="I86" i="1"/>
  <c r="I88" i="1"/>
  <c r="I89" i="1"/>
  <c r="I93" i="1"/>
  <c r="I97" i="1"/>
  <c r="I116" i="1"/>
  <c r="I117" i="1"/>
  <c r="F8" i="1"/>
  <c r="E8" i="1"/>
  <c r="F7" i="1"/>
  <c r="E7" i="1"/>
  <c r="H144" i="2"/>
  <c r="G8" i="1" s="1"/>
  <c r="H140" i="2"/>
  <c r="G7" i="1" s="1"/>
  <c r="H135" i="2"/>
  <c r="G6" i="1" s="1"/>
  <c r="F6" i="1"/>
  <c r="E6" i="1"/>
  <c r="K6" i="29" l="1"/>
  <c r="K10" i="29" s="1"/>
  <c r="I118" i="1"/>
  <c r="L22" i="29"/>
  <c r="N22" i="29" s="1"/>
  <c r="G106" i="1"/>
  <c r="I75" i="1"/>
  <c r="I45" i="1"/>
  <c r="M27" i="29"/>
  <c r="N27" i="29" s="1"/>
  <c r="G14" i="1"/>
  <c r="E14" i="1"/>
  <c r="I34" i="1"/>
  <c r="I37" i="1" s="1"/>
  <c r="E45" i="1"/>
  <c r="J7" i="29"/>
  <c r="J8" i="29" s="1"/>
  <c r="J9" i="29" s="1"/>
  <c r="I6" i="1"/>
  <c r="I7" i="1"/>
  <c r="I8" i="1"/>
  <c r="G39" i="21"/>
  <c r="G26" i="21"/>
  <c r="G11" i="21"/>
  <c r="H36" i="28"/>
  <c r="L36" i="28" s="1"/>
  <c r="E36" i="28"/>
  <c r="L27" i="28"/>
  <c r="K27" i="28"/>
  <c r="M26" i="28"/>
  <c r="M25" i="28"/>
  <c r="M24" i="28"/>
  <c r="M27" i="28" s="1"/>
  <c r="O27" i="28" s="1"/>
  <c r="H22" i="28"/>
  <c r="G103" i="1" s="1"/>
  <c r="I103" i="1" s="1"/>
  <c r="L21" i="28"/>
  <c r="L20" i="28"/>
  <c r="L19" i="28"/>
  <c r="L18" i="28"/>
  <c r="L17" i="28"/>
  <c r="L16" i="28"/>
  <c r="L15" i="28"/>
  <c r="L14" i="28"/>
  <c r="L13" i="28"/>
  <c r="J12" i="28"/>
  <c r="J13" i="28" s="1"/>
  <c r="J14" i="28" s="1"/>
  <c r="J15" i="28" s="1"/>
  <c r="J16" i="28" s="1"/>
  <c r="J17" i="28" s="1"/>
  <c r="J18" i="28" s="1"/>
  <c r="J19" i="28" s="1"/>
  <c r="J20" i="28" s="1"/>
  <c r="J21" i="28" s="1"/>
  <c r="H10" i="28"/>
  <c r="G10" i="28"/>
  <c r="F10" i="28"/>
  <c r="E10" i="28"/>
  <c r="J6" i="28"/>
  <c r="J7" i="28" s="1"/>
  <c r="J8" i="28" s="1"/>
  <c r="J9" i="28" s="1"/>
  <c r="I6" i="28"/>
  <c r="I10" i="28" s="1"/>
  <c r="L26" i="25"/>
  <c r="L25" i="25"/>
  <c r="L38" i="25" s="1"/>
  <c r="N38" i="25" s="1"/>
  <c r="L24" i="25"/>
  <c r="H38" i="25"/>
  <c r="G95" i="1" s="1"/>
  <c r="J38" i="25"/>
  <c r="M38" i="25"/>
  <c r="I37" i="23"/>
  <c r="I38" i="23" s="1"/>
  <c r="I95" i="1" l="1"/>
  <c r="I98" i="1" s="1"/>
  <c r="G98" i="1"/>
  <c r="K6" i="28"/>
  <c r="K10" i="28" s="1"/>
  <c r="G110" i="1"/>
  <c r="I110" i="1" s="1"/>
  <c r="I106" i="1"/>
  <c r="L22" i="28"/>
  <c r="N22" i="28" s="1"/>
  <c r="J10" i="29"/>
  <c r="J10" i="28"/>
  <c r="I114" i="4" l="1"/>
  <c r="I115" i="4" s="1"/>
  <c r="I25" i="25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24" i="25"/>
  <c r="E20" i="22"/>
  <c r="H17" i="15"/>
  <c r="I21" i="22"/>
  <c r="I22" i="22" s="1"/>
  <c r="I23" i="22" s="1"/>
  <c r="I24" i="22" s="1"/>
  <c r="I25" i="22" s="1"/>
  <c r="I26" i="22" s="1"/>
  <c r="E36" i="27"/>
  <c r="L27" i="27"/>
  <c r="K27" i="27"/>
  <c r="H36" i="27"/>
  <c r="L36" i="27" s="1"/>
  <c r="M26" i="27"/>
  <c r="M25" i="27"/>
  <c r="M27" i="27" s="1"/>
  <c r="M24" i="27"/>
  <c r="H22" i="27"/>
  <c r="L21" i="27"/>
  <c r="L20" i="27"/>
  <c r="L19" i="27"/>
  <c r="L18" i="27"/>
  <c r="L17" i="27"/>
  <c r="L16" i="27"/>
  <c r="L15" i="27"/>
  <c r="L14" i="27"/>
  <c r="L13" i="27"/>
  <c r="L12" i="27"/>
  <c r="J12" i="27"/>
  <c r="J13" i="27" s="1"/>
  <c r="J14" i="27" s="1"/>
  <c r="J15" i="27" s="1"/>
  <c r="J16" i="27" s="1"/>
  <c r="J17" i="27" s="1"/>
  <c r="J18" i="27" s="1"/>
  <c r="J19" i="27" s="1"/>
  <c r="J20" i="27" s="1"/>
  <c r="J21" i="27" s="1"/>
  <c r="H10" i="27"/>
  <c r="G10" i="27"/>
  <c r="F10" i="27"/>
  <c r="E10" i="27"/>
  <c r="J6" i="27"/>
  <c r="I6" i="27"/>
  <c r="K6" i="27" s="1"/>
  <c r="K10" i="27" s="1"/>
  <c r="L24" i="26"/>
  <c r="L20" i="26"/>
  <c r="H49" i="26"/>
  <c r="H66" i="26" s="1"/>
  <c r="G50" i="1" l="1"/>
  <c r="J66" i="26"/>
  <c r="N66" i="26" s="1"/>
  <c r="O86" i="26" s="1"/>
  <c r="G99" i="1"/>
  <c r="L22" i="27"/>
  <c r="N22" i="27" s="1"/>
  <c r="L29" i="26"/>
  <c r="L32" i="26" s="1"/>
  <c r="O27" i="27"/>
  <c r="J7" i="27"/>
  <c r="J8" i="27" s="1"/>
  <c r="J9" i="27" s="1"/>
  <c r="I10" i="27"/>
  <c r="J41" i="20"/>
  <c r="J42" i="20" s="1"/>
  <c r="J43" i="20" s="1"/>
  <c r="J44" i="20" s="1"/>
  <c r="J45" i="20" s="1"/>
  <c r="J46" i="20" s="1"/>
  <c r="H47" i="20"/>
  <c r="L47" i="20" s="1"/>
  <c r="J70" i="6"/>
  <c r="J71" i="6" s="1"/>
  <c r="J72" i="6" s="1"/>
  <c r="J73" i="6" s="1"/>
  <c r="J74" i="6" s="1"/>
  <c r="J75" i="6" s="1"/>
  <c r="J76" i="6" s="1"/>
  <c r="J69" i="6"/>
  <c r="L52" i="26"/>
  <c r="L51" i="26"/>
  <c r="L50" i="26"/>
  <c r="L49" i="26"/>
  <c r="J49" i="26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N28" i="26"/>
  <c r="I143" i="2"/>
  <c r="I142" i="2"/>
  <c r="I112" i="4"/>
  <c r="I111" i="4"/>
  <c r="J56" i="15"/>
  <c r="J57" i="15" s="1"/>
  <c r="J58" i="15" s="1"/>
  <c r="J55" i="15"/>
  <c r="I138" i="2"/>
  <c r="I139" i="2" s="1"/>
  <c r="Q22" i="26"/>
  <c r="Q23" i="26"/>
  <c r="Q24" i="26"/>
  <c r="T24" i="26" s="1"/>
  <c r="Q25" i="26"/>
  <c r="Q26" i="26"/>
  <c r="Q27" i="26"/>
  <c r="Q28" i="26"/>
  <c r="Q30" i="26"/>
  <c r="Q31" i="26" s="1"/>
  <c r="N22" i="26"/>
  <c r="N23" i="26"/>
  <c r="N24" i="26"/>
  <c r="N25" i="26"/>
  <c r="N26" i="26"/>
  <c r="N27" i="26"/>
  <c r="N30" i="26"/>
  <c r="N31" i="26"/>
  <c r="F16" i="26"/>
  <c r="H6" i="26"/>
  <c r="H7" i="26"/>
  <c r="H8" i="26"/>
  <c r="H9" i="26"/>
  <c r="G11" i="26"/>
  <c r="H11" i="26" s="1"/>
  <c r="G12" i="26"/>
  <c r="H12" i="26" s="1"/>
  <c r="G13" i="26"/>
  <c r="H13" i="26" s="1"/>
  <c r="G14" i="26"/>
  <c r="H14" i="26" s="1"/>
  <c r="G15" i="26"/>
  <c r="H15" i="26" s="1"/>
  <c r="H5" i="26"/>
  <c r="I24" i="24"/>
  <c r="I23" i="24"/>
  <c r="H25" i="15"/>
  <c r="Q11" i="26"/>
  <c r="Q12" i="26"/>
  <c r="Q13" i="26"/>
  <c r="Q14" i="26"/>
  <c r="Q15" i="26"/>
  <c r="N10" i="26"/>
  <c r="N11" i="26"/>
  <c r="N12" i="26"/>
  <c r="N13" i="26"/>
  <c r="N14" i="26"/>
  <c r="N15" i="26"/>
  <c r="J11" i="26"/>
  <c r="J12" i="26"/>
  <c r="J13" i="26"/>
  <c r="J14" i="26"/>
  <c r="J15" i="26"/>
  <c r="L14" i="21"/>
  <c r="L15" i="21"/>
  <c r="L16" i="21"/>
  <c r="L17" i="21"/>
  <c r="H13" i="15"/>
  <c r="I121" i="5"/>
  <c r="I122" i="5" s="1"/>
  <c r="I120" i="5"/>
  <c r="H27" i="15"/>
  <c r="J7" i="26"/>
  <c r="J8" i="26"/>
  <c r="J9" i="26"/>
  <c r="J10" i="26"/>
  <c r="J30" i="26"/>
  <c r="Q21" i="26"/>
  <c r="N21" i="26"/>
  <c r="J21" i="26"/>
  <c r="Q20" i="26"/>
  <c r="T20" i="26" s="1"/>
  <c r="N20" i="26"/>
  <c r="J20" i="26"/>
  <c r="Q19" i="26"/>
  <c r="N19" i="26"/>
  <c r="J19" i="26"/>
  <c r="Q18" i="26"/>
  <c r="N18" i="26"/>
  <c r="J18" i="26"/>
  <c r="Q17" i="26"/>
  <c r="N17" i="26"/>
  <c r="J17" i="26"/>
  <c r="Q10" i="26"/>
  <c r="Q9" i="26"/>
  <c r="N9" i="26"/>
  <c r="Q8" i="26"/>
  <c r="N8" i="26"/>
  <c r="Q7" i="26"/>
  <c r="N7" i="26"/>
  <c r="Q6" i="26"/>
  <c r="N6" i="26"/>
  <c r="J6" i="26"/>
  <c r="Q5" i="26"/>
  <c r="N5" i="26"/>
  <c r="H25" i="21"/>
  <c r="G79" i="1" s="1"/>
  <c r="I79" i="1" s="1"/>
  <c r="H38" i="21"/>
  <c r="G82" i="1" s="1"/>
  <c r="I82" i="1" s="1"/>
  <c r="J27" i="2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G102" i="1" l="1"/>
  <c r="I102" i="1" s="1"/>
  <c r="I99" i="1"/>
  <c r="G53" i="1"/>
  <c r="I50" i="1"/>
  <c r="I53" i="1" s="1"/>
  <c r="L66" i="26"/>
  <c r="I29" i="1"/>
  <c r="O5" i="26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30" i="26" s="1"/>
  <c r="H16" i="26"/>
  <c r="H32" i="26" s="1"/>
  <c r="Q34" i="26" s="1"/>
  <c r="L96" i="6"/>
  <c r="L38" i="21"/>
  <c r="Q29" i="26"/>
  <c r="J10" i="27"/>
  <c r="G16" i="26"/>
  <c r="G32" i="26" s="1"/>
  <c r="F32" i="26"/>
  <c r="N16" i="26"/>
  <c r="J5" i="26"/>
  <c r="Q16" i="26"/>
  <c r="J40" i="21"/>
  <c r="J41" i="21" s="1"/>
  <c r="J42" i="21" s="1"/>
  <c r="J43" i="21" s="1"/>
  <c r="J44" i="21" s="1"/>
  <c r="J45" i="21" s="1"/>
  <c r="J46" i="21" s="1"/>
  <c r="H19" i="15"/>
  <c r="J28" i="15"/>
  <c r="J29" i="15"/>
  <c r="J30" i="15"/>
  <c r="M12" i="21"/>
  <c r="M25" i="21" s="1"/>
  <c r="O13" i="12"/>
  <c r="J38" i="7"/>
  <c r="J39" i="7" s="1"/>
  <c r="J37" i="7"/>
  <c r="J14" i="12"/>
  <c r="O14" i="12" s="1"/>
  <c r="J133" i="2"/>
  <c r="J134" i="2" s="1"/>
  <c r="J32" i="23"/>
  <c r="J33" i="23" s="1"/>
  <c r="J34" i="23" s="1"/>
  <c r="J29" i="23"/>
  <c r="J30" i="23" s="1"/>
  <c r="K56" i="6"/>
  <c r="K57" i="6"/>
  <c r="K58" i="6"/>
  <c r="K59" i="6"/>
  <c r="K60" i="6"/>
  <c r="K61" i="6"/>
  <c r="K62" i="6"/>
  <c r="K55" i="6"/>
  <c r="L67" i="6"/>
  <c r="H26" i="15"/>
  <c r="J26" i="15"/>
  <c r="J27" i="15"/>
  <c r="J23" i="17"/>
  <c r="J24" i="17" s="1"/>
  <c r="J25" i="17" s="1"/>
  <c r="J26" i="17" s="1"/>
  <c r="J27" i="17" s="1"/>
  <c r="J28" i="17" s="1"/>
  <c r="J29" i="17" s="1"/>
  <c r="J17" i="17"/>
  <c r="J18" i="17" s="1"/>
  <c r="H23" i="17"/>
  <c r="H30" i="17" s="1"/>
  <c r="G59" i="1" s="1"/>
  <c r="H13" i="17"/>
  <c r="E6" i="17"/>
  <c r="I59" i="1" l="1"/>
  <c r="I63" i="1" s="1"/>
  <c r="G63" i="1"/>
  <c r="Q32" i="26"/>
  <c r="Q33" i="26" s="1"/>
  <c r="N32" i="26"/>
  <c r="J16" i="26"/>
  <c r="J32" i="26" s="1"/>
  <c r="J24" i="23"/>
  <c r="J25" i="23" s="1"/>
  <c r="J26" i="23" s="1"/>
  <c r="L10" i="12"/>
  <c r="L9" i="12"/>
  <c r="M22" i="25"/>
  <c r="M12" i="25"/>
  <c r="N30" i="16"/>
  <c r="M29" i="16"/>
  <c r="M28" i="16"/>
  <c r="E44" i="25"/>
  <c r="K38" i="25"/>
  <c r="H44" i="25"/>
  <c r="L44" i="25" s="1"/>
  <c r="H22" i="25"/>
  <c r="L22" i="25" s="1"/>
  <c r="N22" i="25" s="1"/>
  <c r="L21" i="25"/>
  <c r="L20" i="25"/>
  <c r="L19" i="25"/>
  <c r="L18" i="25"/>
  <c r="L17" i="25"/>
  <c r="L16" i="25"/>
  <c r="L15" i="25"/>
  <c r="L14" i="25"/>
  <c r="L13" i="25"/>
  <c r="L12" i="25"/>
  <c r="J12" i="25"/>
  <c r="J13" i="25" s="1"/>
  <c r="J14" i="25" s="1"/>
  <c r="J15" i="25" s="1"/>
  <c r="J16" i="25" s="1"/>
  <c r="J17" i="25" s="1"/>
  <c r="J18" i="25" s="1"/>
  <c r="J19" i="25" s="1"/>
  <c r="J20" i="25" s="1"/>
  <c r="J21" i="25" s="1"/>
  <c r="H10" i="25"/>
  <c r="G10" i="25"/>
  <c r="F10" i="25"/>
  <c r="E10" i="25"/>
  <c r="J6" i="25"/>
  <c r="I6" i="25"/>
  <c r="I10" i="25" s="1"/>
  <c r="J140" i="11"/>
  <c r="J141" i="11" s="1"/>
  <c r="J142" i="11" s="1"/>
  <c r="J143" i="11" s="1"/>
  <c r="J144" i="11" s="1"/>
  <c r="J145" i="11" s="1"/>
  <c r="J146" i="11" s="1"/>
  <c r="J147" i="11" s="1"/>
  <c r="J12" i="12"/>
  <c r="O9" i="12"/>
  <c r="O10" i="12"/>
  <c r="O11" i="12"/>
  <c r="M37" i="20"/>
  <c r="M36" i="20"/>
  <c r="H39" i="20"/>
  <c r="M35" i="20"/>
  <c r="H27" i="19"/>
  <c r="M32" i="20"/>
  <c r="M33" i="20"/>
  <c r="M34" i="20"/>
  <c r="M38" i="20"/>
  <c r="M29" i="20"/>
  <c r="M30" i="20"/>
  <c r="M31" i="20"/>
  <c r="H118" i="5"/>
  <c r="J118" i="5" s="1"/>
  <c r="K118" i="5" s="1"/>
  <c r="H111" i="5"/>
  <c r="K6" i="25" l="1"/>
  <c r="K10" i="25" s="1"/>
  <c r="J7" i="25"/>
  <c r="J8" i="25" s="1"/>
  <c r="J9" i="25" s="1"/>
  <c r="H22" i="15"/>
  <c r="H67" i="6"/>
  <c r="J55" i="6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23" i="20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1" i="9"/>
  <c r="J32" i="9" s="1"/>
  <c r="J33" i="9" s="1"/>
  <c r="J34" i="9" s="1"/>
  <c r="J35" i="9" s="1"/>
  <c r="J36" i="9" s="1"/>
  <c r="J37" i="9" s="1"/>
  <c r="J38" i="9" s="1"/>
  <c r="E25" i="15"/>
  <c r="J25" i="15" s="1"/>
  <c r="J22" i="15"/>
  <c r="E51" i="24"/>
  <c r="N33" i="24"/>
  <c r="L33" i="24"/>
  <c r="K33" i="24"/>
  <c r="J33" i="24"/>
  <c r="M29" i="24"/>
  <c r="M28" i="24"/>
  <c r="M27" i="24"/>
  <c r="M26" i="24"/>
  <c r="M25" i="24"/>
  <c r="M24" i="24"/>
  <c r="H22" i="24"/>
  <c r="L21" i="24"/>
  <c r="L20" i="24"/>
  <c r="L19" i="24"/>
  <c r="L18" i="24"/>
  <c r="L17" i="24"/>
  <c r="L16" i="24"/>
  <c r="L15" i="24"/>
  <c r="L14" i="24"/>
  <c r="L13" i="24"/>
  <c r="L12" i="24"/>
  <c r="J12" i="24"/>
  <c r="J13" i="24" s="1"/>
  <c r="J14" i="24" s="1"/>
  <c r="J15" i="24" s="1"/>
  <c r="J16" i="24" s="1"/>
  <c r="J17" i="24" s="1"/>
  <c r="J18" i="24" s="1"/>
  <c r="J19" i="24" s="1"/>
  <c r="J20" i="24" s="1"/>
  <c r="J21" i="24" s="1"/>
  <c r="H10" i="24"/>
  <c r="G10" i="24"/>
  <c r="F10" i="24"/>
  <c r="E10" i="24"/>
  <c r="J6" i="24"/>
  <c r="I6" i="24"/>
  <c r="I10" i="24" s="1"/>
  <c r="E20" i="16"/>
  <c r="H63" i="11"/>
  <c r="L18" i="23"/>
  <c r="J13" i="22"/>
  <c r="J12" i="22"/>
  <c r="L17" i="23"/>
  <c r="J20" i="15"/>
  <c r="J21" i="15"/>
  <c r="H15" i="15"/>
  <c r="J107" i="4"/>
  <c r="J108" i="4" s="1"/>
  <c r="J109" i="4" s="1"/>
  <c r="H105" i="4"/>
  <c r="L105" i="4" s="1"/>
  <c r="N105" i="4" s="1"/>
  <c r="L16" i="23"/>
  <c r="N27" i="23"/>
  <c r="L27" i="23"/>
  <c r="K27" i="23"/>
  <c r="J27" i="23"/>
  <c r="H27" i="23"/>
  <c r="L95" i="23" s="1"/>
  <c r="M26" i="23"/>
  <c r="M25" i="23"/>
  <c r="M24" i="23"/>
  <c r="H22" i="23"/>
  <c r="L22" i="23" s="1"/>
  <c r="L21" i="23"/>
  <c r="L20" i="23"/>
  <c r="L19" i="23"/>
  <c r="L15" i="23"/>
  <c r="L14" i="23"/>
  <c r="L13" i="23"/>
  <c r="L12" i="23"/>
  <c r="J12" i="23"/>
  <c r="J13" i="23" s="1"/>
  <c r="J14" i="23" s="1"/>
  <c r="J15" i="23" s="1"/>
  <c r="J16" i="23" s="1"/>
  <c r="J17" i="23" s="1"/>
  <c r="J18" i="23" s="1"/>
  <c r="J19" i="23" s="1"/>
  <c r="J20" i="23" s="1"/>
  <c r="J21" i="23" s="1"/>
  <c r="H10" i="23"/>
  <c r="G10" i="23"/>
  <c r="F10" i="23"/>
  <c r="E10" i="23"/>
  <c r="J6" i="23"/>
  <c r="I6" i="23"/>
  <c r="I10" i="23" s="1"/>
  <c r="L110" i="4"/>
  <c r="L20" i="20"/>
  <c r="J101" i="4"/>
  <c r="J102" i="4" s="1"/>
  <c r="J103" i="4" s="1"/>
  <c r="J104" i="4" s="1"/>
  <c r="J106" i="4" s="1"/>
  <c r="H21" i="20"/>
  <c r="L21" i="20" s="1"/>
  <c r="L18" i="20"/>
  <c r="F6" i="12"/>
  <c r="L22" i="24" l="1"/>
  <c r="G90" i="1"/>
  <c r="I90" i="1" s="1"/>
  <c r="J67" i="6"/>
  <c r="M67" i="6" s="1"/>
  <c r="G28" i="1"/>
  <c r="H51" i="24"/>
  <c r="L51" i="24" s="1"/>
  <c r="G91" i="1"/>
  <c r="I91" i="1" s="1"/>
  <c r="M33" i="24"/>
  <c r="O33" i="24" s="1"/>
  <c r="M27" i="23"/>
  <c r="O27" i="23" s="1"/>
  <c r="J10" i="25"/>
  <c r="K6" i="24"/>
  <c r="K10" i="24" s="1"/>
  <c r="J7" i="24"/>
  <c r="J8" i="24" s="1"/>
  <c r="J9" i="24" s="1"/>
  <c r="J7" i="23"/>
  <c r="J8" i="23" s="1"/>
  <c r="J9" i="23" s="1"/>
  <c r="K6" i="23"/>
  <c r="K10" i="23" s="1"/>
  <c r="M27" i="16"/>
  <c r="J120" i="11"/>
  <c r="J121" i="11" s="1"/>
  <c r="J122" i="11" s="1"/>
  <c r="J123" i="11" s="1"/>
  <c r="J124" i="11" s="1"/>
  <c r="H116" i="11"/>
  <c r="I94" i="1" l="1"/>
  <c r="J125" i="11"/>
  <c r="J126" i="11" s="1"/>
  <c r="J127" i="11" s="1"/>
  <c r="J128" i="11" s="1"/>
  <c r="J129" i="11" s="1"/>
  <c r="J130" i="11" s="1"/>
  <c r="J131" i="11" s="1"/>
  <c r="J132" i="11" s="1"/>
  <c r="J133" i="11" s="1"/>
  <c r="J134" i="11" s="1"/>
  <c r="I28" i="1"/>
  <c r="I33" i="1" s="1"/>
  <c r="G33" i="1"/>
  <c r="J10" i="24"/>
  <c r="J10" i="23"/>
  <c r="H118" i="11"/>
  <c r="L108" i="11"/>
  <c r="L107" i="11"/>
  <c r="F5" i="12" l="1"/>
  <c r="P39" i="12"/>
  <c r="O38" i="12"/>
  <c r="O36" i="12"/>
  <c r="L36" i="12"/>
  <c r="L35" i="12"/>
  <c r="O34" i="12"/>
  <c r="L34" i="12"/>
  <c r="O33" i="12"/>
  <c r="L33" i="12"/>
  <c r="O32" i="12"/>
  <c r="L32" i="12"/>
  <c r="O31" i="12"/>
  <c r="L31" i="12"/>
  <c r="J30" i="12"/>
  <c r="F30" i="12"/>
  <c r="O29" i="12"/>
  <c r="O30" i="12" s="1"/>
  <c r="L29" i="12"/>
  <c r="L30" i="12" s="1"/>
  <c r="K28" i="12"/>
  <c r="J28" i="12"/>
  <c r="I28" i="12"/>
  <c r="F28" i="12"/>
  <c r="O27" i="12"/>
  <c r="H27" i="12"/>
  <c r="O26" i="12"/>
  <c r="H26" i="12"/>
  <c r="O25" i="12"/>
  <c r="H25" i="12"/>
  <c r="O24" i="12"/>
  <c r="H24" i="12"/>
  <c r="O23" i="12"/>
  <c r="H23" i="12"/>
  <c r="O22" i="12"/>
  <c r="L28" i="12"/>
  <c r="H22" i="12"/>
  <c r="H21" i="12"/>
  <c r="J20" i="12"/>
  <c r="I20" i="12"/>
  <c r="I39" i="12" s="1"/>
  <c r="F20" i="12"/>
  <c r="O19" i="12"/>
  <c r="L19" i="12"/>
  <c r="O18" i="12"/>
  <c r="H18" i="12"/>
  <c r="O17" i="12"/>
  <c r="L17" i="12"/>
  <c r="H17" i="12"/>
  <c r="O16" i="12"/>
  <c r="L16" i="12"/>
  <c r="H16" i="12"/>
  <c r="O15" i="12"/>
  <c r="L15" i="12"/>
  <c r="H15" i="12"/>
  <c r="L14" i="12"/>
  <c r="H14" i="12"/>
  <c r="L13" i="12"/>
  <c r="H13" i="12"/>
  <c r="F12" i="12"/>
  <c r="H11" i="12"/>
  <c r="O8" i="12"/>
  <c r="L8" i="12"/>
  <c r="H8" i="12"/>
  <c r="O7" i="12"/>
  <c r="L7" i="12"/>
  <c r="L6" i="12"/>
  <c r="H6" i="12"/>
  <c r="O5" i="12"/>
  <c r="M5" i="12"/>
  <c r="M6" i="12" s="1"/>
  <c r="M7" i="12" s="1"/>
  <c r="M8" i="12" s="1"/>
  <c r="L5" i="12"/>
  <c r="H5" i="12"/>
  <c r="M9" i="12" l="1"/>
  <c r="M10" i="12" s="1"/>
  <c r="M11" i="12" s="1"/>
  <c r="M13" i="12" s="1"/>
  <c r="M14" i="12" s="1"/>
  <c r="M15" i="12" s="1"/>
  <c r="M16" i="12" s="1"/>
  <c r="M17" i="12" s="1"/>
  <c r="M18" i="12" s="1"/>
  <c r="M19" i="12" s="1"/>
  <c r="M21" i="12" s="1"/>
  <c r="M22" i="12" s="1"/>
  <c r="M23" i="12" s="1"/>
  <c r="M24" i="12" s="1"/>
  <c r="M25" i="12" s="1"/>
  <c r="M26" i="12" s="1"/>
  <c r="M27" i="12" s="1"/>
  <c r="M29" i="12" s="1"/>
  <c r="M31" i="12" s="1"/>
  <c r="M32" i="12" s="1"/>
  <c r="M33" i="12" s="1"/>
  <c r="M34" i="12" s="1"/>
  <c r="M35" i="12" s="1"/>
  <c r="M36" i="12" s="1"/>
  <c r="H12" i="12"/>
  <c r="L20" i="12"/>
  <c r="H20" i="12"/>
  <c r="F39" i="12"/>
  <c r="O20" i="12"/>
  <c r="O28" i="12"/>
  <c r="H28" i="12"/>
  <c r="L11" i="12"/>
  <c r="L12" i="12" s="1"/>
  <c r="O35" i="12"/>
  <c r="O37" i="12" s="1"/>
  <c r="J37" i="12"/>
  <c r="L37" i="12" s="1"/>
  <c r="O6" i="12"/>
  <c r="E35" i="22"/>
  <c r="K29" i="22"/>
  <c r="J29" i="22"/>
  <c r="H29" i="22"/>
  <c r="M29" i="22"/>
  <c r="H19" i="22"/>
  <c r="L19" i="22" s="1"/>
  <c r="L18" i="22"/>
  <c r="L17" i="22"/>
  <c r="L16" i="22"/>
  <c r="L15" i="22"/>
  <c r="L14" i="22"/>
  <c r="L13" i="22"/>
  <c r="L12" i="22"/>
  <c r="J14" i="22"/>
  <c r="J15" i="22" s="1"/>
  <c r="J16" i="22" s="1"/>
  <c r="J17" i="22" s="1"/>
  <c r="H10" i="22"/>
  <c r="G10" i="22"/>
  <c r="F10" i="22"/>
  <c r="E10" i="22"/>
  <c r="J6" i="22"/>
  <c r="I6" i="22"/>
  <c r="I10" i="22" s="1"/>
  <c r="M26" i="21"/>
  <c r="M11" i="20"/>
  <c r="E51" i="21"/>
  <c r="N51" i="21"/>
  <c r="M37" i="21"/>
  <c r="M36" i="21"/>
  <c r="M35" i="21"/>
  <c r="M29" i="21"/>
  <c r="L13" i="21"/>
  <c r="L12" i="21"/>
  <c r="J12" i="2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H10" i="21"/>
  <c r="G10" i="21"/>
  <c r="F10" i="21"/>
  <c r="E10" i="21"/>
  <c r="J6" i="21"/>
  <c r="J7" i="21" s="1"/>
  <c r="I6" i="21"/>
  <c r="I10" i="21" s="1"/>
  <c r="L39" i="20"/>
  <c r="K39" i="20"/>
  <c r="M28" i="20"/>
  <c r="M27" i="20"/>
  <c r="M26" i="20"/>
  <c r="M25" i="20"/>
  <c r="L19" i="20"/>
  <c r="L17" i="20"/>
  <c r="L16" i="20"/>
  <c r="L15" i="20"/>
  <c r="L14" i="20"/>
  <c r="L13" i="20"/>
  <c r="L12" i="20"/>
  <c r="J12" i="20"/>
  <c r="J13" i="20" s="1"/>
  <c r="J14" i="20" s="1"/>
  <c r="J15" i="20" s="1"/>
  <c r="J16" i="20" s="1"/>
  <c r="J17" i="20" s="1"/>
  <c r="J18" i="20" s="1"/>
  <c r="J19" i="20" s="1"/>
  <c r="J20" i="20" s="1"/>
  <c r="H10" i="20"/>
  <c r="G10" i="20"/>
  <c r="F10" i="20"/>
  <c r="E10" i="20"/>
  <c r="J6" i="20"/>
  <c r="J7" i="20" s="1"/>
  <c r="I6" i="20"/>
  <c r="I10" i="20" s="1"/>
  <c r="H183" i="5"/>
  <c r="F173" i="4"/>
  <c r="E173" i="4"/>
  <c r="I173" i="4"/>
  <c r="H147" i="2"/>
  <c r="J28" i="7"/>
  <c r="J29" i="7" s="1"/>
  <c r="J30" i="7" s="1"/>
  <c r="J31" i="7" s="1"/>
  <c r="J32" i="7" s="1"/>
  <c r="J33" i="7" s="1"/>
  <c r="J34" i="7" s="1"/>
  <c r="J35" i="7" s="1"/>
  <c r="H28" i="7"/>
  <c r="K19" i="19"/>
  <c r="K16" i="19"/>
  <c r="K15" i="19"/>
  <c r="J11" i="19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/>
  <c r="H10" i="19"/>
  <c r="G10" i="19"/>
  <c r="F10" i="19"/>
  <c r="F72" i="19" s="1"/>
  <c r="E10" i="19"/>
  <c r="E72" i="19" s="1"/>
  <c r="J6" i="19"/>
  <c r="I6" i="19"/>
  <c r="I10" i="19" s="1"/>
  <c r="I9" i="17"/>
  <c r="I8" i="17"/>
  <c r="H9" i="17"/>
  <c r="H8" i="17"/>
  <c r="M119" i="2"/>
  <c r="H90" i="5"/>
  <c r="H18" i="15"/>
  <c r="M19" i="16"/>
  <c r="H17" i="16"/>
  <c r="J12" i="16"/>
  <c r="J13" i="16" s="1"/>
  <c r="J14" i="16" s="1"/>
  <c r="J15" i="16" s="1"/>
  <c r="J16" i="16" s="1"/>
  <c r="J17" i="16" s="1"/>
  <c r="J21" i="16"/>
  <c r="J22" i="16" s="1"/>
  <c r="J23" i="16" s="1"/>
  <c r="J24" i="16" s="1"/>
  <c r="M26" i="16"/>
  <c r="L26" i="14"/>
  <c r="K30" i="16"/>
  <c r="L30" i="16"/>
  <c r="M22" i="16"/>
  <c r="M23" i="16"/>
  <c r="M24" i="16"/>
  <c r="M25" i="16"/>
  <c r="M21" i="16"/>
  <c r="E17" i="11"/>
  <c r="H24" i="15"/>
  <c r="J24" i="15" s="1"/>
  <c r="K6" i="21" l="1"/>
  <c r="K10" i="21" s="1"/>
  <c r="L29" i="22"/>
  <c r="G85" i="1"/>
  <c r="I85" i="1" s="1"/>
  <c r="M30" i="16"/>
  <c r="O30" i="16" s="1"/>
  <c r="M38" i="21"/>
  <c r="N38" i="21" s="1"/>
  <c r="N29" i="22"/>
  <c r="H35" i="22"/>
  <c r="L35" i="22" s="1"/>
  <c r="H39" i="12"/>
  <c r="J39" i="20"/>
  <c r="M39" i="20"/>
  <c r="O12" i="12"/>
  <c r="O39" i="12" s="1"/>
  <c r="O40" i="12" s="1"/>
  <c r="L39" i="12"/>
  <c r="J39" i="12"/>
  <c r="O41" i="12" s="1"/>
  <c r="K6" i="22"/>
  <c r="K10" i="22" s="1"/>
  <c r="J7" i="22"/>
  <c r="J8" i="22" s="1"/>
  <c r="J9" i="22" s="1"/>
  <c r="O45" i="21"/>
  <c r="J8" i="21"/>
  <c r="J9" i="21" s="1"/>
  <c r="L25" i="21"/>
  <c r="J8" i="20"/>
  <c r="J9" i="20" s="1"/>
  <c r="K6" i="20"/>
  <c r="K10" i="20" s="1"/>
  <c r="H173" i="4"/>
  <c r="H72" i="19"/>
  <c r="I72" i="19"/>
  <c r="K6" i="19"/>
  <c r="K10" i="19" s="1"/>
  <c r="J7" i="19"/>
  <c r="J8" i="19" s="1"/>
  <c r="J9" i="19" s="1"/>
  <c r="J25" i="16"/>
  <c r="J26" i="16" s="1"/>
  <c r="J27" i="16" s="1"/>
  <c r="J28" i="16" s="1"/>
  <c r="J29" i="16" s="1"/>
  <c r="J30" i="16" s="1"/>
  <c r="J76" i="5"/>
  <c r="J77" i="5" s="1"/>
  <c r="M90" i="5"/>
  <c r="J8" i="18"/>
  <c r="J9" i="18" s="1"/>
  <c r="J10" i="18" s="1"/>
  <c r="J11" i="18" s="1"/>
  <c r="J12" i="18" s="1"/>
  <c r="H13" i="18"/>
  <c r="H58" i="18" s="1"/>
  <c r="G13" i="18"/>
  <c r="E13" i="18"/>
  <c r="E58" i="18" s="1"/>
  <c r="K6" i="18"/>
  <c r="J6" i="18"/>
  <c r="F58" i="18"/>
  <c r="J79" i="5"/>
  <c r="J80" i="5" s="1"/>
  <c r="J87" i="5" s="1"/>
  <c r="J88" i="5" s="1"/>
  <c r="J89" i="5" s="1"/>
  <c r="J72" i="5"/>
  <c r="J73" i="5" s="1"/>
  <c r="J74" i="5" s="1"/>
  <c r="J23" i="14"/>
  <c r="J24" i="14" s="1"/>
  <c r="J25" i="14" s="1"/>
  <c r="J26" i="14" s="1"/>
  <c r="J27" i="14" s="1"/>
  <c r="J28" i="14" s="1"/>
  <c r="J29" i="14" s="1"/>
  <c r="J30" i="14" s="1"/>
  <c r="H11" i="15"/>
  <c r="H119" i="2"/>
  <c r="L119" i="2" s="1"/>
  <c r="J98" i="2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E119" i="2"/>
  <c r="L69" i="5"/>
  <c r="E21" i="14"/>
  <c r="J104" i="1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H102" i="11"/>
  <c r="J86" i="1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L68" i="5"/>
  <c r="L67" i="5"/>
  <c r="H61" i="4"/>
  <c r="L66" i="5"/>
  <c r="H16" i="15"/>
  <c r="J15" i="14"/>
  <c r="J16" i="14" s="1"/>
  <c r="J17" i="14" s="1"/>
  <c r="J18" i="14" s="1"/>
  <c r="J19" i="14" s="1"/>
  <c r="J20" i="14" s="1"/>
  <c r="J14" i="14"/>
  <c r="M96" i="2"/>
  <c r="L65" i="5"/>
  <c r="M37" i="17"/>
  <c r="L37" i="17"/>
  <c r="E37" i="17"/>
  <c r="M21" i="17"/>
  <c r="H21" i="17"/>
  <c r="L21" i="17" s="1"/>
  <c r="L20" i="17"/>
  <c r="L19" i="17"/>
  <c r="H15" i="17"/>
  <c r="F15" i="17"/>
  <c r="E15" i="17"/>
  <c r="J6" i="17"/>
  <c r="J7" i="17" s="1"/>
  <c r="J8" i="17" s="1"/>
  <c r="J9" i="17" s="1"/>
  <c r="J10" i="17" s="1"/>
  <c r="J11" i="17" s="1"/>
  <c r="J12" i="17" s="1"/>
  <c r="J13" i="17" s="1"/>
  <c r="J14" i="17" s="1"/>
  <c r="I6" i="17"/>
  <c r="I15" i="17" s="1"/>
  <c r="L13" i="18" l="1"/>
  <c r="N13" i="18" s="1"/>
  <c r="H53" i="15"/>
  <c r="J10" i="20"/>
  <c r="O39" i="20"/>
  <c r="J10" i="22"/>
  <c r="N25" i="21"/>
  <c r="J10" i="21"/>
  <c r="N21" i="20"/>
  <c r="J10" i="19"/>
  <c r="I58" i="18"/>
  <c r="J15" i="17"/>
  <c r="K6" i="17"/>
  <c r="K15" i="17" s="1"/>
  <c r="E52" i="4"/>
  <c r="J53" i="4" s="1"/>
  <c r="J54" i="4" s="1"/>
  <c r="J55" i="4" s="1"/>
  <c r="J56" i="4" s="1"/>
  <c r="J57" i="4" s="1"/>
  <c r="J58" i="4" s="1"/>
  <c r="J59" i="4" s="1"/>
  <c r="J60" i="4" s="1"/>
  <c r="L64" i="5"/>
  <c r="L12" i="16"/>
  <c r="L13" i="16"/>
  <c r="L14" i="16"/>
  <c r="L15" i="16"/>
  <c r="L16" i="16"/>
  <c r="L17" i="16"/>
  <c r="L18" i="16"/>
  <c r="H36" i="16"/>
  <c r="L36" i="16" s="1"/>
  <c r="E36" i="16"/>
  <c r="H19" i="16"/>
  <c r="L19" i="16" s="1"/>
  <c r="N19" i="16" s="1"/>
  <c r="H10" i="16"/>
  <c r="G10" i="16"/>
  <c r="F10" i="16"/>
  <c r="E10" i="16"/>
  <c r="J6" i="16"/>
  <c r="I6" i="16"/>
  <c r="K6" i="16" s="1"/>
  <c r="K10" i="16" s="1"/>
  <c r="H52" i="5"/>
  <c r="L63" i="5"/>
  <c r="L86" i="2"/>
  <c r="M42" i="6"/>
  <c r="J12" i="15"/>
  <c r="J13" i="15"/>
  <c r="J14" i="15"/>
  <c r="J15" i="15"/>
  <c r="J16" i="15"/>
  <c r="J17" i="15"/>
  <c r="J18" i="15"/>
  <c r="J19" i="15"/>
  <c r="J11" i="15"/>
  <c r="K19" i="15"/>
  <c r="K16" i="15"/>
  <c r="H10" i="15"/>
  <c r="G10" i="15"/>
  <c r="F10" i="15"/>
  <c r="F98" i="15" s="1"/>
  <c r="E10" i="15"/>
  <c r="E98" i="15" s="1"/>
  <c r="J6" i="15"/>
  <c r="I6" i="15"/>
  <c r="I10" i="15" s="1"/>
  <c r="J77" i="11"/>
  <c r="J78" i="11" s="1"/>
  <c r="M45" i="6"/>
  <c r="M46" i="6"/>
  <c r="M47" i="6"/>
  <c r="M48" i="6"/>
  <c r="M49" i="6"/>
  <c r="M50" i="6"/>
  <c r="M51" i="6"/>
  <c r="M52" i="6"/>
  <c r="J77" i="2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L62" i="5"/>
  <c r="L60" i="5"/>
  <c r="L61" i="5"/>
  <c r="H59" i="5"/>
  <c r="H70" i="5" s="1"/>
  <c r="J53" i="15" l="1"/>
  <c r="L90" i="5"/>
  <c r="N90" i="5" s="1"/>
  <c r="L59" i="5"/>
  <c r="I10" i="16"/>
  <c r="J7" i="16"/>
  <c r="J8" i="16" s="1"/>
  <c r="J9" i="16" s="1"/>
  <c r="H98" i="15"/>
  <c r="I98" i="15"/>
  <c r="J7" i="15"/>
  <c r="J8" i="15" s="1"/>
  <c r="J9" i="15" s="1"/>
  <c r="K6" i="15"/>
  <c r="K10" i="15" s="1"/>
  <c r="H96" i="2"/>
  <c r="L55" i="5"/>
  <c r="L56" i="5"/>
  <c r="L57" i="5"/>
  <c r="L58" i="5"/>
  <c r="L54" i="5"/>
  <c r="J54" i="5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2" i="11"/>
  <c r="J73" i="11" s="1"/>
  <c r="J74" i="11" s="1"/>
  <c r="J75" i="11" s="1"/>
  <c r="J72" i="2"/>
  <c r="J71" i="2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3" i="6"/>
  <c r="M44" i="6"/>
  <c r="M23" i="6"/>
  <c r="J10" i="16" l="1"/>
  <c r="L96" i="2"/>
  <c r="N96" i="2" s="1"/>
  <c r="N119" i="2" s="1"/>
  <c r="J10" i="15"/>
  <c r="K53" i="6" l="1"/>
  <c r="L53" i="6"/>
  <c r="H53" i="6"/>
  <c r="M53" i="6" s="1"/>
  <c r="J11" i="14"/>
  <c r="J12" i="14" s="1"/>
  <c r="H21" i="14"/>
  <c r="J21" i="14" s="1"/>
  <c r="K15" i="14"/>
  <c r="K14" i="14"/>
  <c r="H10" i="14"/>
  <c r="G10" i="14"/>
  <c r="F10" i="14"/>
  <c r="F66" i="14" s="1"/>
  <c r="E10" i="14"/>
  <c r="E66" i="14" s="1"/>
  <c r="J6" i="14"/>
  <c r="I6" i="14"/>
  <c r="I10" i="14" s="1"/>
  <c r="I66" i="14" l="1"/>
  <c r="K6" i="14"/>
  <c r="K10" i="14" s="1"/>
  <c r="H66" i="14"/>
  <c r="N53" i="6"/>
  <c r="N67" i="6" s="1"/>
  <c r="J7" i="14"/>
  <c r="J8" i="14" s="1"/>
  <c r="J9" i="14" s="1"/>
  <c r="J10" i="14" l="1"/>
  <c r="J23" i="6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6" i="4"/>
  <c r="J47" i="4" s="1"/>
  <c r="J48" i="4" s="1"/>
  <c r="J49" i="4" s="1"/>
  <c r="J50" i="4" s="1"/>
  <c r="H21" i="5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E32" i="1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H19" i="13"/>
  <c r="K18" i="13"/>
  <c r="K15" i="13"/>
  <c r="K14" i="13"/>
  <c r="K13" i="13"/>
  <c r="K12" i="13"/>
  <c r="K11" i="13"/>
  <c r="J11" i="13"/>
  <c r="J12" i="13" s="1"/>
  <c r="J13" i="13" s="1"/>
  <c r="J14" i="13" s="1"/>
  <c r="J15" i="13" s="1"/>
  <c r="J16" i="13" s="1"/>
  <c r="J17" i="13" s="1"/>
  <c r="H10" i="13"/>
  <c r="G10" i="13"/>
  <c r="F10" i="13"/>
  <c r="F63" i="13" s="1"/>
  <c r="E10" i="13"/>
  <c r="E63" i="13" s="1"/>
  <c r="J6" i="13"/>
  <c r="J7" i="13" s="1"/>
  <c r="J8" i="13" s="1"/>
  <c r="J9" i="13" s="1"/>
  <c r="I6" i="13"/>
  <c r="J65" i="11"/>
  <c r="J66" i="11" s="1"/>
  <c r="J67" i="11" s="1"/>
  <c r="J68" i="11" s="1"/>
  <c r="J69" i="11" s="1"/>
  <c r="J70" i="11" s="1"/>
  <c r="J19" i="13" l="1"/>
  <c r="L19" i="13"/>
  <c r="J42" i="6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H63" i="13"/>
  <c r="J55" i="11"/>
  <c r="J56" i="11" s="1"/>
  <c r="J57" i="11" s="1"/>
  <c r="J58" i="11" s="1"/>
  <c r="J59" i="11" s="1"/>
  <c r="J60" i="11" s="1"/>
  <c r="J61" i="11" s="1"/>
  <c r="J62" i="11" s="1"/>
  <c r="J10" i="13"/>
  <c r="K6" i="13"/>
  <c r="K10" i="13" s="1"/>
  <c r="I10" i="13"/>
  <c r="I63" i="13" s="1"/>
  <c r="J27" i="11"/>
  <c r="J28" i="11" s="1"/>
  <c r="J29" i="11" s="1"/>
  <c r="J30" i="11" s="1"/>
  <c r="J26" i="11"/>
  <c r="J38" i="4"/>
  <c r="J39" i="4" s="1"/>
  <c r="J40" i="4" s="1"/>
  <c r="J41" i="4" s="1"/>
  <c r="J22" i="9" l="1"/>
  <c r="J23" i="9" s="1"/>
  <c r="J24" i="9" s="1"/>
  <c r="J25" i="9" s="1"/>
  <c r="J26" i="9" s="1"/>
  <c r="H69" i="2"/>
  <c r="J22" i="5"/>
  <c r="J23" i="5" s="1"/>
  <c r="J24" i="5" s="1"/>
  <c r="H25" i="5"/>
  <c r="H36" i="5" s="1"/>
  <c r="H67" i="2"/>
  <c r="H66" i="2"/>
  <c r="H65" i="2"/>
  <c r="H64" i="2"/>
  <c r="H62" i="2"/>
  <c r="H61" i="2"/>
  <c r="H59" i="2"/>
  <c r="H58" i="2"/>
  <c r="H57" i="2"/>
  <c r="H56" i="2"/>
  <c r="H55" i="2"/>
  <c r="H53" i="2"/>
  <c r="H52" i="2"/>
  <c r="H50" i="2"/>
  <c r="J31" i="4"/>
  <c r="J32" i="4" s="1"/>
  <c r="K50" i="2"/>
  <c r="H49" i="2"/>
  <c r="J49" i="2" s="1"/>
  <c r="J50" i="2" s="1"/>
  <c r="J51" i="2" s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H48" i="2"/>
  <c r="J19" i="5"/>
  <c r="J20" i="5" s="1"/>
  <c r="K23" i="11"/>
  <c r="F25" i="11"/>
  <c r="H25" i="11"/>
  <c r="I25" i="11"/>
  <c r="E25" i="11"/>
  <c r="F20" i="11"/>
  <c r="H20" i="11"/>
  <c r="I20" i="11"/>
  <c r="E20" i="11"/>
  <c r="J23" i="11"/>
  <c r="J25" i="11" s="1"/>
  <c r="G21" i="9"/>
  <c r="H21" i="9"/>
  <c r="E21" i="9"/>
  <c r="J19" i="7"/>
  <c r="J20" i="7" s="1"/>
  <c r="J21" i="7" s="1"/>
  <c r="J22" i="7" s="1"/>
  <c r="J23" i="7" s="1"/>
  <c r="J24" i="7" s="1"/>
  <c r="J25" i="7" s="1"/>
  <c r="J25" i="4"/>
  <c r="J26" i="4" s="1"/>
  <c r="J27" i="4" s="1"/>
  <c r="J28" i="4" s="1"/>
  <c r="J29" i="4" s="1"/>
  <c r="J30" i="4" s="1"/>
  <c r="J52" i="2" l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25" i="5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48" i="2"/>
  <c r="L63" i="2" l="1"/>
  <c r="K19" i="6" l="1"/>
  <c r="K16" i="6"/>
  <c r="K17" i="6"/>
  <c r="K18" i="6"/>
  <c r="K20" i="6"/>
  <c r="J18" i="11" l="1"/>
  <c r="H17" i="11"/>
  <c r="K16" i="11"/>
  <c r="I16" i="11"/>
  <c r="K15" i="11"/>
  <c r="I15" i="11"/>
  <c r="K14" i="11"/>
  <c r="I14" i="11"/>
  <c r="K13" i="11"/>
  <c r="I13" i="11"/>
  <c r="K12" i="11"/>
  <c r="I12" i="11"/>
  <c r="K11" i="11"/>
  <c r="J11" i="11"/>
  <c r="J13" i="11" s="1"/>
  <c r="I11" i="11"/>
  <c r="H10" i="11"/>
  <c r="G10" i="11"/>
  <c r="F10" i="11"/>
  <c r="E10" i="11"/>
  <c r="E221" i="11" s="1"/>
  <c r="J6" i="11"/>
  <c r="I6" i="11"/>
  <c r="E18" i="7"/>
  <c r="J18" i="5"/>
  <c r="J21" i="5" s="1"/>
  <c r="I12" i="10"/>
  <c r="I13" i="10"/>
  <c r="I14" i="10"/>
  <c r="I15" i="10"/>
  <c r="I18" i="10"/>
  <c r="K12" i="10"/>
  <c r="K13" i="10"/>
  <c r="K14" i="10"/>
  <c r="K15" i="10"/>
  <c r="K18" i="10"/>
  <c r="H28" i="2"/>
  <c r="J28" i="2" s="1"/>
  <c r="J17" i="11" l="1"/>
  <c r="K6" i="11"/>
  <c r="K10" i="11" s="1"/>
  <c r="I10" i="11"/>
  <c r="J7" i="11"/>
  <c r="J8" i="11" s="1"/>
  <c r="J9" i="11" s="1"/>
  <c r="H22" i="2"/>
  <c r="J22" i="2" s="1"/>
  <c r="K12" i="8"/>
  <c r="K13" i="8"/>
  <c r="K14" i="8"/>
  <c r="K15" i="8"/>
  <c r="K20" i="8"/>
  <c r="K12" i="6"/>
  <c r="K13" i="6"/>
  <c r="K14" i="6"/>
  <c r="K15" i="6"/>
  <c r="K21" i="6"/>
  <c r="J10" i="11" l="1"/>
  <c r="H19" i="10"/>
  <c r="J19" i="10" s="1"/>
  <c r="K11" i="10"/>
  <c r="J11" i="10"/>
  <c r="J12" i="10" s="1"/>
  <c r="J13" i="10" s="1"/>
  <c r="J14" i="10" s="1"/>
  <c r="J15" i="10" s="1"/>
  <c r="J16" i="10" s="1"/>
  <c r="J17" i="10" s="1"/>
  <c r="I11" i="10"/>
  <c r="H10" i="10"/>
  <c r="G10" i="10"/>
  <c r="F10" i="10"/>
  <c r="F64" i="10" s="1"/>
  <c r="E10" i="10"/>
  <c r="E64" i="10" s="1"/>
  <c r="J6" i="10"/>
  <c r="I6" i="10"/>
  <c r="I11" i="9"/>
  <c r="K11" i="9"/>
  <c r="J11" i="9"/>
  <c r="H10" i="9"/>
  <c r="H81" i="9" s="1"/>
  <c r="G10" i="9"/>
  <c r="F10" i="9"/>
  <c r="F81" i="9" s="1"/>
  <c r="E10" i="9"/>
  <c r="E81" i="9" s="1"/>
  <c r="J6" i="9"/>
  <c r="I6" i="9"/>
  <c r="H21" i="8"/>
  <c r="K11" i="8"/>
  <c r="J11" i="8"/>
  <c r="J12" i="8" s="1"/>
  <c r="J13" i="8" s="1"/>
  <c r="J14" i="8" s="1"/>
  <c r="J15" i="8" s="1"/>
  <c r="J16" i="8" s="1"/>
  <c r="H10" i="8"/>
  <c r="G10" i="8"/>
  <c r="F10" i="8"/>
  <c r="F66" i="8" s="1"/>
  <c r="E10" i="8"/>
  <c r="E66" i="8" s="1"/>
  <c r="J6" i="8"/>
  <c r="I6" i="8"/>
  <c r="H18" i="7"/>
  <c r="K11" i="7"/>
  <c r="J11" i="7"/>
  <c r="J12" i="7" s="1"/>
  <c r="J13" i="7" s="1"/>
  <c r="J14" i="7" s="1"/>
  <c r="J15" i="7" s="1"/>
  <c r="J16" i="7" s="1"/>
  <c r="H10" i="7"/>
  <c r="G10" i="7"/>
  <c r="F10" i="7"/>
  <c r="F65" i="7" s="1"/>
  <c r="E10" i="7"/>
  <c r="E65" i="7" s="1"/>
  <c r="J6" i="7"/>
  <c r="I6" i="7"/>
  <c r="J11" i="6"/>
  <c r="J12" i="6" s="1"/>
  <c r="J13" i="6" s="1"/>
  <c r="J14" i="6" s="1"/>
  <c r="J15" i="6" s="1"/>
  <c r="J16" i="6" s="1"/>
  <c r="J17" i="6" s="1"/>
  <c r="J18" i="6" s="1"/>
  <c r="J19" i="6" s="1"/>
  <c r="H22" i="6"/>
  <c r="K11" i="6"/>
  <c r="H10" i="6"/>
  <c r="G10" i="6"/>
  <c r="F10" i="6"/>
  <c r="E10" i="6"/>
  <c r="J6" i="6"/>
  <c r="I6" i="6"/>
  <c r="J12" i="5"/>
  <c r="J13" i="5"/>
  <c r="K12" i="5"/>
  <c r="K13" i="5"/>
  <c r="K11" i="5"/>
  <c r="H17" i="5"/>
  <c r="J17" i="5" s="1"/>
  <c r="H10" i="5"/>
  <c r="G10" i="5"/>
  <c r="F10" i="5"/>
  <c r="E10" i="5"/>
  <c r="J6" i="5"/>
  <c r="I6" i="5"/>
  <c r="H24" i="4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H10" i="4"/>
  <c r="G10" i="4"/>
  <c r="F10" i="4"/>
  <c r="F81" i="4" s="1"/>
  <c r="E10" i="4"/>
  <c r="J6" i="4"/>
  <c r="I6" i="4"/>
  <c r="J76" i="2"/>
  <c r="J23" i="2"/>
  <c r="J24" i="2" s="1"/>
  <c r="J25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12" i="9" l="1"/>
  <c r="J13" i="9" s="1"/>
  <c r="J14" i="9" s="1"/>
  <c r="J15" i="9" s="1"/>
  <c r="J16" i="9" s="1"/>
  <c r="J17" i="9" s="1"/>
  <c r="J18" i="9" s="1"/>
  <c r="J14" i="5"/>
  <c r="J15" i="5" s="1"/>
  <c r="H81" i="4"/>
  <c r="H66" i="8"/>
  <c r="J21" i="8"/>
  <c r="H65" i="7"/>
  <c r="J18" i="7"/>
  <c r="J24" i="4"/>
  <c r="H64" i="10"/>
  <c r="J22" i="6"/>
  <c r="E81" i="4"/>
  <c r="J7" i="10"/>
  <c r="J8" i="10" s="1"/>
  <c r="J9" i="10" s="1"/>
  <c r="K6" i="10"/>
  <c r="K10" i="10" s="1"/>
  <c r="I10" i="10"/>
  <c r="I64" i="10" s="1"/>
  <c r="K6" i="9"/>
  <c r="K10" i="9" s="1"/>
  <c r="I10" i="9"/>
  <c r="I81" i="9" s="1"/>
  <c r="J7" i="9"/>
  <c r="J8" i="9" s="1"/>
  <c r="J9" i="9" s="1"/>
  <c r="K6" i="8"/>
  <c r="K10" i="8" s="1"/>
  <c r="I10" i="8"/>
  <c r="I66" i="8" s="1"/>
  <c r="J7" i="8"/>
  <c r="J8" i="8" s="1"/>
  <c r="J9" i="8" s="1"/>
  <c r="K6" i="7"/>
  <c r="K10" i="7" s="1"/>
  <c r="I10" i="7"/>
  <c r="I65" i="7" s="1"/>
  <c r="J7" i="7"/>
  <c r="J8" i="7" s="1"/>
  <c r="J9" i="7" s="1"/>
  <c r="K6" i="6"/>
  <c r="K10" i="6" s="1"/>
  <c r="I10" i="6"/>
  <c r="J7" i="6"/>
  <c r="J8" i="6" s="1"/>
  <c r="J9" i="6" s="1"/>
  <c r="K6" i="5"/>
  <c r="K10" i="5" s="1"/>
  <c r="I10" i="5"/>
  <c r="J7" i="5"/>
  <c r="J8" i="5" s="1"/>
  <c r="J9" i="5" s="1"/>
  <c r="K6" i="4"/>
  <c r="K10" i="4" s="1"/>
  <c r="I10" i="4"/>
  <c r="I81" i="4" s="1"/>
  <c r="J7" i="4"/>
  <c r="J8" i="4" s="1"/>
  <c r="J9" i="4" s="1"/>
  <c r="I6" i="2"/>
  <c r="K6" i="2" s="1"/>
  <c r="K10" i="2" s="1"/>
  <c r="J6" i="2"/>
  <c r="J7" i="2" s="1"/>
  <c r="J8" i="2" s="1"/>
  <c r="J9" i="2" s="1"/>
  <c r="F10" i="2"/>
  <c r="G10" i="2"/>
  <c r="H10" i="2"/>
  <c r="E10" i="2"/>
  <c r="J21" i="9" l="1"/>
  <c r="J10" i="10"/>
  <c r="J10" i="9"/>
  <c r="J10" i="8"/>
  <c r="J10" i="7"/>
  <c r="J10" i="6"/>
  <c r="J10" i="5"/>
  <c r="J10" i="4"/>
  <c r="I10" i="2"/>
  <c r="J10" i="2"/>
</calcChain>
</file>

<file path=xl/comments1.xml><?xml version="1.0" encoding="utf-8"?>
<comments xmlns="http://schemas.openxmlformats.org/spreadsheetml/2006/main">
  <authors>
    <author>Author</author>
  </authors>
  <commentList>
    <comment ref="H139" authorId="0" shapeId="0">
      <text>
        <r>
          <rPr>
            <b/>
            <sz val="9"/>
            <color indexed="81"/>
            <rFont val="Tahoma"/>
            <family val="2"/>
          </rPr>
          <t>xuất bán Hà Lan k hóa đơn +20đ/kg cước VC)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xuất tra vay PH, lấy tại cảng trừ 4.250tr cước VC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SH- EF- Hà Lan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bán Tâm Việt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bán Hà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bán hà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bán Hà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 xml:space="preserve">bán Hà
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Hoàng Gia Việt vay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về Sh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H97" authorId="0" shapeId="0">
      <text>
        <r>
          <rPr>
            <b/>
            <sz val="9"/>
            <color indexed="81"/>
            <rFont val="Tahoma"/>
            <family val="2"/>
          </rPr>
          <t>ẩm cao vượt 1.5% trừ lượng</t>
        </r>
      </text>
    </comment>
    <comment ref="H102" authorId="0" shapeId="0">
      <text>
        <r>
          <rPr>
            <sz val="9"/>
            <color indexed="81"/>
            <rFont val="Tahoma"/>
            <family val="2"/>
          </rPr>
          <t xml:space="preserve">ẩm 15.5% vượt 0.8% giảm trừ lượng
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giảm 50đ vào đơn giá do hàng kém chất lượng,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giảm trừ 30đ vào đơn giá, hóa đơn xuất giảm lượng và giữ nguyên giá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7" authorId="0" shapeId="0">
      <text>
        <r>
          <rPr>
            <sz val="9"/>
            <color indexed="81"/>
            <rFont val="Tahoma"/>
            <family val="2"/>
          </rPr>
          <t xml:space="preserve">ẩm vượt 0.7% trừ 120kg ẩm cao
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trừ ẩm cao ẩm 15.9 vượt 1.1%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giá tạm tính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giao BA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giá tại cảng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bách an vay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trả vay BA 3T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có lượng 2.450kg là hàng vay mượn hồi tháng 3 SH trả thừa chuyển sang là ngô ép luôn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tổng giao 29.425kg trừ 16.145kg hàng gia công còn lại chyển sang mua hàng: 13.280kg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34.540kg trừ 315kg PH trả hàng cho DTY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xe này hàng PH độ ẩm cao trừ hao hụt 4.1%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giao 1 phần hàng gia công còn lại là hàng mua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trừ 3412kg hàng gia công còn lại là mua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trừu 100đ giá do hạt mọt đục nhiều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NM 25.410kg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 xml:space="preserve">xuất bán Open việt : 28.410kg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xuất bán Open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bán Open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bán open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bán Open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bán Open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8" authorId="0" shapeId="0">
      <text>
        <r>
          <rPr>
            <b/>
            <sz val="9"/>
            <color indexed="81"/>
            <rFont val="Tahoma"/>
            <family val="2"/>
          </rPr>
          <t xml:space="preserve">Tâm phát trả xuất bán cho BA luôn, sau bù trừ lượng hàng lấy 10/11 của SH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9" authorId="0" shapeId="0">
      <text>
        <r>
          <rPr>
            <sz val="9"/>
            <color indexed="81"/>
            <rFont val="Tahoma"/>
            <family val="2"/>
          </rPr>
          <t xml:space="preserve">bù trừ vs lượng Tâm Phát vay 2420kg
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>DTY vay hsau trả hàng luôn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98" authorId="0" shapeId="0">
      <text>
        <r>
          <rPr>
            <b/>
            <sz val="9"/>
            <color indexed="81"/>
            <rFont val="Tahoma"/>
            <family val="2"/>
          </rPr>
          <t xml:space="preserve">tổng lượng giao là 33.250kg trả hàng vay của EF là 20.177kg còn lại là mua 13.073kg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tổng là 34.540kg trừ 92kg do VC đén HY giảm cước 20đ+ 35kg trừ độ ẩm cao -315kg PH trả hàng nợ DTY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trừ bì 60kg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 xml:space="preserve">4462kg tính hao hụt 4.2%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lấy theo lượng HGM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lấy thoe lượng HGM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tách lượng 24.050kg chia 12.020kg về đơn giá 5200đ, 12030 về gái mới 5450d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cắt lượng sang T1/2021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 lai 1.475kg hang cuc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xuất tra vay PH, lấy tại cảng trừ 4.250tr cước VC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xuất tra vay PH, lấy tại cảng trừ 4.250tr cước VC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<sst xmlns="http://schemas.openxmlformats.org/spreadsheetml/2006/main" count="3440" uniqueCount="887">
  <si>
    <t>TỔNG CỘNG</t>
  </si>
  <si>
    <t>Người lập</t>
  </si>
  <si>
    <t>NĂM 2020</t>
  </si>
  <si>
    <t>TÊN KHÁCH HÀNG</t>
  </si>
  <si>
    <t>THEO HỢP ĐỒNG</t>
  </si>
  <si>
    <t>ĐƠN GIÁ</t>
  </si>
  <si>
    <t>ĐÃ THỰC HIỆN</t>
  </si>
  <si>
    <t>CÒN TỒN</t>
  </si>
  <si>
    <t>MẶT HÀNG</t>
  </si>
  <si>
    <t>KL (KG)</t>
  </si>
  <si>
    <t>SỐ HĐ</t>
  </si>
  <si>
    <t>BÊN MUA</t>
  </si>
  <si>
    <t>BIO</t>
  </si>
  <si>
    <t>EF</t>
  </si>
  <si>
    <t>NGÀY</t>
  </si>
  <si>
    <t>Tổng cộng</t>
  </si>
  <si>
    <r>
      <t xml:space="preserve">BẢNG TỔNG HỢP THEO DÕI THỰC HIỆN HỢP ĐỒNG ĐẦU VÀO - </t>
    </r>
    <r>
      <rPr>
        <b/>
        <sz val="18"/>
        <color rgb="FFFF0000"/>
        <rFont val="Times New Roman"/>
        <family val="1"/>
      </rPr>
      <t>NLC</t>
    </r>
  </si>
  <si>
    <r>
      <t xml:space="preserve">HỢP ĐỒNG ĐẦU VÀO - </t>
    </r>
    <r>
      <rPr>
        <b/>
        <sz val="18"/>
        <color rgb="FFFF0000"/>
        <rFont val="Times New Roman"/>
        <family val="1"/>
      </rPr>
      <t>TÂN LONG</t>
    </r>
  </si>
  <si>
    <t>Công ty Tân Long</t>
  </si>
  <si>
    <t>62-20/TL-EF</t>
  </si>
  <si>
    <t>Ngô hạt</t>
  </si>
  <si>
    <t>240-20/TL-EF</t>
  </si>
  <si>
    <t>T5 giao</t>
  </si>
  <si>
    <t>T7 giao</t>
  </si>
  <si>
    <t>Công ty Khải Minh</t>
  </si>
  <si>
    <t>41/2020/MBKM-EF</t>
  </si>
  <si>
    <t>Công ty Hà Thị</t>
  </si>
  <si>
    <t>03/2020/HĐKT/HT-EF</t>
  </si>
  <si>
    <t>Khô đậu</t>
  </si>
  <si>
    <t>SH</t>
  </si>
  <si>
    <t>04/2020/HĐKT/HT-SH</t>
  </si>
  <si>
    <t>Chuyển nốt lượng sang sinh hóa</t>
  </si>
  <si>
    <t>Công ty Tùng Lâm</t>
  </si>
  <si>
    <t>02/DDGS/TL-EF/2020</t>
  </si>
  <si>
    <t>DDGS</t>
  </si>
  <si>
    <t>Công Ty TM Bắc Ninh</t>
  </si>
  <si>
    <t>HĐNT</t>
  </si>
  <si>
    <t>Ngô ép</t>
  </si>
  <si>
    <t>Công ty Hưng Gia Nam</t>
  </si>
  <si>
    <t>Công ty Tedeco</t>
  </si>
  <si>
    <t>01-2020/TDC-EF</t>
  </si>
  <si>
    <t>Bột thịt</t>
  </si>
  <si>
    <t xml:space="preserve">Công ty AP </t>
  </si>
  <si>
    <t>Cám mỳ</t>
  </si>
  <si>
    <r>
      <t xml:space="preserve">HỢP ĐỒNG ĐẦU VÀO - </t>
    </r>
    <r>
      <rPr>
        <b/>
        <sz val="18"/>
        <color rgb="FFFF0000"/>
        <rFont val="Times New Roman"/>
        <family val="1"/>
      </rPr>
      <t>KHẢI MINH</t>
    </r>
  </si>
  <si>
    <r>
      <t xml:space="preserve">HỢP ĐỒNG ĐẦU VÀO - </t>
    </r>
    <r>
      <rPr>
        <b/>
        <sz val="18"/>
        <color rgb="FFFF0000"/>
        <rFont val="Times New Roman"/>
        <family val="1"/>
      </rPr>
      <t>HÀ THỊ</t>
    </r>
  </si>
  <si>
    <r>
      <t xml:space="preserve">HỢP ĐỒNG ĐẦU VÀO - </t>
    </r>
    <r>
      <rPr>
        <b/>
        <sz val="18"/>
        <color rgb="FFFF0000"/>
        <rFont val="Times New Roman"/>
        <family val="1"/>
      </rPr>
      <t>TÙNG LÂM</t>
    </r>
  </si>
  <si>
    <r>
      <t xml:space="preserve">HỢP ĐỒNG ĐẦU VÀO - </t>
    </r>
    <r>
      <rPr>
        <b/>
        <sz val="18"/>
        <color rgb="FFFF0000"/>
        <rFont val="Times New Roman"/>
        <family val="1"/>
      </rPr>
      <t>TMBN</t>
    </r>
  </si>
  <si>
    <t>HỢP ĐỒNG ĐẦU VÀO - HƯNG GIA NAM</t>
  </si>
  <si>
    <r>
      <t xml:space="preserve">HỢP ĐỒNG ĐẦU VÀO - </t>
    </r>
    <r>
      <rPr>
        <b/>
        <sz val="18"/>
        <color rgb="FFFF0000"/>
        <rFont val="Times New Roman"/>
        <family val="1"/>
      </rPr>
      <t>TEDECO</t>
    </r>
  </si>
  <si>
    <r>
      <t xml:space="preserve">HỢP ĐỒNG ĐẦU VÀO - </t>
    </r>
    <r>
      <rPr>
        <b/>
        <sz val="18"/>
        <color rgb="FFFF0000"/>
        <rFont val="Times New Roman"/>
        <family val="1"/>
      </rPr>
      <t>AP</t>
    </r>
  </si>
  <si>
    <t>trả Trường AN</t>
  </si>
  <si>
    <t>02/DDGS/TL-EF/2021</t>
  </si>
  <si>
    <t>02/DDGS/TL-EF/2022</t>
  </si>
  <si>
    <t>02/DDGS/TL-EF/2023</t>
  </si>
  <si>
    <t>02/DDGS/TL-EF/2024</t>
  </si>
  <si>
    <t>02/DDGS/TL-EF/2025</t>
  </si>
  <si>
    <t>trả ĐH</t>
  </si>
  <si>
    <t>Công ty Phúc Hưng</t>
  </si>
  <si>
    <t>Cám gạo chiết ly</t>
  </si>
  <si>
    <t>Khô cải</t>
  </si>
  <si>
    <t>Tháng 5</t>
  </si>
  <si>
    <t>Tháng 4</t>
  </si>
  <si>
    <t>Tháng 6</t>
  </si>
  <si>
    <t>HỢP ĐỒNG ĐẦU VÀO - Phúc Hưng</t>
  </si>
  <si>
    <t>02/DDGS/TL-EF/2026</t>
  </si>
  <si>
    <t>02/DDGS/TL-EF/2027</t>
  </si>
  <si>
    <t>02/DDGS/TL-EF/2028</t>
  </si>
  <si>
    <t>02/DDGS/TL-EF/2029</t>
  </si>
  <si>
    <t>Đơn đặt hàng</t>
  </si>
  <si>
    <t>Cám mỳ bột</t>
  </si>
  <si>
    <t>Giao hàng T6</t>
  </si>
  <si>
    <t>Giao hàng tháng 7</t>
  </si>
  <si>
    <t>Giao hàng tháng 8</t>
  </si>
  <si>
    <t>Giao hàng tháng 9</t>
  </si>
  <si>
    <t>Giao hàng T^</t>
  </si>
  <si>
    <t>T6</t>
  </si>
  <si>
    <t>T11</t>
  </si>
  <si>
    <t>T12</t>
  </si>
  <si>
    <t>248/2020</t>
  </si>
  <si>
    <t>19/06/2020</t>
  </si>
  <si>
    <t>HD</t>
  </si>
  <si>
    <t>Cám mỳ viên</t>
  </si>
  <si>
    <t>29/06</t>
  </si>
  <si>
    <t>chuyển TMBN gia công ngô ép</t>
  </si>
  <si>
    <t>Ngô</t>
  </si>
  <si>
    <t xml:space="preserve">TIỀN </t>
  </si>
  <si>
    <t>TIỀN</t>
  </si>
  <si>
    <t>T6 +T7giao</t>
  </si>
  <si>
    <t>22+23/7/2020</t>
  </si>
  <si>
    <t>HD( T8-15/9)</t>
  </si>
  <si>
    <t>HD ( T9-T10)</t>
  </si>
  <si>
    <t xml:space="preserve">Tổng cộng </t>
  </si>
  <si>
    <t>HD+ đơn ĐH</t>
  </si>
  <si>
    <t>17/08/2020</t>
  </si>
  <si>
    <t>Công ty Phúc Hưng( T8+T9)</t>
  </si>
  <si>
    <t>giao hàng T8/T9</t>
  </si>
  <si>
    <t>18/08</t>
  </si>
  <si>
    <t>03-2020/TDC</t>
  </si>
  <si>
    <t>Công ty Tedeco( từ T8-T10)</t>
  </si>
  <si>
    <t>08/08/2020</t>
  </si>
  <si>
    <t>13/08/2020</t>
  </si>
  <si>
    <t>25/08/2020</t>
  </si>
  <si>
    <t>24/08/2020</t>
  </si>
  <si>
    <t>Phúc Hưng T8</t>
  </si>
  <si>
    <t>HĐ</t>
  </si>
  <si>
    <t xml:space="preserve">cám mỳ </t>
  </si>
  <si>
    <t>29/08/2020</t>
  </si>
  <si>
    <t>05/09</t>
  </si>
  <si>
    <t>08/09/2020</t>
  </si>
  <si>
    <t>4/9/2020</t>
  </si>
  <si>
    <t>T9+T10+T11+T12</t>
  </si>
  <si>
    <t>10/09</t>
  </si>
  <si>
    <t>08/19.09.20EF-TL</t>
  </si>
  <si>
    <t>07/09/2020</t>
  </si>
  <si>
    <t>T8-T10</t>
  </si>
  <si>
    <t>11/09</t>
  </si>
  <si>
    <t>17/09</t>
  </si>
  <si>
    <t>21/09</t>
  </si>
  <si>
    <t>Kế toán</t>
  </si>
  <si>
    <t>Giám đốc</t>
  </si>
  <si>
    <r>
      <t xml:space="preserve">BẢNG THEO DÕI  GIA CÔNG  NGÔ ÉP ĐÙN  -  CÔNG TY </t>
    </r>
    <r>
      <rPr>
        <b/>
        <sz val="18"/>
        <color rgb="FFFF0000"/>
        <rFont val="Times New Roman"/>
        <family val="1"/>
      </rPr>
      <t>TMBN</t>
    </r>
  </si>
  <si>
    <t>22/09</t>
  </si>
  <si>
    <t>23/09</t>
  </si>
  <si>
    <t>25/09/2020</t>
  </si>
  <si>
    <t xml:space="preserve">TT </t>
  </si>
  <si>
    <t>giao T8-T10</t>
  </si>
  <si>
    <t xml:space="preserve">Còn nợ chi phí gia công </t>
  </si>
  <si>
    <t>26/09</t>
  </si>
  <si>
    <t>26/09/2020</t>
  </si>
  <si>
    <t>29/09</t>
  </si>
  <si>
    <t>01/10</t>
  </si>
  <si>
    <t xml:space="preserve">Cám mỳ </t>
  </si>
  <si>
    <t>T10</t>
  </si>
  <si>
    <t>02/10</t>
  </si>
  <si>
    <t>02/10/2020</t>
  </si>
  <si>
    <t>03/10/2020</t>
  </si>
  <si>
    <t>04/10/2020</t>
  </si>
  <si>
    <t>Tổng TL</t>
  </si>
  <si>
    <t>03/10</t>
  </si>
  <si>
    <t>05/10</t>
  </si>
  <si>
    <t>06/10</t>
  </si>
  <si>
    <t>07/10</t>
  </si>
  <si>
    <t>10/10</t>
  </si>
  <si>
    <t>09/10</t>
  </si>
  <si>
    <t>15/10</t>
  </si>
  <si>
    <t>16/10</t>
  </si>
  <si>
    <t>19/10</t>
  </si>
  <si>
    <t>21/10</t>
  </si>
  <si>
    <t>23/10</t>
  </si>
  <si>
    <t>HỢP ĐỒNG ĐẦU VÀO - NHẤT THÀNH</t>
  </si>
  <si>
    <t>Cty Nhất Thành</t>
  </si>
  <si>
    <t>HD ( T11)</t>
  </si>
  <si>
    <t>30/09</t>
  </si>
  <si>
    <t>17/10</t>
  </si>
  <si>
    <t>26/10</t>
  </si>
  <si>
    <t>27/10</t>
  </si>
  <si>
    <t>Lúa mỳ</t>
  </si>
  <si>
    <t>28/10</t>
  </si>
  <si>
    <t>Phúc Hưng T11</t>
  </si>
  <si>
    <t>cám mỳ châu phi</t>
  </si>
  <si>
    <t>29/10</t>
  </si>
  <si>
    <t>chung vs Bách An (200T)</t>
  </si>
  <si>
    <t>BA</t>
  </si>
  <si>
    <t>30/10</t>
  </si>
  <si>
    <t>31/10</t>
  </si>
  <si>
    <t>24/10</t>
  </si>
  <si>
    <t>02/11</t>
  </si>
  <si>
    <t>04/11</t>
  </si>
  <si>
    <t>05/11</t>
  </si>
  <si>
    <t>06/11</t>
  </si>
  <si>
    <t>10/11</t>
  </si>
  <si>
    <t>11/11</t>
  </si>
  <si>
    <t>12/11</t>
  </si>
  <si>
    <t>13/112020</t>
  </si>
  <si>
    <t>13/11</t>
  </si>
  <si>
    <t>Cám gạo TL</t>
  </si>
  <si>
    <t>14/11</t>
  </si>
  <si>
    <t>trả hàng vay Tâm phát</t>
  </si>
  <si>
    <t>HỢP ĐỒNG ĐẦU VÀO - AVOCA</t>
  </si>
  <si>
    <t>AVOCA</t>
  </si>
  <si>
    <t>Lysine 70%</t>
  </si>
  <si>
    <t>T10/20-T2/21</t>
  </si>
  <si>
    <t>T11/20-T2/21</t>
  </si>
  <si>
    <t>Methionine</t>
  </si>
  <si>
    <t>T8-T12</t>
  </si>
  <si>
    <t>T9-T12</t>
  </si>
  <si>
    <t>Lvaline 98.5</t>
  </si>
  <si>
    <t>Lysine 98.5%( Dong sao)</t>
  </si>
  <si>
    <t>T10-T2/21</t>
  </si>
  <si>
    <t>Trytophane</t>
  </si>
  <si>
    <t>T11-T12</t>
  </si>
  <si>
    <t>Methionine 99( AJ)</t>
  </si>
  <si>
    <t>T1/21-T4/21</t>
  </si>
  <si>
    <t>16/11</t>
  </si>
  <si>
    <t>09/11</t>
  </si>
  <si>
    <t>HÀNG EF GIAO ( NGÔ HẠT )
(1)</t>
  </si>
  <si>
    <t>HÀNG BẮC NINH TRẢ( NGÔ ÉP)
(2)</t>
  </si>
  <si>
    <t>Lượng ngô hạt Efarm còn gửi=(1)-(2)</t>
  </si>
  <si>
    <t xml:space="preserve">KL (KG) còn tồn </t>
  </si>
  <si>
    <t>TỔNG ĐÃ THANH TOÁN</t>
  </si>
  <si>
    <t>KL (KG)
(3)</t>
  </si>
  <si>
    <t>ĐƠN GIÁ GC(đ/kg)
(4)</t>
  </si>
  <si>
    <t>THÀNH TIỀN
GC
=(3)*(4)</t>
  </si>
  <si>
    <t>17/11</t>
  </si>
  <si>
    <t>CK</t>
  </si>
  <si>
    <t>18/11</t>
  </si>
  <si>
    <t>HỢP ĐỒNG ĐẦU VÀO - VĂN SƠN</t>
  </si>
  <si>
    <t>Công ty Văn Sơn</t>
  </si>
  <si>
    <t>khô đậu</t>
  </si>
  <si>
    <t>T12/2020</t>
  </si>
  <si>
    <t>Thành Tiền</t>
  </si>
  <si>
    <t>Đã TT</t>
  </si>
  <si>
    <t>ngày tt</t>
  </si>
  <si>
    <t>T1/2021</t>
  </si>
  <si>
    <t>17/11/2020</t>
  </si>
  <si>
    <t>Tổng T10</t>
  </si>
  <si>
    <t>19/11</t>
  </si>
  <si>
    <t>Giao hàng T12/2020+T1/2021</t>
  </si>
  <si>
    <t>HỢP ĐỒNG ĐẦU VÀO - VIỆT NAM ẤN ĐỘ</t>
  </si>
  <si>
    <t>Việt Nam Ấn Độ</t>
  </si>
  <si>
    <t>cám gạo TL</t>
  </si>
  <si>
    <t>NĂM 2021</t>
  </si>
  <si>
    <t>04/IV-EF/T1.21</t>
  </si>
  <si>
    <t>04/IV-EF/T2.21</t>
  </si>
  <si>
    <t>Phúc Hưng</t>
  </si>
  <si>
    <t>01.131</t>
  </si>
  <si>
    <t>giao hàng từ 25/10-15/11</t>
  </si>
  <si>
    <t>21/11</t>
  </si>
  <si>
    <t>Khô cọ</t>
  </si>
  <si>
    <t>24/11</t>
  </si>
  <si>
    <t xml:space="preserve">Ngô </t>
  </si>
  <si>
    <t>Threonine 98.5%(Sewon)</t>
  </si>
  <si>
    <t>25/11</t>
  </si>
  <si>
    <t>26/11</t>
  </si>
  <si>
    <t>Tổng</t>
  </si>
  <si>
    <t>27/11</t>
  </si>
  <si>
    <t>28/11</t>
  </si>
  <si>
    <t>30/11</t>
  </si>
  <si>
    <t>30/11/2020</t>
  </si>
  <si>
    <t>01/12</t>
  </si>
  <si>
    <t>02/12</t>
  </si>
  <si>
    <t>03/12</t>
  </si>
  <si>
    <t>04/12</t>
  </si>
  <si>
    <t>05/12</t>
  </si>
  <si>
    <t>07/12</t>
  </si>
  <si>
    <t>Tổng T11</t>
  </si>
  <si>
    <t>Cám gạo TL(T12+T1.21)</t>
  </si>
  <si>
    <t xml:space="preserve">Hà Thị </t>
  </si>
  <si>
    <t xml:space="preserve">Khô đậu </t>
  </si>
  <si>
    <t>08/12</t>
  </si>
  <si>
    <t>09/12</t>
  </si>
  <si>
    <t>10/12</t>
  </si>
  <si>
    <t>11/12</t>
  </si>
  <si>
    <t>11/12/2020</t>
  </si>
  <si>
    <t>giam 10% lượng</t>
  </si>
  <si>
    <t>15/12</t>
  </si>
  <si>
    <t>16/12</t>
  </si>
  <si>
    <r>
      <t xml:space="preserve">HỢP ĐỒNG ĐẦU VÀO - </t>
    </r>
    <r>
      <rPr>
        <b/>
        <sz val="18"/>
        <color rgb="FFFF0000"/>
        <rFont val="Times New Roman"/>
        <family val="1"/>
      </rPr>
      <t>AGRIMEX</t>
    </r>
  </si>
  <si>
    <t>17/12</t>
  </si>
  <si>
    <t>Công ty Minh Việt</t>
  </si>
  <si>
    <t xml:space="preserve">ngô </t>
  </si>
  <si>
    <t>18/12</t>
  </si>
  <si>
    <t>T12-T1/21</t>
  </si>
  <si>
    <t>Supermel</t>
  </si>
  <si>
    <t>19/12</t>
  </si>
  <si>
    <t>21/12</t>
  </si>
  <si>
    <t>NĂM 2020-2021</t>
  </si>
  <si>
    <t>Cám mỳ châu phi</t>
  </si>
  <si>
    <t>T11.2020</t>
  </si>
  <si>
    <t>22/12</t>
  </si>
  <si>
    <t>23/12</t>
  </si>
  <si>
    <t>24/12</t>
  </si>
  <si>
    <t>EEF</t>
  </si>
  <si>
    <t>Xuất bán 100t cho Bách An giá 12.500đ</t>
  </si>
  <si>
    <t>25/12</t>
  </si>
  <si>
    <t>26/12</t>
  </si>
  <si>
    <t>Tổng T12</t>
  </si>
  <si>
    <t>29/12</t>
  </si>
  <si>
    <t>giao cảng giảm 150đ</t>
  </si>
  <si>
    <t>bán PH :4450đ*28333</t>
  </si>
  <si>
    <t>30/12</t>
  </si>
  <si>
    <t>bán PH: 4450dd*28.543</t>
  </si>
  <si>
    <t>Nguyễn Duy Sơn</t>
  </si>
  <si>
    <t>Củi ép</t>
  </si>
  <si>
    <t>31/12</t>
  </si>
  <si>
    <t>05/01/20201</t>
  </si>
  <si>
    <t>05/01/21</t>
  </si>
  <si>
    <t>HỢP ĐỒNG ĐẦU VÀO -  TÂN QUANG MINH</t>
  </si>
  <si>
    <t>Công ty Tân Quang Minh</t>
  </si>
  <si>
    <t>ngô</t>
  </si>
  <si>
    <t>đặt cọc 5% GTHĐ</t>
  </si>
  <si>
    <t>Ck</t>
  </si>
  <si>
    <t>T2/2021</t>
  </si>
  <si>
    <t>HỢP ĐỒNG ĐẦU VÀO -  MINH ĐAN</t>
  </si>
  <si>
    <t>Công ty Minh Đan</t>
  </si>
  <si>
    <t>10/03-10/04/21</t>
  </si>
  <si>
    <t>cám mỳ</t>
  </si>
  <si>
    <t>CAVI</t>
  </si>
  <si>
    <t>Tâm Phát- Minh Đan</t>
  </si>
  <si>
    <t>04/01/2021</t>
  </si>
  <si>
    <t>HỢP ĐỒNG ĐẦU VÀO -  HOÀNG  MINH</t>
  </si>
  <si>
    <t>Công ty  Hoàng Minh</t>
  </si>
  <si>
    <t>ESP500</t>
  </si>
  <si>
    <t>T1/-T3/21</t>
  </si>
  <si>
    <t>Đơn ĐH</t>
  </si>
  <si>
    <t>k có hóa đơn</t>
  </si>
  <si>
    <t>06/01/21</t>
  </si>
  <si>
    <t>06/01</t>
  </si>
  <si>
    <t>07/01</t>
  </si>
  <si>
    <t>07/1</t>
  </si>
  <si>
    <t>xong</t>
  </si>
  <si>
    <t>08/01</t>
  </si>
  <si>
    <t>Cty Agrimax</t>
  </si>
  <si>
    <t>Bột thịt 50%</t>
  </si>
  <si>
    <t>T12+T1.21</t>
  </si>
  <si>
    <t>09/01</t>
  </si>
  <si>
    <t>Công ty  Minh Hiền</t>
  </si>
  <si>
    <t>11/01</t>
  </si>
  <si>
    <t>12/01</t>
  </si>
  <si>
    <t>HỢP ĐỒNG ĐẦU VÀO -  MINH HIỀN</t>
  </si>
  <si>
    <t>13/01</t>
  </si>
  <si>
    <t>13/1</t>
  </si>
  <si>
    <t>14/01</t>
  </si>
  <si>
    <t>01/01-15/01 giao 200T ; 15/01-31/01 giao :200T đều giảm lượng 10%)</t>
  </si>
  <si>
    <t>T1/21</t>
  </si>
  <si>
    <t>Lysine 98.5%(AJ/SEWON)</t>
  </si>
  <si>
    <t>15/01</t>
  </si>
  <si>
    <t>16/01</t>
  </si>
  <si>
    <t>18/01</t>
  </si>
  <si>
    <t>Công ty Hợp Lực</t>
  </si>
  <si>
    <t xml:space="preserve">Bột thịt </t>
  </si>
  <si>
    <t>19/01</t>
  </si>
  <si>
    <t>;19/01</t>
  </si>
  <si>
    <t>T1-T2/2021</t>
  </si>
  <si>
    <t>Whey</t>
  </si>
  <si>
    <t>21/01</t>
  </si>
  <si>
    <t>22/01</t>
  </si>
  <si>
    <t>23/01</t>
  </si>
  <si>
    <t>25/01</t>
  </si>
  <si>
    <t>26/01</t>
  </si>
  <si>
    <t>27/01</t>
  </si>
  <si>
    <t>28/01</t>
  </si>
  <si>
    <t>29/01</t>
  </si>
  <si>
    <t>30/01</t>
  </si>
  <si>
    <t>31/01</t>
  </si>
  <si>
    <t>02/02</t>
  </si>
  <si>
    <t xml:space="preserve">Tổng </t>
  </si>
  <si>
    <t>03/02</t>
  </si>
  <si>
    <t>14/2020( K hóa đơn)</t>
  </si>
  <si>
    <t>04/02</t>
  </si>
  <si>
    <t>05/02</t>
  </si>
  <si>
    <t>07/02</t>
  </si>
  <si>
    <t>Xuát bán Open : 8100đ</t>
  </si>
  <si>
    <t>06/02</t>
  </si>
  <si>
    <t>08/02</t>
  </si>
  <si>
    <t>09/02</t>
  </si>
  <si>
    <t>Phúc Hưng VC giảm 150d</t>
  </si>
  <si>
    <t>HỢP ĐỒNG ĐẦU VÀO -  HỢP LỰC</t>
  </si>
  <si>
    <t xml:space="preserve">HỢP ĐỒNG ĐẦU VÀO -  QUANG DŨNG </t>
  </si>
  <si>
    <t>Công ty Quang Dũng</t>
  </si>
  <si>
    <t>18/02</t>
  </si>
  <si>
    <t>19/02</t>
  </si>
  <si>
    <t>20/02</t>
  </si>
  <si>
    <t>21/02</t>
  </si>
  <si>
    <t>22-24/02</t>
  </si>
  <si>
    <t>22/02</t>
  </si>
  <si>
    <t>15C17153</t>
  </si>
  <si>
    <t>15C19612</t>
  </si>
  <si>
    <t>15C35811</t>
  </si>
  <si>
    <t>15C14476</t>
  </si>
  <si>
    <t>23/02</t>
  </si>
  <si>
    <t>15C19878</t>
  </si>
  <si>
    <t>15C21411</t>
  </si>
  <si>
    <t>15H00078</t>
  </si>
  <si>
    <t>24/02</t>
  </si>
  <si>
    <t>T3-T5/21</t>
  </si>
  <si>
    <t>02/03</t>
  </si>
  <si>
    <t>04/03</t>
  </si>
  <si>
    <t>03/03</t>
  </si>
  <si>
    <t>05/03</t>
  </si>
  <si>
    <t>06/03</t>
  </si>
  <si>
    <t>08/03</t>
  </si>
  <si>
    <t>586-20</t>
  </si>
  <si>
    <t>TL( giao hàng T1+T2)</t>
  </si>
  <si>
    <t>TL(giao hàng T3)</t>
  </si>
  <si>
    <t>744-20</t>
  </si>
  <si>
    <t>TL( giao hàng T4)</t>
  </si>
  <si>
    <t>745-20</t>
  </si>
  <si>
    <t>09/03</t>
  </si>
  <si>
    <t>11/03/2021</t>
  </si>
  <si>
    <t>10/03/2021</t>
  </si>
  <si>
    <t>12/03</t>
  </si>
  <si>
    <t>13/03</t>
  </si>
  <si>
    <t>Methinonine</t>
  </si>
  <si>
    <t>11/03</t>
  </si>
  <si>
    <t>18/03/2021</t>
  </si>
  <si>
    <t>18/03</t>
  </si>
  <si>
    <t xml:space="preserve">SH </t>
  </si>
  <si>
    <t>HÀNG SH GIAO ( NGÔ HẠT )
(1)</t>
  </si>
  <si>
    <t>HÀNG HƯNG GIA NAM TRẢ( NGÔ ÉP)
(2)</t>
  </si>
  <si>
    <t>23/03</t>
  </si>
  <si>
    <t>Tổng  T3/2021</t>
  </si>
  <si>
    <t>24/03</t>
  </si>
  <si>
    <t>T3/2021 mới xuất hóa đơn</t>
  </si>
  <si>
    <t>T3-T6/21</t>
  </si>
  <si>
    <t>Lactose 100 Mesh</t>
  </si>
  <si>
    <t>T3.21</t>
  </si>
  <si>
    <t>27/03</t>
  </si>
  <si>
    <t>Lysine 98.5%( AJ/ SEWON)</t>
  </si>
  <si>
    <t>29/03</t>
  </si>
  <si>
    <t>30/03</t>
  </si>
  <si>
    <t>T3+4</t>
  </si>
  <si>
    <t>Mỡ cá</t>
  </si>
  <si>
    <t>31/03</t>
  </si>
  <si>
    <t>T4+5</t>
  </si>
  <si>
    <t>T5+6</t>
  </si>
  <si>
    <t>01/04</t>
  </si>
  <si>
    <t>02/04</t>
  </si>
  <si>
    <t>03/04</t>
  </si>
  <si>
    <t>hao hut 4% đối vớ ngô Aghen, ngô Maly là 4.17%</t>
  </si>
  <si>
    <t>Tổng  T2</t>
  </si>
  <si>
    <t>Tổng T3</t>
  </si>
  <si>
    <t>07/04</t>
  </si>
  <si>
    <t>HAO HỤT 4.17%</t>
  </si>
  <si>
    <t>LƯỢNG NGÔ CÒN LẠI</t>
  </si>
  <si>
    <t>KL GIAO (KG)</t>
  </si>
  <si>
    <t>08/04</t>
  </si>
  <si>
    <t>09/04</t>
  </si>
  <si>
    <t>10/04</t>
  </si>
  <si>
    <t>12/04</t>
  </si>
  <si>
    <t>13/04</t>
  </si>
  <si>
    <t>22/04</t>
  </si>
  <si>
    <t>24/4</t>
  </si>
  <si>
    <t>24/04</t>
  </si>
  <si>
    <t>25/04</t>
  </si>
  <si>
    <t>26/04</t>
  </si>
  <si>
    <t>28/04</t>
  </si>
  <si>
    <t>NGÔ ÉP</t>
  </si>
  <si>
    <t>ngô ép</t>
  </si>
  <si>
    <t>29/04</t>
  </si>
  <si>
    <t>04/05</t>
  </si>
  <si>
    <t>ngô hạt( k lấy HD)</t>
  </si>
  <si>
    <t xml:space="preserve">tt trước khi xuống hàng </t>
  </si>
  <si>
    <t>Khô đậu ( T5.21)</t>
  </si>
  <si>
    <t>Hoàng Minh(T5.21)</t>
  </si>
  <si>
    <t>01/2021</t>
  </si>
  <si>
    <t>Tân Quang Minh(T4+5.21)</t>
  </si>
  <si>
    <t>05/05</t>
  </si>
  <si>
    <t>Tổng T4</t>
  </si>
  <si>
    <t>HỢP ĐỒNG ĐẦU VÀO -  THUẬN AN</t>
  </si>
  <si>
    <t>Công ty  Thuận An</t>
  </si>
  <si>
    <t>280421</t>
  </si>
  <si>
    <t>(05-14/05/21)</t>
  </si>
  <si>
    <t>06/05</t>
  </si>
  <si>
    <t>07/05</t>
  </si>
  <si>
    <t>08/05</t>
  </si>
  <si>
    <t>27/02</t>
  </si>
  <si>
    <t>060521</t>
  </si>
  <si>
    <t>T5.21</t>
  </si>
  <si>
    <t xml:space="preserve">TT trước nhận hàng </t>
  </si>
  <si>
    <t>0405</t>
  </si>
  <si>
    <t>T6.21</t>
  </si>
  <si>
    <t>TT trước</t>
  </si>
  <si>
    <t>Cty  Quang Minh( Sunflower)</t>
  </si>
  <si>
    <t>ngô ấn</t>
  </si>
  <si>
    <t>Ngô ép( k lấy hóa dơn)</t>
  </si>
  <si>
    <t xml:space="preserve">bán AFC, tt ngay </t>
  </si>
  <si>
    <t>hàng vay rồi mua luôn</t>
  </si>
  <si>
    <t>11/05</t>
  </si>
  <si>
    <t>Minh Hiền</t>
  </si>
  <si>
    <t>10/05</t>
  </si>
  <si>
    <t>HỢP ĐỒNG ĐẦU VÀO -  Intermax</t>
  </si>
  <si>
    <t>Intermax</t>
  </si>
  <si>
    <t>Ngô( K Đơn)</t>
  </si>
  <si>
    <t>12/5</t>
  </si>
  <si>
    <t>12/05</t>
  </si>
  <si>
    <t>Tân Long</t>
  </si>
  <si>
    <t>T1+T2</t>
  </si>
  <si>
    <t>T3</t>
  </si>
  <si>
    <t>T4</t>
  </si>
  <si>
    <t>Khải Minh</t>
  </si>
  <si>
    <t>T5</t>
  </si>
  <si>
    <t>Thương mại Hà Nội</t>
  </si>
  <si>
    <t>T5+T6</t>
  </si>
  <si>
    <t>T2</t>
  </si>
  <si>
    <t>Agrimax</t>
  </si>
  <si>
    <t>T1</t>
  </si>
  <si>
    <t>Bột thịt xương</t>
  </si>
  <si>
    <t>Hưng Gia nam</t>
  </si>
  <si>
    <t>ngô ép ( k lấy hóa đơn)</t>
  </si>
  <si>
    <t xml:space="preserve">Việt Nam Ấn Độ </t>
  </si>
  <si>
    <t>Tân Quang Minh( Sunflower)</t>
  </si>
  <si>
    <t>Ngô hạt ( k lấy HĐ)</t>
  </si>
  <si>
    <t>GHI CHÚ</t>
  </si>
  <si>
    <t>TT sau 7 ngày</t>
  </si>
  <si>
    <t xml:space="preserve">TT trước </t>
  </si>
  <si>
    <t>TT sau</t>
  </si>
  <si>
    <t>Minh Đan</t>
  </si>
  <si>
    <t>Tâm Phát</t>
  </si>
  <si>
    <t xml:space="preserve">SH  </t>
  </si>
  <si>
    <t>Hoàng Minh</t>
  </si>
  <si>
    <t>Ngô hạt ( k hóa đơn)</t>
  </si>
  <si>
    <t>TT sau 3 ngày</t>
  </si>
  <si>
    <t>Hợp Lực</t>
  </si>
  <si>
    <t>T3-T5</t>
  </si>
  <si>
    <t xml:space="preserve">TT sau  7 ngày </t>
  </si>
  <si>
    <t>Quang Dũng</t>
  </si>
  <si>
    <t>Giá tạm tính</t>
  </si>
  <si>
    <t>Thuận An</t>
  </si>
  <si>
    <t>Tổng Tân Long</t>
  </si>
  <si>
    <t>Tổng Khải Minh</t>
  </si>
  <si>
    <t>Tổng TM Hà Nội</t>
  </si>
  <si>
    <t>Tổng Agrimax</t>
  </si>
  <si>
    <t>Tổng Phúc Hưng</t>
  </si>
  <si>
    <t>Tổng Hưng Gia Nam</t>
  </si>
  <si>
    <t>Tổng VNAD</t>
  </si>
  <si>
    <t>Tổng TQM</t>
  </si>
  <si>
    <t>Tổng Hợp Lực</t>
  </si>
  <si>
    <t>Tổng Quang Dũng</t>
  </si>
  <si>
    <t>Tổng Thuân An</t>
  </si>
  <si>
    <t>HỢP ĐỒNG ĐẦU VÀO - Japa</t>
  </si>
  <si>
    <t>Japa</t>
  </si>
  <si>
    <t>13/05</t>
  </si>
  <si>
    <t>Xong</t>
  </si>
  <si>
    <t>Phúc  Hưng vay giảm 150đ</t>
  </si>
  <si>
    <t>mua 3 cont nhưng HĐ làm thiếu 1 cont</t>
  </si>
  <si>
    <t>Don DH</t>
  </si>
  <si>
    <t>TG GIAO HÀNG</t>
  </si>
  <si>
    <t>14/05</t>
  </si>
  <si>
    <t>15/05</t>
  </si>
  <si>
    <t>16/5</t>
  </si>
  <si>
    <t>14/05/2021</t>
  </si>
  <si>
    <t>17/05/2021</t>
  </si>
  <si>
    <t>16/05</t>
  </si>
  <si>
    <t>17/05</t>
  </si>
  <si>
    <t>DG lô 1( TG: 23.150)</t>
  </si>
  <si>
    <t>18/05</t>
  </si>
  <si>
    <t>đã trả lại tiền thừa</t>
  </si>
  <si>
    <t>19/05</t>
  </si>
  <si>
    <t>20/05</t>
  </si>
  <si>
    <t>NĂM 2020+2021</t>
  </si>
  <si>
    <t>MinhĐan đã chuyển trả tiề thừa</t>
  </si>
  <si>
    <t>Minh Đan đã chuyển trả tiền thừa</t>
  </si>
  <si>
    <t>22/05</t>
  </si>
  <si>
    <t>24/05</t>
  </si>
  <si>
    <t>23/05</t>
  </si>
  <si>
    <t>25/05</t>
  </si>
  <si>
    <t>giao cảng cho
 AVOCA</t>
  </si>
  <si>
    <t>148-21</t>
  </si>
  <si>
    <t>từ T6-T8 mỗi tháng 200T</t>
  </si>
  <si>
    <t>Công ty Agrimex</t>
  </si>
  <si>
    <t>180521/DDGS</t>
  </si>
  <si>
    <t>về SH</t>
  </si>
  <si>
    <t>26/05</t>
  </si>
  <si>
    <t>87/2021</t>
  </si>
  <si>
    <t>ngô hạt</t>
  </si>
  <si>
    <t>T6/2021</t>
  </si>
  <si>
    <t>AFC</t>
  </si>
  <si>
    <t>về AFC</t>
  </si>
  <si>
    <t>27/05</t>
  </si>
  <si>
    <t>Phúc Hưng( giao tại cảng)</t>
  </si>
  <si>
    <t>Giao tại nhà máy cộng 200đ</t>
  </si>
  <si>
    <t>Giao nhà máy cộng 200d</t>
  </si>
  <si>
    <t>28/05</t>
  </si>
  <si>
    <t>29/05</t>
  </si>
  <si>
    <t>31/05</t>
  </si>
  <si>
    <t>TG: 23.150</t>
  </si>
  <si>
    <t>Tổng T5</t>
  </si>
  <si>
    <t>T6-T8</t>
  </si>
  <si>
    <t>( giao hàng tại nhà máy)</t>
  </si>
  <si>
    <t>Đậu ép</t>
  </si>
  <si>
    <t>Tổng Japa</t>
  </si>
  <si>
    <t>đã tt xong</t>
  </si>
  <si>
    <t>01/06</t>
  </si>
  <si>
    <t>bù trừ CN gia công</t>
  </si>
  <si>
    <t>VNAD</t>
  </si>
  <si>
    <t>Cám mỳ Châu phi</t>
  </si>
  <si>
    <t>Cám mỳ bột châu phi</t>
  </si>
  <si>
    <t>01/06/2021</t>
  </si>
  <si>
    <t>Tổng  T6</t>
  </si>
  <si>
    <t>Tổng T7</t>
  </si>
  <si>
    <t>Lượng ngô hạt  SH còn gửi=(1)-(2)</t>
  </si>
  <si>
    <t>Ngày</t>
  </si>
  <si>
    <t>SL</t>
  </si>
  <si>
    <t>ĐG</t>
  </si>
  <si>
    <t>Lượng tồn</t>
  </si>
  <si>
    <t>Thành tiền</t>
  </si>
  <si>
    <t>Thành tiền bán AFC</t>
  </si>
  <si>
    <t>BẢNG THEO DÕI    NGÔ ÉP ĐÙN  -  CÔNG TY HƯNG GIA NAM  2021</t>
  </si>
  <si>
    <t>02/06</t>
  </si>
  <si>
    <t>TMHN</t>
  </si>
  <si>
    <t>03/06</t>
  </si>
  <si>
    <t>Người duyệt</t>
  </si>
  <si>
    <t>04/06</t>
  </si>
  <si>
    <t>KL GIAO(KG)</t>
  </si>
  <si>
    <t>LS 70</t>
  </si>
  <si>
    <t>05/06</t>
  </si>
  <si>
    <t>07/06</t>
  </si>
  <si>
    <t>bù trừ để lấy đậu ép</t>
  </si>
  <si>
    <t>đậu ép</t>
  </si>
  <si>
    <t>07/06/2021</t>
  </si>
  <si>
    <t>08/06</t>
  </si>
  <si>
    <t>09/06</t>
  </si>
  <si>
    <t>Tồn tiền</t>
  </si>
  <si>
    <t>08/06/2021</t>
  </si>
  <si>
    <t>10/06</t>
  </si>
  <si>
    <t>11/06</t>
  </si>
  <si>
    <t>Phiếu chưa ghi sổ</t>
  </si>
  <si>
    <t>12/06</t>
  </si>
  <si>
    <t>Lysine 98.5% ( SEWON)</t>
  </si>
  <si>
    <t>14/06</t>
  </si>
  <si>
    <t>AFC( thuê a Nam HY VC)</t>
  </si>
  <si>
    <t>TIỀN  HAO HỤT</t>
  </si>
  <si>
    <t>TT trước 100T ngày 14/06</t>
  </si>
  <si>
    <t>15/06</t>
  </si>
  <si>
    <t>16/06</t>
  </si>
  <si>
    <t>17/06</t>
  </si>
  <si>
    <t>16/06/2021</t>
  </si>
  <si>
    <t>Lysine 98.5% ( SEWON/AJ)</t>
  </si>
  <si>
    <t>T7+T8+T9</t>
  </si>
  <si>
    <t>Lysine 70%( Sewon/ Dongxio/ meihua)</t>
  </si>
  <si>
    <t>L Threonine 98.5%</t>
  </si>
  <si>
    <t>TT ngay</t>
  </si>
  <si>
    <t>+-10%</t>
  </si>
  <si>
    <t>19/06</t>
  </si>
  <si>
    <t>21/06</t>
  </si>
  <si>
    <t>ngô  ấn( k HĐ)</t>
  </si>
  <si>
    <t>Xuất đi gia công
 ngô ép</t>
  </si>
  <si>
    <t>23/06</t>
  </si>
  <si>
    <t>230621</t>
  </si>
  <si>
    <t>AFC( thuê a Chiến HY VC)</t>
  </si>
  <si>
    <t>AFC( thuê a Chiến  HY VC)</t>
  </si>
  <si>
    <t>24/06</t>
  </si>
  <si>
    <t>T6+T7</t>
  </si>
  <si>
    <t>L Valine</t>
  </si>
  <si>
    <t>25/06</t>
  </si>
  <si>
    <t>26/06</t>
  </si>
  <si>
    <t>T8.2021</t>
  </si>
  <si>
    <t>ĐH</t>
  </si>
  <si>
    <t>cám mỳ ( VN)</t>
  </si>
  <si>
    <t>30/06</t>
  </si>
  <si>
    <t>HD19/5</t>
  </si>
  <si>
    <t>HD14/6</t>
  </si>
  <si>
    <t>HD21/6</t>
  </si>
  <si>
    <t>HD15/6</t>
  </si>
  <si>
    <t>HD01/7</t>
  </si>
  <si>
    <t>Cám mỳ VN</t>
  </si>
  <si>
    <t>01/07</t>
  </si>
  <si>
    <t>05/07</t>
  </si>
  <si>
    <t>+-5%</t>
  </si>
  <si>
    <t>giao hàng từ 18-30/6+ 07/7</t>
  </si>
  <si>
    <t>18/06</t>
  </si>
  <si>
    <t>T8+T9/21</t>
  </si>
  <si>
    <t>Tân Quang Minh</t>
  </si>
  <si>
    <t>02/06.07.21</t>
  </si>
  <si>
    <t>cám mỳ viên</t>
  </si>
  <si>
    <t>04/06.07.21</t>
  </si>
  <si>
    <t>TT 10 ngày</t>
  </si>
  <si>
    <r>
      <t xml:space="preserve">HỢP ĐỒNG ĐẦU VÀO - </t>
    </r>
    <r>
      <rPr>
        <b/>
        <sz val="18"/>
        <color rgb="FFFF0000"/>
        <rFont val="Times New Roman"/>
        <family val="1"/>
      </rPr>
      <t>Minh Việt</t>
    </r>
  </si>
  <si>
    <t>khô dầu cọ</t>
  </si>
  <si>
    <t xml:space="preserve"> giao hàng 09-15/07</t>
  </si>
  <si>
    <t xml:space="preserve">TT sau 7 ngày </t>
  </si>
  <si>
    <t>06/07</t>
  </si>
  <si>
    <t>07/07</t>
  </si>
  <si>
    <t>giao hàng T8.21</t>
  </si>
  <si>
    <t>HỢP ĐỒNG ĐẦU VÀO - Nông Lâm Tâm Phát( Hà Thị)</t>
  </si>
  <si>
    <t>Nông Lâm Tâm Phát</t>
  </si>
  <si>
    <t>Hà Thị</t>
  </si>
  <si>
    <t>T8</t>
  </si>
  <si>
    <t>Tổng Hà Thị</t>
  </si>
  <si>
    <t>Minh Việt</t>
  </si>
  <si>
    <t>09-15/07</t>
  </si>
  <si>
    <t>T8+T9</t>
  </si>
  <si>
    <t>Tổng AVOCA</t>
  </si>
  <si>
    <t>TT 7 ngày ( giao hàng từ 15/7)</t>
  </si>
  <si>
    <t xml:space="preserve"> TT 7 ngày( giao hàng từ  09/7)</t>
  </si>
  <si>
    <t>T7</t>
  </si>
  <si>
    <t>giao từ 15-21/7</t>
  </si>
  <si>
    <t>Nông Lâm  Tâm Phát</t>
  </si>
  <si>
    <t>09/07</t>
  </si>
  <si>
    <t>HỢP ĐỒNG ĐẦU VÀO - Khang Đạt</t>
  </si>
  <si>
    <t>Khang Đạt</t>
  </si>
  <si>
    <t>Ngô mỹ</t>
  </si>
  <si>
    <t>10/07</t>
  </si>
  <si>
    <t>HÀNG DƯỢC THÚ Y TRẢ( NGÔ ÉP)
(2)</t>
  </si>
  <si>
    <t>HÀNG SINH HÓA GIAO ( NGÔ HẠT )
(1)</t>
  </si>
  <si>
    <t>HAO
HỤT
4%</t>
  </si>
  <si>
    <t>BẢNG THEO DÕI  GIA CÔNG  NGÔ ÉP ĐÙN SINH HÓA  -  CÔNG TY  DƯỢC THÚ Y</t>
  </si>
  <si>
    <t>BIỂN SỐ XE</t>
  </si>
  <si>
    <t>NGÀY
GIAO</t>
  </si>
  <si>
    <t>NGÀY
NHẬN</t>
  </si>
  <si>
    <t>KL NGÔ CÒN ĐI GC</t>
  </si>
  <si>
    <t>KẾ HOẠCH NHẬP NGÔ ÉP</t>
  </si>
  <si>
    <t>SH thuê VC</t>
  </si>
  <si>
    <t>ĐƠN GIÁ GC 900(đ/kg)
(4)</t>
  </si>
  <si>
    <t xml:space="preserve">KL NGÔ CÒN TỒN
(KG) </t>
  </si>
  <si>
    <t xml:space="preserve">                                                          Giám đốc</t>
  </si>
  <si>
    <t>HỢP ĐỒNG ĐẦU VÀO - DƯỢC THÚ Y</t>
  </si>
  <si>
    <t>Dược thú y</t>
  </si>
  <si>
    <t>Giao hàng T7</t>
  </si>
  <si>
    <t xml:space="preserve">Minh Hiền </t>
  </si>
  <si>
    <t>13/07</t>
  </si>
  <si>
    <t>ngô nam mỹ</t>
  </si>
  <si>
    <t>14/07</t>
  </si>
  <si>
    <t>15/07</t>
  </si>
  <si>
    <t xml:space="preserve"> giao hàng 16-24/07</t>
  </si>
  <si>
    <t>16/07</t>
  </si>
  <si>
    <t xml:space="preserve">Ngô nam mỹ </t>
  </si>
  <si>
    <t>TT sau 10 ngày</t>
  </si>
  <si>
    <t>09.07-15.07</t>
  </si>
  <si>
    <t>16.7-24.7</t>
  </si>
  <si>
    <t>Dược thú Y</t>
  </si>
  <si>
    <t xml:space="preserve">Ngô ép </t>
  </si>
  <si>
    <t>15.07-21.07</t>
  </si>
  <si>
    <t>Tổng Dược thú Y</t>
  </si>
  <si>
    <t xml:space="preserve">Tổng Nông Lâm Tâm Phát </t>
  </si>
  <si>
    <t>Tổng Khang Đạt</t>
  </si>
  <si>
    <t>17/07</t>
  </si>
  <si>
    <t>19/07</t>
  </si>
  <si>
    <t>Methine ( CJ/Sumi/ Evonik)</t>
  </si>
  <si>
    <t>20/07</t>
  </si>
  <si>
    <t>21/07</t>
  </si>
  <si>
    <t>TMBN</t>
  </si>
  <si>
    <t>22/07</t>
  </si>
  <si>
    <t>giao hàng 24-26/7</t>
  </si>
  <si>
    <t>24-26/7</t>
  </si>
  <si>
    <t>23/07</t>
  </si>
  <si>
    <t xml:space="preserve"> TT 7 ngày( giao hàng từ  23/07)</t>
  </si>
  <si>
    <t>EE</t>
  </si>
  <si>
    <t>Sunfower</t>
  </si>
  <si>
    <t>23.7.21</t>
  </si>
  <si>
    <t>25/7-15/8</t>
  </si>
  <si>
    <t>TT 7 ngày</t>
  </si>
  <si>
    <t>25/07</t>
  </si>
  <si>
    <t>24/07</t>
  </si>
  <si>
    <t>26/07</t>
  </si>
  <si>
    <t>27/07</t>
  </si>
  <si>
    <t>28/07</t>
  </si>
  <si>
    <t>-10%</t>
  </si>
  <si>
    <t>31.7.21</t>
  </si>
  <si>
    <t>29/07</t>
  </si>
  <si>
    <t>Cty Dược thú y</t>
  </si>
  <si>
    <t>30/07</t>
  </si>
  <si>
    <t>31/07</t>
  </si>
  <si>
    <t>02/08</t>
  </si>
  <si>
    <t>03/08</t>
  </si>
  <si>
    <t>05/08</t>
  </si>
  <si>
    <t>06/08</t>
  </si>
  <si>
    <t>07/08</t>
  </si>
  <si>
    <t>09/08</t>
  </si>
  <si>
    <t>T8+9+10</t>
  </si>
  <si>
    <t>11/08</t>
  </si>
  <si>
    <t>12/08</t>
  </si>
  <si>
    <t>13/08</t>
  </si>
  <si>
    <t>Cám gạo trích ly</t>
  </si>
  <si>
    <t>16/08</t>
  </si>
  <si>
    <t>17/08</t>
  </si>
  <si>
    <t>Lysine 99( SEWON/AJ)</t>
  </si>
  <si>
    <t>Threonine 98.5%(Eppen)</t>
  </si>
  <si>
    <t>08.08</t>
  </si>
  <si>
    <t>19-20.8</t>
  </si>
  <si>
    <t>19/08</t>
  </si>
  <si>
    <t>Cám mỳ đài loan</t>
  </si>
  <si>
    <t>Giao hàng 15.9+T10</t>
  </si>
  <si>
    <t>Giao hàng 20-23/8</t>
  </si>
  <si>
    <t>Dược Thú Y</t>
  </si>
  <si>
    <t>Gioa hàng T8+T9</t>
  </si>
  <si>
    <t>20/08</t>
  </si>
  <si>
    <t>21/08</t>
  </si>
  <si>
    <t>23/08</t>
  </si>
  <si>
    <t>24/08</t>
  </si>
  <si>
    <t>26/08</t>
  </si>
  <si>
    <t>27/08</t>
  </si>
  <si>
    <t>28/08</t>
  </si>
  <si>
    <t>HỢP ĐỒNG ĐẦU VÀO - BẢO LÂM</t>
  </si>
  <si>
    <t>Bảo Lâm</t>
  </si>
  <si>
    <t>Ngô pakis</t>
  </si>
  <si>
    <t>giao ngày 30+31/8</t>
  </si>
  <si>
    <t>Giao T9</t>
  </si>
  <si>
    <t>30/08</t>
  </si>
  <si>
    <t>31/08</t>
  </si>
  <si>
    <t>HỢP ĐỒNG ĐẦU VÀO - AN DƯƠNG</t>
  </si>
  <si>
    <t>An Dương</t>
  </si>
  <si>
    <t>Dầu cọ</t>
  </si>
  <si>
    <t>02.8</t>
  </si>
  <si>
    <t>01/09</t>
  </si>
  <si>
    <t>;01/09</t>
  </si>
  <si>
    <t>T9</t>
  </si>
  <si>
    <t>30+31/8</t>
  </si>
  <si>
    <t>HD10/8:396</t>
  </si>
  <si>
    <t>HD10/8: 396</t>
  </si>
  <si>
    <t>04/09</t>
  </si>
  <si>
    <t>T7+T8</t>
  </si>
  <si>
    <t>06/09</t>
  </si>
  <si>
    <t>07/09</t>
  </si>
  <si>
    <t>NLTP</t>
  </si>
  <si>
    <t>Giao hàng T9</t>
  </si>
  <si>
    <t>08/09</t>
  </si>
  <si>
    <t>09/09</t>
  </si>
  <si>
    <t>ÊF</t>
  </si>
  <si>
    <t>T9+T10</t>
  </si>
  <si>
    <t>Nông Lâm Tân Phát</t>
  </si>
  <si>
    <t>13/09</t>
  </si>
  <si>
    <t>15/09</t>
  </si>
  <si>
    <t>16/09</t>
  </si>
  <si>
    <t>từ T9-T12/2021</t>
  </si>
  <si>
    <t>Thương mại Bắc Ninh</t>
  </si>
  <si>
    <t>18/09</t>
  </si>
  <si>
    <t>20/09</t>
  </si>
  <si>
    <t>T9( TT trước)</t>
  </si>
  <si>
    <t>Giao hàng T10-T12</t>
  </si>
  <si>
    <t>T10: 2cont, 11: 3cont, 12: 5cont</t>
  </si>
  <si>
    <t>24/09</t>
  </si>
  <si>
    <t>25/09</t>
  </si>
  <si>
    <t>Minh hiền</t>
  </si>
  <si>
    <t>TỔNG</t>
  </si>
  <si>
    <t>27/09</t>
  </si>
  <si>
    <t>28/09</t>
  </si>
  <si>
    <t>25/9-01/10</t>
  </si>
  <si>
    <t>giao hàng T10/2021</t>
  </si>
  <si>
    <t>T11/2021-T2/2022</t>
  </si>
  <si>
    <t>T10-T12</t>
  </si>
  <si>
    <t>giao hàng 02/10</t>
  </si>
  <si>
    <t>04/10</t>
  </si>
  <si>
    <t>08/10</t>
  </si>
  <si>
    <t>TT sau 07 ngày</t>
  </si>
  <si>
    <t>TT sau 03 ngày</t>
  </si>
  <si>
    <t>TT sau khi xuống hàng</t>
  </si>
  <si>
    <t xml:space="preserve">TT sau 10 ngày </t>
  </si>
  <si>
    <t>11/10</t>
  </si>
  <si>
    <t xml:space="preserve">xong </t>
  </si>
  <si>
    <t>12/10</t>
  </si>
  <si>
    <t>13/10</t>
  </si>
  <si>
    <t>14/10</t>
  </si>
  <si>
    <t>18/10</t>
  </si>
  <si>
    <t>HỢP ĐỒNG ĐẦU VÀO - CKVN</t>
  </si>
  <si>
    <t>CKVN</t>
  </si>
  <si>
    <t>Zambac MD 10</t>
  </si>
  <si>
    <t>từ T10/2021-T3/2022</t>
  </si>
  <si>
    <t>Haqui 20</t>
  </si>
  <si>
    <t xml:space="preserve">Kolin Plus </t>
  </si>
  <si>
    <t>Bergazym P</t>
  </si>
  <si>
    <t>Porcomix Plus</t>
  </si>
  <si>
    <t>HỢP ĐỒNG ĐẦU VÀO - MENON</t>
  </si>
  <si>
    <t>MENON</t>
  </si>
  <si>
    <t>từ T10/2021-T12/2021</t>
  </si>
  <si>
    <t>Organacid</t>
  </si>
  <si>
    <t>T500H</t>
  </si>
  <si>
    <t>HSTA</t>
  </si>
  <si>
    <t>Flo bond</t>
  </si>
  <si>
    <t>22/10</t>
  </si>
  <si>
    <t>25/10</t>
  </si>
  <si>
    <t>giao hàng từ 29/10-20/11</t>
  </si>
  <si>
    <t>T9( dự 29/10)</t>
  </si>
  <si>
    <t>01/11</t>
  </si>
  <si>
    <t>03/11</t>
  </si>
  <si>
    <t>T11 giao 500T</t>
  </si>
  <si>
    <t>T12 giao 1500T</t>
  </si>
  <si>
    <t>(Sơn La)</t>
  </si>
  <si>
    <t>T10+T11</t>
  </si>
  <si>
    <t>15/11</t>
  </si>
  <si>
    <t>01/09.11.21</t>
  </si>
  <si>
    <t>từ 01/12/21- 28/02/22</t>
  </si>
  <si>
    <t>HỢP ĐỒNG ĐẦU VÀO - AFT</t>
  </si>
  <si>
    <t>AFT</t>
  </si>
  <si>
    <t>cám mỳ bột</t>
  </si>
  <si>
    <t>08/11</t>
  </si>
  <si>
    <t xml:space="preserve">Xong </t>
  </si>
  <si>
    <t>20/11</t>
  </si>
  <si>
    <t>22/11</t>
  </si>
  <si>
    <t>23/11</t>
  </si>
  <si>
    <t>T12+T1+T2+T3/2022</t>
  </si>
  <si>
    <t>T12.21</t>
  </si>
  <si>
    <t>6 cont</t>
  </si>
  <si>
    <t>4 cont</t>
  </si>
  <si>
    <t>T12/21</t>
  </si>
  <si>
    <t>dậu ép</t>
  </si>
  <si>
    <t>giao tháng 12/2021</t>
  </si>
  <si>
    <t>HỢP ĐỒNG ĐẦU VÀO - Tâm Phát</t>
  </si>
  <si>
    <t>Tâm phát</t>
  </si>
  <si>
    <t>Giao hàng T12</t>
  </si>
  <si>
    <t xml:space="preserve">tt sau 5 ngày </t>
  </si>
  <si>
    <t>Nguyễn Xuân Hiền</t>
  </si>
  <si>
    <t>HỢP ĐỒNG ĐẦU VÀO - Nguyễn Xuân Hiền</t>
  </si>
  <si>
    <t>06/12</t>
  </si>
  <si>
    <t>BMTH 2021.03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</si>
</sst>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.VnArial"/>
      <family val="2"/>
    </font>
    <font>
      <b/>
      <sz val="18"/>
      <color rgb="FFFF0000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8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/>
    <xf numFmtId="164" fontId="2" fillId="0" borderId="1" xfId="1" applyNumberFormat="1" applyFont="1" applyBorder="1"/>
    <xf numFmtId="164" fontId="3" fillId="2" borderId="1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quotePrefix="1" applyFont="1" applyBorder="1"/>
    <xf numFmtId="4" fontId="7" fillId="0" borderId="0" xfId="0" applyNumberFormat="1" applyFont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/>
    <xf numFmtId="164" fontId="3" fillId="5" borderId="1" xfId="1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2" fillId="0" borderId="0" xfId="1" applyNumberFormat="1" applyFont="1"/>
    <xf numFmtId="14" fontId="3" fillId="3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Border="1"/>
    <xf numFmtId="14" fontId="3" fillId="5" borderId="1" xfId="1" applyNumberFormat="1" applyFont="1" applyFill="1" applyBorder="1"/>
    <xf numFmtId="14" fontId="3" fillId="2" borderId="1" xfId="1" applyNumberFormat="1" applyFont="1" applyFill="1" applyBorder="1" applyAlignment="1">
      <alignment vertical="center"/>
    </xf>
    <xf numFmtId="0" fontId="2" fillId="6" borderId="1" xfId="0" applyFont="1" applyFill="1" applyBorder="1"/>
    <xf numFmtId="164" fontId="2" fillId="6" borderId="1" xfId="1" applyNumberFormat="1" applyFont="1" applyFill="1" applyBorder="1"/>
    <xf numFmtId="14" fontId="2" fillId="6" borderId="1" xfId="1" applyNumberFormat="1" applyFont="1" applyFill="1" applyBorder="1"/>
    <xf numFmtId="0" fontId="2" fillId="6" borderId="0" xfId="0" applyFont="1" applyFill="1"/>
    <xf numFmtId="0" fontId="2" fillId="7" borderId="1" xfId="0" applyFont="1" applyFill="1" applyBorder="1"/>
    <xf numFmtId="164" fontId="2" fillId="7" borderId="1" xfId="1" applyNumberFormat="1" applyFont="1" applyFill="1" applyBorder="1"/>
    <xf numFmtId="14" fontId="2" fillId="7" borderId="1" xfId="1" applyNumberFormat="1" applyFont="1" applyFill="1" applyBorder="1"/>
    <xf numFmtId="0" fontId="2" fillId="7" borderId="0" xfId="0" applyFont="1" applyFill="1"/>
    <xf numFmtId="164" fontId="2" fillId="8" borderId="1" xfId="1" applyNumberFormat="1" applyFont="1" applyFill="1" applyBorder="1"/>
    <xf numFmtId="16" fontId="3" fillId="0" borderId="1" xfId="0" applyNumberFormat="1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9" fillId="0" borderId="1" xfId="1" applyNumberFormat="1" applyFont="1" applyBorder="1"/>
    <xf numFmtId="164" fontId="10" fillId="0" borderId="1" xfId="1" applyNumberFormat="1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14" fontId="2" fillId="0" borderId="1" xfId="1" quotePrefix="1" applyNumberFormat="1" applyFont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164" fontId="3" fillId="9" borderId="1" xfId="1" applyNumberFormat="1" applyFont="1" applyFill="1" applyBorder="1"/>
    <xf numFmtId="0" fontId="3" fillId="6" borderId="1" xfId="0" applyFont="1" applyFill="1" applyBorder="1" applyAlignment="1">
      <alignment horizontal="center" vertical="center" wrapText="1"/>
    </xf>
    <xf numFmtId="164" fontId="3" fillId="6" borderId="1" xfId="1" applyNumberFormat="1" applyFont="1" applyFill="1" applyBorder="1" applyAlignment="1">
      <alignment horizontal="center" vertical="center" wrapText="1"/>
    </xf>
    <xf numFmtId="16" fontId="2" fillId="0" borderId="1" xfId="0" quotePrefix="1" applyNumberFormat="1" applyFont="1" applyBorder="1"/>
    <xf numFmtId="14" fontId="3" fillId="10" borderId="1" xfId="1" applyNumberFormat="1" applyFont="1" applyFill="1" applyBorder="1" applyAlignment="1">
      <alignment horizontal="center" vertical="center" wrapText="1"/>
    </xf>
    <xf numFmtId="164" fontId="3" fillId="1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/>
    <xf numFmtId="164" fontId="2" fillId="0" borderId="0" xfId="0" applyNumberFormat="1" applyFont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164" fontId="3" fillId="10" borderId="1" xfId="1" applyNumberFormat="1" applyFont="1" applyFill="1" applyBorder="1"/>
    <xf numFmtId="14" fontId="3" fillId="10" borderId="1" xfId="1" applyNumberFormat="1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164" fontId="3" fillId="6" borderId="1" xfId="1" applyNumberFormat="1" applyFont="1" applyFill="1" applyBorder="1"/>
    <xf numFmtId="14" fontId="3" fillId="6" borderId="1" xfId="1" applyNumberFormat="1" applyFont="1" applyFill="1" applyBorder="1"/>
    <xf numFmtId="14" fontId="2" fillId="0" borderId="1" xfId="1" quotePrefix="1" applyNumberFormat="1" applyFont="1" applyBorder="1" applyAlignment="1">
      <alignment horizontal="left"/>
    </xf>
    <xf numFmtId="0" fontId="3" fillId="0" borderId="1" xfId="0" applyFont="1" applyBorder="1"/>
    <xf numFmtId="14" fontId="3" fillId="0" borderId="1" xfId="1" applyNumberFormat="1" applyFont="1" applyBorder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12" borderId="1" xfId="0" applyFont="1" applyFill="1" applyBorder="1"/>
    <xf numFmtId="164" fontId="3" fillId="12" borderId="1" xfId="1" applyNumberFormat="1" applyFont="1" applyFill="1" applyBorder="1"/>
    <xf numFmtId="14" fontId="3" fillId="0" borderId="1" xfId="1" quotePrefix="1" applyNumberFormat="1" applyFont="1" applyBorder="1"/>
    <xf numFmtId="14" fontId="2" fillId="12" borderId="1" xfId="1" quotePrefix="1" applyNumberFormat="1" applyFont="1" applyFill="1" applyBorder="1"/>
    <xf numFmtId="164" fontId="2" fillId="12" borderId="1" xfId="1" applyNumberFormat="1" applyFont="1" applyFill="1" applyBorder="1"/>
    <xf numFmtId="0" fontId="6" fillId="0" borderId="0" xfId="0" applyFont="1"/>
    <xf numFmtId="164" fontId="6" fillId="0" borderId="0" xfId="1" applyNumberFormat="1" applyFont="1"/>
    <xf numFmtId="0" fontId="3" fillId="0" borderId="1" xfId="0" applyFont="1" applyBorder="1" applyAlignment="1">
      <alignment horizontal="center" vertical="center" wrapText="1"/>
    </xf>
    <xf numFmtId="164" fontId="2" fillId="12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3" fillId="0" borderId="0" xfId="1" applyNumberFormat="1" applyFont="1"/>
    <xf numFmtId="164" fontId="2" fillId="0" borderId="4" xfId="1" applyNumberFormat="1" applyFont="1" applyBorder="1"/>
    <xf numFmtId="16" fontId="2" fillId="0" borderId="0" xfId="0" applyNumberFormat="1" applyFont="1"/>
    <xf numFmtId="14" fontId="2" fillId="6" borderId="1" xfId="1" quotePrefix="1" applyNumberFormat="1" applyFont="1" applyFill="1" applyBorder="1"/>
    <xf numFmtId="164" fontId="5" fillId="0" borderId="1" xfId="1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164" fontId="3" fillId="3" borderId="0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/>
    <xf numFmtId="164" fontId="3" fillId="5" borderId="0" xfId="1" applyNumberFormat="1" applyFont="1" applyFill="1" applyBorder="1"/>
    <xf numFmtId="164" fontId="3" fillId="10" borderId="0" xfId="1" applyNumberFormat="1" applyFont="1" applyFill="1" applyBorder="1"/>
    <xf numFmtId="164" fontId="3" fillId="6" borderId="0" xfId="1" applyNumberFormat="1" applyFont="1" applyFill="1" applyBorder="1"/>
    <xf numFmtId="164" fontId="3" fillId="2" borderId="0" xfId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/>
    </xf>
    <xf numFmtId="43" fontId="2" fillId="0" borderId="0" xfId="1" applyFont="1"/>
    <xf numFmtId="0" fontId="3" fillId="0" borderId="4" xfId="0" applyFont="1" applyBorder="1" applyAlignment="1">
      <alignment horizontal="center"/>
    </xf>
    <xf numFmtId="0" fontId="2" fillId="0" borderId="0" xfId="0" quotePrefix="1" applyFont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7" fontId="3" fillId="0" borderId="1" xfId="0" applyNumberFormat="1" applyFont="1" applyBorder="1"/>
    <xf numFmtId="164" fontId="3" fillId="5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/>
    <xf numFmtId="164" fontId="2" fillId="0" borderId="1" xfId="1" quotePrefix="1" applyNumberFormat="1" applyFont="1" applyBorder="1"/>
    <xf numFmtId="164" fontId="3" fillId="0" borderId="1" xfId="1" quotePrefix="1" applyNumberFormat="1" applyFont="1" applyBorder="1"/>
    <xf numFmtId="164" fontId="3" fillId="11" borderId="1" xfId="1" applyNumberFormat="1" applyFont="1" applyFill="1" applyBorder="1"/>
    <xf numFmtId="0" fontId="3" fillId="11" borderId="1" xfId="0" applyFont="1" applyFill="1" applyBorder="1" applyAlignment="1"/>
    <xf numFmtId="164" fontId="3" fillId="11" borderId="1" xfId="1" applyNumberFormat="1" applyFont="1" applyFill="1" applyBorder="1" applyAlignment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1" xfId="0" quotePrefix="1" applyFont="1" applyBorder="1"/>
    <xf numFmtId="0" fontId="3" fillId="0" borderId="4" xfId="0" applyFont="1" applyBorder="1" applyAlignment="1">
      <alignment horizontal="center"/>
    </xf>
    <xf numFmtId="14" fontId="2" fillId="12" borderId="1" xfId="1" applyNumberFormat="1" applyFont="1" applyFill="1" applyBorder="1"/>
    <xf numFmtId="0" fontId="3" fillId="11" borderId="1" xfId="0" applyFont="1" applyFill="1" applyBorder="1"/>
    <xf numFmtId="14" fontId="3" fillId="11" borderId="1" xfId="1" quotePrefix="1" applyNumberFormat="1" applyFont="1" applyFill="1" applyBorder="1"/>
    <xf numFmtId="164" fontId="3" fillId="0" borderId="0" xfId="1" applyNumberFormat="1" applyFont="1" applyBorder="1"/>
    <xf numFmtId="164" fontId="3" fillId="6" borderId="0" xfId="1" applyNumberFormat="1" applyFont="1" applyFill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6" borderId="1" xfId="1" quotePrefix="1" applyNumberFormat="1" applyFont="1" applyFill="1" applyBorder="1"/>
    <xf numFmtId="164" fontId="2" fillId="6" borderId="0" xfId="0" applyNumberFormat="1" applyFont="1" applyFill="1"/>
    <xf numFmtId="164" fontId="3" fillId="0" borderId="0" xfId="0" applyNumberFormat="1" applyFont="1"/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164" fontId="2" fillId="12" borderId="0" xfId="0" applyNumberFormat="1" applyFont="1" applyFill="1"/>
    <xf numFmtId="0" fontId="2" fillId="12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164" fontId="2" fillId="0" borderId="1" xfId="1" applyNumberFormat="1" applyFont="1" applyFill="1" applyBorder="1"/>
    <xf numFmtId="0" fontId="3" fillId="12" borderId="1" xfId="0" applyFont="1" applyFill="1" applyBorder="1" applyAlignment="1">
      <alignment horizontal="center"/>
    </xf>
    <xf numFmtId="14" fontId="3" fillId="12" borderId="1" xfId="1" applyNumberFormat="1" applyFont="1" applyFill="1" applyBorder="1"/>
    <xf numFmtId="0" fontId="2" fillId="12" borderId="0" xfId="0" applyFont="1" applyFill="1"/>
    <xf numFmtId="0" fontId="3" fillId="0" borderId="4" xfId="0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3" fillId="6" borderId="1" xfId="0" applyNumberFormat="1" applyFont="1" applyFill="1" applyBorder="1"/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2" fillId="13" borderId="1" xfId="1" applyNumberFormat="1" applyFont="1" applyFill="1" applyBorder="1"/>
    <xf numFmtId="16" fontId="2" fillId="0" borderId="0" xfId="0" quotePrefix="1" applyNumberFormat="1" applyFont="1"/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3" fillId="8" borderId="1" xfId="1" applyNumberFormat="1" applyFont="1" applyFill="1" applyBorder="1"/>
    <xf numFmtId="17" fontId="3" fillId="0" borderId="1" xfId="0" quotePrefix="1" applyNumberFormat="1" applyFont="1" applyBorder="1"/>
    <xf numFmtId="164" fontId="13" fillId="0" borderId="1" xfId="1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6" borderId="1" xfId="0" quotePrefix="1" applyFont="1" applyFill="1" applyBorder="1"/>
    <xf numFmtId="43" fontId="3" fillId="0" borderId="1" xfId="1" applyNumberFormat="1" applyFont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164" fontId="2" fillId="14" borderId="1" xfId="1" applyNumberFormat="1" applyFont="1" applyFill="1" applyBorder="1"/>
    <xf numFmtId="14" fontId="2" fillId="14" borderId="1" xfId="1" applyNumberFormat="1" applyFont="1" applyFill="1" applyBorder="1"/>
    <xf numFmtId="0" fontId="3" fillId="12" borderId="1" xfId="0" quotePrefix="1" applyFont="1" applyFill="1" applyBorder="1"/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/>
    <xf numFmtId="164" fontId="3" fillId="14" borderId="1" xfId="1" applyNumberFormat="1" applyFont="1" applyFill="1" applyBorder="1"/>
    <xf numFmtId="14" fontId="3" fillId="14" borderId="1" xfId="1" quotePrefix="1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43" fontId="2" fillId="0" borderId="1" xfId="1" applyNumberFormat="1" applyFont="1" applyBorder="1"/>
    <xf numFmtId="0" fontId="9" fillId="6" borderId="1" xfId="0" applyFont="1" applyFill="1" applyBorder="1"/>
    <xf numFmtId="164" fontId="9" fillId="6" borderId="1" xfId="1" applyNumberFormat="1" applyFont="1" applyFill="1" applyBorder="1"/>
    <xf numFmtId="0" fontId="5" fillId="6" borderId="1" xfId="0" applyFont="1" applyFill="1" applyBorder="1"/>
    <xf numFmtId="164" fontId="5" fillId="6" borderId="1" xfId="1" applyNumberFormat="1" applyFont="1" applyFill="1" applyBorder="1"/>
    <xf numFmtId="0" fontId="9" fillId="6" borderId="1" xfId="0" quotePrefix="1" applyFont="1" applyFill="1" applyBorder="1"/>
    <xf numFmtId="164" fontId="14" fillId="0" borderId="1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9" fillId="0" borderId="1" xfId="1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164" fontId="3" fillId="0" borderId="1" xfId="0" applyNumberFormat="1" applyFont="1" applyBorder="1" applyAlignment="1">
      <alignment vertical="center"/>
    </xf>
    <xf numFmtId="164" fontId="2" fillId="12" borderId="0" xfId="1" applyNumberFormat="1" applyFont="1" applyFill="1"/>
    <xf numFmtId="164" fontId="3" fillId="12" borderId="0" xfId="0" applyNumberFormat="1" applyFont="1" applyFill="1"/>
    <xf numFmtId="164" fontId="3" fillId="6" borderId="0" xfId="0" applyNumberFormat="1" applyFont="1" applyFill="1"/>
    <xf numFmtId="0" fontId="3" fillId="15" borderId="1" xfId="0" applyFont="1" applyFill="1" applyBorder="1"/>
    <xf numFmtId="164" fontId="3" fillId="15" borderId="1" xfId="1" applyNumberFormat="1" applyFont="1" applyFill="1" applyBorder="1"/>
    <xf numFmtId="14" fontId="3" fillId="15" borderId="1" xfId="1" applyNumberFormat="1" applyFont="1" applyFill="1" applyBorder="1"/>
    <xf numFmtId="4" fontId="2" fillId="0" borderId="0" xfId="0" applyNumberFormat="1" applyFont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12" borderId="1" xfId="0" applyFont="1" applyFill="1" applyBorder="1"/>
    <xf numFmtId="164" fontId="5" fillId="12" borderId="1" xfId="1" applyNumberFormat="1" applyFont="1" applyFill="1" applyBorder="1"/>
    <xf numFmtId="164" fontId="5" fillId="12" borderId="2" xfId="1" applyNumberFormat="1" applyFont="1" applyFill="1" applyBorder="1"/>
    <xf numFmtId="164" fontId="3" fillId="12" borderId="2" xfId="1" applyNumberFormat="1" applyFont="1" applyFill="1" applyBorder="1"/>
    <xf numFmtId="164" fontId="5" fillId="6" borderId="2" xfId="1" applyNumberFormat="1" applyFont="1" applyFill="1" applyBorder="1"/>
    <xf numFmtId="164" fontId="2" fillId="12" borderId="2" xfId="1" applyNumberFormat="1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164" fontId="3" fillId="16" borderId="1" xfId="1" applyNumberFormat="1" applyFont="1" applyFill="1" applyBorder="1"/>
    <xf numFmtId="14" fontId="2" fillId="16" borderId="1" xfId="1" applyNumberFormat="1" applyFont="1" applyFill="1" applyBorder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10" borderId="6" xfId="1" applyNumberFormat="1" applyFont="1" applyFill="1" applyBorder="1" applyAlignment="1">
      <alignment vertical="center" wrapText="1"/>
    </xf>
    <xf numFmtId="164" fontId="3" fillId="10" borderId="5" xfId="1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/>
    <xf numFmtId="0" fontId="2" fillId="6" borderId="4" xfId="0" applyFont="1" applyFill="1" applyBorder="1"/>
    <xf numFmtId="0" fontId="2" fillId="6" borderId="5" xfId="0" applyFont="1" applyFill="1" applyBorder="1"/>
    <xf numFmtId="0" fontId="3" fillId="6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43" fontId="2" fillId="0" borderId="0" xfId="1" applyNumberFormat="1" applyFont="1"/>
    <xf numFmtId="164" fontId="2" fillId="12" borderId="1" xfId="1" quotePrefix="1" applyNumberFormat="1" applyFont="1" applyFill="1" applyBorder="1"/>
    <xf numFmtId="43" fontId="3" fillId="0" borderId="0" xfId="1" applyFont="1"/>
    <xf numFmtId="43" fontId="3" fillId="0" borderId="0" xfId="1" applyFont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/>
    <xf numFmtId="14" fontId="3" fillId="12" borderId="1" xfId="1" quotePrefix="1" applyNumberFormat="1" applyFont="1" applyFill="1" applyBorder="1"/>
    <xf numFmtId="14" fontId="3" fillId="14" borderId="1" xfId="1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164" fontId="2" fillId="11" borderId="1" xfId="1" applyNumberFormat="1" applyFont="1" applyFill="1" applyBorder="1"/>
    <xf numFmtId="164" fontId="2" fillId="0" borderId="3" xfId="1" applyNumberFormat="1" applyFont="1" applyBorder="1" applyAlignment="1">
      <alignment horizontal="center" vertical="center"/>
    </xf>
    <xf numFmtId="16" fontId="3" fillId="0" borderId="1" xfId="0" applyNumberFormat="1" applyFont="1" applyBorder="1"/>
    <xf numFmtId="14" fontId="9" fillId="6" borderId="1" xfId="1" quotePrefix="1" applyNumberFormat="1" applyFont="1" applyFill="1" applyBorder="1"/>
    <xf numFmtId="0" fontId="6" fillId="0" borderId="8" xfId="0" applyFont="1" applyBorder="1" applyAlignment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12" borderId="5" xfId="0" applyFont="1" applyFill="1" applyBorder="1"/>
    <xf numFmtId="164" fontId="9" fillId="12" borderId="1" xfId="1" applyNumberFormat="1" applyFont="1" applyFill="1" applyBorder="1"/>
    <xf numFmtId="0" fontId="2" fillId="12" borderId="1" xfId="0" applyFont="1" applyFill="1" applyBorder="1" applyAlignment="1">
      <alignment horizontal="center"/>
    </xf>
    <xf numFmtId="4" fontId="7" fillId="0" borderId="1" xfId="0" applyNumberFormat="1" applyFont="1" applyBorder="1"/>
    <xf numFmtId="164" fontId="6" fillId="0" borderId="1" xfId="1" applyNumberFormat="1" applyFont="1" applyBorder="1" applyAlignment="1"/>
    <xf numFmtId="164" fontId="2" fillId="0" borderId="1" xfId="1" applyNumberFormat="1" applyFont="1" applyBorder="1" applyAlignment="1"/>
    <xf numFmtId="164" fontId="6" fillId="0" borderId="1" xfId="1" quotePrefix="1" applyNumberFormat="1" applyFont="1" applyBorder="1" applyAlignment="1"/>
    <xf numFmtId="10" fontId="2" fillId="0" borderId="0" xfId="0" applyNumberFormat="1" applyFont="1"/>
    <xf numFmtId="9" fontId="2" fillId="0" borderId="0" xfId="0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0" fontId="3" fillId="6" borderId="0" xfId="0" applyFont="1" applyFill="1"/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5" fontId="2" fillId="0" borderId="1" xfId="1" applyNumberFormat="1" applyFont="1" applyBorder="1"/>
    <xf numFmtId="0" fontId="3" fillId="12" borderId="5" xfId="0" applyFont="1" applyFill="1" applyBorder="1" applyAlignment="1">
      <alignment horizontal="center" vertical="center"/>
    </xf>
    <xf numFmtId="164" fontId="3" fillId="12" borderId="1" xfId="1" applyNumberFormat="1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5" xfId="0" applyFont="1" applyFill="1" applyBorder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164" fontId="3" fillId="11" borderId="1" xfId="1" applyNumberFormat="1" applyFont="1" applyFill="1" applyBorder="1" applyAlignment="1">
      <alignment vertical="center"/>
    </xf>
    <xf numFmtId="164" fontId="2" fillId="12" borderId="1" xfId="1" quotePrefix="1" applyNumberFormat="1" applyFont="1" applyFill="1" applyBorder="1" applyAlignment="1">
      <alignment vertical="center"/>
    </xf>
    <xf numFmtId="164" fontId="2" fillId="1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3" fillId="4" borderId="4" xfId="1" applyNumberFormat="1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164" fontId="3" fillId="4" borderId="5" xfId="1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6" borderId="4" xfId="1" applyNumberFormat="1" applyFont="1" applyFill="1" applyBorder="1" applyAlignment="1">
      <alignment horizontal="center" vertical="center" wrapText="1"/>
    </xf>
    <xf numFmtId="164" fontId="3" fillId="6" borderId="6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164" fontId="3" fillId="10" borderId="4" xfId="1" applyNumberFormat="1" applyFont="1" applyFill="1" applyBorder="1" applyAlignment="1">
      <alignment horizontal="center" vertical="center" wrapText="1"/>
    </xf>
    <xf numFmtId="164" fontId="3" fillId="10" borderId="6" xfId="1" applyNumberFormat="1" applyFont="1" applyFill="1" applyBorder="1" applyAlignment="1">
      <alignment horizontal="center" vertical="center" wrapText="1"/>
    </xf>
    <xf numFmtId="164" fontId="3" fillId="10" borderId="5" xfId="1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4" xfId="1" applyNumberFormat="1" applyFont="1" applyBorder="1" applyAlignment="1"/>
    <xf numFmtId="164" fontId="3" fillId="0" borderId="5" xfId="1" applyNumberFormat="1" applyFont="1" applyBorder="1" applyAlignment="1"/>
    <xf numFmtId="164" fontId="3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164" fontId="3" fillId="12" borderId="2" xfId="1" applyNumberFormat="1" applyFont="1" applyFill="1" applyBorder="1" applyAlignment="1">
      <alignment horizontal="center" wrapText="1"/>
    </xf>
    <xf numFmtId="164" fontId="3" fillId="12" borderId="7" xfId="1" applyNumberFormat="1" applyFont="1" applyFill="1" applyBorder="1" applyAlignment="1">
      <alignment horizontal="center"/>
    </xf>
    <xf numFmtId="164" fontId="3" fillId="12" borderId="3" xfId="1" applyNumberFormat="1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 wrapText="1"/>
    </xf>
    <xf numFmtId="164" fontId="2" fillId="0" borderId="7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0"/>
  <sheetViews>
    <sheetView workbookViewId="0">
      <pane xSplit="5" ySplit="5" topLeftCell="F6" activePane="bottomRight" state="frozen"/>
      <selection pane="topRight" activeCell="D1" sqref="D1"/>
      <selection pane="bottomLeft" activeCell="A7" sqref="A7"/>
      <selection pane="bottomRight" activeCell="D13" sqref="D13"/>
    </sheetView>
  </sheetViews>
  <sheetFormatPr defaultRowHeight="15"/>
  <cols>
    <col min="1" max="1" width="6.28515625" style="1" customWidth="1"/>
    <col min="2" max="2" width="24.85546875" style="1" customWidth="1"/>
    <col min="3" max="3" width="12.7109375" style="1" customWidth="1"/>
    <col min="4" max="4" width="20" style="1" customWidth="1"/>
    <col min="5" max="10" width="14.28515625" style="3" customWidth="1"/>
    <col min="11" max="11" width="21.28515625" style="1" customWidth="1"/>
    <col min="12" max="16384" width="9.140625" style="1"/>
  </cols>
  <sheetData>
    <row r="1" spans="1:11" ht="34.5" customHeight="1">
      <c r="A1" s="274" t="s">
        <v>16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11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528</v>
      </c>
      <c r="D4" s="276" t="s">
        <v>8</v>
      </c>
      <c r="E4" s="278" t="s">
        <v>4</v>
      </c>
      <c r="F4" s="278"/>
      <c r="G4" s="278" t="s">
        <v>6</v>
      </c>
      <c r="H4" s="278"/>
      <c r="I4" s="279" t="s">
        <v>7</v>
      </c>
      <c r="J4" s="280"/>
      <c r="K4" s="272" t="s">
        <v>494</v>
      </c>
    </row>
    <row r="5" spans="1:11" s="11" customFormat="1" ht="15" customHeight="1">
      <c r="A5" s="277"/>
      <c r="B5" s="277"/>
      <c r="C5" s="277"/>
      <c r="D5" s="277"/>
      <c r="E5" s="229" t="s">
        <v>9</v>
      </c>
      <c r="F5" s="229" t="s">
        <v>5</v>
      </c>
      <c r="G5" s="229" t="s">
        <v>9</v>
      </c>
      <c r="H5" s="229" t="s">
        <v>5</v>
      </c>
      <c r="I5" s="229" t="s">
        <v>9</v>
      </c>
      <c r="J5" s="229" t="s">
        <v>5</v>
      </c>
      <c r="K5" s="273"/>
    </row>
    <row r="6" spans="1:11" ht="18" customHeight="1">
      <c r="A6" s="2" t="s">
        <v>13</v>
      </c>
      <c r="B6" s="2" t="s">
        <v>225</v>
      </c>
      <c r="C6" s="2" t="s">
        <v>822</v>
      </c>
      <c r="D6" s="2" t="s">
        <v>34</v>
      </c>
      <c r="E6" s="4">
        <v>260000</v>
      </c>
      <c r="F6" s="4">
        <v>8400</v>
      </c>
      <c r="G6" s="4">
        <f>'Phuc hưng'!H221</f>
        <v>241590</v>
      </c>
      <c r="H6" s="4"/>
      <c r="I6" s="4">
        <f t="shared" ref="I6:I15" si="0">E6-G6</f>
        <v>18410</v>
      </c>
      <c r="J6" s="235"/>
      <c r="K6" s="2" t="s">
        <v>826</v>
      </c>
    </row>
    <row r="7" spans="1:11" ht="18" customHeight="1">
      <c r="A7" s="2"/>
      <c r="B7" s="2"/>
      <c r="C7" s="2" t="s">
        <v>77</v>
      </c>
      <c r="D7" s="2" t="s">
        <v>176</v>
      </c>
      <c r="E7" s="4">
        <f>28000*5</f>
        <v>140000</v>
      </c>
      <c r="F7" s="4">
        <v>4980</v>
      </c>
      <c r="G7" s="4">
        <f>'Phuc hưng'!H237</f>
        <v>84585</v>
      </c>
      <c r="H7" s="4"/>
      <c r="I7" s="4">
        <f t="shared" si="0"/>
        <v>55415</v>
      </c>
      <c r="J7" s="252"/>
      <c r="K7" s="2" t="s">
        <v>826</v>
      </c>
    </row>
    <row r="8" spans="1:11" ht="18" customHeight="1">
      <c r="A8" s="2" t="s">
        <v>13</v>
      </c>
      <c r="B8" s="2" t="s">
        <v>470</v>
      </c>
      <c r="C8" s="230" t="s">
        <v>860</v>
      </c>
      <c r="D8" s="2" t="s">
        <v>20</v>
      </c>
      <c r="E8" s="4">
        <v>2000000</v>
      </c>
      <c r="F8" s="4">
        <v>7850</v>
      </c>
      <c r="G8" s="4">
        <f>'Minh Hiền'!H117</f>
        <v>715234</v>
      </c>
      <c r="H8" s="4"/>
      <c r="I8" s="4">
        <f t="shared" si="0"/>
        <v>1284766</v>
      </c>
      <c r="J8" s="4"/>
      <c r="K8" s="2" t="s">
        <v>827</v>
      </c>
    </row>
    <row r="9" spans="1:11" ht="18" customHeight="1">
      <c r="A9" s="130" t="s">
        <v>13</v>
      </c>
      <c r="B9" s="130" t="s">
        <v>712</v>
      </c>
      <c r="C9" s="2" t="s">
        <v>801</v>
      </c>
      <c r="D9" s="2" t="s">
        <v>176</v>
      </c>
      <c r="E9" s="4">
        <f>84000*2</f>
        <v>168000</v>
      </c>
      <c r="F9" s="4">
        <v>5000</v>
      </c>
      <c r="G9" s="4">
        <f>'DƯỢC THÚ Ý'!H67</f>
        <v>0</v>
      </c>
      <c r="H9" s="4"/>
      <c r="I9" s="4">
        <f t="shared" si="0"/>
        <v>168000</v>
      </c>
      <c r="J9" s="4"/>
      <c r="K9" s="2" t="s">
        <v>463</v>
      </c>
    </row>
    <row r="10" spans="1:11" ht="18" hidden="1" customHeight="1">
      <c r="A10" s="2" t="s">
        <v>13</v>
      </c>
      <c r="B10" s="2" t="s">
        <v>776</v>
      </c>
      <c r="C10" s="46" t="s">
        <v>789</v>
      </c>
      <c r="D10" s="2" t="s">
        <v>85</v>
      </c>
      <c r="E10" s="4">
        <v>100000</v>
      </c>
      <c r="F10" s="4">
        <v>7800</v>
      </c>
      <c r="G10" s="4">
        <f>'DƯỢC THÚ Ý'!H68</f>
        <v>0</v>
      </c>
      <c r="H10" s="4"/>
      <c r="I10" s="25">
        <f t="shared" si="0"/>
        <v>100000</v>
      </c>
      <c r="J10" s="4"/>
      <c r="K10" s="2"/>
    </row>
    <row r="11" spans="1:11" ht="18" customHeight="1">
      <c r="A11" s="24" t="s">
        <v>13</v>
      </c>
      <c r="B11" s="24" t="s">
        <v>776</v>
      </c>
      <c r="C11" s="24" t="s">
        <v>854</v>
      </c>
      <c r="D11" s="24" t="s">
        <v>85</v>
      </c>
      <c r="E11" s="4">
        <v>300000</v>
      </c>
      <c r="F11" s="4">
        <v>7750</v>
      </c>
      <c r="G11" s="4">
        <f>'Bảo Lâm'!H31</f>
        <v>260040</v>
      </c>
      <c r="H11" s="4"/>
      <c r="I11" s="4">
        <f t="shared" si="0"/>
        <v>39960</v>
      </c>
      <c r="J11" s="4"/>
      <c r="K11" s="24" t="s">
        <v>868</v>
      </c>
    </row>
    <row r="12" spans="1:11" ht="18" customHeight="1">
      <c r="A12" s="2"/>
      <c r="B12" s="2" t="s">
        <v>802</v>
      </c>
      <c r="C12" s="2" t="s">
        <v>788</v>
      </c>
      <c r="D12" s="2" t="s">
        <v>43</v>
      </c>
      <c r="E12" s="4">
        <v>100000</v>
      </c>
      <c r="F12" s="4">
        <v>7300</v>
      </c>
      <c r="G12" s="4">
        <f>'Nông lâm Tâm Phát'!H24</f>
        <v>57100</v>
      </c>
      <c r="H12" s="4"/>
      <c r="I12" s="4">
        <f t="shared" si="0"/>
        <v>42900</v>
      </c>
      <c r="J12" s="4"/>
      <c r="K12" s="2" t="s">
        <v>828</v>
      </c>
    </row>
    <row r="13" spans="1:11" ht="18" customHeight="1">
      <c r="A13" s="2" t="s">
        <v>13</v>
      </c>
      <c r="B13" s="2" t="s">
        <v>807</v>
      </c>
      <c r="C13" s="2" t="s">
        <v>186</v>
      </c>
      <c r="D13" s="2" t="s">
        <v>37</v>
      </c>
      <c r="E13" s="4">
        <v>450000</v>
      </c>
      <c r="F13" s="4">
        <v>8700</v>
      </c>
      <c r="G13" s="4">
        <f>TMBN!H58</f>
        <v>342980</v>
      </c>
      <c r="H13" s="4"/>
      <c r="I13" s="4">
        <f t="shared" si="0"/>
        <v>107020</v>
      </c>
      <c r="J13" s="4"/>
      <c r="K13" s="2" t="s">
        <v>829</v>
      </c>
    </row>
    <row r="14" spans="1:11" ht="18" customHeight="1">
      <c r="A14" s="60" t="s">
        <v>29</v>
      </c>
      <c r="B14" s="60" t="s">
        <v>865</v>
      </c>
      <c r="C14" s="60" t="s">
        <v>77</v>
      </c>
      <c r="D14" s="60" t="s">
        <v>132</v>
      </c>
      <c r="E14" s="4">
        <v>100000</v>
      </c>
      <c r="F14" s="4">
        <v>7300</v>
      </c>
      <c r="G14" s="4">
        <f>AFT!H16</f>
        <v>110270</v>
      </c>
      <c r="H14" s="4"/>
      <c r="I14" s="4">
        <f t="shared" si="0"/>
        <v>-10270</v>
      </c>
      <c r="J14" s="4"/>
      <c r="K14" s="24" t="s">
        <v>524</v>
      </c>
    </row>
    <row r="15" spans="1:11" ht="18" customHeight="1">
      <c r="A15" s="60" t="s">
        <v>29</v>
      </c>
      <c r="B15" s="60" t="s">
        <v>865</v>
      </c>
      <c r="C15" s="60" t="s">
        <v>77</v>
      </c>
      <c r="D15" s="60" t="s">
        <v>132</v>
      </c>
      <c r="E15" s="4">
        <v>50000</v>
      </c>
      <c r="F15" s="4">
        <v>7000</v>
      </c>
      <c r="G15" s="4">
        <f>AFT!H27</f>
        <v>54300</v>
      </c>
      <c r="H15" s="4"/>
      <c r="I15" s="4">
        <f t="shared" si="0"/>
        <v>-4300</v>
      </c>
      <c r="J15" s="4"/>
      <c r="K15" s="24" t="s">
        <v>524</v>
      </c>
    </row>
    <row r="16" spans="1:11" s="6" customFormat="1" ht="24.75" customHeight="1">
      <c r="A16" s="1"/>
      <c r="B16" s="1"/>
      <c r="C16" s="1"/>
      <c r="D16" s="1"/>
      <c r="E16" s="3"/>
      <c r="F16" s="3"/>
      <c r="G16" s="3"/>
      <c r="H16" s="3"/>
      <c r="I16" s="3"/>
      <c r="J16" s="3"/>
    </row>
    <row r="17" spans="6:10">
      <c r="F17" s="270" t="s">
        <v>1</v>
      </c>
      <c r="G17" s="270"/>
      <c r="H17" s="270"/>
      <c r="I17" s="1"/>
      <c r="J17" s="8"/>
    </row>
    <row r="20" spans="6:10">
      <c r="F20" s="271"/>
      <c r="G20" s="271"/>
      <c r="H20" s="271"/>
      <c r="I20" s="1"/>
      <c r="J20" s="1"/>
    </row>
  </sheetData>
  <mergeCells count="12">
    <mergeCell ref="F17:H17"/>
    <mergeCell ref="F20:H20"/>
    <mergeCell ref="K4:K5"/>
    <mergeCell ref="A1:J1"/>
    <mergeCell ref="A2:J2"/>
    <mergeCell ref="A4:A5"/>
    <mergeCell ref="B4:B5"/>
    <mergeCell ref="C4:C5"/>
    <mergeCell ref="D4:D5"/>
    <mergeCell ref="E4:F4"/>
    <mergeCell ref="G4:H4"/>
    <mergeCell ref="I4:J4"/>
  </mergeCells>
  <pageMargins left="0.37" right="0.17" top="0.27" bottom="0.23" header="0.23" footer="0.17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9"/>
  <sheetViews>
    <sheetView workbookViewId="0">
      <pane ySplit="5" topLeftCell="A6" activePane="bottomLeft" state="frozen"/>
      <selection pane="bottomLeft" activeCell="A22" sqref="A22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50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13</v>
      </c>
      <c r="B11" s="2" t="s">
        <v>42</v>
      </c>
      <c r="C11" s="2"/>
      <c r="D11" s="2" t="s">
        <v>43</v>
      </c>
      <c r="E11" s="4">
        <v>300000</v>
      </c>
      <c r="F11" s="4">
        <v>4780</v>
      </c>
      <c r="G11" s="21">
        <v>43930</v>
      </c>
      <c r="H11" s="4">
        <v>90190</v>
      </c>
      <c r="I11" s="4">
        <f>F11</f>
        <v>4780</v>
      </c>
      <c r="J11" s="4">
        <f>E11-H11</f>
        <v>209810</v>
      </c>
      <c r="K11" s="4">
        <f>F11</f>
        <v>4780</v>
      </c>
    </row>
    <row r="12" spans="1:11" ht="18" customHeight="1">
      <c r="A12" s="18" t="s">
        <v>29</v>
      </c>
      <c r="B12" s="2"/>
      <c r="C12" s="2"/>
      <c r="D12" s="2"/>
      <c r="E12" s="4">
        <v>300000</v>
      </c>
      <c r="F12" s="4">
        <v>4780</v>
      </c>
      <c r="G12" s="21">
        <v>43939</v>
      </c>
      <c r="H12" s="4">
        <v>29950</v>
      </c>
      <c r="I12" s="4">
        <f t="shared" ref="I12:I18" si="2">F12</f>
        <v>4780</v>
      </c>
      <c r="J12" s="4">
        <f t="shared" ref="J12:J17" si="3">J11-H12</f>
        <v>179860</v>
      </c>
      <c r="K12" s="4">
        <f t="shared" ref="K12:K18" si="4">F12</f>
        <v>4780</v>
      </c>
    </row>
    <row r="13" spans="1:11" ht="18" customHeight="1">
      <c r="A13" s="18"/>
      <c r="B13" s="2"/>
      <c r="C13" s="2"/>
      <c r="D13" s="2"/>
      <c r="E13" s="4">
        <v>300000</v>
      </c>
      <c r="F13" s="4">
        <v>4780</v>
      </c>
      <c r="G13" s="21">
        <v>43945</v>
      </c>
      <c r="H13" s="4">
        <v>30050</v>
      </c>
      <c r="I13" s="4">
        <f t="shared" si="2"/>
        <v>4780</v>
      </c>
      <c r="J13" s="4">
        <f t="shared" si="3"/>
        <v>149810</v>
      </c>
      <c r="K13" s="4">
        <f t="shared" si="4"/>
        <v>4780</v>
      </c>
    </row>
    <row r="14" spans="1:11" ht="18" customHeight="1">
      <c r="A14" s="18"/>
      <c r="B14" s="2"/>
      <c r="C14" s="2"/>
      <c r="D14" s="2"/>
      <c r="E14" s="4">
        <v>300000</v>
      </c>
      <c r="F14" s="4">
        <v>4780</v>
      </c>
      <c r="G14" s="21">
        <v>43949</v>
      </c>
      <c r="H14" s="4">
        <v>29990</v>
      </c>
      <c r="I14" s="4">
        <f t="shared" si="2"/>
        <v>4780</v>
      </c>
      <c r="J14" s="4">
        <f t="shared" si="3"/>
        <v>119820</v>
      </c>
      <c r="K14" s="4">
        <f t="shared" si="4"/>
        <v>4780</v>
      </c>
    </row>
    <row r="15" spans="1:11" ht="18" customHeight="1">
      <c r="A15" s="18"/>
      <c r="B15" s="2"/>
      <c r="C15" s="2"/>
      <c r="D15" s="2"/>
      <c r="E15" s="4">
        <v>300000</v>
      </c>
      <c r="F15" s="4">
        <v>4780</v>
      </c>
      <c r="G15" s="21">
        <v>43960</v>
      </c>
      <c r="H15" s="4">
        <v>30040</v>
      </c>
      <c r="I15" s="4">
        <f t="shared" si="2"/>
        <v>4780</v>
      </c>
      <c r="J15" s="4">
        <f t="shared" si="3"/>
        <v>89780</v>
      </c>
      <c r="K15" s="4">
        <f t="shared" si="4"/>
        <v>4780</v>
      </c>
    </row>
    <row r="16" spans="1:11" ht="18" customHeight="1">
      <c r="A16" s="18"/>
      <c r="B16" s="2"/>
      <c r="C16" s="2"/>
      <c r="D16" s="2"/>
      <c r="E16" s="4">
        <v>300000</v>
      </c>
      <c r="F16" s="4">
        <v>4780</v>
      </c>
      <c r="G16" s="21">
        <v>43964</v>
      </c>
      <c r="H16" s="4">
        <v>30020</v>
      </c>
      <c r="I16" s="4">
        <v>4780</v>
      </c>
      <c r="J16" s="4">
        <f t="shared" si="3"/>
        <v>59760</v>
      </c>
      <c r="K16" s="4">
        <v>4780</v>
      </c>
    </row>
    <row r="17" spans="1:11" ht="18" customHeight="1">
      <c r="A17" s="18"/>
      <c r="B17" s="2"/>
      <c r="C17" s="2"/>
      <c r="D17" s="2"/>
      <c r="E17" s="4">
        <v>300000</v>
      </c>
      <c r="F17" s="4">
        <v>4780</v>
      </c>
      <c r="G17" s="21">
        <v>43979</v>
      </c>
      <c r="H17" s="4">
        <v>30000</v>
      </c>
      <c r="I17" s="4">
        <v>4780</v>
      </c>
      <c r="J17" s="4">
        <f t="shared" si="3"/>
        <v>29760</v>
      </c>
      <c r="K17" s="4">
        <v>4780</v>
      </c>
    </row>
    <row r="18" spans="1:11" ht="18" customHeight="1">
      <c r="A18" s="18"/>
      <c r="B18" s="2"/>
      <c r="C18" s="2"/>
      <c r="D18" s="2"/>
      <c r="E18" s="4">
        <v>300000</v>
      </c>
      <c r="F18" s="4">
        <v>4780</v>
      </c>
      <c r="G18" s="21"/>
      <c r="H18" s="4"/>
      <c r="I18" s="4">
        <f t="shared" si="2"/>
        <v>4780</v>
      </c>
      <c r="J18" s="4"/>
      <c r="K18" s="4">
        <f t="shared" si="4"/>
        <v>4780</v>
      </c>
    </row>
    <row r="19" spans="1:11" s="15" customFormat="1" ht="18" customHeight="1">
      <c r="A19" s="291" t="s">
        <v>15</v>
      </c>
      <c r="B19" s="292"/>
      <c r="C19" s="13"/>
      <c r="D19" s="13"/>
      <c r="E19" s="14">
        <v>300000</v>
      </c>
      <c r="F19" s="14"/>
      <c r="G19" s="22"/>
      <c r="H19" s="14">
        <f>SUM(H11:H18)</f>
        <v>270240</v>
      </c>
      <c r="I19" s="14"/>
      <c r="J19" s="14">
        <f>E19-H19</f>
        <v>29760</v>
      </c>
      <c r="K19" s="14"/>
    </row>
    <row r="20" spans="1:11" ht="18" customHeight="1">
      <c r="A20" s="18"/>
      <c r="B20" s="2"/>
      <c r="C20" s="2"/>
      <c r="D20" s="2"/>
      <c r="E20" s="4"/>
      <c r="F20" s="4"/>
      <c r="G20" s="21"/>
      <c r="H20" s="4"/>
      <c r="I20" s="4"/>
      <c r="J20" s="4"/>
      <c r="K20" s="4"/>
    </row>
    <row r="21" spans="1:11" ht="18" customHeight="1">
      <c r="A21" s="18"/>
      <c r="B21" s="2"/>
      <c r="C21" s="2"/>
      <c r="D21" s="2"/>
      <c r="E21" s="4"/>
      <c r="F21" s="4"/>
      <c r="G21" s="21"/>
      <c r="H21" s="4"/>
      <c r="I21" s="4"/>
      <c r="J21" s="4"/>
      <c r="K21" s="4"/>
    </row>
    <row r="22" spans="1:11" ht="18" customHeight="1">
      <c r="A22" s="18"/>
      <c r="B22" s="2"/>
      <c r="C22" s="2"/>
      <c r="D22" s="2"/>
      <c r="E22" s="4"/>
      <c r="F22" s="4"/>
      <c r="G22" s="21"/>
      <c r="H22" s="4"/>
      <c r="I22" s="4"/>
      <c r="J22" s="4"/>
      <c r="K22" s="4"/>
    </row>
    <row r="23" spans="1:11" ht="18" customHeight="1">
      <c r="A23" s="18"/>
      <c r="B23" s="2"/>
      <c r="C23" s="2"/>
      <c r="D23" s="2"/>
      <c r="E23" s="4"/>
      <c r="F23" s="4"/>
      <c r="G23" s="21"/>
      <c r="H23" s="4"/>
      <c r="I23" s="4"/>
      <c r="J23" s="4"/>
      <c r="K23" s="4"/>
    </row>
    <row r="24" spans="1:11" ht="18" customHeight="1">
      <c r="A24" s="18"/>
      <c r="B24" s="2"/>
      <c r="C24" s="2"/>
      <c r="D24" s="2"/>
      <c r="E24" s="4"/>
      <c r="F24" s="4"/>
      <c r="G24" s="21"/>
      <c r="H24" s="4"/>
      <c r="I24" s="4"/>
      <c r="J24" s="4"/>
      <c r="K24" s="4"/>
    </row>
    <row r="25" spans="1:11" ht="18" customHeight="1">
      <c r="A25" s="18"/>
      <c r="B25" s="2"/>
      <c r="C25" s="2"/>
      <c r="D25" s="2"/>
      <c r="E25" s="4"/>
      <c r="F25" s="4"/>
      <c r="G25" s="21"/>
      <c r="H25" s="4"/>
      <c r="I25" s="4"/>
      <c r="J25" s="4"/>
      <c r="K25" s="4"/>
    </row>
    <row r="26" spans="1:11" ht="18" customHeight="1">
      <c r="A26" s="18"/>
      <c r="B26" s="2"/>
      <c r="C26" s="2"/>
      <c r="D26" s="2"/>
      <c r="E26" s="4"/>
      <c r="F26" s="4"/>
      <c r="G26" s="21"/>
      <c r="H26" s="4"/>
      <c r="I26" s="4"/>
      <c r="J26" s="4"/>
      <c r="K26" s="4"/>
    </row>
    <row r="27" spans="1:11" ht="18" customHeight="1">
      <c r="A27" s="18"/>
      <c r="B27" s="2"/>
      <c r="C27" s="2"/>
      <c r="D27" s="2"/>
      <c r="E27" s="4"/>
      <c r="F27" s="4"/>
      <c r="G27" s="21"/>
      <c r="H27" s="4"/>
      <c r="I27" s="4"/>
      <c r="J27" s="4"/>
      <c r="K27" s="4"/>
    </row>
    <row r="28" spans="1:11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</row>
    <row r="29" spans="1:11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</row>
    <row r="30" spans="1:11" ht="18" customHeight="1">
      <c r="A30" s="18"/>
      <c r="B30" s="2"/>
      <c r="C30" s="2"/>
      <c r="D30" s="2"/>
      <c r="E30" s="4"/>
      <c r="F30" s="4"/>
      <c r="G30" s="21"/>
      <c r="H30" s="4"/>
      <c r="I30" s="4"/>
      <c r="J30" s="4"/>
      <c r="K30" s="4"/>
    </row>
    <row r="31" spans="1:11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</row>
    <row r="32" spans="1:11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21"/>
      <c r="H58" s="4"/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21"/>
      <c r="H60" s="4"/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1" ht="18" customHeight="1">
      <c r="A64" s="281" t="s">
        <v>0</v>
      </c>
      <c r="B64" s="282"/>
      <c r="C64" s="10"/>
      <c r="D64" s="10"/>
      <c r="E64" s="5">
        <f>SUM(E6:E63)</f>
        <v>2700000</v>
      </c>
      <c r="F64" s="5">
        <f>SUM(F6:F63)</f>
        <v>38240</v>
      </c>
      <c r="G64" s="23"/>
      <c r="H64" s="5">
        <f>SUM(H6:H63)</f>
        <v>540480</v>
      </c>
      <c r="I64" s="5">
        <f>SUM(I6:I63)</f>
        <v>38240</v>
      </c>
      <c r="J64" s="5"/>
      <c r="K64" s="5"/>
    </row>
    <row r="65" spans="1:11" s="6" customFormat="1" ht="24.75" customHeight="1">
      <c r="A65" s="16"/>
      <c r="B65" s="1"/>
      <c r="C65" s="1"/>
      <c r="D65" s="1"/>
      <c r="E65" s="3"/>
      <c r="F65" s="3"/>
      <c r="G65" s="19"/>
      <c r="H65" s="3"/>
      <c r="I65" s="3"/>
      <c r="J65" s="3"/>
      <c r="K65" s="3"/>
    </row>
    <row r="66" spans="1:11">
      <c r="F66" s="270" t="s">
        <v>1</v>
      </c>
      <c r="G66" s="270"/>
      <c r="H66" s="270"/>
      <c r="I66" s="270"/>
      <c r="J66" s="1"/>
      <c r="K66" s="8"/>
    </row>
    <row r="69" spans="1:11">
      <c r="F69" s="271"/>
      <c r="G69" s="271"/>
      <c r="H69" s="271"/>
      <c r="I69" s="271"/>
      <c r="J69" s="1"/>
      <c r="K69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19:B19"/>
    <mergeCell ref="A64:B64"/>
    <mergeCell ref="F66:I66"/>
    <mergeCell ref="F69:I69"/>
  </mergeCells>
  <pageMargins left="0.28999999999999998" right="0.28999999999999998" top="0.32" bottom="0.27" header="0.23" footer="0.21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3"/>
  <sheetViews>
    <sheetView workbookViewId="0">
      <pane ySplit="5" topLeftCell="A6" activePane="bottomLeft" state="frozen"/>
      <selection pane="bottomLeft" activeCell="I15" sqref="I15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14.7109375" style="1" customWidth="1"/>
    <col min="13" max="13" width="15.85546875" style="1" customWidth="1"/>
    <col min="14" max="14" width="12.28515625" style="1" bestFit="1" customWidth="1"/>
    <col min="15" max="16384" width="9.140625" style="1"/>
  </cols>
  <sheetData>
    <row r="1" spans="1:14" ht="34.5" customHeight="1">
      <c r="A1" s="274" t="s">
        <v>258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4" s="11" customFormat="1" ht="15" customHeight="1">
      <c r="A5" s="277"/>
      <c r="B5" s="277"/>
      <c r="C5" s="277"/>
      <c r="D5" s="277"/>
      <c r="E5" s="115" t="s">
        <v>9</v>
      </c>
      <c r="F5" s="115" t="s">
        <v>5</v>
      </c>
      <c r="G5" s="20" t="s">
        <v>14</v>
      </c>
      <c r="H5" s="115" t="s">
        <v>9</v>
      </c>
      <c r="I5" s="115" t="s">
        <v>5</v>
      </c>
      <c r="J5" s="115" t="s">
        <v>9</v>
      </c>
      <c r="K5" s="115" t="s">
        <v>5</v>
      </c>
    </row>
    <row r="6" spans="1:14" ht="18" customHeight="1">
      <c r="A6" s="18" t="s">
        <v>13</v>
      </c>
      <c r="B6" s="2" t="s">
        <v>551</v>
      </c>
      <c r="C6" s="2" t="s">
        <v>40</v>
      </c>
      <c r="D6" s="2" t="s">
        <v>41</v>
      </c>
      <c r="E6" s="4"/>
      <c r="F6" s="4"/>
      <c r="G6" s="21"/>
      <c r="H6" s="4"/>
      <c r="I6" s="4"/>
      <c r="J6" s="4">
        <f>E6-H6</f>
        <v>0</v>
      </c>
      <c r="K6" s="4">
        <f>F6</f>
        <v>0</v>
      </c>
    </row>
    <row r="7" spans="1:14" ht="18" customHeight="1">
      <c r="A7" s="18"/>
      <c r="B7" s="2"/>
      <c r="C7" s="2"/>
      <c r="D7" s="2" t="s">
        <v>34</v>
      </c>
      <c r="E7" s="49">
        <v>100000</v>
      </c>
      <c r="F7" s="49">
        <v>7450</v>
      </c>
      <c r="G7" s="21"/>
      <c r="H7" s="4"/>
      <c r="I7" s="4"/>
      <c r="J7" s="4"/>
      <c r="K7" s="4"/>
    </row>
    <row r="8" spans="1:14" ht="18" customHeight="1">
      <c r="A8" s="18"/>
      <c r="B8" s="2"/>
      <c r="C8" s="2"/>
      <c r="D8" s="2"/>
      <c r="E8" s="4"/>
      <c r="F8" s="4"/>
      <c r="G8" s="40" t="s">
        <v>257</v>
      </c>
      <c r="H8" s="4">
        <v>25350</v>
      </c>
      <c r="I8" s="4">
        <v>7450</v>
      </c>
      <c r="J8" s="4">
        <f>+E7-H8</f>
        <v>74650</v>
      </c>
      <c r="K8" s="4"/>
    </row>
    <row r="9" spans="1:14" ht="18" customHeight="1">
      <c r="A9" s="18"/>
      <c r="B9" s="2"/>
      <c r="C9" s="2"/>
      <c r="D9" s="2"/>
      <c r="E9" s="4"/>
      <c r="F9" s="4"/>
      <c r="G9" s="40" t="s">
        <v>259</v>
      </c>
      <c r="H9" s="4">
        <v>25650</v>
      </c>
      <c r="I9" s="4">
        <v>7450</v>
      </c>
      <c r="J9" s="4">
        <f>+J8-H9</f>
        <v>49000</v>
      </c>
      <c r="K9" s="4"/>
    </row>
    <row r="10" spans="1:14" ht="18" customHeight="1">
      <c r="A10" s="117"/>
      <c r="B10" s="39"/>
      <c r="C10" s="2"/>
      <c r="D10" s="2"/>
      <c r="E10" s="4"/>
      <c r="F10" s="4"/>
      <c r="G10" s="21"/>
      <c r="H10" s="4"/>
      <c r="I10" s="4"/>
      <c r="J10" s="4">
        <f t="shared" ref="J10:J12" si="0">+J9-H10</f>
        <v>49000</v>
      </c>
      <c r="K10" s="4"/>
    </row>
    <row r="11" spans="1:14" ht="18" customHeight="1">
      <c r="A11" s="117"/>
      <c r="B11" s="39"/>
      <c r="C11" s="2"/>
      <c r="D11" s="2"/>
      <c r="E11" s="4"/>
      <c r="F11" s="4"/>
      <c r="G11" s="40"/>
      <c r="H11" s="4"/>
      <c r="I11" s="4"/>
      <c r="J11" s="4">
        <f t="shared" si="0"/>
        <v>49000</v>
      </c>
      <c r="K11" s="4"/>
    </row>
    <row r="12" spans="1:14" ht="18" customHeight="1">
      <c r="A12" s="117"/>
      <c r="B12" s="39"/>
      <c r="C12" s="2"/>
      <c r="D12" s="2"/>
      <c r="E12" s="4"/>
      <c r="F12" s="4"/>
      <c r="G12" s="21"/>
      <c r="H12" s="4"/>
      <c r="I12" s="4"/>
      <c r="J12" s="4">
        <f t="shared" si="0"/>
        <v>49000</v>
      </c>
      <c r="K12" s="4"/>
    </row>
    <row r="13" spans="1:14" s="15" customFormat="1" ht="18" customHeight="1">
      <c r="A13" s="291" t="s">
        <v>15</v>
      </c>
      <c r="B13" s="292"/>
      <c r="C13" s="13"/>
      <c r="D13" s="13"/>
      <c r="E13" s="14">
        <f>SUM(E6:E12)</f>
        <v>100000</v>
      </c>
      <c r="F13" s="14"/>
      <c r="G13" s="14">
        <f t="shared" ref="G13:H13" si="1">SUM(G6:G12)</f>
        <v>0</v>
      </c>
      <c r="H13" s="14">
        <f t="shared" si="1"/>
        <v>51000</v>
      </c>
      <c r="I13" s="14">
        <v>7450</v>
      </c>
      <c r="J13" s="14"/>
      <c r="K13" s="14" t="s">
        <v>524</v>
      </c>
      <c r="L13" s="75">
        <f>+H13*I13</f>
        <v>379950000</v>
      </c>
      <c r="M13" s="75">
        <v>372500000</v>
      </c>
      <c r="N13" s="75">
        <f>+M13-L13</f>
        <v>-7450000</v>
      </c>
    </row>
    <row r="14" spans="1:14" ht="18" customHeight="1">
      <c r="A14" s="18" t="s">
        <v>13</v>
      </c>
      <c r="B14" s="60" t="s">
        <v>551</v>
      </c>
      <c r="C14" s="2" t="s">
        <v>552</v>
      </c>
      <c r="D14" s="2" t="s">
        <v>34</v>
      </c>
      <c r="E14" s="4">
        <v>26000</v>
      </c>
      <c r="F14" s="4">
        <v>9550</v>
      </c>
      <c r="G14" s="40"/>
      <c r="H14" s="4"/>
      <c r="I14" s="4"/>
      <c r="J14" s="4"/>
      <c r="K14" s="4"/>
    </row>
    <row r="15" spans="1:14" ht="18" customHeight="1">
      <c r="A15" s="18"/>
      <c r="B15" s="2"/>
      <c r="C15" s="2"/>
      <c r="D15" s="2"/>
      <c r="E15" s="4"/>
      <c r="F15" s="4"/>
      <c r="G15" s="40" t="s">
        <v>540</v>
      </c>
      <c r="H15" s="4">
        <v>26280</v>
      </c>
      <c r="I15" s="4"/>
      <c r="J15" s="4"/>
      <c r="K15" s="4"/>
    </row>
    <row r="16" spans="1:14" ht="18" customHeight="1">
      <c r="A16" s="18"/>
      <c r="B16" s="2"/>
      <c r="C16" s="2"/>
      <c r="D16" s="2"/>
      <c r="E16" s="4"/>
      <c r="F16" s="4"/>
      <c r="G16" s="40"/>
      <c r="H16" s="4"/>
      <c r="I16" s="4"/>
      <c r="J16" s="4"/>
      <c r="K16" s="4"/>
    </row>
    <row r="17" spans="1:11" ht="18" customHeight="1">
      <c r="A17" s="18"/>
      <c r="B17" s="2"/>
      <c r="C17" s="2"/>
      <c r="D17" s="2"/>
      <c r="E17" s="4"/>
      <c r="F17" s="4"/>
      <c r="G17" s="40"/>
      <c r="H17" s="4"/>
      <c r="I17" s="4"/>
      <c r="J17" s="4"/>
      <c r="K17" s="4"/>
    </row>
    <row r="18" spans="1:11" ht="18" customHeight="1">
      <c r="A18" s="18"/>
      <c r="B18" s="2"/>
      <c r="C18" s="2"/>
      <c r="D18" s="2"/>
      <c r="E18" s="4"/>
      <c r="F18" s="4"/>
      <c r="G18" s="40"/>
      <c r="H18" s="4"/>
      <c r="I18" s="4"/>
      <c r="J18" s="4"/>
      <c r="K18" s="4"/>
    </row>
    <row r="19" spans="1:11" ht="18" customHeight="1">
      <c r="A19" s="18"/>
      <c r="B19" s="2"/>
      <c r="C19" s="2"/>
      <c r="D19" s="2"/>
      <c r="E19" s="4"/>
      <c r="F19" s="4"/>
      <c r="G19" s="21"/>
      <c r="H19" s="4"/>
      <c r="I19" s="4"/>
      <c r="J19" s="4"/>
      <c r="K19" s="4"/>
    </row>
    <row r="20" spans="1:11" ht="18" customHeight="1">
      <c r="A20" s="18"/>
      <c r="B20" s="2"/>
      <c r="C20" s="2"/>
      <c r="D20" s="2"/>
      <c r="E20" s="4"/>
      <c r="F20" s="4"/>
      <c r="G20" s="21"/>
      <c r="H20" s="4"/>
      <c r="I20" s="4"/>
      <c r="J20" s="4"/>
      <c r="K20" s="4"/>
    </row>
    <row r="21" spans="1:11" ht="18" customHeight="1">
      <c r="A21" s="18"/>
      <c r="B21" s="2"/>
      <c r="C21" s="2"/>
      <c r="D21" s="2"/>
      <c r="E21" s="4"/>
      <c r="F21" s="4"/>
      <c r="G21" s="21"/>
      <c r="H21" s="4"/>
      <c r="I21" s="4"/>
      <c r="J21" s="4"/>
      <c r="K21" s="4"/>
    </row>
    <row r="22" spans="1:11" ht="18" customHeight="1">
      <c r="A22" s="18"/>
      <c r="B22" s="2"/>
      <c r="C22" s="2"/>
      <c r="D22" s="2"/>
      <c r="E22" s="4"/>
      <c r="F22" s="4"/>
      <c r="G22" s="21"/>
      <c r="H22" s="4"/>
      <c r="I22" s="4"/>
      <c r="J22" s="4"/>
      <c r="K22" s="4"/>
    </row>
    <row r="23" spans="1:11" ht="18" customHeight="1">
      <c r="A23" s="18"/>
      <c r="B23" s="2"/>
      <c r="C23" s="2"/>
      <c r="D23" s="2"/>
      <c r="E23" s="4"/>
      <c r="F23" s="4"/>
      <c r="G23" s="21"/>
      <c r="H23" s="4"/>
      <c r="I23" s="4"/>
      <c r="J23" s="4"/>
      <c r="K23" s="4"/>
    </row>
    <row r="24" spans="1:11" ht="18" customHeight="1">
      <c r="A24" s="18"/>
      <c r="B24" s="2"/>
      <c r="C24" s="2"/>
      <c r="D24" s="2"/>
      <c r="E24" s="4"/>
      <c r="F24" s="4"/>
      <c r="G24" s="21"/>
      <c r="H24" s="4"/>
      <c r="I24" s="4"/>
      <c r="J24" s="4"/>
      <c r="K24" s="4"/>
    </row>
    <row r="25" spans="1:11" ht="18" customHeight="1">
      <c r="A25" s="18"/>
      <c r="B25" s="2"/>
      <c r="C25" s="2"/>
      <c r="D25" s="2"/>
      <c r="E25" s="4"/>
      <c r="F25" s="4"/>
      <c r="G25" s="21"/>
      <c r="H25" s="4"/>
      <c r="I25" s="4"/>
      <c r="J25" s="4"/>
      <c r="K25" s="4"/>
    </row>
    <row r="26" spans="1:11" ht="18" customHeight="1">
      <c r="A26" s="18"/>
      <c r="B26" s="2"/>
      <c r="C26" s="2"/>
      <c r="D26" s="2"/>
      <c r="E26" s="4"/>
      <c r="F26" s="4"/>
      <c r="G26" s="21"/>
      <c r="H26" s="4"/>
      <c r="I26" s="4"/>
      <c r="J26" s="4"/>
      <c r="K26" s="4"/>
    </row>
    <row r="27" spans="1:11" ht="18" customHeight="1">
      <c r="A27" s="18"/>
      <c r="B27" s="2"/>
      <c r="C27" s="2"/>
      <c r="D27" s="2"/>
      <c r="E27" s="4"/>
      <c r="F27" s="4"/>
      <c r="G27" s="21"/>
      <c r="H27" s="4"/>
      <c r="I27" s="4"/>
      <c r="J27" s="4"/>
      <c r="K27" s="4"/>
    </row>
    <row r="28" spans="1:11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</row>
    <row r="29" spans="1:11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</row>
    <row r="30" spans="1:11" ht="18" customHeight="1">
      <c r="A30" s="18"/>
      <c r="B30" s="2"/>
      <c r="C30" s="2"/>
      <c r="D30" s="2"/>
      <c r="E30" s="4"/>
      <c r="F30" s="4"/>
      <c r="G30" s="21"/>
      <c r="H30" s="4"/>
      <c r="I30" s="4"/>
      <c r="J30" s="4"/>
      <c r="K30" s="4"/>
    </row>
    <row r="31" spans="1:11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</row>
    <row r="32" spans="1:11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281" t="s">
        <v>0</v>
      </c>
      <c r="B58" s="282"/>
      <c r="C58" s="116"/>
      <c r="D58" s="116"/>
      <c r="E58" s="5">
        <f>SUM(E6:E57)</f>
        <v>226000</v>
      </c>
      <c r="F58" s="5">
        <f>SUM(F6:F57)</f>
        <v>17000</v>
      </c>
      <c r="G58" s="23"/>
      <c r="H58" s="5">
        <f>SUM(H6:H57)</f>
        <v>128280</v>
      </c>
      <c r="I58" s="5">
        <f>SUM(I6:I57)</f>
        <v>22350</v>
      </c>
      <c r="J58" s="5"/>
      <c r="K58" s="5"/>
    </row>
    <row r="59" spans="1:11" s="6" customFormat="1" ht="24.75" customHeight="1">
      <c r="A59" s="16"/>
      <c r="B59" s="1"/>
      <c r="C59" s="1"/>
      <c r="D59" s="1"/>
      <c r="E59" s="3"/>
      <c r="F59" s="3"/>
      <c r="G59" s="19"/>
      <c r="H59" s="3"/>
      <c r="I59" s="3"/>
      <c r="J59" s="3"/>
      <c r="K59" s="3"/>
    </row>
    <row r="60" spans="1:11">
      <c r="F60" s="270" t="s">
        <v>1</v>
      </c>
      <c r="G60" s="270"/>
      <c r="H60" s="270"/>
      <c r="I60" s="270"/>
      <c r="J60" s="1"/>
      <c r="K60" s="8"/>
    </row>
    <row r="63" spans="1:11">
      <c r="F63" s="271"/>
      <c r="G63" s="271"/>
      <c r="H63" s="271"/>
      <c r="I63" s="271"/>
      <c r="J63" s="1"/>
      <c r="K63" s="1"/>
    </row>
  </sheetData>
  <mergeCells count="13">
    <mergeCell ref="A13:B13"/>
    <mergeCell ref="A58:B58"/>
    <mergeCell ref="F60:I60"/>
    <mergeCell ref="F63:I63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248"/>
  <sheetViews>
    <sheetView workbookViewId="0">
      <pane ySplit="5" topLeftCell="A222" activePane="bottomLeft" state="frozen"/>
      <selection pane="bottomLeft" activeCell="J228" sqref="J228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42578125" style="19" customWidth="1"/>
    <col min="8" max="11" width="14.28515625" style="3" customWidth="1"/>
    <col min="12" max="12" width="16.42578125" style="1" bestFit="1" customWidth="1"/>
    <col min="13" max="13" width="10" style="1" bestFit="1" customWidth="1"/>
    <col min="14" max="16384" width="9.140625" style="1"/>
  </cols>
  <sheetData>
    <row r="1" spans="1:12" ht="34.5" customHeight="1">
      <c r="A1" s="274" t="s">
        <v>64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2" ht="21" customHeight="1">
      <c r="A2" s="275" t="s">
        <v>267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2" ht="8.25" customHeight="1"/>
    <row r="4" spans="1:12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2" s="11" customFormat="1" ht="15" customHeight="1">
      <c r="A5" s="277"/>
      <c r="B5" s="277"/>
      <c r="C5" s="277"/>
      <c r="D5" s="277"/>
      <c r="E5" s="34" t="s">
        <v>9</v>
      </c>
      <c r="F5" s="34" t="s">
        <v>5</v>
      </c>
      <c r="G5" s="20" t="s">
        <v>14</v>
      </c>
      <c r="H5" s="34" t="s">
        <v>9</v>
      </c>
      <c r="I5" s="34" t="s">
        <v>5</v>
      </c>
      <c r="J5" s="34" t="s">
        <v>9</v>
      </c>
      <c r="K5" s="34" t="s">
        <v>5</v>
      </c>
    </row>
    <row r="6" spans="1:12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2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2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2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2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2" ht="18" hidden="1" customHeight="1">
      <c r="A11" s="18" t="s">
        <v>29</v>
      </c>
      <c r="B11" s="2" t="s">
        <v>58</v>
      </c>
      <c r="C11" s="2"/>
      <c r="D11" s="2" t="s">
        <v>59</v>
      </c>
      <c r="E11" s="4">
        <v>56000</v>
      </c>
      <c r="F11" s="4">
        <v>4200</v>
      </c>
      <c r="G11" s="21">
        <v>43941</v>
      </c>
      <c r="H11" s="4">
        <v>55750</v>
      </c>
      <c r="I11" s="4">
        <f>F11</f>
        <v>4200</v>
      </c>
      <c r="J11" s="4">
        <f>E11-H11</f>
        <v>250</v>
      </c>
      <c r="K11" s="4">
        <f>F11</f>
        <v>4200</v>
      </c>
      <c r="L11" s="1" t="s">
        <v>62</v>
      </c>
    </row>
    <row r="12" spans="1:12" ht="18" hidden="1" customHeight="1">
      <c r="A12" s="18"/>
      <c r="B12" s="2"/>
      <c r="C12" s="2"/>
      <c r="D12" s="2"/>
      <c r="E12" s="4">
        <v>56000</v>
      </c>
      <c r="F12" s="4">
        <v>4200</v>
      </c>
      <c r="G12" s="21"/>
      <c r="H12" s="4"/>
      <c r="I12" s="4">
        <f t="shared" ref="I12:I16" si="2">F12</f>
        <v>4200</v>
      </c>
      <c r="J12" s="4"/>
      <c r="K12" s="4">
        <f t="shared" ref="K12:K16" si="3">F12</f>
        <v>4200</v>
      </c>
      <c r="L12" s="1" t="s">
        <v>61</v>
      </c>
    </row>
    <row r="13" spans="1:12" ht="18" hidden="1" customHeight="1">
      <c r="A13" s="18"/>
      <c r="B13" s="2"/>
      <c r="C13" s="2"/>
      <c r="D13" s="2"/>
      <c r="E13" s="4">
        <v>56000</v>
      </c>
      <c r="F13" s="4">
        <v>4200</v>
      </c>
      <c r="G13" s="21"/>
      <c r="H13" s="4"/>
      <c r="I13" s="4">
        <f t="shared" si="2"/>
        <v>4200</v>
      </c>
      <c r="J13" s="4">
        <f>J12-H13</f>
        <v>0</v>
      </c>
      <c r="K13" s="4">
        <f t="shared" si="3"/>
        <v>4200</v>
      </c>
      <c r="L13" s="1" t="s">
        <v>63</v>
      </c>
    </row>
    <row r="14" spans="1:12" ht="18" hidden="1" customHeight="1">
      <c r="A14" s="55" t="s">
        <v>13</v>
      </c>
      <c r="B14" s="24" t="s">
        <v>58</v>
      </c>
      <c r="C14" s="24"/>
      <c r="D14" s="2" t="s">
        <v>59</v>
      </c>
      <c r="E14" s="25"/>
      <c r="F14" s="25"/>
      <c r="G14" s="26"/>
      <c r="H14" s="25"/>
      <c r="I14" s="25">
        <f t="shared" si="2"/>
        <v>0</v>
      </c>
      <c r="J14" s="25"/>
      <c r="K14" s="25">
        <f t="shared" si="3"/>
        <v>0</v>
      </c>
    </row>
    <row r="15" spans="1:12" ht="18" hidden="1" customHeight="1">
      <c r="A15" s="55"/>
      <c r="B15" s="24"/>
      <c r="C15" s="24"/>
      <c r="D15" s="24"/>
      <c r="E15" s="25"/>
      <c r="F15" s="25"/>
      <c r="G15" s="26"/>
      <c r="H15" s="25"/>
      <c r="I15" s="25">
        <f t="shared" si="2"/>
        <v>0</v>
      </c>
      <c r="J15" s="25"/>
      <c r="K15" s="25">
        <f t="shared" si="3"/>
        <v>0</v>
      </c>
    </row>
    <row r="16" spans="1:12" ht="18" hidden="1" customHeight="1">
      <c r="A16" s="55"/>
      <c r="B16" s="24"/>
      <c r="C16" s="24"/>
      <c r="D16" s="24"/>
      <c r="E16" s="25"/>
      <c r="F16" s="25"/>
      <c r="G16" s="26"/>
      <c r="H16" s="25"/>
      <c r="I16" s="25">
        <f t="shared" si="2"/>
        <v>0</v>
      </c>
      <c r="J16" s="25"/>
      <c r="K16" s="25">
        <f t="shared" si="3"/>
        <v>0</v>
      </c>
    </row>
    <row r="17" spans="1:12" s="15" customFormat="1" ht="18" hidden="1" customHeight="1">
      <c r="A17" s="291" t="s">
        <v>15</v>
      </c>
      <c r="B17" s="292"/>
      <c r="C17" s="13"/>
      <c r="D17" s="13"/>
      <c r="E17" s="14">
        <f>SUM(E11:E14)</f>
        <v>168000</v>
      </c>
      <c r="F17" s="14"/>
      <c r="G17" s="22"/>
      <c r="H17" s="14">
        <f>SUM(H11:H16)</f>
        <v>55750</v>
      </c>
      <c r="I17" s="14"/>
      <c r="J17" s="14">
        <f>E17-H17</f>
        <v>112250</v>
      </c>
      <c r="K17" s="14"/>
    </row>
    <row r="18" spans="1:12" ht="18" hidden="1" customHeight="1">
      <c r="A18" s="18" t="s">
        <v>29</v>
      </c>
      <c r="B18" s="2" t="s">
        <v>58</v>
      </c>
      <c r="C18" s="2"/>
      <c r="D18" s="2" t="s">
        <v>60</v>
      </c>
      <c r="E18" s="4">
        <v>23000</v>
      </c>
      <c r="F18" s="4">
        <v>6550</v>
      </c>
      <c r="G18" s="21">
        <v>43956</v>
      </c>
      <c r="H18" s="4">
        <v>23600</v>
      </c>
      <c r="I18" s="4">
        <v>6550</v>
      </c>
      <c r="J18" s="4">
        <f>E18-H18</f>
        <v>-600</v>
      </c>
      <c r="K18" s="4"/>
    </row>
    <row r="19" spans="1:12" ht="18" hidden="1" customHeight="1">
      <c r="A19" s="18"/>
      <c r="B19" s="2"/>
      <c r="C19" s="2"/>
      <c r="D19" s="2"/>
      <c r="E19" s="4"/>
      <c r="F19" s="4"/>
      <c r="G19" s="21"/>
      <c r="H19" s="4"/>
      <c r="I19" s="4"/>
      <c r="J19" s="4"/>
      <c r="K19" s="4"/>
    </row>
    <row r="20" spans="1:12" ht="18" hidden="1" customHeight="1">
      <c r="A20" s="41"/>
      <c r="B20" s="42" t="s">
        <v>15</v>
      </c>
      <c r="C20" s="42"/>
      <c r="D20" s="42"/>
      <c r="E20" s="43">
        <f>SUM(E18:E19)</f>
        <v>23000</v>
      </c>
      <c r="F20" s="43">
        <f t="shared" ref="F20:I20" si="4">SUM(F18:F19)</f>
        <v>6550</v>
      </c>
      <c r="G20" s="43"/>
      <c r="H20" s="43">
        <f t="shared" si="4"/>
        <v>23600</v>
      </c>
      <c r="I20" s="43">
        <f t="shared" si="4"/>
        <v>6550</v>
      </c>
      <c r="J20" s="43"/>
      <c r="K20" s="43"/>
    </row>
    <row r="21" spans="1:12" ht="18" hidden="1" customHeight="1">
      <c r="A21" s="18"/>
      <c r="B21" s="2"/>
      <c r="C21" s="2"/>
      <c r="D21" s="2"/>
      <c r="E21" s="4"/>
      <c r="F21" s="4"/>
      <c r="G21" s="21"/>
      <c r="H21" s="4"/>
      <c r="I21" s="4"/>
      <c r="J21" s="4"/>
      <c r="K21" s="4"/>
    </row>
    <row r="22" spans="1:12" ht="18" hidden="1" customHeight="1">
      <c r="A22" s="18"/>
      <c r="B22" s="2"/>
      <c r="C22" s="2"/>
      <c r="D22" s="2"/>
      <c r="E22" s="4"/>
      <c r="F22" s="4"/>
      <c r="G22" s="21"/>
      <c r="H22" s="4"/>
      <c r="I22" s="4"/>
      <c r="J22" s="4"/>
      <c r="K22" s="4"/>
    </row>
    <row r="23" spans="1:12" ht="18" hidden="1" customHeight="1">
      <c r="A23" s="18" t="s">
        <v>29</v>
      </c>
      <c r="B23" s="2" t="s">
        <v>58</v>
      </c>
      <c r="C23" s="2" t="s">
        <v>79</v>
      </c>
      <c r="D23" s="2" t="s">
        <v>34</v>
      </c>
      <c r="E23" s="4">
        <v>26000</v>
      </c>
      <c r="F23" s="4">
        <v>6000</v>
      </c>
      <c r="G23" s="40" t="s">
        <v>80</v>
      </c>
      <c r="H23" s="4">
        <v>25580</v>
      </c>
      <c r="I23" s="4">
        <v>6000</v>
      </c>
      <c r="J23" s="4">
        <f>E23-H23</f>
        <v>420</v>
      </c>
      <c r="K23" s="4">
        <f>H23*I23</f>
        <v>153480000</v>
      </c>
    </row>
    <row r="24" spans="1:12" ht="18" hidden="1" customHeight="1">
      <c r="A24" s="18"/>
      <c r="B24" s="2"/>
      <c r="C24" s="2"/>
      <c r="D24" s="2"/>
      <c r="E24" s="4"/>
      <c r="F24" s="4"/>
      <c r="G24" s="21"/>
      <c r="H24" s="4"/>
      <c r="I24" s="4"/>
      <c r="J24" s="4"/>
      <c r="K24" s="4"/>
    </row>
    <row r="25" spans="1:12" ht="18" hidden="1" customHeight="1">
      <c r="A25" s="41"/>
      <c r="B25" s="42" t="s">
        <v>15</v>
      </c>
      <c r="C25" s="42"/>
      <c r="D25" s="42"/>
      <c r="E25" s="43">
        <f>SUM(E23:E24)</f>
        <v>26000</v>
      </c>
      <c r="F25" s="43">
        <f t="shared" ref="F25:J25" si="5">SUM(F23:F24)</f>
        <v>6000</v>
      </c>
      <c r="G25" s="43"/>
      <c r="H25" s="43">
        <f t="shared" si="5"/>
        <v>25580</v>
      </c>
      <c r="I25" s="43">
        <f t="shared" si="5"/>
        <v>6000</v>
      </c>
      <c r="J25" s="43">
        <f t="shared" si="5"/>
        <v>420</v>
      </c>
      <c r="K25" s="43"/>
    </row>
    <row r="26" spans="1:12" ht="18" hidden="1" customHeight="1">
      <c r="A26" s="18" t="s">
        <v>29</v>
      </c>
      <c r="B26" s="56" t="s">
        <v>95</v>
      </c>
      <c r="C26" s="56" t="s">
        <v>93</v>
      </c>
      <c r="D26" s="56" t="s">
        <v>34</v>
      </c>
      <c r="E26" s="57">
        <v>150000</v>
      </c>
      <c r="F26" s="57">
        <v>5850</v>
      </c>
      <c r="G26" s="40" t="s">
        <v>94</v>
      </c>
      <c r="H26" s="4">
        <v>25820</v>
      </c>
      <c r="I26" s="4"/>
      <c r="J26" s="49">
        <f>+E26-H26</f>
        <v>124180</v>
      </c>
      <c r="K26" s="4"/>
      <c r="L26" s="1" t="s">
        <v>96</v>
      </c>
    </row>
    <row r="27" spans="1:12" ht="18" hidden="1" customHeight="1">
      <c r="A27" s="18"/>
      <c r="B27" s="2"/>
      <c r="C27" s="2"/>
      <c r="D27" s="2"/>
      <c r="E27" s="4"/>
      <c r="F27" s="4"/>
      <c r="G27" s="40" t="s">
        <v>102</v>
      </c>
      <c r="H27" s="4">
        <v>26080</v>
      </c>
      <c r="I27" s="4"/>
      <c r="J27" s="49">
        <f>+J26-H27</f>
        <v>98100</v>
      </c>
      <c r="K27" s="4"/>
    </row>
    <row r="28" spans="1:12" ht="18" hidden="1" customHeight="1">
      <c r="A28" s="18"/>
      <c r="B28" s="2"/>
      <c r="C28" s="2"/>
      <c r="D28" s="2"/>
      <c r="E28" s="4"/>
      <c r="F28" s="4"/>
      <c r="G28" s="40" t="s">
        <v>107</v>
      </c>
      <c r="H28" s="4">
        <v>26150</v>
      </c>
      <c r="I28" s="4"/>
      <c r="J28" s="49">
        <f>+J27-H28</f>
        <v>71950</v>
      </c>
      <c r="K28" s="4"/>
    </row>
    <row r="29" spans="1:12" ht="18" hidden="1" customHeight="1">
      <c r="A29" s="18"/>
      <c r="B29" s="2"/>
      <c r="C29" s="2"/>
      <c r="D29" s="2"/>
      <c r="E29" s="4"/>
      <c r="F29" s="4"/>
      <c r="G29" s="40" t="s">
        <v>110</v>
      </c>
      <c r="H29" s="4">
        <v>26200</v>
      </c>
      <c r="I29" s="4"/>
      <c r="J29" s="49">
        <f t="shared" ref="J29:J30" si="6">+J28-H29</f>
        <v>45750</v>
      </c>
      <c r="K29" s="4"/>
    </row>
    <row r="30" spans="1:12" ht="18" hidden="1" customHeight="1">
      <c r="A30" s="18"/>
      <c r="B30" s="2"/>
      <c r="C30" s="2"/>
      <c r="D30" s="2"/>
      <c r="E30" s="4"/>
      <c r="F30" s="4"/>
      <c r="G30" s="40" t="s">
        <v>109</v>
      </c>
      <c r="H30" s="4">
        <v>26480</v>
      </c>
      <c r="I30" s="4"/>
      <c r="J30" s="49">
        <f t="shared" si="6"/>
        <v>19270</v>
      </c>
      <c r="K30" s="4"/>
    </row>
    <row r="31" spans="1:12" ht="18" hidden="1" customHeight="1">
      <c r="A31" s="18"/>
      <c r="B31" s="2"/>
      <c r="C31" s="2"/>
      <c r="D31" s="2"/>
      <c r="E31" s="4"/>
      <c r="F31" s="4"/>
      <c r="G31" s="21"/>
      <c r="H31" s="4"/>
      <c r="I31" s="4"/>
      <c r="J31" s="49"/>
      <c r="K31" s="4"/>
    </row>
    <row r="32" spans="1:12" ht="18" customHeight="1">
      <c r="A32" s="18"/>
      <c r="B32" s="56" t="s">
        <v>111</v>
      </c>
      <c r="C32" s="56"/>
      <c r="D32" s="56" t="s">
        <v>34</v>
      </c>
      <c r="E32" s="57">
        <f>100000+150000+200000+200000</f>
        <v>650000</v>
      </c>
      <c r="F32" s="57">
        <v>6000</v>
      </c>
      <c r="G32" s="58"/>
      <c r="H32" s="57"/>
      <c r="I32" s="57"/>
      <c r="J32" s="57"/>
      <c r="K32" s="4"/>
    </row>
    <row r="33" spans="1:11" ht="18" customHeight="1">
      <c r="A33" s="18"/>
      <c r="B33" s="64"/>
      <c r="C33" s="64"/>
      <c r="D33" s="64"/>
      <c r="E33" s="65"/>
      <c r="F33" s="65"/>
      <c r="G33" s="67" t="s">
        <v>112</v>
      </c>
      <c r="H33" s="68">
        <v>26130</v>
      </c>
      <c r="I33" s="68"/>
      <c r="J33" s="65">
        <f>E32-H33</f>
        <v>623870</v>
      </c>
      <c r="K33" s="4"/>
    </row>
    <row r="34" spans="1:11" ht="18" customHeight="1">
      <c r="A34" s="18"/>
      <c r="B34" s="64"/>
      <c r="C34" s="64"/>
      <c r="D34" s="64"/>
      <c r="E34" s="65"/>
      <c r="F34" s="65"/>
      <c r="G34" s="67" t="s">
        <v>117</v>
      </c>
      <c r="H34" s="68">
        <v>26390</v>
      </c>
      <c r="I34" s="68"/>
      <c r="J34" s="65">
        <f>J33-H34</f>
        <v>597480</v>
      </c>
      <c r="K34" s="4"/>
    </row>
    <row r="35" spans="1:11" ht="18" customHeight="1">
      <c r="A35" s="18"/>
      <c r="B35" s="64"/>
      <c r="C35" s="64"/>
      <c r="D35" s="64"/>
      <c r="E35" s="65"/>
      <c r="F35" s="65"/>
      <c r="G35" s="67" t="s">
        <v>122</v>
      </c>
      <c r="H35" s="68">
        <v>26020</v>
      </c>
      <c r="I35" s="68"/>
      <c r="J35" s="65">
        <f t="shared" ref="J35:J62" si="7">J34-H35</f>
        <v>571460</v>
      </c>
      <c r="K35" s="4"/>
    </row>
    <row r="36" spans="1:11" ht="18" customHeight="1">
      <c r="A36" s="18"/>
      <c r="B36" s="64"/>
      <c r="C36" s="64"/>
      <c r="D36" s="64"/>
      <c r="E36" s="65"/>
      <c r="F36" s="65"/>
      <c r="G36" s="67" t="s">
        <v>128</v>
      </c>
      <c r="H36" s="68">
        <v>25930</v>
      </c>
      <c r="I36" s="68"/>
      <c r="J36" s="65">
        <f t="shared" si="7"/>
        <v>545530</v>
      </c>
      <c r="K36" s="4"/>
    </row>
    <row r="37" spans="1:11" ht="18" customHeight="1">
      <c r="A37" s="18"/>
      <c r="B37" s="64"/>
      <c r="C37" s="64"/>
      <c r="D37" s="64"/>
      <c r="E37" s="65"/>
      <c r="F37" s="65"/>
      <c r="G37" s="67" t="s">
        <v>130</v>
      </c>
      <c r="H37" s="68">
        <v>25600</v>
      </c>
      <c r="I37" s="65"/>
      <c r="J37" s="65">
        <f t="shared" si="7"/>
        <v>519930</v>
      </c>
      <c r="K37" s="4"/>
    </row>
    <row r="38" spans="1:11" ht="18" customHeight="1">
      <c r="A38" s="18"/>
      <c r="B38" s="64"/>
      <c r="C38" s="64"/>
      <c r="D38" s="64"/>
      <c r="E38" s="65"/>
      <c r="F38" s="65"/>
      <c r="G38" s="67" t="s">
        <v>134</v>
      </c>
      <c r="H38" s="68">
        <v>25650</v>
      </c>
      <c r="I38" s="65"/>
      <c r="J38" s="65">
        <f t="shared" si="7"/>
        <v>494280</v>
      </c>
      <c r="K38" s="4"/>
    </row>
    <row r="39" spans="1:11" ht="18" customHeight="1">
      <c r="A39" s="18"/>
      <c r="B39" s="64"/>
      <c r="C39" s="64"/>
      <c r="D39" s="64"/>
      <c r="E39" s="65"/>
      <c r="F39" s="65"/>
      <c r="G39" s="67" t="s">
        <v>142</v>
      </c>
      <c r="H39" s="68">
        <v>25780</v>
      </c>
      <c r="I39" s="65"/>
      <c r="J39" s="65">
        <f t="shared" si="7"/>
        <v>468500</v>
      </c>
      <c r="K39" s="4"/>
    </row>
    <row r="40" spans="1:11" ht="18" customHeight="1">
      <c r="A40" s="18"/>
      <c r="B40" s="64"/>
      <c r="C40" s="64"/>
      <c r="D40" s="64"/>
      <c r="E40" s="65"/>
      <c r="F40" s="65"/>
      <c r="G40" s="67" t="s">
        <v>146</v>
      </c>
      <c r="H40" s="68">
        <v>23460</v>
      </c>
      <c r="I40" s="68"/>
      <c r="J40" s="65">
        <f t="shared" si="7"/>
        <v>445040</v>
      </c>
      <c r="K40" s="4"/>
    </row>
    <row r="41" spans="1:11" ht="18" customHeight="1">
      <c r="A41" s="18"/>
      <c r="B41" s="64"/>
      <c r="C41" s="64"/>
      <c r="D41" s="64"/>
      <c r="E41" s="65"/>
      <c r="F41" s="65"/>
      <c r="G41" s="67" t="s">
        <v>148</v>
      </c>
      <c r="H41" s="68">
        <v>23560</v>
      </c>
      <c r="I41" s="65"/>
      <c r="J41" s="65">
        <f t="shared" si="7"/>
        <v>421480</v>
      </c>
      <c r="K41" s="4"/>
    </row>
    <row r="42" spans="1:11" ht="18" customHeight="1">
      <c r="A42" s="18"/>
      <c r="B42" s="64"/>
      <c r="C42" s="64"/>
      <c r="D42" s="64"/>
      <c r="E42" s="65"/>
      <c r="F42" s="65"/>
      <c r="G42" s="67" t="s">
        <v>156</v>
      </c>
      <c r="H42" s="68">
        <v>25550</v>
      </c>
      <c r="I42" s="65"/>
      <c r="J42" s="65">
        <f t="shared" si="7"/>
        <v>395930</v>
      </c>
      <c r="K42" s="4"/>
    </row>
    <row r="43" spans="1:11" ht="18" customHeight="1">
      <c r="A43" s="18"/>
      <c r="B43" s="64"/>
      <c r="C43" s="64"/>
      <c r="D43" s="64"/>
      <c r="E43" s="65"/>
      <c r="F43" s="65"/>
      <c r="G43" s="67" t="s">
        <v>158</v>
      </c>
      <c r="H43" s="68">
        <v>26180</v>
      </c>
      <c r="I43" s="65"/>
      <c r="J43" s="65">
        <f t="shared" si="7"/>
        <v>369750</v>
      </c>
      <c r="K43" s="4"/>
    </row>
    <row r="44" spans="1:11" ht="18" customHeight="1">
      <c r="A44" s="18"/>
      <c r="B44" s="64"/>
      <c r="C44" s="64"/>
      <c r="D44" s="64"/>
      <c r="E44" s="65"/>
      <c r="F44" s="65"/>
      <c r="G44" s="67" t="s">
        <v>164</v>
      </c>
      <c r="H44" s="68">
        <v>23610</v>
      </c>
      <c r="I44" s="65"/>
      <c r="J44" s="65">
        <f t="shared" si="7"/>
        <v>346140</v>
      </c>
      <c r="K44" s="4"/>
    </row>
    <row r="45" spans="1:11" ht="18" customHeight="1">
      <c r="A45" s="18"/>
      <c r="B45" s="64"/>
      <c r="C45" s="64"/>
      <c r="D45" s="64"/>
      <c r="E45" s="65"/>
      <c r="F45" s="65"/>
      <c r="G45" s="67" t="s">
        <v>168</v>
      </c>
      <c r="H45" s="68">
        <v>25500</v>
      </c>
      <c r="I45" s="65"/>
      <c r="J45" s="65">
        <f t="shared" si="7"/>
        <v>320640</v>
      </c>
      <c r="K45" s="4"/>
    </row>
    <row r="46" spans="1:11" ht="18" customHeight="1">
      <c r="A46" s="18"/>
      <c r="B46" s="64"/>
      <c r="C46" s="64"/>
      <c r="D46" s="64"/>
      <c r="E46" s="65"/>
      <c r="F46" s="65"/>
      <c r="G46" s="67" t="s">
        <v>170</v>
      </c>
      <c r="H46" s="68">
        <v>26270</v>
      </c>
      <c r="I46" s="65"/>
      <c r="J46" s="65">
        <f t="shared" si="7"/>
        <v>294370</v>
      </c>
      <c r="K46" s="4"/>
    </row>
    <row r="47" spans="1:11" ht="18" customHeight="1">
      <c r="A47" s="18"/>
      <c r="B47" s="64"/>
      <c r="C47" s="64"/>
      <c r="D47" s="64"/>
      <c r="E47" s="65"/>
      <c r="F47" s="65"/>
      <c r="G47" s="67" t="s">
        <v>175</v>
      </c>
      <c r="H47" s="68">
        <v>26690</v>
      </c>
      <c r="I47" s="65"/>
      <c r="J47" s="65">
        <f t="shared" si="7"/>
        <v>267680</v>
      </c>
      <c r="K47" s="4"/>
    </row>
    <row r="48" spans="1:11" ht="18" customHeight="1">
      <c r="A48" s="18"/>
      <c r="B48" s="64"/>
      <c r="C48" s="64"/>
      <c r="D48" s="64"/>
      <c r="E48" s="65"/>
      <c r="F48" s="65"/>
      <c r="G48" s="67" t="s">
        <v>206</v>
      </c>
      <c r="H48" s="68">
        <v>26420</v>
      </c>
      <c r="I48" s="65"/>
      <c r="J48" s="65">
        <f t="shared" si="7"/>
        <v>241260</v>
      </c>
      <c r="K48" s="4"/>
    </row>
    <row r="49" spans="1:11" ht="18" customHeight="1">
      <c r="A49" s="18"/>
      <c r="B49" s="64"/>
      <c r="C49" s="64"/>
      <c r="D49" s="64"/>
      <c r="E49" s="65"/>
      <c r="F49" s="65"/>
      <c r="G49" s="67" t="s">
        <v>228</v>
      </c>
      <c r="H49" s="68">
        <v>25020</v>
      </c>
      <c r="I49" s="68"/>
      <c r="J49" s="65">
        <f t="shared" si="7"/>
        <v>216240</v>
      </c>
      <c r="K49" s="4"/>
    </row>
    <row r="50" spans="1:11" ht="18" customHeight="1">
      <c r="A50" s="18"/>
      <c r="B50" s="64"/>
      <c r="C50" s="64"/>
      <c r="D50" s="64"/>
      <c r="E50" s="65"/>
      <c r="F50" s="65"/>
      <c r="G50" s="67" t="s">
        <v>236</v>
      </c>
      <c r="H50" s="68">
        <v>26020</v>
      </c>
      <c r="I50" s="68"/>
      <c r="J50" s="65">
        <f t="shared" si="7"/>
        <v>190220</v>
      </c>
      <c r="K50" s="4"/>
    </row>
    <row r="51" spans="1:11" ht="18" customHeight="1">
      <c r="A51" s="18"/>
      <c r="B51" s="64"/>
      <c r="C51" s="64"/>
      <c r="D51" s="64"/>
      <c r="E51" s="65"/>
      <c r="F51" s="65"/>
      <c r="G51" s="67" t="s">
        <v>242</v>
      </c>
      <c r="H51" s="68">
        <v>26020</v>
      </c>
      <c r="I51" s="68"/>
      <c r="J51" s="65">
        <f t="shared" si="7"/>
        <v>164200</v>
      </c>
      <c r="K51" s="4"/>
    </row>
    <row r="52" spans="1:11" ht="18" customHeight="1">
      <c r="A52" s="18"/>
      <c r="B52" s="64"/>
      <c r="C52" s="64"/>
      <c r="D52" s="64"/>
      <c r="E52" s="65"/>
      <c r="F52" s="65"/>
      <c r="G52" s="67" t="s">
        <v>245</v>
      </c>
      <c r="H52" s="68">
        <v>25940</v>
      </c>
      <c r="I52" s="68"/>
      <c r="J52" s="65">
        <f t="shared" si="7"/>
        <v>138260</v>
      </c>
      <c r="K52" s="4"/>
    </row>
    <row r="53" spans="1:11" ht="18" customHeight="1">
      <c r="A53" s="18"/>
      <c r="B53" s="64"/>
      <c r="C53" s="64"/>
      <c r="D53" s="64"/>
      <c r="E53" s="65"/>
      <c r="F53" s="65"/>
      <c r="G53" s="67" t="s">
        <v>252</v>
      </c>
      <c r="H53" s="68">
        <v>26040</v>
      </c>
      <c r="I53" s="68"/>
      <c r="J53" s="65">
        <f t="shared" si="7"/>
        <v>112220</v>
      </c>
      <c r="K53" s="4"/>
    </row>
    <row r="54" spans="1:11" ht="18" customHeight="1">
      <c r="A54" s="18"/>
      <c r="B54" s="64"/>
      <c r="C54" s="64"/>
      <c r="D54" s="64"/>
      <c r="E54" s="65"/>
      <c r="F54" s="65"/>
      <c r="G54" s="67" t="s">
        <v>262</v>
      </c>
      <c r="H54" s="68">
        <v>26460</v>
      </c>
      <c r="I54" s="68"/>
      <c r="J54" s="65">
        <f t="shared" si="7"/>
        <v>85760</v>
      </c>
      <c r="K54" s="4"/>
    </row>
    <row r="55" spans="1:11" ht="18" customHeight="1">
      <c r="A55" s="18"/>
      <c r="B55" s="64"/>
      <c r="C55" s="64"/>
      <c r="D55" s="64"/>
      <c r="E55" s="65"/>
      <c r="F55" s="65"/>
      <c r="G55" s="67" t="s">
        <v>286</v>
      </c>
      <c r="H55" s="68">
        <v>25630</v>
      </c>
      <c r="I55" s="68"/>
      <c r="J55" s="65">
        <f t="shared" si="7"/>
        <v>60130</v>
      </c>
      <c r="K55" s="4"/>
    </row>
    <row r="56" spans="1:11" ht="18" customHeight="1">
      <c r="A56" s="18"/>
      <c r="B56" s="64"/>
      <c r="C56" s="64"/>
      <c r="D56" s="64"/>
      <c r="E56" s="65"/>
      <c r="F56" s="65"/>
      <c r="G56" s="67" t="s">
        <v>318</v>
      </c>
      <c r="H56" s="68">
        <v>26830</v>
      </c>
      <c r="I56" s="68"/>
      <c r="J56" s="65">
        <f t="shared" si="7"/>
        <v>33300</v>
      </c>
      <c r="K56" s="4"/>
    </row>
    <row r="57" spans="1:11" ht="18" customHeight="1">
      <c r="A57" s="18"/>
      <c r="B57" s="64"/>
      <c r="C57" s="64"/>
      <c r="D57" s="64"/>
      <c r="E57" s="65"/>
      <c r="F57" s="65"/>
      <c r="G57" s="67" t="s">
        <v>329</v>
      </c>
      <c r="H57" s="68">
        <v>26310</v>
      </c>
      <c r="I57" s="68"/>
      <c r="J57" s="65">
        <f t="shared" si="7"/>
        <v>6990</v>
      </c>
      <c r="K57" s="4"/>
    </row>
    <row r="58" spans="1:11" ht="18" customHeight="1">
      <c r="A58" s="18"/>
      <c r="B58" s="64"/>
      <c r="C58" s="64"/>
      <c r="D58" s="64"/>
      <c r="E58" s="65"/>
      <c r="F58" s="65"/>
      <c r="G58" s="67" t="s">
        <v>339</v>
      </c>
      <c r="H58" s="68">
        <v>26130</v>
      </c>
      <c r="I58" s="68"/>
      <c r="J58" s="65">
        <f t="shared" si="7"/>
        <v>-19140</v>
      </c>
      <c r="K58" s="4"/>
    </row>
    <row r="59" spans="1:11" ht="18" customHeight="1">
      <c r="A59" s="18"/>
      <c r="B59" s="64"/>
      <c r="C59" s="64"/>
      <c r="D59" s="64"/>
      <c r="E59" s="65"/>
      <c r="F59" s="65"/>
      <c r="G59" s="110"/>
      <c r="H59" s="68"/>
      <c r="I59" s="68"/>
      <c r="J59" s="65">
        <f t="shared" si="7"/>
        <v>-19140</v>
      </c>
      <c r="K59" s="4"/>
    </row>
    <row r="60" spans="1:11" ht="18" customHeight="1">
      <c r="A60" s="18"/>
      <c r="B60" s="64"/>
      <c r="C60" s="64"/>
      <c r="D60" s="64"/>
      <c r="E60" s="65"/>
      <c r="F60" s="65"/>
      <c r="G60" s="110"/>
      <c r="H60" s="68"/>
      <c r="I60" s="68"/>
      <c r="J60" s="65">
        <f t="shared" si="7"/>
        <v>-19140</v>
      </c>
      <c r="K60" s="4"/>
    </row>
    <row r="61" spans="1:11" ht="18" customHeight="1">
      <c r="A61" s="18"/>
      <c r="B61" s="64"/>
      <c r="C61" s="64"/>
      <c r="D61" s="64"/>
      <c r="E61" s="65"/>
      <c r="F61" s="65"/>
      <c r="G61" s="110"/>
      <c r="H61" s="68"/>
      <c r="I61" s="68"/>
      <c r="J61" s="65">
        <f t="shared" si="7"/>
        <v>-19140</v>
      </c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65">
        <f t="shared" si="7"/>
        <v>-19140</v>
      </c>
      <c r="K62" s="4"/>
    </row>
    <row r="63" spans="1:11" ht="18" customHeight="1">
      <c r="A63" s="55"/>
      <c r="B63" s="24"/>
      <c r="C63" s="24"/>
      <c r="D63" s="24"/>
      <c r="E63" s="25"/>
      <c r="F63" s="25"/>
      <c r="G63" s="26"/>
      <c r="H63" s="57">
        <f>SUM(H33:H62)</f>
        <v>669140</v>
      </c>
      <c r="I63" s="25"/>
      <c r="J63" s="57"/>
      <c r="K63" s="25"/>
    </row>
    <row r="64" spans="1:11" ht="18" customHeight="1">
      <c r="A64" s="18" t="s">
        <v>13</v>
      </c>
      <c r="B64" s="60" t="s">
        <v>104</v>
      </c>
      <c r="C64" s="60" t="s">
        <v>105</v>
      </c>
      <c r="D64" s="60" t="s">
        <v>106</v>
      </c>
      <c r="E64" s="49">
        <v>150000</v>
      </c>
      <c r="F64" s="49">
        <v>4950</v>
      </c>
      <c r="G64" s="61"/>
      <c r="H64" s="49"/>
      <c r="I64" s="49"/>
      <c r="J64" s="49"/>
      <c r="K64" s="49"/>
    </row>
    <row r="65" spans="1:12" ht="18" customHeight="1">
      <c r="A65" s="18"/>
      <c r="B65" s="2"/>
      <c r="C65" s="2"/>
      <c r="D65" s="2"/>
      <c r="E65" s="4"/>
      <c r="F65" s="4"/>
      <c r="G65" s="21">
        <v>44070</v>
      </c>
      <c r="H65" s="4">
        <v>24030</v>
      </c>
      <c r="I65" s="4">
        <v>4950</v>
      </c>
      <c r="J65" s="49">
        <f>+E64-I65</f>
        <v>145050</v>
      </c>
      <c r="K65" s="4"/>
    </row>
    <row r="66" spans="1:12" ht="18" customHeight="1">
      <c r="A66" s="18"/>
      <c r="B66" s="2"/>
      <c r="C66" s="2"/>
      <c r="D66" s="2"/>
      <c r="E66" s="4"/>
      <c r="F66" s="4"/>
      <c r="G66" s="21">
        <v>44071</v>
      </c>
      <c r="H66" s="4">
        <v>24170</v>
      </c>
      <c r="I66" s="4">
        <v>4950</v>
      </c>
      <c r="J66" s="49">
        <f>+J65-H66</f>
        <v>120880</v>
      </c>
      <c r="K66" s="4"/>
    </row>
    <row r="67" spans="1:12" ht="18" customHeight="1">
      <c r="A67" s="18"/>
      <c r="B67" s="2"/>
      <c r="C67" s="2"/>
      <c r="D67" s="2"/>
      <c r="E67" s="4"/>
      <c r="F67" s="4"/>
      <c r="G67" s="21">
        <v>44071</v>
      </c>
      <c r="H67" s="4">
        <v>23990</v>
      </c>
      <c r="I67" s="4">
        <v>4950</v>
      </c>
      <c r="J67" s="49">
        <f t="shared" ref="J67:J70" si="8">+J66-H67</f>
        <v>96890</v>
      </c>
      <c r="K67" s="4"/>
    </row>
    <row r="68" spans="1:12" ht="18" customHeight="1">
      <c r="A68" s="18"/>
      <c r="B68" s="2"/>
      <c r="C68" s="2"/>
      <c r="D68" s="2"/>
      <c r="E68" s="4"/>
      <c r="F68" s="4"/>
      <c r="G68" s="40">
        <v>44072</v>
      </c>
      <c r="H68" s="4">
        <v>23950</v>
      </c>
      <c r="I68" s="4">
        <v>4950</v>
      </c>
      <c r="J68" s="49">
        <f t="shared" si="8"/>
        <v>72940</v>
      </c>
      <c r="K68" s="4"/>
    </row>
    <row r="69" spans="1:12" ht="18" customHeight="1">
      <c r="A69" s="18"/>
      <c r="B69" s="2"/>
      <c r="C69" s="2"/>
      <c r="D69" s="2"/>
      <c r="E69" s="4"/>
      <c r="F69" s="4"/>
      <c r="G69" s="21">
        <v>44074</v>
      </c>
      <c r="H69" s="4">
        <v>23900</v>
      </c>
      <c r="I69" s="4"/>
      <c r="J69" s="49">
        <f t="shared" si="8"/>
        <v>49040</v>
      </c>
      <c r="K69" s="4"/>
    </row>
    <row r="70" spans="1:12" ht="18" customHeight="1">
      <c r="A70" s="18"/>
      <c r="B70" s="2"/>
      <c r="C70" s="2"/>
      <c r="D70" s="2"/>
      <c r="E70" s="4"/>
      <c r="F70" s="4"/>
      <c r="G70" s="21"/>
      <c r="H70" s="4">
        <v>24120</v>
      </c>
      <c r="I70" s="4"/>
      <c r="J70" s="49">
        <f t="shared" si="8"/>
        <v>24920</v>
      </c>
      <c r="K70" s="4"/>
    </row>
    <row r="71" spans="1:12" ht="18" customHeight="1">
      <c r="A71" s="18" t="s">
        <v>13</v>
      </c>
      <c r="B71" s="60" t="s">
        <v>159</v>
      </c>
      <c r="C71" s="60" t="s">
        <v>105</v>
      </c>
      <c r="D71" s="60" t="s">
        <v>160</v>
      </c>
      <c r="E71" s="49">
        <v>100000</v>
      </c>
      <c r="F71" s="49">
        <v>5150</v>
      </c>
      <c r="G71" s="21"/>
      <c r="H71" s="4"/>
      <c r="I71" s="4"/>
      <c r="J71" s="49"/>
      <c r="K71" s="4"/>
    </row>
    <row r="72" spans="1:12" ht="18" customHeight="1">
      <c r="A72" s="18"/>
      <c r="B72" s="2"/>
      <c r="C72" s="2"/>
      <c r="D72" s="2"/>
      <c r="E72" s="4"/>
      <c r="F72" s="4"/>
      <c r="G72" s="40" t="s">
        <v>161</v>
      </c>
      <c r="H72" s="4">
        <v>26740</v>
      </c>
      <c r="I72" s="4">
        <v>5150</v>
      </c>
      <c r="J72" s="49">
        <f>+E71-H72</f>
        <v>73260</v>
      </c>
      <c r="K72" s="4"/>
    </row>
    <row r="73" spans="1:12" ht="18" customHeight="1">
      <c r="A73" s="18"/>
      <c r="B73" s="2"/>
      <c r="C73" s="2"/>
      <c r="D73" s="2"/>
      <c r="E73" s="4"/>
      <c r="F73" s="4"/>
      <c r="G73" s="40" t="s">
        <v>164</v>
      </c>
      <c r="H73" s="4">
        <v>26790</v>
      </c>
      <c r="I73" s="4">
        <v>5150</v>
      </c>
      <c r="J73" s="49">
        <f>J72-H73</f>
        <v>46470</v>
      </c>
      <c r="K73" s="4"/>
    </row>
    <row r="74" spans="1:12" ht="18" customHeight="1">
      <c r="A74" s="18"/>
      <c r="B74" s="2"/>
      <c r="C74" s="2"/>
      <c r="D74" s="2"/>
      <c r="E74" s="4"/>
      <c r="F74" s="4"/>
      <c r="G74" s="40" t="s">
        <v>165</v>
      </c>
      <c r="H74" s="4">
        <v>26930</v>
      </c>
      <c r="I74" s="4">
        <v>5150</v>
      </c>
      <c r="J74" s="49">
        <f>J73-H74</f>
        <v>19540</v>
      </c>
      <c r="K74" s="4"/>
    </row>
    <row r="75" spans="1:12" ht="18" customHeight="1">
      <c r="A75" s="18"/>
      <c r="B75" s="2"/>
      <c r="C75" s="2"/>
      <c r="D75" s="2"/>
      <c r="E75" s="4"/>
      <c r="F75" s="4"/>
      <c r="G75" s="40" t="s">
        <v>167</v>
      </c>
      <c r="H75" s="4">
        <v>25800</v>
      </c>
      <c r="I75" s="4">
        <v>5150</v>
      </c>
      <c r="J75" s="49">
        <f>J74-H75</f>
        <v>-6260</v>
      </c>
      <c r="K75" s="4"/>
    </row>
    <row r="76" spans="1:12" ht="18" customHeight="1">
      <c r="A76" s="18"/>
      <c r="B76" s="2"/>
      <c r="C76" s="2"/>
      <c r="D76" s="60" t="s">
        <v>176</v>
      </c>
      <c r="E76" s="49">
        <v>28000</v>
      </c>
      <c r="F76" s="49">
        <v>4600</v>
      </c>
      <c r="G76" s="61"/>
      <c r="H76" s="49"/>
      <c r="I76" s="49"/>
      <c r="J76" s="49"/>
      <c r="K76" s="4"/>
    </row>
    <row r="77" spans="1:12" ht="18" customHeight="1">
      <c r="A77" s="18"/>
      <c r="B77" s="2"/>
      <c r="C77" s="2"/>
      <c r="D77" s="2"/>
      <c r="E77" s="4"/>
      <c r="F77" s="4"/>
      <c r="G77" s="40" t="s">
        <v>177</v>
      </c>
      <c r="H77" s="4">
        <v>14270</v>
      </c>
      <c r="I77" s="4">
        <v>4600</v>
      </c>
      <c r="J77" s="4">
        <f>E76-H77</f>
        <v>13730</v>
      </c>
      <c r="K77" s="4"/>
    </row>
    <row r="78" spans="1:12" ht="18" customHeight="1">
      <c r="A78" s="18"/>
      <c r="B78" s="2"/>
      <c r="C78" s="2"/>
      <c r="D78" s="2"/>
      <c r="E78" s="4"/>
      <c r="F78" s="4"/>
      <c r="G78" s="66" t="s">
        <v>177</v>
      </c>
      <c r="H78" s="49">
        <v>13780</v>
      </c>
      <c r="I78" s="49">
        <v>4600</v>
      </c>
      <c r="J78" s="49">
        <f>J77-H78</f>
        <v>-50</v>
      </c>
      <c r="K78" s="4"/>
      <c r="L78" s="1" t="s">
        <v>178</v>
      </c>
    </row>
    <row r="79" spans="1:12" ht="18" customHeight="1">
      <c r="A79" s="55" t="s">
        <v>13</v>
      </c>
      <c r="B79" s="56" t="s">
        <v>225</v>
      </c>
      <c r="C79" s="56" t="s">
        <v>269</v>
      </c>
      <c r="D79" s="56" t="s">
        <v>176</v>
      </c>
      <c r="E79" s="57">
        <v>28000</v>
      </c>
      <c r="F79" s="57">
        <v>4500</v>
      </c>
      <c r="G79" s="118" t="s">
        <v>266</v>
      </c>
      <c r="H79" s="57">
        <v>28185</v>
      </c>
      <c r="I79" s="57">
        <v>4500</v>
      </c>
      <c r="J79" s="57"/>
      <c r="K79" s="4"/>
    </row>
    <row r="80" spans="1:12" s="15" customFormat="1" ht="18" customHeight="1">
      <c r="A80" s="18" t="s">
        <v>13</v>
      </c>
      <c r="B80" s="60" t="s">
        <v>225</v>
      </c>
      <c r="C80" s="108" t="s">
        <v>226</v>
      </c>
      <c r="D80" s="60" t="s">
        <v>43</v>
      </c>
      <c r="E80" s="49">
        <v>100000</v>
      </c>
      <c r="F80" s="49">
        <v>5150</v>
      </c>
      <c r="G80" s="61"/>
      <c r="H80" s="49"/>
      <c r="I80" s="49"/>
      <c r="J80" s="49"/>
      <c r="K80" s="49"/>
      <c r="L80" s="15" t="s">
        <v>227</v>
      </c>
    </row>
    <row r="81" spans="1:11" ht="18" customHeight="1">
      <c r="A81" s="18"/>
      <c r="B81" s="2"/>
      <c r="C81" s="2"/>
      <c r="D81" s="2"/>
      <c r="E81" s="4"/>
      <c r="F81" s="4"/>
      <c r="G81" s="40"/>
      <c r="H81" s="4"/>
      <c r="I81" s="4"/>
      <c r="J81" s="4"/>
      <c r="K81" s="4"/>
    </row>
    <row r="82" spans="1:11" ht="18" customHeight="1">
      <c r="A82" s="18"/>
      <c r="B82" s="2"/>
      <c r="C82" s="2"/>
      <c r="D82" s="2"/>
      <c r="E82" s="4"/>
      <c r="F82" s="4"/>
      <c r="G82" s="21"/>
      <c r="H82" s="4"/>
      <c r="I82" s="4"/>
      <c r="J82" s="4"/>
      <c r="K82" s="4"/>
    </row>
    <row r="83" spans="1:11" ht="18" customHeight="1">
      <c r="A83" s="18"/>
      <c r="B83" s="2"/>
      <c r="C83" s="2"/>
      <c r="D83" s="2"/>
      <c r="E83" s="4"/>
      <c r="F83" s="4"/>
      <c r="G83" s="21"/>
      <c r="H83" s="4"/>
      <c r="I83" s="4"/>
      <c r="J83" s="4"/>
      <c r="K83" s="4"/>
    </row>
    <row r="84" spans="1:11" ht="18" customHeight="1">
      <c r="A84" s="18"/>
      <c r="B84" s="2"/>
      <c r="C84" s="2"/>
      <c r="D84" s="2"/>
      <c r="E84" s="4"/>
      <c r="F84" s="4"/>
      <c r="G84" s="21"/>
      <c r="H84" s="4"/>
      <c r="I84" s="4"/>
      <c r="J84" s="4"/>
      <c r="K84" s="4"/>
    </row>
    <row r="85" spans="1:11" ht="18" customHeight="1">
      <c r="A85" s="18" t="s">
        <v>13</v>
      </c>
      <c r="B85" s="60" t="s">
        <v>225</v>
      </c>
      <c r="C85" s="60" t="s">
        <v>210</v>
      </c>
      <c r="D85" s="60" t="s">
        <v>231</v>
      </c>
      <c r="E85" s="49">
        <v>400000</v>
      </c>
      <c r="F85" s="49">
        <v>5300</v>
      </c>
      <c r="G85" s="61"/>
      <c r="H85" s="49"/>
      <c r="I85" s="49"/>
      <c r="J85" s="49"/>
      <c r="K85" s="49"/>
    </row>
    <row r="86" spans="1:11" ht="18" customHeight="1">
      <c r="A86" s="18"/>
      <c r="B86" s="2"/>
      <c r="C86" s="2"/>
      <c r="D86" s="2"/>
      <c r="E86" s="4"/>
      <c r="F86" s="4"/>
      <c r="G86" s="40" t="s">
        <v>230</v>
      </c>
      <c r="H86" s="4">
        <v>32180</v>
      </c>
      <c r="I86" s="4"/>
      <c r="J86" s="49">
        <f>+E85-H86</f>
        <v>367820</v>
      </c>
      <c r="K86" s="4"/>
    </row>
    <row r="87" spans="1:11" ht="18" customHeight="1">
      <c r="A87" s="18"/>
      <c r="B87" s="2"/>
      <c r="C87" s="2"/>
      <c r="D87" s="2"/>
      <c r="E87" s="4"/>
      <c r="F87" s="4"/>
      <c r="G87" s="21"/>
      <c r="H87" s="4">
        <v>32250</v>
      </c>
      <c r="I87" s="4"/>
      <c r="J87" s="49">
        <f>+J86-H87</f>
        <v>335570</v>
      </c>
      <c r="K87" s="4"/>
    </row>
    <row r="88" spans="1:11" ht="18" customHeight="1">
      <c r="A88" s="18"/>
      <c r="B88" s="2"/>
      <c r="C88" s="2"/>
      <c r="D88" s="2"/>
      <c r="E88" s="4"/>
      <c r="F88" s="4"/>
      <c r="G88" s="40" t="s">
        <v>234</v>
      </c>
      <c r="H88" s="4">
        <v>30940</v>
      </c>
      <c r="I88" s="4"/>
      <c r="J88" s="49">
        <f t="shared" ref="J88:J101" si="9">+J87-H88</f>
        <v>304630</v>
      </c>
      <c r="K88" s="4"/>
    </row>
    <row r="89" spans="1:11" ht="18" customHeight="1">
      <c r="A89" s="18"/>
      <c r="B89" s="2"/>
      <c r="C89" s="2"/>
      <c r="D89" s="2"/>
      <c r="E89" s="4"/>
      <c r="F89" s="4"/>
      <c r="G89" s="21"/>
      <c r="H89" s="4">
        <v>31460</v>
      </c>
      <c r="I89" s="4"/>
      <c r="J89" s="49">
        <f t="shared" si="9"/>
        <v>273170</v>
      </c>
      <c r="K89" s="4"/>
    </row>
    <row r="90" spans="1:11" ht="18" customHeight="1">
      <c r="A90" s="18"/>
      <c r="B90" s="2"/>
      <c r="C90" s="2"/>
      <c r="D90" s="2"/>
      <c r="E90" s="4"/>
      <c r="F90" s="4"/>
      <c r="G90" s="40" t="s">
        <v>241</v>
      </c>
      <c r="H90" s="4">
        <v>31580</v>
      </c>
      <c r="I90" s="4"/>
      <c r="J90" s="49">
        <f t="shared" si="9"/>
        <v>241590</v>
      </c>
      <c r="K90" s="4"/>
    </row>
    <row r="91" spans="1:11" ht="18" customHeight="1">
      <c r="A91" s="18"/>
      <c r="B91" s="2"/>
      <c r="C91" s="2"/>
      <c r="D91" s="2"/>
      <c r="E91" s="4"/>
      <c r="F91" s="4"/>
      <c r="G91" s="21"/>
      <c r="H91" s="4">
        <v>32410</v>
      </c>
      <c r="I91" s="4"/>
      <c r="J91" s="49">
        <f t="shared" si="9"/>
        <v>209180</v>
      </c>
      <c r="K91" s="4"/>
    </row>
    <row r="92" spans="1:11" ht="18" customHeight="1">
      <c r="A92" s="18"/>
      <c r="B92" s="2"/>
      <c r="C92" s="2"/>
      <c r="D92" s="2"/>
      <c r="E92" s="4"/>
      <c r="F92" s="4"/>
      <c r="G92" s="40" t="s">
        <v>242</v>
      </c>
      <c r="H92" s="4">
        <v>32150</v>
      </c>
      <c r="I92" s="4"/>
      <c r="J92" s="49">
        <f t="shared" si="9"/>
        <v>177030</v>
      </c>
      <c r="K92" s="4"/>
    </row>
    <row r="93" spans="1:11" ht="18" customHeight="1">
      <c r="A93" s="18"/>
      <c r="B93" s="2"/>
      <c r="C93" s="2"/>
      <c r="D93" s="2"/>
      <c r="E93" s="4"/>
      <c r="F93" s="4"/>
      <c r="G93" s="21"/>
      <c r="H93" s="4">
        <v>31840</v>
      </c>
      <c r="I93" s="4"/>
      <c r="J93" s="49">
        <f t="shared" si="9"/>
        <v>145190</v>
      </c>
      <c r="K93" s="4"/>
    </row>
    <row r="94" spans="1:11" ht="18" customHeight="1">
      <c r="A94" s="18"/>
      <c r="B94" s="2"/>
      <c r="C94" s="2"/>
      <c r="D94" s="2"/>
      <c r="E94" s="4"/>
      <c r="F94" s="4"/>
      <c r="G94" s="40" t="s">
        <v>243</v>
      </c>
      <c r="H94" s="4">
        <v>32110</v>
      </c>
      <c r="I94" s="4"/>
      <c r="J94" s="49">
        <f t="shared" si="9"/>
        <v>113080</v>
      </c>
      <c r="K94" s="4"/>
    </row>
    <row r="95" spans="1:11" ht="18" customHeight="1">
      <c r="A95" s="18"/>
      <c r="B95" s="2"/>
      <c r="C95" s="2"/>
      <c r="D95" s="2"/>
      <c r="E95" s="4"/>
      <c r="F95" s="4"/>
      <c r="G95" s="21"/>
      <c r="H95" s="4">
        <v>33750</v>
      </c>
      <c r="I95" s="4"/>
      <c r="J95" s="49">
        <f t="shared" si="9"/>
        <v>79330</v>
      </c>
      <c r="K95" s="4"/>
    </row>
    <row r="96" spans="1:11" ht="18" customHeight="1">
      <c r="A96" s="18"/>
      <c r="B96" s="2"/>
      <c r="C96" s="2"/>
      <c r="D96" s="2"/>
      <c r="E96" s="4"/>
      <c r="F96" s="4"/>
      <c r="G96" s="21"/>
      <c r="H96" s="4">
        <v>33670</v>
      </c>
      <c r="I96" s="4"/>
      <c r="J96" s="49">
        <f t="shared" si="9"/>
        <v>45660</v>
      </c>
      <c r="K96" s="4"/>
    </row>
    <row r="97" spans="1:12" ht="18" customHeight="1">
      <c r="A97" s="18"/>
      <c r="B97" s="2"/>
      <c r="C97" s="2"/>
      <c r="D97" s="2"/>
      <c r="E97" s="4"/>
      <c r="F97" s="4"/>
      <c r="G97" s="40" t="s">
        <v>244</v>
      </c>
      <c r="H97" s="4">
        <v>32110</v>
      </c>
      <c r="I97" s="4"/>
      <c r="J97" s="49">
        <f t="shared" si="9"/>
        <v>13550</v>
      </c>
      <c r="K97" s="4"/>
    </row>
    <row r="98" spans="1:12" ht="18" customHeight="1">
      <c r="A98" s="18"/>
      <c r="B98" s="2"/>
      <c r="C98" s="2"/>
      <c r="D98" s="2"/>
      <c r="E98" s="4"/>
      <c r="F98" s="4"/>
      <c r="G98" s="21"/>
      <c r="H98" s="57">
        <v>13073</v>
      </c>
      <c r="I98" s="4"/>
      <c r="J98" s="49">
        <f t="shared" si="9"/>
        <v>477</v>
      </c>
      <c r="K98" s="4"/>
    </row>
    <row r="99" spans="1:12" ht="18" customHeight="1">
      <c r="A99" s="18"/>
      <c r="B99" s="2"/>
      <c r="C99" s="2"/>
      <c r="D99" s="2"/>
      <c r="E99" s="4"/>
      <c r="F99" s="4"/>
      <c r="G99" s="21"/>
      <c r="H99" s="4"/>
      <c r="I99" s="4"/>
      <c r="J99" s="49">
        <f t="shared" si="9"/>
        <v>477</v>
      </c>
      <c r="K99" s="4"/>
    </row>
    <row r="100" spans="1:12" ht="18" customHeight="1">
      <c r="A100" s="18"/>
      <c r="B100" s="2"/>
      <c r="C100" s="2"/>
      <c r="D100" s="2"/>
      <c r="E100" s="4"/>
      <c r="F100" s="4"/>
      <c r="G100" s="21"/>
      <c r="H100" s="4"/>
      <c r="I100" s="4"/>
      <c r="J100" s="49">
        <f t="shared" si="9"/>
        <v>477</v>
      </c>
      <c r="K100" s="4"/>
    </row>
    <row r="101" spans="1:12" ht="18" customHeight="1">
      <c r="A101" s="18"/>
      <c r="B101" s="2"/>
      <c r="C101" s="2"/>
      <c r="D101" s="2"/>
      <c r="E101" s="4"/>
      <c r="F101" s="4"/>
      <c r="G101" s="21"/>
      <c r="H101" s="4"/>
      <c r="I101" s="4"/>
      <c r="J101" s="49">
        <f t="shared" si="9"/>
        <v>477</v>
      </c>
      <c r="K101" s="4"/>
    </row>
    <row r="102" spans="1:12" ht="18" customHeight="1">
      <c r="A102" s="55"/>
      <c r="B102" s="56" t="s">
        <v>235</v>
      </c>
      <c r="C102" s="56"/>
      <c r="D102" s="56"/>
      <c r="E102" s="57"/>
      <c r="F102" s="57"/>
      <c r="G102" s="58"/>
      <c r="H102" s="57">
        <f>SUM(H86:H101)</f>
        <v>399523</v>
      </c>
      <c r="I102" s="57">
        <v>5300</v>
      </c>
      <c r="J102" s="57"/>
      <c r="K102" s="4"/>
    </row>
    <row r="103" spans="1:12" ht="18" customHeight="1">
      <c r="A103" s="18" t="s">
        <v>13</v>
      </c>
      <c r="B103" s="60" t="s">
        <v>225</v>
      </c>
      <c r="C103" s="60" t="s">
        <v>214</v>
      </c>
      <c r="D103" s="60" t="s">
        <v>231</v>
      </c>
      <c r="E103" s="49">
        <v>400000</v>
      </c>
      <c r="F103" s="49">
        <v>5380</v>
      </c>
      <c r="G103" s="21"/>
      <c r="H103" s="4"/>
      <c r="I103" s="4"/>
      <c r="J103" s="4"/>
      <c r="K103" s="4"/>
    </row>
    <row r="104" spans="1:12" ht="18" customHeight="1">
      <c r="A104" s="18"/>
      <c r="B104" s="2"/>
      <c r="C104" s="2"/>
      <c r="D104" s="2"/>
      <c r="E104" s="4"/>
      <c r="F104" s="4"/>
      <c r="G104" s="40" t="s">
        <v>244</v>
      </c>
      <c r="H104" s="4">
        <v>31000</v>
      </c>
      <c r="I104" s="4">
        <v>5380</v>
      </c>
      <c r="J104" s="4">
        <f>+E103-I104</f>
        <v>394620</v>
      </c>
      <c r="K104" s="4"/>
    </row>
    <row r="105" spans="1:12" ht="18" customHeight="1">
      <c r="A105" s="18"/>
      <c r="B105" s="2"/>
      <c r="C105" s="2"/>
      <c r="D105" s="2"/>
      <c r="E105" s="4"/>
      <c r="F105" s="4"/>
      <c r="G105" s="40" t="s">
        <v>278</v>
      </c>
      <c r="H105" s="4">
        <v>32480</v>
      </c>
      <c r="I105" s="4"/>
      <c r="J105" s="4">
        <f>+J104-H105</f>
        <v>362140</v>
      </c>
      <c r="K105" s="4"/>
    </row>
    <row r="106" spans="1:12" ht="18" customHeight="1">
      <c r="A106" s="18"/>
      <c r="B106" s="2"/>
      <c r="C106" s="2"/>
      <c r="D106" s="2"/>
      <c r="E106" s="4"/>
      <c r="F106" s="4"/>
      <c r="G106" s="21"/>
      <c r="H106" s="4">
        <v>32280</v>
      </c>
      <c r="I106" s="4"/>
      <c r="J106" s="4">
        <f t="shared" ref="J106:J116" si="10">+J105-H106</f>
        <v>329860</v>
      </c>
      <c r="K106" s="4"/>
    </row>
    <row r="107" spans="1:12" ht="18" customHeight="1">
      <c r="A107" s="18"/>
      <c r="B107" s="2"/>
      <c r="C107" s="2"/>
      <c r="D107" s="2"/>
      <c r="E107" s="4"/>
      <c r="F107" s="4"/>
      <c r="G107" s="21"/>
      <c r="H107" s="4">
        <v>32050</v>
      </c>
      <c r="I107" s="4"/>
      <c r="J107" s="4">
        <f t="shared" si="10"/>
        <v>297810</v>
      </c>
      <c r="K107" s="4"/>
      <c r="L107" s="1">
        <f>520837800/5380</f>
        <v>96810</v>
      </c>
    </row>
    <row r="108" spans="1:12" ht="18" customHeight="1">
      <c r="A108" s="18"/>
      <c r="B108" s="2"/>
      <c r="C108" s="2"/>
      <c r="D108" s="2"/>
      <c r="E108" s="4"/>
      <c r="F108" s="4"/>
      <c r="G108" s="40" t="s">
        <v>281</v>
      </c>
      <c r="H108" s="4">
        <v>31950</v>
      </c>
      <c r="I108" s="4"/>
      <c r="J108" s="4">
        <f t="shared" si="10"/>
        <v>265860</v>
      </c>
      <c r="K108" s="4"/>
      <c r="L108" s="1">
        <f>96280*5380</f>
        <v>517986400</v>
      </c>
    </row>
    <row r="109" spans="1:12" ht="18" customHeight="1">
      <c r="A109" s="18"/>
      <c r="B109" s="2"/>
      <c r="C109" s="2"/>
      <c r="D109" s="2"/>
      <c r="E109" s="4"/>
      <c r="F109" s="4"/>
      <c r="G109" s="40" t="s">
        <v>287</v>
      </c>
      <c r="H109" s="4">
        <v>33040</v>
      </c>
      <c r="I109" s="4"/>
      <c r="J109" s="4">
        <f t="shared" si="10"/>
        <v>232820</v>
      </c>
      <c r="K109" s="4"/>
    </row>
    <row r="110" spans="1:12" ht="18" customHeight="1">
      <c r="A110" s="18"/>
      <c r="B110" s="2"/>
      <c r="C110" s="2"/>
      <c r="D110" s="2"/>
      <c r="E110" s="4"/>
      <c r="F110" s="4"/>
      <c r="G110" s="21"/>
      <c r="H110" s="4">
        <v>31580</v>
      </c>
      <c r="I110" s="4"/>
      <c r="J110" s="4">
        <f t="shared" si="10"/>
        <v>201240</v>
      </c>
      <c r="K110" s="4"/>
    </row>
    <row r="111" spans="1:12" ht="18" customHeight="1">
      <c r="A111" s="18"/>
      <c r="B111" s="2"/>
      <c r="C111" s="2"/>
      <c r="D111" s="2"/>
      <c r="E111" s="4"/>
      <c r="F111" s="4"/>
      <c r="G111" s="21"/>
      <c r="H111" s="4">
        <v>32830</v>
      </c>
      <c r="I111" s="4"/>
      <c r="J111" s="4">
        <f t="shared" si="10"/>
        <v>168410</v>
      </c>
      <c r="K111" s="4"/>
      <c r="L111" s="3"/>
    </row>
    <row r="112" spans="1:12" ht="18" customHeight="1">
      <c r="A112" s="18"/>
      <c r="B112" s="2"/>
      <c r="C112" s="2"/>
      <c r="D112" s="2"/>
      <c r="E112" s="4"/>
      <c r="F112" s="4"/>
      <c r="G112" s="40" t="s">
        <v>307</v>
      </c>
      <c r="H112" s="36">
        <v>32000</v>
      </c>
      <c r="I112" s="4"/>
      <c r="J112" s="4">
        <f t="shared" si="10"/>
        <v>136410</v>
      </c>
      <c r="K112" s="4"/>
      <c r="L112" s="3"/>
    </row>
    <row r="113" spans="1:12" ht="18" customHeight="1">
      <c r="A113" s="18"/>
      <c r="B113" s="2"/>
      <c r="C113" s="2"/>
      <c r="D113" s="2"/>
      <c r="E113" s="4"/>
      <c r="F113" s="4"/>
      <c r="G113" s="40"/>
      <c r="H113" s="36">
        <v>32520</v>
      </c>
      <c r="I113" s="4"/>
      <c r="J113" s="4">
        <f t="shared" si="10"/>
        <v>103890</v>
      </c>
      <c r="K113" s="4"/>
      <c r="L113" s="3"/>
    </row>
    <row r="114" spans="1:12" ht="18" customHeight="1">
      <c r="A114" s="18"/>
      <c r="B114" s="2"/>
      <c r="C114" s="2"/>
      <c r="D114" s="2"/>
      <c r="E114" s="4"/>
      <c r="F114" s="4"/>
      <c r="G114" s="40"/>
      <c r="H114" s="36">
        <v>32185</v>
      </c>
      <c r="I114" s="4"/>
      <c r="J114" s="4">
        <f t="shared" si="10"/>
        <v>71705</v>
      </c>
      <c r="K114" s="4"/>
      <c r="L114" s="3"/>
    </row>
    <row r="115" spans="1:12" ht="18" customHeight="1">
      <c r="A115" s="18"/>
      <c r="B115" s="2"/>
      <c r="C115" s="2"/>
      <c r="D115" s="2"/>
      <c r="E115" s="4"/>
      <c r="F115" s="4"/>
      <c r="G115" s="40" t="s">
        <v>309</v>
      </c>
      <c r="H115" s="36">
        <v>31890</v>
      </c>
      <c r="I115" s="4"/>
      <c r="J115" s="4">
        <f t="shared" si="10"/>
        <v>39815</v>
      </c>
      <c r="K115" s="4"/>
      <c r="L115" s="3"/>
    </row>
    <row r="116" spans="1:12" ht="18" customHeight="1">
      <c r="A116" s="18"/>
      <c r="B116" s="2"/>
      <c r="C116" s="2"/>
      <c r="D116" s="2"/>
      <c r="E116" s="4"/>
      <c r="F116" s="4"/>
      <c r="G116" s="40"/>
      <c r="H116" s="36">
        <f>31825-17000</f>
        <v>14825</v>
      </c>
      <c r="I116" s="4"/>
      <c r="J116" s="4">
        <f t="shared" si="10"/>
        <v>24990</v>
      </c>
      <c r="K116" s="4"/>
      <c r="L116" s="3"/>
    </row>
    <row r="117" spans="1:12" ht="18" customHeight="1">
      <c r="A117" s="18"/>
      <c r="B117" s="2"/>
      <c r="C117" s="2"/>
      <c r="D117" s="2"/>
      <c r="E117" s="4"/>
      <c r="F117" s="4"/>
      <c r="G117" s="21"/>
      <c r="H117" s="4"/>
      <c r="I117" s="4"/>
      <c r="J117" s="4">
        <f>+J116-H117</f>
        <v>24990</v>
      </c>
      <c r="K117" s="4"/>
    </row>
    <row r="118" spans="1:12" ht="18" customHeight="1">
      <c r="A118" s="18"/>
      <c r="B118" s="2"/>
      <c r="C118" s="2"/>
      <c r="D118" s="2"/>
      <c r="E118" s="4"/>
      <c r="F118" s="4"/>
      <c r="G118" s="21"/>
      <c r="H118" s="49">
        <f>SUM(H104:H117)</f>
        <v>400630</v>
      </c>
      <c r="I118" s="49"/>
      <c r="J118" s="49"/>
      <c r="K118" s="4"/>
    </row>
    <row r="119" spans="1:12" ht="18" customHeight="1">
      <c r="A119" s="18" t="s">
        <v>13</v>
      </c>
      <c r="B119" s="60" t="s">
        <v>225</v>
      </c>
      <c r="C119" s="60" t="s">
        <v>214</v>
      </c>
      <c r="D119" s="60" t="s">
        <v>231</v>
      </c>
      <c r="E119" s="49">
        <v>400000</v>
      </c>
      <c r="F119" s="49">
        <v>5400</v>
      </c>
      <c r="G119" s="21"/>
      <c r="H119" s="49"/>
      <c r="I119" s="49"/>
      <c r="J119" s="49"/>
      <c r="K119" s="4"/>
    </row>
    <row r="120" spans="1:12" ht="18" customHeight="1">
      <c r="A120" s="18"/>
      <c r="B120" s="2"/>
      <c r="C120" s="2"/>
      <c r="D120" s="2"/>
      <c r="E120" s="4"/>
      <c r="F120" s="4"/>
      <c r="G120" s="40" t="s">
        <v>309</v>
      </c>
      <c r="H120" s="4">
        <v>17000</v>
      </c>
      <c r="I120" s="4">
        <v>5400</v>
      </c>
      <c r="J120" s="49">
        <f>E119-H120</f>
        <v>383000</v>
      </c>
      <c r="K120" s="4"/>
    </row>
    <row r="121" spans="1:12" ht="18" customHeight="1">
      <c r="A121" s="18"/>
      <c r="B121" s="2"/>
      <c r="C121" s="2"/>
      <c r="D121" s="2"/>
      <c r="E121" s="4"/>
      <c r="F121" s="4"/>
      <c r="G121" s="21" t="s">
        <v>333</v>
      </c>
      <c r="H121" s="4">
        <v>30970</v>
      </c>
      <c r="I121" s="49"/>
      <c r="J121" s="49">
        <f>J120-H121</f>
        <v>352030</v>
      </c>
      <c r="K121" s="4"/>
    </row>
    <row r="122" spans="1:12" ht="18" customHeight="1">
      <c r="A122" s="18"/>
      <c r="B122" s="2"/>
      <c r="C122" s="2"/>
      <c r="D122" s="2"/>
      <c r="E122" s="4"/>
      <c r="F122" s="4"/>
      <c r="G122" s="40" t="s">
        <v>332</v>
      </c>
      <c r="H122" s="4">
        <v>30450</v>
      </c>
      <c r="I122" s="49"/>
      <c r="J122" s="49">
        <f t="shared" ref="J122:J134" si="11">J121-H122</f>
        <v>321580</v>
      </c>
      <c r="K122" s="4"/>
    </row>
    <row r="123" spans="1:12" ht="18" customHeight="1">
      <c r="A123" s="18"/>
      <c r="B123" s="2"/>
      <c r="C123" s="2"/>
      <c r="D123" s="2"/>
      <c r="E123" s="4"/>
      <c r="F123" s="4"/>
      <c r="G123" s="40" t="s">
        <v>336</v>
      </c>
      <c r="H123" s="4">
        <v>32140</v>
      </c>
      <c r="I123" s="49"/>
      <c r="J123" s="49">
        <f t="shared" si="11"/>
        <v>289440</v>
      </c>
      <c r="K123" s="4"/>
    </row>
    <row r="124" spans="1:12" ht="18" customHeight="1">
      <c r="A124" s="18"/>
      <c r="B124" s="2"/>
      <c r="C124" s="2"/>
      <c r="D124" s="2"/>
      <c r="E124" s="4"/>
      <c r="F124" s="4"/>
      <c r="G124" s="40" t="s">
        <v>337</v>
      </c>
      <c r="H124" s="4">
        <v>31400</v>
      </c>
      <c r="I124" s="49"/>
      <c r="J124" s="49">
        <f t="shared" si="11"/>
        <v>258040</v>
      </c>
      <c r="K124" s="4"/>
    </row>
    <row r="125" spans="1:12" ht="18" customHeight="1">
      <c r="A125" s="18"/>
      <c r="B125" s="2"/>
      <c r="C125" s="2"/>
      <c r="D125" s="2"/>
      <c r="E125" s="4"/>
      <c r="F125" s="4"/>
      <c r="G125" s="40" t="s">
        <v>338</v>
      </c>
      <c r="H125" s="4">
        <v>33010</v>
      </c>
      <c r="I125" s="49"/>
      <c r="J125" s="49">
        <f t="shared" si="11"/>
        <v>225030</v>
      </c>
      <c r="K125" s="4"/>
    </row>
    <row r="126" spans="1:12" ht="18" customHeight="1">
      <c r="A126" s="18"/>
      <c r="B126" s="2"/>
      <c r="C126" s="2"/>
      <c r="D126" s="2"/>
      <c r="E126" s="4"/>
      <c r="F126" s="4"/>
      <c r="G126" s="40" t="s">
        <v>339</v>
      </c>
      <c r="H126" s="4">
        <v>30100</v>
      </c>
      <c r="I126" s="49"/>
      <c r="J126" s="49">
        <f t="shared" si="11"/>
        <v>194930</v>
      </c>
      <c r="K126" s="4"/>
    </row>
    <row r="127" spans="1:12" ht="18" customHeight="1">
      <c r="A127" s="18"/>
      <c r="B127" s="2"/>
      <c r="C127" s="2"/>
      <c r="D127" s="2"/>
      <c r="E127" s="4"/>
      <c r="F127" s="4"/>
      <c r="G127" s="40" t="s">
        <v>340</v>
      </c>
      <c r="H127" s="4">
        <v>32480</v>
      </c>
      <c r="I127" s="49"/>
      <c r="J127" s="49">
        <f t="shared" si="11"/>
        <v>162450</v>
      </c>
      <c r="K127" s="4"/>
    </row>
    <row r="128" spans="1:12" ht="18" customHeight="1">
      <c r="A128" s="18"/>
      <c r="B128" s="2"/>
      <c r="C128" s="2"/>
      <c r="D128" s="2"/>
      <c r="E128" s="4"/>
      <c r="F128" s="4"/>
      <c r="G128" s="40" t="s">
        <v>341</v>
      </c>
      <c r="H128" s="25">
        <v>31930</v>
      </c>
      <c r="I128" s="49"/>
      <c r="J128" s="49">
        <f t="shared" si="11"/>
        <v>130520</v>
      </c>
      <c r="K128" s="4"/>
    </row>
    <row r="129" spans="1:11" ht="18" customHeight="1">
      <c r="A129" s="18"/>
      <c r="B129" s="2"/>
      <c r="C129" s="2"/>
      <c r="D129" s="2"/>
      <c r="E129" s="4"/>
      <c r="F129" s="4"/>
      <c r="G129" s="40" t="s">
        <v>342</v>
      </c>
      <c r="H129" s="25">
        <v>32330</v>
      </c>
      <c r="I129" s="49"/>
      <c r="J129" s="49">
        <f t="shared" si="11"/>
        <v>98190</v>
      </c>
      <c r="K129" s="4" t="s">
        <v>404</v>
      </c>
    </row>
    <row r="130" spans="1:11" ht="18" customHeight="1">
      <c r="A130" s="18"/>
      <c r="B130" s="2"/>
      <c r="C130" s="2"/>
      <c r="D130" s="2"/>
      <c r="E130" s="4"/>
      <c r="F130" s="4"/>
      <c r="G130" s="21"/>
      <c r="H130" s="25">
        <v>31740</v>
      </c>
      <c r="I130" s="49"/>
      <c r="J130" s="49">
        <f t="shared" si="11"/>
        <v>66450</v>
      </c>
      <c r="K130" s="4"/>
    </row>
    <row r="131" spans="1:11" ht="18" customHeight="1">
      <c r="A131" s="18"/>
      <c r="B131" s="2"/>
      <c r="C131" s="2"/>
      <c r="D131" s="2"/>
      <c r="E131" s="4"/>
      <c r="F131" s="4"/>
      <c r="G131" s="40" t="s">
        <v>343</v>
      </c>
      <c r="H131" s="25">
        <v>31120</v>
      </c>
      <c r="I131" s="49"/>
      <c r="J131" s="49">
        <f t="shared" si="11"/>
        <v>35330</v>
      </c>
      <c r="K131" s="4"/>
    </row>
    <row r="132" spans="1:11" ht="18" customHeight="1">
      <c r="A132" s="18"/>
      <c r="B132" s="2"/>
      <c r="C132" s="2"/>
      <c r="D132" s="2"/>
      <c r="E132" s="4"/>
      <c r="F132" s="4"/>
      <c r="G132" s="40" t="s">
        <v>344</v>
      </c>
      <c r="H132" s="25">
        <v>36120</v>
      </c>
      <c r="I132" s="49"/>
      <c r="J132" s="49">
        <f t="shared" si="11"/>
        <v>-790</v>
      </c>
      <c r="K132" s="4"/>
    </row>
    <row r="133" spans="1:11" ht="18" customHeight="1">
      <c r="A133" s="18"/>
      <c r="B133" s="2"/>
      <c r="C133" s="2"/>
      <c r="D133" s="2"/>
      <c r="E133" s="4"/>
      <c r="F133" s="4"/>
      <c r="G133" s="21"/>
      <c r="H133" s="4"/>
      <c r="I133" s="49"/>
      <c r="J133" s="49">
        <f t="shared" si="11"/>
        <v>-790</v>
      </c>
      <c r="K133" s="4"/>
    </row>
    <row r="134" spans="1:11" ht="18" customHeight="1">
      <c r="A134" s="18"/>
      <c r="B134" s="2"/>
      <c r="C134" s="2"/>
      <c r="D134" s="2"/>
      <c r="E134" s="4"/>
      <c r="F134" s="4"/>
      <c r="G134" s="21"/>
      <c r="H134" s="49"/>
      <c r="I134" s="49"/>
      <c r="J134" s="49">
        <f t="shared" si="11"/>
        <v>-790</v>
      </c>
      <c r="K134" s="4"/>
    </row>
    <row r="135" spans="1:11" ht="18" customHeight="1">
      <c r="A135" s="18" t="s">
        <v>13</v>
      </c>
      <c r="B135" s="60" t="s">
        <v>225</v>
      </c>
      <c r="C135" s="2"/>
      <c r="D135" s="60" t="s">
        <v>229</v>
      </c>
      <c r="E135" s="49">
        <v>32000</v>
      </c>
      <c r="F135" s="49">
        <v>4650</v>
      </c>
      <c r="G135" s="61"/>
      <c r="H135" s="49"/>
      <c r="I135" s="49"/>
      <c r="J135" s="49"/>
      <c r="K135" s="49"/>
    </row>
    <row r="136" spans="1:11" ht="18" customHeight="1">
      <c r="A136" s="18"/>
      <c r="B136" s="2"/>
      <c r="C136" s="2"/>
      <c r="D136" s="2"/>
      <c r="E136" s="4"/>
      <c r="F136" s="4"/>
      <c r="G136" s="66" t="s">
        <v>230</v>
      </c>
      <c r="H136" s="49">
        <v>31720</v>
      </c>
      <c r="I136" s="49">
        <v>4650</v>
      </c>
      <c r="J136" s="4"/>
      <c r="K136" s="4"/>
    </row>
    <row r="137" spans="1:11" ht="18" customHeight="1">
      <c r="A137" s="18"/>
      <c r="B137" s="2"/>
      <c r="C137" s="2"/>
      <c r="D137" s="2"/>
      <c r="E137" s="4"/>
      <c r="F137" s="4"/>
      <c r="G137" s="66" t="s">
        <v>396</v>
      </c>
      <c r="H137" s="49">
        <v>33150</v>
      </c>
      <c r="I137" s="49">
        <v>5000</v>
      </c>
      <c r="J137" s="4"/>
      <c r="K137" s="4"/>
    </row>
    <row r="138" spans="1:11" ht="18" customHeight="1">
      <c r="A138" s="18"/>
      <c r="B138" s="2"/>
      <c r="C138" s="2"/>
      <c r="D138" s="2"/>
      <c r="E138" s="4"/>
      <c r="F138" s="4"/>
      <c r="G138" s="66"/>
      <c r="H138" s="49"/>
      <c r="I138" s="49"/>
      <c r="J138" s="4"/>
      <c r="K138" s="4"/>
    </row>
    <row r="139" spans="1:11" ht="18" customHeight="1">
      <c r="A139" s="55" t="s">
        <v>13</v>
      </c>
      <c r="B139" s="56" t="s">
        <v>225</v>
      </c>
      <c r="C139" s="56" t="s">
        <v>214</v>
      </c>
      <c r="D139" s="56" t="s">
        <v>268</v>
      </c>
      <c r="E139" s="57">
        <v>200000</v>
      </c>
      <c r="F139" s="57">
        <v>5620</v>
      </c>
      <c r="G139" s="58"/>
      <c r="H139" s="57"/>
      <c r="I139" s="57"/>
      <c r="J139" s="57"/>
      <c r="K139" s="57"/>
    </row>
    <row r="140" spans="1:11" ht="18" customHeight="1">
      <c r="A140" s="18"/>
      <c r="B140" s="2"/>
      <c r="C140" s="2"/>
      <c r="D140" s="2"/>
      <c r="E140" s="4"/>
      <c r="F140" s="4"/>
      <c r="G140" s="40" t="s">
        <v>356</v>
      </c>
      <c r="H140" s="4">
        <v>27100</v>
      </c>
      <c r="I140" s="4">
        <v>5620</v>
      </c>
      <c r="J140" s="4">
        <f>+E139-H140</f>
        <v>172900</v>
      </c>
      <c r="K140" s="4"/>
    </row>
    <row r="141" spans="1:11" ht="18" customHeight="1">
      <c r="A141" s="18"/>
      <c r="B141" s="2"/>
      <c r="C141" s="2"/>
      <c r="D141" s="2"/>
      <c r="E141" s="4"/>
      <c r="F141" s="4"/>
      <c r="G141" s="40" t="s">
        <v>361</v>
      </c>
      <c r="H141" s="4">
        <v>26910</v>
      </c>
      <c r="I141" s="4">
        <v>5620</v>
      </c>
      <c r="J141" s="4">
        <f>+J140-H141</f>
        <v>145990</v>
      </c>
      <c r="K141" s="4"/>
    </row>
    <row r="142" spans="1:11" ht="18" customHeight="1">
      <c r="A142" s="18"/>
      <c r="B142" s="2"/>
      <c r="C142" s="2"/>
      <c r="D142" s="2"/>
      <c r="E142" s="4"/>
      <c r="F142" s="4"/>
      <c r="G142" s="40" t="s">
        <v>362</v>
      </c>
      <c r="H142" s="4">
        <v>26750</v>
      </c>
      <c r="I142" s="4">
        <v>5620</v>
      </c>
      <c r="J142" s="4">
        <f t="shared" ref="J142:J147" si="12">+J141-H142</f>
        <v>119240</v>
      </c>
      <c r="K142" s="4"/>
    </row>
    <row r="143" spans="1:11" ht="18" customHeight="1">
      <c r="A143" s="18"/>
      <c r="B143" s="2"/>
      <c r="C143" s="2"/>
      <c r="D143" s="2"/>
      <c r="E143" s="4"/>
      <c r="F143" s="4"/>
      <c r="G143" s="40" t="s">
        <v>364</v>
      </c>
      <c r="H143" s="4">
        <v>26670</v>
      </c>
      <c r="I143" s="4">
        <v>5620</v>
      </c>
      <c r="J143" s="4">
        <f t="shared" si="12"/>
        <v>92570</v>
      </c>
      <c r="K143" s="4"/>
    </row>
    <row r="144" spans="1:11" ht="18" customHeight="1">
      <c r="A144" s="18"/>
      <c r="B144" s="2"/>
      <c r="C144" s="2"/>
      <c r="D144" s="2"/>
      <c r="E144" s="4"/>
      <c r="F144" s="4"/>
      <c r="G144" s="40" t="s">
        <v>366</v>
      </c>
      <c r="H144" s="4">
        <v>26800</v>
      </c>
      <c r="I144" s="4">
        <v>5620</v>
      </c>
      <c r="J144" s="4">
        <f t="shared" si="12"/>
        <v>65770</v>
      </c>
      <c r="K144" s="4"/>
    </row>
    <row r="145" spans="1:12" ht="18" customHeight="1">
      <c r="A145" s="18"/>
      <c r="B145" s="2"/>
      <c r="C145" s="2"/>
      <c r="D145" s="2"/>
      <c r="E145" s="4"/>
      <c r="F145" s="4"/>
      <c r="G145" s="40" t="s">
        <v>371</v>
      </c>
      <c r="H145" s="4">
        <v>26890</v>
      </c>
      <c r="I145" s="4">
        <v>5620</v>
      </c>
      <c r="J145" s="4">
        <f t="shared" si="12"/>
        <v>38880</v>
      </c>
      <c r="K145" s="4"/>
    </row>
    <row r="146" spans="1:12" ht="18" customHeight="1">
      <c r="A146" s="18"/>
      <c r="B146" s="2"/>
      <c r="C146" s="2"/>
      <c r="D146" s="2"/>
      <c r="E146" s="4"/>
      <c r="F146" s="4"/>
      <c r="G146" s="40" t="s">
        <v>457</v>
      </c>
      <c r="H146" s="4">
        <v>26420</v>
      </c>
      <c r="I146" s="4">
        <v>5620</v>
      </c>
      <c r="J146" s="4">
        <f t="shared" si="12"/>
        <v>12460</v>
      </c>
      <c r="K146" s="4"/>
    </row>
    <row r="147" spans="1:12" ht="18" customHeight="1">
      <c r="A147" s="18"/>
      <c r="B147" s="2"/>
      <c r="C147" s="2"/>
      <c r="D147" s="2"/>
      <c r="E147" s="4"/>
      <c r="F147" s="4"/>
      <c r="G147" s="21"/>
      <c r="H147" s="4"/>
      <c r="I147" s="4">
        <v>5620</v>
      </c>
      <c r="J147" s="4">
        <f t="shared" si="12"/>
        <v>12460</v>
      </c>
      <c r="K147" s="4"/>
    </row>
    <row r="148" spans="1:12" ht="18" customHeight="1">
      <c r="A148" s="55" t="s">
        <v>13</v>
      </c>
      <c r="B148" s="56" t="s">
        <v>225</v>
      </c>
      <c r="C148" s="60" t="s">
        <v>459</v>
      </c>
      <c r="D148" s="56" t="s">
        <v>268</v>
      </c>
      <c r="E148" s="49">
        <v>22000</v>
      </c>
      <c r="F148" s="49">
        <v>5930</v>
      </c>
      <c r="G148" s="66" t="s">
        <v>456</v>
      </c>
      <c r="H148" s="49">
        <v>22460</v>
      </c>
      <c r="I148" s="49">
        <v>5930</v>
      </c>
      <c r="J148" s="49"/>
      <c r="K148" s="49"/>
    </row>
    <row r="149" spans="1:12" ht="18" customHeight="1">
      <c r="A149" s="161"/>
      <c r="B149" s="162"/>
      <c r="C149" s="162"/>
      <c r="D149" s="162"/>
      <c r="E149" s="163"/>
      <c r="F149" s="163"/>
      <c r="G149" s="164"/>
      <c r="H149" s="163"/>
      <c r="I149" s="163"/>
      <c r="J149" s="163"/>
      <c r="K149" s="163"/>
    </row>
    <row r="150" spans="1:12" ht="18" customHeight="1">
      <c r="A150" s="18" t="s">
        <v>13</v>
      </c>
      <c r="B150" s="60" t="s">
        <v>561</v>
      </c>
      <c r="C150" s="60">
        <v>130</v>
      </c>
      <c r="D150" s="60" t="s">
        <v>465</v>
      </c>
      <c r="E150" s="49">
        <f>500000-500000*10%</f>
        <v>450000</v>
      </c>
      <c r="F150" s="49">
        <v>7330</v>
      </c>
      <c r="G150" s="61"/>
      <c r="H150" s="49"/>
      <c r="I150" s="49"/>
      <c r="J150" s="49"/>
      <c r="K150" s="49"/>
      <c r="L150" s="90">
        <f>E150*F152</f>
        <v>3388500000</v>
      </c>
    </row>
    <row r="151" spans="1:12" ht="18" customHeight="1">
      <c r="A151" s="18"/>
      <c r="B151" s="2" t="s">
        <v>482</v>
      </c>
      <c r="C151" s="2"/>
      <c r="D151" s="2"/>
      <c r="E151" s="101" t="s">
        <v>739</v>
      </c>
      <c r="F151" s="4"/>
      <c r="G151" s="40" t="s">
        <v>560</v>
      </c>
      <c r="H151" s="4">
        <v>32280</v>
      </c>
      <c r="I151" s="4"/>
      <c r="J151" s="4">
        <f>+E150-H151</f>
        <v>417720</v>
      </c>
      <c r="K151" s="4"/>
    </row>
    <row r="152" spans="1:12" ht="18" customHeight="1">
      <c r="A152" s="18"/>
      <c r="B152" s="2" t="s">
        <v>562</v>
      </c>
      <c r="C152" s="2"/>
      <c r="D152" s="2"/>
      <c r="E152" s="4"/>
      <c r="F152" s="49">
        <v>7530</v>
      </c>
      <c r="G152" s="21"/>
      <c r="H152" s="4">
        <v>31760</v>
      </c>
      <c r="I152" s="4"/>
      <c r="J152" s="4">
        <f>+J151-H152</f>
        <v>385960</v>
      </c>
      <c r="K152" s="4"/>
    </row>
    <row r="153" spans="1:12" ht="18" customHeight="1">
      <c r="A153" s="18"/>
      <c r="B153" s="2"/>
      <c r="C153" s="2"/>
      <c r="D153" s="2"/>
      <c r="E153" s="4"/>
      <c r="F153" s="4"/>
      <c r="G153" s="40" t="s">
        <v>564</v>
      </c>
      <c r="H153" s="4">
        <v>31800</v>
      </c>
      <c r="I153" s="4"/>
      <c r="J153" s="4">
        <f t="shared" ref="J153:J165" si="13">+J152-H153</f>
        <v>354160</v>
      </c>
      <c r="K153" s="4"/>
    </row>
    <row r="154" spans="1:12" ht="18" customHeight="1">
      <c r="A154" s="18"/>
      <c r="B154" s="2"/>
      <c r="C154" s="2"/>
      <c r="D154" s="2"/>
      <c r="E154" s="4"/>
      <c r="F154" s="4"/>
      <c r="G154" s="21"/>
      <c r="H154" s="4">
        <v>32420</v>
      </c>
      <c r="I154" s="4"/>
      <c r="J154" s="4">
        <f t="shared" si="13"/>
        <v>321740</v>
      </c>
      <c r="K154" s="4"/>
    </row>
    <row r="155" spans="1:12" ht="18" customHeight="1">
      <c r="A155" s="18"/>
      <c r="B155" s="2"/>
      <c r="C155" s="2"/>
      <c r="D155" s="2"/>
      <c r="E155" s="4"/>
      <c r="F155" s="4"/>
      <c r="G155" s="21"/>
      <c r="H155" s="4">
        <v>32430</v>
      </c>
      <c r="I155" s="4"/>
      <c r="J155" s="4">
        <f t="shared" si="13"/>
        <v>289310</v>
      </c>
      <c r="K155" s="4"/>
    </row>
    <row r="156" spans="1:12" ht="18" customHeight="1">
      <c r="A156" s="18"/>
      <c r="B156" s="2"/>
      <c r="C156" s="2"/>
      <c r="D156" s="2"/>
      <c r="E156" s="4"/>
      <c r="F156" s="4"/>
      <c r="G156" s="21"/>
      <c r="H156" s="4">
        <v>32300</v>
      </c>
      <c r="I156" s="4"/>
      <c r="J156" s="4">
        <f t="shared" si="13"/>
        <v>257010</v>
      </c>
      <c r="K156" s="4"/>
    </row>
    <row r="157" spans="1:12" ht="18" customHeight="1">
      <c r="A157" s="18"/>
      <c r="B157" s="2"/>
      <c r="C157" s="2"/>
      <c r="D157" s="2"/>
      <c r="E157" s="4"/>
      <c r="F157" s="4"/>
      <c r="G157" s="40" t="s">
        <v>565</v>
      </c>
      <c r="H157" s="4">
        <v>31490</v>
      </c>
      <c r="I157" s="4"/>
      <c r="J157" s="4">
        <f t="shared" si="13"/>
        <v>225520</v>
      </c>
      <c r="K157" s="4"/>
    </row>
    <row r="158" spans="1:12" ht="18" customHeight="1">
      <c r="A158" s="18"/>
      <c r="B158" s="2"/>
      <c r="C158" s="2"/>
      <c r="D158" s="2"/>
      <c r="E158" s="4"/>
      <c r="F158" s="4"/>
      <c r="G158" s="21"/>
      <c r="H158" s="4">
        <v>32240</v>
      </c>
      <c r="I158" s="4"/>
      <c r="J158" s="4">
        <f t="shared" si="13"/>
        <v>193280</v>
      </c>
      <c r="K158" s="4"/>
    </row>
    <row r="159" spans="1:12" ht="18" customHeight="1">
      <c r="A159" s="18"/>
      <c r="B159" s="2"/>
      <c r="C159" s="2"/>
      <c r="D159" s="2"/>
      <c r="E159" s="4"/>
      <c r="F159" s="4"/>
      <c r="G159" s="40" t="s">
        <v>592</v>
      </c>
      <c r="H159" s="4">
        <v>31100</v>
      </c>
      <c r="I159" s="4"/>
      <c r="J159" s="4">
        <f t="shared" si="13"/>
        <v>162180</v>
      </c>
      <c r="K159" s="4"/>
    </row>
    <row r="160" spans="1:12" ht="18" customHeight="1">
      <c r="A160" s="18"/>
      <c r="B160" s="2"/>
      <c r="C160" s="2"/>
      <c r="D160" s="2"/>
      <c r="E160" s="4"/>
      <c r="F160" s="4"/>
      <c r="G160" s="21"/>
      <c r="H160" s="4">
        <v>31730</v>
      </c>
      <c r="I160" s="4"/>
      <c r="J160" s="4">
        <f t="shared" si="13"/>
        <v>130450</v>
      </c>
      <c r="K160" s="4"/>
    </row>
    <row r="161" spans="1:12" ht="18" customHeight="1">
      <c r="A161" s="18"/>
      <c r="B161" s="2"/>
      <c r="C161" s="2"/>
      <c r="D161" s="2"/>
      <c r="E161" s="4"/>
      <c r="F161" s="4"/>
      <c r="G161" s="40" t="s">
        <v>594</v>
      </c>
      <c r="H161" s="4">
        <v>30890</v>
      </c>
      <c r="I161" s="4"/>
      <c r="J161" s="4">
        <f t="shared" si="13"/>
        <v>99560</v>
      </c>
      <c r="K161" s="4"/>
    </row>
    <row r="162" spans="1:12" ht="18" customHeight="1">
      <c r="A162" s="55"/>
      <c r="B162" s="24"/>
      <c r="C162" s="24"/>
      <c r="D162" s="24"/>
      <c r="E162" s="25"/>
      <c r="F162" s="25"/>
      <c r="G162" s="78" t="s">
        <v>597</v>
      </c>
      <c r="H162" s="25">
        <v>32170</v>
      </c>
      <c r="I162" s="25"/>
      <c r="J162" s="25">
        <f t="shared" si="13"/>
        <v>67390</v>
      </c>
      <c r="K162" s="4"/>
    </row>
    <row r="163" spans="1:12" ht="18" customHeight="1">
      <c r="A163" s="18"/>
      <c r="B163" s="2"/>
      <c r="C163" s="2"/>
      <c r="D163" s="2"/>
      <c r="E163" s="4"/>
      <c r="F163" s="4"/>
      <c r="G163" s="40" t="s">
        <v>738</v>
      </c>
      <c r="H163" s="4">
        <f>34540-92-35-315</f>
        <v>34098</v>
      </c>
      <c r="I163" s="4"/>
      <c r="J163" s="4">
        <f t="shared" si="13"/>
        <v>33292</v>
      </c>
      <c r="K163" s="4"/>
      <c r="L163" s="1" t="s">
        <v>791</v>
      </c>
    </row>
    <row r="164" spans="1:12" ht="18" customHeight="1">
      <c r="A164" s="18"/>
      <c r="B164" s="2"/>
      <c r="C164" s="2"/>
      <c r="D164" s="2"/>
      <c r="E164" s="4"/>
      <c r="F164" s="4"/>
      <c r="G164" s="40"/>
      <c r="H164" s="4">
        <v>32460</v>
      </c>
      <c r="I164" s="4"/>
      <c r="J164" s="4">
        <f t="shared" si="13"/>
        <v>832</v>
      </c>
      <c r="K164" s="4"/>
    </row>
    <row r="165" spans="1:12" ht="18" customHeight="1">
      <c r="A165" s="18"/>
      <c r="B165" s="2"/>
      <c r="C165" s="2"/>
      <c r="D165" s="2"/>
      <c r="E165" s="4"/>
      <c r="F165" s="4"/>
      <c r="G165" s="40"/>
      <c r="H165" s="4"/>
      <c r="I165" s="4"/>
      <c r="J165" s="4">
        <f t="shared" si="13"/>
        <v>832</v>
      </c>
      <c r="K165" s="4"/>
    </row>
    <row r="166" spans="1:12" ht="18" customHeight="1">
      <c r="A166" s="51"/>
      <c r="B166" s="52"/>
      <c r="C166" s="52"/>
      <c r="D166" s="52"/>
      <c r="E166" s="53"/>
      <c r="F166" s="53"/>
      <c r="G166" s="54"/>
      <c r="H166" s="53">
        <f>SUM(H151:H165)</f>
        <v>449168</v>
      </c>
      <c r="I166" s="53">
        <v>7530</v>
      </c>
      <c r="J166" s="53"/>
      <c r="K166" s="53"/>
    </row>
    <row r="167" spans="1:12" ht="18" customHeight="1">
      <c r="A167" s="18" t="s">
        <v>13</v>
      </c>
      <c r="B167" s="60" t="s">
        <v>561</v>
      </c>
      <c r="C167" s="60">
        <v>130</v>
      </c>
      <c r="D167" s="60" t="s">
        <v>465</v>
      </c>
      <c r="E167" s="49">
        <f>200000-200000*10%</f>
        <v>180000</v>
      </c>
      <c r="F167" s="49">
        <v>7400</v>
      </c>
      <c r="G167" s="61"/>
      <c r="H167" s="49"/>
      <c r="I167" s="49"/>
      <c r="J167" s="49"/>
      <c r="K167" s="49"/>
    </row>
    <row r="168" spans="1:12" ht="18" customHeight="1">
      <c r="A168" s="18"/>
      <c r="B168" s="2" t="s">
        <v>76</v>
      </c>
      <c r="C168" s="2"/>
      <c r="D168" s="2"/>
      <c r="E168" s="101" t="s">
        <v>739</v>
      </c>
      <c r="F168" s="4"/>
      <c r="G168" s="40" t="s">
        <v>738</v>
      </c>
      <c r="H168" s="36">
        <v>31040</v>
      </c>
      <c r="I168" s="4"/>
      <c r="J168" s="4">
        <f>E167-H168</f>
        <v>148960</v>
      </c>
      <c r="K168" s="4"/>
      <c r="L168" s="1" t="s">
        <v>790</v>
      </c>
    </row>
    <row r="169" spans="1:12" ht="18" customHeight="1">
      <c r="A169" s="18"/>
      <c r="B169" s="2" t="s">
        <v>563</v>
      </c>
      <c r="C169" s="2"/>
      <c r="D169" s="2"/>
      <c r="E169" s="4"/>
      <c r="F169" s="49">
        <v>7600</v>
      </c>
      <c r="G169" s="40" t="s">
        <v>741</v>
      </c>
      <c r="H169" s="36">
        <v>32410</v>
      </c>
      <c r="I169" s="4"/>
      <c r="J169" s="4">
        <f>J168-H169</f>
        <v>116550</v>
      </c>
      <c r="K169" s="4"/>
    </row>
    <row r="170" spans="1:12" ht="18" customHeight="1">
      <c r="A170" s="18"/>
      <c r="B170" s="2"/>
      <c r="C170" s="2"/>
      <c r="D170" s="2"/>
      <c r="E170" s="4"/>
      <c r="F170" s="4"/>
      <c r="G170" s="21"/>
      <c r="H170" s="36">
        <v>31560</v>
      </c>
      <c r="I170" s="4"/>
      <c r="J170" s="4">
        <f t="shared" ref="J170:J172" si="14">J169-H170</f>
        <v>84990</v>
      </c>
      <c r="K170" s="4"/>
    </row>
    <row r="171" spans="1:12" ht="18" customHeight="1">
      <c r="A171" s="18"/>
      <c r="B171" s="2"/>
      <c r="C171" s="2"/>
      <c r="D171" s="2"/>
      <c r="E171" s="4"/>
      <c r="F171" s="4"/>
      <c r="G171" s="40" t="s">
        <v>743</v>
      </c>
      <c r="H171" s="36">
        <v>24840</v>
      </c>
      <c r="I171" s="4"/>
      <c r="J171" s="4">
        <f t="shared" si="14"/>
        <v>60150</v>
      </c>
      <c r="K171" s="4"/>
    </row>
    <row r="172" spans="1:12" ht="18" customHeight="1">
      <c r="A172" s="18"/>
      <c r="B172" s="2"/>
      <c r="C172" s="2"/>
      <c r="D172" s="2"/>
      <c r="E172" s="4"/>
      <c r="F172" s="4"/>
      <c r="G172" s="40" t="s">
        <v>744</v>
      </c>
      <c r="H172" s="36">
        <v>25900</v>
      </c>
      <c r="I172" s="4"/>
      <c r="J172" s="4">
        <f t="shared" si="14"/>
        <v>34250</v>
      </c>
      <c r="K172" s="4"/>
    </row>
    <row r="173" spans="1:12" ht="18" customHeight="1">
      <c r="A173" s="18"/>
      <c r="B173" s="2"/>
      <c r="C173" s="2"/>
      <c r="D173" s="2"/>
      <c r="E173" s="4"/>
      <c r="F173" s="4"/>
      <c r="G173" s="40" t="s">
        <v>745</v>
      </c>
      <c r="H173" s="36">
        <v>22240</v>
      </c>
      <c r="I173" s="4"/>
      <c r="J173" s="4">
        <f>J172-H173</f>
        <v>12010</v>
      </c>
      <c r="K173" s="4"/>
    </row>
    <row r="174" spans="1:12" ht="18" customHeight="1">
      <c r="A174" s="128"/>
      <c r="B174" s="24"/>
      <c r="C174" s="24"/>
      <c r="D174" s="24"/>
      <c r="E174" s="25"/>
      <c r="F174" s="25"/>
      <c r="G174" s="26"/>
      <c r="H174" s="25">
        <f>SUM(H168:H173)</f>
        <v>167990</v>
      </c>
      <c r="I174" s="25"/>
      <c r="J174" s="25"/>
      <c r="K174" s="25"/>
    </row>
    <row r="175" spans="1:12" ht="18" customHeight="1">
      <c r="A175" s="18" t="s">
        <v>13</v>
      </c>
      <c r="B175" s="60" t="s">
        <v>225</v>
      </c>
      <c r="C175" s="60">
        <v>170</v>
      </c>
      <c r="D175" s="60" t="s">
        <v>160</v>
      </c>
      <c r="E175" s="49">
        <v>200000</v>
      </c>
      <c r="F175" s="49">
        <v>6180</v>
      </c>
      <c r="G175" s="61"/>
      <c r="H175" s="49"/>
      <c r="I175" s="49"/>
      <c r="J175" s="49"/>
      <c r="K175" s="49"/>
    </row>
    <row r="176" spans="1:12" ht="18" customHeight="1">
      <c r="A176" s="18"/>
      <c r="B176" s="2" t="s">
        <v>76</v>
      </c>
      <c r="C176" s="2"/>
      <c r="D176" s="2"/>
      <c r="E176" s="4"/>
      <c r="F176" s="4"/>
      <c r="G176" s="40" t="s">
        <v>625</v>
      </c>
      <c r="H176" s="4">
        <v>26930</v>
      </c>
      <c r="I176" s="4"/>
      <c r="J176" s="4">
        <f>+E175-H176</f>
        <v>173070</v>
      </c>
      <c r="K176" s="4"/>
    </row>
    <row r="177" spans="1:11" ht="18" customHeight="1">
      <c r="A177" s="18"/>
      <c r="B177" s="2"/>
      <c r="C177" s="2"/>
      <c r="D177" s="2"/>
      <c r="E177" s="4"/>
      <c r="F177" s="4"/>
      <c r="G177" s="40" t="s">
        <v>626</v>
      </c>
      <c r="H177" s="4">
        <v>3900</v>
      </c>
      <c r="I177" s="4"/>
      <c r="J177" s="4">
        <f>J176-H177</f>
        <v>169170</v>
      </c>
      <c r="K177" s="4"/>
    </row>
    <row r="178" spans="1:11" ht="18" customHeight="1">
      <c r="A178" s="18"/>
      <c r="B178" s="2"/>
      <c r="C178" s="2"/>
      <c r="D178" s="2"/>
      <c r="E178" s="4"/>
      <c r="F178" s="4"/>
      <c r="G178" s="21"/>
      <c r="H178" s="4"/>
      <c r="I178" s="4"/>
      <c r="J178" s="4">
        <f t="shared" ref="J178:J181" si="15">J177-H178</f>
        <v>169170</v>
      </c>
      <c r="K178" s="4"/>
    </row>
    <row r="179" spans="1:11" ht="18" customHeight="1">
      <c r="A179" s="18"/>
      <c r="B179" s="2"/>
      <c r="C179" s="2"/>
      <c r="D179" s="2"/>
      <c r="E179" s="4"/>
      <c r="F179" s="4"/>
      <c r="G179" s="21"/>
      <c r="H179" s="4"/>
      <c r="I179" s="4"/>
      <c r="J179" s="4">
        <f t="shared" si="15"/>
        <v>169170</v>
      </c>
      <c r="K179" s="4"/>
    </row>
    <row r="180" spans="1:11" ht="18" customHeight="1">
      <c r="A180" s="18"/>
      <c r="B180" s="2"/>
      <c r="C180" s="2"/>
      <c r="D180" s="2"/>
      <c r="E180" s="4"/>
      <c r="F180" s="4"/>
      <c r="G180" s="21"/>
      <c r="H180" s="4"/>
      <c r="I180" s="4"/>
      <c r="J180" s="4">
        <f t="shared" si="15"/>
        <v>169170</v>
      </c>
      <c r="K180" s="4"/>
    </row>
    <row r="181" spans="1:11" ht="18" customHeight="1">
      <c r="A181" s="18"/>
      <c r="B181" s="2"/>
      <c r="C181" s="2"/>
      <c r="D181" s="2"/>
      <c r="E181" s="4"/>
      <c r="F181" s="4"/>
      <c r="G181" s="21"/>
      <c r="H181" s="4"/>
      <c r="I181" s="4"/>
      <c r="J181" s="4">
        <f t="shared" si="15"/>
        <v>169170</v>
      </c>
      <c r="K181" s="4"/>
    </row>
    <row r="182" spans="1:11" ht="18" customHeight="1">
      <c r="A182" s="18"/>
      <c r="B182" s="2"/>
      <c r="C182" s="2"/>
      <c r="D182" s="2"/>
      <c r="E182" s="4"/>
      <c r="F182" s="4"/>
      <c r="G182" s="21"/>
      <c r="H182" s="4"/>
      <c r="I182" s="4"/>
      <c r="J182" s="4"/>
      <c r="K182" s="4"/>
    </row>
    <row r="183" spans="1:11" ht="18" customHeight="1">
      <c r="A183" s="18"/>
      <c r="B183" s="2"/>
      <c r="C183" s="2"/>
      <c r="D183" s="2"/>
      <c r="E183" s="4"/>
      <c r="F183" s="4"/>
      <c r="G183" s="21"/>
      <c r="H183" s="4"/>
      <c r="I183" s="4"/>
      <c r="J183" s="4"/>
      <c r="K183" s="4"/>
    </row>
    <row r="184" spans="1:11" ht="18" customHeight="1">
      <c r="A184" s="18"/>
      <c r="B184" s="2"/>
      <c r="C184" s="2"/>
      <c r="D184" s="2"/>
      <c r="E184" s="4"/>
      <c r="F184" s="4"/>
      <c r="G184" s="21"/>
      <c r="H184" s="4"/>
      <c r="I184" s="4"/>
      <c r="J184" s="4"/>
      <c r="K184" s="4"/>
    </row>
    <row r="185" spans="1:11" ht="18" customHeight="1">
      <c r="A185" s="55"/>
      <c r="B185" s="56" t="s">
        <v>235</v>
      </c>
      <c r="C185" s="56"/>
      <c r="D185" s="56"/>
      <c r="E185" s="57"/>
      <c r="F185" s="57"/>
      <c r="G185" s="58"/>
      <c r="H185" s="57">
        <f>SUM(H176:H184)</f>
        <v>30830</v>
      </c>
      <c r="I185" s="57"/>
      <c r="J185" s="57"/>
      <c r="K185" s="57"/>
    </row>
    <row r="186" spans="1:11" s="15" customFormat="1" ht="18" customHeight="1">
      <c r="A186" s="18" t="s">
        <v>13</v>
      </c>
      <c r="B186" s="60" t="s">
        <v>225</v>
      </c>
      <c r="C186" s="60"/>
      <c r="D186" s="60" t="s">
        <v>34</v>
      </c>
      <c r="E186" s="49">
        <v>60000</v>
      </c>
      <c r="F186" s="49">
        <v>9050</v>
      </c>
      <c r="G186" s="61"/>
      <c r="H186" s="49"/>
      <c r="I186" s="49"/>
      <c r="J186" s="49"/>
      <c r="K186" s="49"/>
    </row>
    <row r="187" spans="1:11" ht="18" customHeight="1">
      <c r="A187" s="18"/>
      <c r="B187" s="2"/>
      <c r="C187" s="2"/>
      <c r="D187" s="2"/>
      <c r="E187" s="4"/>
      <c r="F187" s="4"/>
      <c r="G187" s="40" t="s">
        <v>636</v>
      </c>
      <c r="H187" s="4">
        <v>25990</v>
      </c>
      <c r="I187" s="4">
        <f>+E186-H187</f>
        <v>34010</v>
      </c>
      <c r="J187" s="4"/>
      <c r="K187" s="4"/>
    </row>
    <row r="188" spans="1:11" ht="18" customHeight="1">
      <c r="A188" s="18"/>
      <c r="B188" s="2"/>
      <c r="C188" s="2"/>
      <c r="D188" s="2"/>
      <c r="E188" s="4"/>
      <c r="F188" s="4"/>
      <c r="G188" s="40" t="s">
        <v>641</v>
      </c>
      <c r="H188" s="4">
        <v>26120</v>
      </c>
      <c r="I188" s="4">
        <f>I187-H188</f>
        <v>7890</v>
      </c>
      <c r="J188" s="4"/>
      <c r="K188" s="4"/>
    </row>
    <row r="189" spans="1:11" ht="18" customHeight="1">
      <c r="A189" s="55"/>
      <c r="B189" s="56" t="s">
        <v>235</v>
      </c>
      <c r="C189" s="56"/>
      <c r="D189" s="56"/>
      <c r="E189" s="57"/>
      <c r="F189" s="57"/>
      <c r="G189" s="58"/>
      <c r="H189" s="57">
        <f>SUM(H187:H188)</f>
        <v>52110</v>
      </c>
      <c r="I189" s="57"/>
      <c r="J189" s="25"/>
      <c r="K189" s="25"/>
    </row>
    <row r="190" spans="1:11" ht="18" customHeight="1">
      <c r="A190" s="18" t="s">
        <v>29</v>
      </c>
      <c r="B190" s="60" t="s">
        <v>225</v>
      </c>
      <c r="C190" s="60"/>
      <c r="D190" s="60" t="s">
        <v>34</v>
      </c>
      <c r="E190" s="49">
        <v>130000</v>
      </c>
      <c r="F190" s="49">
        <v>8500</v>
      </c>
      <c r="G190" s="61"/>
      <c r="H190" s="4"/>
      <c r="I190" s="4"/>
      <c r="J190" s="4"/>
      <c r="K190" s="4">
        <f>+F190*E190</f>
        <v>1105000000</v>
      </c>
    </row>
    <row r="191" spans="1:11" ht="18" customHeight="1">
      <c r="A191" s="18"/>
      <c r="B191" s="60" t="s">
        <v>665</v>
      </c>
      <c r="C191" s="60"/>
      <c r="D191" s="60"/>
      <c r="E191" s="49"/>
      <c r="F191" s="49"/>
      <c r="G191" s="66" t="s">
        <v>746</v>
      </c>
      <c r="H191" s="4">
        <v>26190</v>
      </c>
      <c r="I191" s="4"/>
      <c r="J191" s="4">
        <f>+E190-H191</f>
        <v>103810</v>
      </c>
      <c r="K191" s="4"/>
    </row>
    <row r="192" spans="1:11" ht="18" customHeight="1">
      <c r="A192" s="18"/>
      <c r="B192" s="2"/>
      <c r="C192" s="2"/>
      <c r="D192" s="2"/>
      <c r="E192" s="4"/>
      <c r="F192" s="4"/>
      <c r="G192" s="40" t="s">
        <v>750</v>
      </c>
      <c r="H192" s="4">
        <v>23320</v>
      </c>
      <c r="I192" s="4"/>
      <c r="J192" s="4">
        <f>+J191-H192</f>
        <v>80490</v>
      </c>
      <c r="K192" s="4"/>
    </row>
    <row r="193" spans="1:11" ht="18" customHeight="1">
      <c r="A193" s="18"/>
      <c r="B193" s="2"/>
      <c r="C193" s="2"/>
      <c r="D193" s="2"/>
      <c r="E193" s="4"/>
      <c r="F193" s="4"/>
      <c r="G193" s="40" t="s">
        <v>753</v>
      </c>
      <c r="H193" s="4">
        <v>25820</v>
      </c>
      <c r="I193" s="4"/>
      <c r="J193" s="4">
        <f t="shared" ref="J193:J196" si="16">+J192-H193</f>
        <v>54670</v>
      </c>
      <c r="K193" s="4"/>
    </row>
    <row r="194" spans="1:11" ht="18" customHeight="1">
      <c r="A194" s="18"/>
      <c r="B194" s="2"/>
      <c r="C194" s="2"/>
      <c r="D194" s="2"/>
      <c r="E194" s="4"/>
      <c r="F194" s="4"/>
      <c r="G194" s="40" t="s">
        <v>795</v>
      </c>
      <c r="H194" s="4">
        <v>25980</v>
      </c>
      <c r="I194" s="4"/>
      <c r="J194" s="4">
        <f t="shared" si="16"/>
        <v>28690</v>
      </c>
      <c r="K194" s="4"/>
    </row>
    <row r="195" spans="1:11" ht="18" customHeight="1">
      <c r="A195" s="18"/>
      <c r="B195" s="2"/>
      <c r="C195" s="2"/>
      <c r="D195" s="2"/>
      <c r="E195" s="4"/>
      <c r="F195" s="4"/>
      <c r="G195" s="40" t="s">
        <v>799</v>
      </c>
      <c r="H195" s="4">
        <v>26190</v>
      </c>
      <c r="I195" s="4"/>
      <c r="J195" s="4">
        <f t="shared" si="16"/>
        <v>2500</v>
      </c>
      <c r="K195" s="4"/>
    </row>
    <row r="196" spans="1:11" ht="18" customHeight="1">
      <c r="A196" s="18"/>
      <c r="B196" s="2"/>
      <c r="C196" s="2"/>
      <c r="D196" s="2"/>
      <c r="E196" s="4"/>
      <c r="F196" s="4"/>
      <c r="G196" s="40" t="s">
        <v>804</v>
      </c>
      <c r="H196" s="4">
        <v>26060</v>
      </c>
      <c r="I196" s="4"/>
      <c r="J196" s="4">
        <f t="shared" si="16"/>
        <v>-23560</v>
      </c>
      <c r="K196" s="4"/>
    </row>
    <row r="197" spans="1:11" ht="18" customHeight="1">
      <c r="A197" s="55"/>
      <c r="B197" s="24"/>
      <c r="C197" s="24"/>
      <c r="D197" s="24"/>
      <c r="E197" s="25"/>
      <c r="F197" s="25"/>
      <c r="G197" s="26"/>
      <c r="H197" s="57">
        <f>SUM(H191:H196)</f>
        <v>153560</v>
      </c>
      <c r="I197" s="25"/>
      <c r="J197" s="25"/>
      <c r="K197" s="25"/>
    </row>
    <row r="198" spans="1:11" ht="18" customHeight="1">
      <c r="A198" s="18" t="s">
        <v>13</v>
      </c>
      <c r="B198" s="60" t="s">
        <v>225</v>
      </c>
      <c r="C198" s="60"/>
      <c r="D198" s="60"/>
      <c r="E198" s="49"/>
      <c r="F198" s="49"/>
      <c r="G198" s="61"/>
      <c r="H198" s="4"/>
      <c r="I198" s="4"/>
      <c r="J198" s="4"/>
      <c r="K198" s="4"/>
    </row>
    <row r="199" spans="1:11" ht="18" customHeight="1">
      <c r="A199" s="18"/>
      <c r="B199" s="60" t="s">
        <v>764</v>
      </c>
      <c r="C199" s="60"/>
      <c r="D199" s="60" t="s">
        <v>763</v>
      </c>
      <c r="E199" s="49">
        <v>200000</v>
      </c>
      <c r="F199" s="49">
        <v>7350</v>
      </c>
      <c r="G199" s="61"/>
      <c r="H199" s="4"/>
      <c r="I199" s="4"/>
      <c r="J199" s="4"/>
      <c r="K199" s="4"/>
    </row>
    <row r="200" spans="1:11" ht="18" customHeight="1">
      <c r="A200" s="18"/>
      <c r="B200" s="2"/>
      <c r="C200" s="2"/>
      <c r="D200" s="2"/>
      <c r="E200" s="4"/>
      <c r="F200" s="4"/>
      <c r="G200" s="40" t="s">
        <v>123</v>
      </c>
      <c r="H200" s="4">
        <f>23960-60</f>
        <v>23900</v>
      </c>
      <c r="I200" s="4"/>
      <c r="J200" s="4">
        <f>+E199-H200</f>
        <v>176100</v>
      </c>
      <c r="K200" s="4"/>
    </row>
    <row r="201" spans="1:11" ht="18" customHeight="1">
      <c r="A201" s="18"/>
      <c r="B201" s="2"/>
      <c r="C201" s="2"/>
      <c r="D201" s="2"/>
      <c r="E201" s="4"/>
      <c r="F201" s="4"/>
      <c r="G201" s="40" t="s">
        <v>813</v>
      </c>
      <c r="H201" s="4">
        <v>23760</v>
      </c>
      <c r="I201" s="4"/>
      <c r="J201" s="4">
        <f>+J200-H201</f>
        <v>152340</v>
      </c>
      <c r="K201" s="4"/>
    </row>
    <row r="202" spans="1:11" ht="18" customHeight="1">
      <c r="A202" s="18"/>
      <c r="B202" s="2"/>
      <c r="C202" s="2"/>
      <c r="D202" s="2"/>
      <c r="E202" s="4"/>
      <c r="F202" s="4"/>
      <c r="G202" s="21"/>
      <c r="H202" s="4">
        <v>23780</v>
      </c>
      <c r="I202" s="4"/>
      <c r="J202" s="4">
        <f t="shared" ref="J202:J207" si="17">+J201-H202</f>
        <v>128560</v>
      </c>
      <c r="K202" s="4"/>
    </row>
    <row r="203" spans="1:11" ht="18" customHeight="1">
      <c r="A203" s="18"/>
      <c r="B203" s="60"/>
      <c r="C203" s="2"/>
      <c r="D203" s="2"/>
      <c r="E203" s="4"/>
      <c r="F203" s="4"/>
      <c r="G203" s="40" t="s">
        <v>814</v>
      </c>
      <c r="H203" s="4">
        <v>23840</v>
      </c>
      <c r="I203" s="4"/>
      <c r="J203" s="4">
        <f t="shared" si="17"/>
        <v>104720</v>
      </c>
      <c r="K203" s="4"/>
    </row>
    <row r="204" spans="1:11" ht="18" customHeight="1">
      <c r="A204" s="18"/>
      <c r="B204" s="2"/>
      <c r="C204" s="2"/>
      <c r="D204" s="2"/>
      <c r="E204" s="4"/>
      <c r="F204" s="4"/>
      <c r="G204" s="40" t="s">
        <v>817</v>
      </c>
      <c r="H204" s="4">
        <v>23740</v>
      </c>
      <c r="I204" s="4"/>
      <c r="J204" s="4">
        <f t="shared" si="17"/>
        <v>80980</v>
      </c>
      <c r="K204" s="4"/>
    </row>
    <row r="205" spans="1:11" ht="18" customHeight="1">
      <c r="A205" s="18"/>
      <c r="B205" s="2"/>
      <c r="C205" s="2"/>
      <c r="D205" s="2"/>
      <c r="E205" s="4"/>
      <c r="F205" s="4"/>
      <c r="G205" s="40" t="s">
        <v>130</v>
      </c>
      <c r="H205" s="4">
        <v>23780</v>
      </c>
      <c r="I205" s="4"/>
      <c r="J205" s="4">
        <f t="shared" si="17"/>
        <v>57200</v>
      </c>
      <c r="K205" s="4"/>
    </row>
    <row r="206" spans="1:11" ht="18" customHeight="1">
      <c r="A206" s="18"/>
      <c r="B206" s="2"/>
      <c r="C206" s="2"/>
      <c r="D206" s="2"/>
      <c r="E206" s="4"/>
      <c r="F206" s="4"/>
      <c r="G206" s="40" t="s">
        <v>131</v>
      </c>
      <c r="H206" s="4">
        <v>23980</v>
      </c>
      <c r="I206" s="4"/>
      <c r="J206" s="4">
        <f t="shared" si="17"/>
        <v>33220</v>
      </c>
      <c r="K206" s="4"/>
    </row>
    <row r="207" spans="1:11" ht="18" customHeight="1">
      <c r="A207" s="18"/>
      <c r="B207" s="2"/>
      <c r="C207" s="2"/>
      <c r="D207" s="2"/>
      <c r="E207" s="4"/>
      <c r="F207" s="4"/>
      <c r="G207" s="40" t="s">
        <v>824</v>
      </c>
      <c r="H207" s="4">
        <v>23960</v>
      </c>
      <c r="I207" s="4"/>
      <c r="J207" s="4">
        <f t="shared" si="17"/>
        <v>9260</v>
      </c>
      <c r="K207" s="4"/>
    </row>
    <row r="208" spans="1:11" ht="18" customHeight="1">
      <c r="A208" s="128"/>
      <c r="B208" s="24"/>
      <c r="C208" s="24"/>
      <c r="D208" s="24"/>
      <c r="E208" s="25"/>
      <c r="F208" s="25"/>
      <c r="G208" s="26"/>
      <c r="H208" s="57">
        <f>SUM(H200:H207)</f>
        <v>190740</v>
      </c>
      <c r="I208" s="25"/>
      <c r="J208" s="25"/>
      <c r="K208" s="25"/>
    </row>
    <row r="209" spans="1:11" ht="18" customHeight="1">
      <c r="A209" s="18" t="s">
        <v>13</v>
      </c>
      <c r="B209" s="60" t="s">
        <v>225</v>
      </c>
      <c r="C209" s="60"/>
      <c r="D209" s="60" t="s">
        <v>34</v>
      </c>
      <c r="E209" s="49">
        <v>260000</v>
      </c>
      <c r="F209" s="49">
        <v>8400</v>
      </c>
      <c r="G209" s="21"/>
      <c r="H209" s="4"/>
      <c r="I209" s="4"/>
      <c r="J209" s="4"/>
      <c r="K209" s="4"/>
    </row>
    <row r="210" spans="1:11" ht="18" customHeight="1">
      <c r="A210" s="18"/>
      <c r="B210" s="60" t="s">
        <v>811</v>
      </c>
      <c r="C210" s="60"/>
      <c r="D210" s="60"/>
      <c r="E210" s="49"/>
      <c r="F210" s="49"/>
      <c r="G210" s="40" t="s">
        <v>122</v>
      </c>
      <c r="H210" s="4">
        <v>23240</v>
      </c>
      <c r="I210" s="4">
        <v>8400</v>
      </c>
      <c r="J210" s="4">
        <f>+E209-H210</f>
        <v>236760</v>
      </c>
      <c r="K210" s="4"/>
    </row>
    <row r="211" spans="1:11" ht="18" customHeight="1">
      <c r="A211" s="18"/>
      <c r="B211" s="2" t="s">
        <v>812</v>
      </c>
      <c r="C211" s="2"/>
      <c r="D211" s="2"/>
      <c r="E211" s="4"/>
      <c r="F211" s="4"/>
      <c r="G211" s="40" t="s">
        <v>814</v>
      </c>
      <c r="H211" s="4">
        <v>23130</v>
      </c>
      <c r="I211" s="4">
        <v>8400</v>
      </c>
      <c r="J211" s="4">
        <f>+J210-H211</f>
        <v>213630</v>
      </c>
      <c r="K211" s="4"/>
    </row>
    <row r="212" spans="1:11" ht="18" customHeight="1">
      <c r="A212" s="18"/>
      <c r="B212" s="2"/>
      <c r="C212" s="2"/>
      <c r="D212" s="2"/>
      <c r="E212" s="4"/>
      <c r="F212" s="4"/>
      <c r="G212" s="40" t="s">
        <v>825</v>
      </c>
      <c r="H212" s="4">
        <v>25910</v>
      </c>
      <c r="I212" s="4">
        <v>8400</v>
      </c>
      <c r="J212" s="4">
        <f t="shared" ref="J212:J220" si="18">+J211-H212</f>
        <v>187720</v>
      </c>
      <c r="K212" s="4"/>
    </row>
    <row r="213" spans="1:11" ht="18" customHeight="1">
      <c r="A213" s="18"/>
      <c r="B213" s="2"/>
      <c r="C213" s="2"/>
      <c r="D213" s="2"/>
      <c r="E213" s="4"/>
      <c r="F213" s="4"/>
      <c r="G213" s="40" t="s">
        <v>834</v>
      </c>
      <c r="H213" s="4">
        <v>26100</v>
      </c>
      <c r="I213" s="4">
        <v>8400</v>
      </c>
      <c r="J213" s="4">
        <f t="shared" si="18"/>
        <v>161620</v>
      </c>
      <c r="K213" s="4"/>
    </row>
    <row r="214" spans="1:11" ht="18" customHeight="1">
      <c r="A214" s="18"/>
      <c r="B214" s="2"/>
      <c r="C214" s="2"/>
      <c r="D214" s="2"/>
      <c r="E214" s="4"/>
      <c r="F214" s="4"/>
      <c r="G214" s="40" t="s">
        <v>146</v>
      </c>
      <c r="H214" s="4">
        <v>25920</v>
      </c>
      <c r="I214" s="4">
        <v>8400</v>
      </c>
      <c r="J214" s="4">
        <f t="shared" si="18"/>
        <v>135700</v>
      </c>
      <c r="K214" s="4"/>
    </row>
    <row r="215" spans="1:11" ht="18" customHeight="1">
      <c r="A215" s="18"/>
      <c r="B215" s="2"/>
      <c r="C215" s="2"/>
      <c r="D215" s="2"/>
      <c r="E215" s="4"/>
      <c r="F215" s="4"/>
      <c r="G215" s="40" t="s">
        <v>851</v>
      </c>
      <c r="H215" s="4">
        <v>18310</v>
      </c>
      <c r="I215" s="4"/>
      <c r="J215" s="4">
        <f t="shared" si="18"/>
        <v>117390</v>
      </c>
      <c r="K215" s="4"/>
    </row>
    <row r="216" spans="1:11" ht="18" customHeight="1">
      <c r="A216" s="18"/>
      <c r="B216" s="2"/>
      <c r="C216" s="2"/>
      <c r="D216" s="2"/>
      <c r="E216" s="4"/>
      <c r="F216" s="4"/>
      <c r="G216" s="40" t="s">
        <v>855</v>
      </c>
      <c r="H216" s="4">
        <v>23470</v>
      </c>
      <c r="I216" s="4"/>
      <c r="J216" s="4">
        <f t="shared" si="18"/>
        <v>93920</v>
      </c>
      <c r="K216" s="4"/>
    </row>
    <row r="217" spans="1:11" ht="18" customHeight="1">
      <c r="A217" s="18"/>
      <c r="B217" s="39"/>
      <c r="C217" s="39"/>
      <c r="D217" s="39"/>
      <c r="E217" s="4"/>
      <c r="F217" s="4"/>
      <c r="G217" s="40" t="s">
        <v>861</v>
      </c>
      <c r="H217" s="4">
        <v>23240</v>
      </c>
      <c r="I217" s="4"/>
      <c r="J217" s="4">
        <f t="shared" si="18"/>
        <v>70680</v>
      </c>
      <c r="K217" s="4"/>
    </row>
    <row r="218" spans="1:11" ht="18" customHeight="1">
      <c r="A218" s="18"/>
      <c r="B218" s="39"/>
      <c r="C218" s="39"/>
      <c r="D218" s="39"/>
      <c r="E218" s="4"/>
      <c r="F218" s="4"/>
      <c r="G218" s="40" t="s">
        <v>869</v>
      </c>
      <c r="H218" s="4">
        <v>26080</v>
      </c>
      <c r="I218" s="4"/>
      <c r="J218" s="4">
        <f t="shared" si="18"/>
        <v>44600</v>
      </c>
      <c r="K218" s="4"/>
    </row>
    <row r="219" spans="1:11" ht="18" customHeight="1">
      <c r="A219" s="18"/>
      <c r="B219" s="39"/>
      <c r="C219" s="39"/>
      <c r="D219" s="39"/>
      <c r="E219" s="4"/>
      <c r="F219" s="4"/>
      <c r="G219" s="40" t="s">
        <v>233</v>
      </c>
      <c r="H219" s="4">
        <v>26190</v>
      </c>
      <c r="I219" s="4"/>
      <c r="J219" s="4">
        <f t="shared" si="18"/>
        <v>18410</v>
      </c>
      <c r="K219" s="4"/>
    </row>
    <row r="220" spans="1:11" ht="18" customHeight="1">
      <c r="A220" s="18"/>
      <c r="B220" s="39"/>
      <c r="C220" s="39"/>
      <c r="D220" s="39"/>
      <c r="E220" s="4"/>
      <c r="F220" s="4"/>
      <c r="G220" s="21"/>
      <c r="H220" s="4"/>
      <c r="I220" s="4"/>
      <c r="J220" s="4">
        <f t="shared" si="18"/>
        <v>18410</v>
      </c>
      <c r="K220" s="4"/>
    </row>
    <row r="221" spans="1:11" ht="18" customHeight="1">
      <c r="A221" s="281" t="s">
        <v>0</v>
      </c>
      <c r="B221" s="282"/>
      <c r="C221" s="35"/>
      <c r="D221" s="35"/>
      <c r="E221" s="5">
        <f>SUM(E6:E220)</f>
        <v>4574000</v>
      </c>
      <c r="F221" s="5"/>
      <c r="G221" s="5"/>
      <c r="H221" s="5">
        <f>SUM(H210:H220)</f>
        <v>241590</v>
      </c>
      <c r="I221" s="5"/>
      <c r="J221" s="5"/>
      <c r="K221" s="5"/>
    </row>
    <row r="222" spans="1:11" s="136" customFormat="1" ht="18" customHeight="1">
      <c r="A222" s="261" t="s">
        <v>13</v>
      </c>
      <c r="B222" s="260" t="s">
        <v>225</v>
      </c>
      <c r="C222" s="258"/>
      <c r="D222" s="258" t="s">
        <v>34</v>
      </c>
      <c r="E222" s="259">
        <v>156000</v>
      </c>
      <c r="F222" s="259">
        <v>8400</v>
      </c>
      <c r="G222" s="259"/>
      <c r="H222" s="259"/>
      <c r="I222" s="259"/>
      <c r="J222" s="259"/>
      <c r="K222" s="259"/>
    </row>
    <row r="223" spans="1:11" s="136" customFormat="1" ht="18" customHeight="1">
      <c r="A223" s="261"/>
      <c r="B223" s="260" t="s">
        <v>876</v>
      </c>
      <c r="C223" s="258"/>
      <c r="D223" s="258" t="s">
        <v>874</v>
      </c>
      <c r="E223" s="259"/>
      <c r="F223" s="259"/>
      <c r="G223" s="266" t="s">
        <v>240</v>
      </c>
      <c r="H223" s="267">
        <v>26240</v>
      </c>
      <c r="I223" s="259"/>
      <c r="J223" s="259">
        <f>+E222-H223</f>
        <v>129760</v>
      </c>
      <c r="K223" s="259"/>
    </row>
    <row r="224" spans="1:11" s="136" customFormat="1" ht="18" customHeight="1">
      <c r="A224" s="261"/>
      <c r="B224" s="260"/>
      <c r="C224" s="258"/>
      <c r="D224" s="258"/>
      <c r="E224" s="259"/>
      <c r="F224" s="259"/>
      <c r="G224" s="266" t="s">
        <v>885</v>
      </c>
      <c r="H224" s="267">
        <v>26010</v>
      </c>
      <c r="I224" s="259"/>
      <c r="J224" s="259">
        <f>+J223-H224</f>
        <v>103750</v>
      </c>
      <c r="K224" s="259"/>
    </row>
    <row r="225" spans="1:11" s="136" customFormat="1" ht="18" customHeight="1">
      <c r="A225" s="261"/>
      <c r="B225" s="260"/>
      <c r="C225" s="258"/>
      <c r="D225" s="258"/>
      <c r="E225" s="259"/>
      <c r="F225" s="259"/>
      <c r="G225" s="266" t="s">
        <v>252</v>
      </c>
      <c r="H225" s="267">
        <v>25780</v>
      </c>
      <c r="I225" s="259"/>
      <c r="J225" s="259">
        <f t="shared" ref="J225:J229" si="19">+J224-H225</f>
        <v>77970</v>
      </c>
      <c r="K225" s="259"/>
    </row>
    <row r="226" spans="1:11" s="136" customFormat="1" ht="18" customHeight="1">
      <c r="A226" s="261"/>
      <c r="B226" s="260"/>
      <c r="C226" s="258"/>
      <c r="D226" s="258"/>
      <c r="E226" s="259"/>
      <c r="F226" s="259"/>
      <c r="G226" s="267"/>
      <c r="H226" s="267"/>
      <c r="I226" s="259"/>
      <c r="J226" s="259">
        <f t="shared" si="19"/>
        <v>77970</v>
      </c>
      <c r="K226" s="259"/>
    </row>
    <row r="227" spans="1:11" s="136" customFormat="1" ht="18" customHeight="1">
      <c r="A227" s="261"/>
      <c r="B227" s="260"/>
      <c r="C227" s="258"/>
      <c r="D227" s="258"/>
      <c r="E227" s="259"/>
      <c r="F227" s="259"/>
      <c r="G227" s="267"/>
      <c r="H227" s="267"/>
      <c r="I227" s="259"/>
      <c r="J227" s="259">
        <f t="shared" si="19"/>
        <v>77970</v>
      </c>
      <c r="K227" s="259"/>
    </row>
    <row r="228" spans="1:11" s="136" customFormat="1" ht="18" customHeight="1">
      <c r="A228" s="261"/>
      <c r="B228" s="260"/>
      <c r="C228" s="258"/>
      <c r="D228" s="258"/>
      <c r="E228" s="259"/>
      <c r="F228" s="259"/>
      <c r="G228" s="259"/>
      <c r="H228" s="259"/>
      <c r="I228" s="259"/>
      <c r="J228" s="259">
        <f t="shared" si="19"/>
        <v>77970</v>
      </c>
      <c r="K228" s="259"/>
    </row>
    <row r="229" spans="1:11" s="136" customFormat="1" ht="18" customHeight="1">
      <c r="A229" s="261"/>
      <c r="B229" s="260"/>
      <c r="C229" s="258"/>
      <c r="D229" s="258"/>
      <c r="E229" s="259"/>
      <c r="F229" s="259"/>
      <c r="G229" s="259"/>
      <c r="H229" s="259"/>
      <c r="I229" s="259"/>
      <c r="J229" s="259">
        <f t="shared" si="19"/>
        <v>77970</v>
      </c>
      <c r="K229" s="259"/>
    </row>
    <row r="230" spans="1:11" s="136" customFormat="1" ht="18" customHeight="1">
      <c r="A230" s="262"/>
      <c r="B230" s="263" t="s">
        <v>347</v>
      </c>
      <c r="C230" s="264"/>
      <c r="D230" s="264"/>
      <c r="E230" s="265"/>
      <c r="F230" s="265"/>
      <c r="G230" s="265"/>
      <c r="H230" s="265">
        <f>SUM(H223:H229)</f>
        <v>78030</v>
      </c>
      <c r="I230" s="265"/>
      <c r="J230" s="265"/>
      <c r="K230" s="265"/>
    </row>
    <row r="231" spans="1:11" s="6" customFormat="1" ht="24.75" customHeight="1">
      <c r="A231" s="18" t="s">
        <v>13</v>
      </c>
      <c r="B231" s="2" t="s">
        <v>225</v>
      </c>
      <c r="C231" s="2"/>
      <c r="D231" s="2" t="s">
        <v>176</v>
      </c>
      <c r="E231" s="4">
        <f>28000*5</f>
        <v>140000</v>
      </c>
      <c r="F231" s="4">
        <v>4980</v>
      </c>
      <c r="G231" s="21"/>
      <c r="H231" s="4"/>
      <c r="I231" s="4"/>
      <c r="J231" s="4"/>
      <c r="K231" s="4"/>
    </row>
    <row r="232" spans="1:11" ht="18" customHeight="1">
      <c r="A232" s="18"/>
      <c r="B232" s="2"/>
      <c r="C232" s="2"/>
      <c r="D232" s="2"/>
      <c r="E232" s="4"/>
      <c r="F232" s="247"/>
      <c r="G232" s="249" t="s">
        <v>169</v>
      </c>
      <c r="H232" s="247">
        <v>28050</v>
      </c>
      <c r="I232" s="247"/>
      <c r="J232" s="253">
        <f>+E231-H232</f>
        <v>111950</v>
      </c>
      <c r="K232" s="246"/>
    </row>
    <row r="233" spans="1:11" ht="18" customHeight="1">
      <c r="A233" s="18"/>
      <c r="B233" s="2"/>
      <c r="C233" s="2"/>
      <c r="D233" s="2"/>
      <c r="E233" s="4"/>
      <c r="F233" s="4"/>
      <c r="G233" s="40" t="s">
        <v>861</v>
      </c>
      <c r="H233" s="4">
        <v>28205</v>
      </c>
      <c r="I233" s="4"/>
      <c r="J233" s="4">
        <f>+J232-H233</f>
        <v>83745</v>
      </c>
      <c r="K233" s="4"/>
    </row>
    <row r="234" spans="1:11" ht="18" customHeight="1">
      <c r="A234" s="18"/>
      <c r="B234" s="2"/>
      <c r="C234" s="2"/>
      <c r="D234" s="2"/>
      <c r="E234" s="4"/>
      <c r="F234" s="4"/>
      <c r="G234" s="40" t="s">
        <v>234</v>
      </c>
      <c r="H234" s="4">
        <v>28330</v>
      </c>
      <c r="I234" s="4"/>
      <c r="J234" s="4">
        <f t="shared" ref="J234:J236" si="20">+J233-H234</f>
        <v>55415</v>
      </c>
      <c r="K234" s="4"/>
    </row>
    <row r="235" spans="1:11" ht="18" customHeight="1">
      <c r="A235" s="18"/>
      <c r="B235" s="2"/>
      <c r="C235" s="2"/>
      <c r="D235" s="2"/>
      <c r="E235" s="4"/>
      <c r="F235" s="248"/>
      <c r="G235" s="248"/>
      <c r="H235" s="248"/>
      <c r="I235" s="248"/>
      <c r="J235" s="4">
        <f t="shared" si="20"/>
        <v>55415</v>
      </c>
      <c r="K235" s="2"/>
    </row>
    <row r="236" spans="1:11" ht="18" customHeight="1">
      <c r="A236" s="18"/>
      <c r="B236" s="2"/>
      <c r="C236" s="2"/>
      <c r="D236" s="2"/>
      <c r="E236" s="4"/>
      <c r="F236" s="4"/>
      <c r="G236" s="21"/>
      <c r="H236" s="4"/>
      <c r="I236" s="4"/>
      <c r="J236" s="4">
        <f t="shared" si="20"/>
        <v>55415</v>
      </c>
      <c r="K236" s="4"/>
    </row>
    <row r="237" spans="1:11" ht="18" customHeight="1">
      <c r="A237" s="55"/>
      <c r="B237" s="56"/>
      <c r="C237" s="56"/>
      <c r="D237" s="56"/>
      <c r="E237" s="57"/>
      <c r="F237" s="57"/>
      <c r="G237" s="58"/>
      <c r="H237" s="57">
        <f>SUM(H232:H236)</f>
        <v>84585</v>
      </c>
      <c r="I237" s="57"/>
      <c r="J237" s="57"/>
      <c r="K237" s="49"/>
    </row>
    <row r="238" spans="1:11" ht="18" customHeight="1">
      <c r="A238" s="18" t="s">
        <v>13</v>
      </c>
      <c r="B238" s="60" t="s">
        <v>225</v>
      </c>
      <c r="C238" s="60"/>
      <c r="D238" s="60" t="s">
        <v>176</v>
      </c>
      <c r="E238" s="4">
        <v>110000</v>
      </c>
      <c r="F238" s="4">
        <v>5000</v>
      </c>
      <c r="G238" s="21"/>
      <c r="H238" s="4"/>
      <c r="I238" s="4"/>
      <c r="J238" s="4"/>
      <c r="K238" s="4"/>
    </row>
    <row r="239" spans="1:11" ht="18" customHeight="1">
      <c r="A239" s="18"/>
      <c r="B239" s="2" t="s">
        <v>873</v>
      </c>
      <c r="C239" s="2"/>
      <c r="D239" s="2" t="s">
        <v>875</v>
      </c>
      <c r="E239" s="4"/>
      <c r="F239" s="4"/>
      <c r="G239" s="21"/>
      <c r="H239" s="4"/>
      <c r="I239" s="4"/>
      <c r="J239" s="4"/>
      <c r="K239" s="4"/>
    </row>
    <row r="240" spans="1:11" ht="18" customHeight="1">
      <c r="A240" s="18"/>
      <c r="B240" s="2"/>
      <c r="C240" s="2"/>
      <c r="D240" s="2"/>
      <c r="E240" s="4"/>
      <c r="F240" s="4"/>
      <c r="G240" s="21"/>
      <c r="H240" s="4"/>
      <c r="I240" s="4"/>
      <c r="J240" s="4"/>
      <c r="K240" s="4"/>
    </row>
    <row r="241" spans="1:11" ht="18" customHeight="1">
      <c r="A241" s="18"/>
      <c r="B241" s="2"/>
      <c r="C241" s="2"/>
      <c r="D241" s="2"/>
      <c r="E241" s="4"/>
      <c r="F241" s="4"/>
      <c r="G241" s="21"/>
      <c r="H241" s="4"/>
      <c r="I241" s="4"/>
      <c r="J241" s="4"/>
      <c r="K241" s="4"/>
    </row>
    <row r="242" spans="1:11" ht="18" customHeight="1">
      <c r="A242" s="18"/>
      <c r="B242" s="2"/>
      <c r="C242" s="2"/>
      <c r="D242" s="2"/>
      <c r="E242" s="4"/>
      <c r="F242" s="4"/>
      <c r="G242" s="21"/>
      <c r="H242" s="4"/>
      <c r="I242" s="4"/>
      <c r="J242" s="4"/>
      <c r="K242" s="4"/>
    </row>
    <row r="243" spans="1:11" ht="18" customHeight="1">
      <c r="A243" s="18"/>
      <c r="B243" s="2"/>
      <c r="C243" s="2"/>
      <c r="D243" s="2"/>
      <c r="E243" s="4"/>
      <c r="F243" s="4"/>
      <c r="G243" s="21"/>
      <c r="H243" s="4"/>
      <c r="I243" s="4"/>
      <c r="J243" s="4"/>
      <c r="K243" s="4"/>
    </row>
    <row r="244" spans="1:11" ht="18" customHeight="1">
      <c r="A244" s="18"/>
      <c r="B244" s="2"/>
      <c r="C244" s="2"/>
      <c r="D244" s="2"/>
      <c r="E244" s="4"/>
      <c r="F244" s="4"/>
      <c r="G244" s="21"/>
      <c r="H244" s="4"/>
      <c r="I244" s="4"/>
      <c r="J244" s="4"/>
      <c r="K244" s="4"/>
    </row>
    <row r="245" spans="1:11" ht="18" customHeight="1">
      <c r="A245" s="55"/>
      <c r="B245" s="56" t="s">
        <v>235</v>
      </c>
      <c r="C245" s="56"/>
      <c r="D245" s="56"/>
      <c r="E245" s="57"/>
      <c r="F245" s="57"/>
      <c r="G245" s="58"/>
      <c r="H245" s="57">
        <f>SUM(H239:H244)</f>
        <v>0</v>
      </c>
      <c r="I245" s="57"/>
      <c r="J245" s="57"/>
      <c r="K245" s="57"/>
    </row>
    <row r="246" spans="1:11" ht="18" customHeight="1">
      <c r="A246" s="18"/>
      <c r="B246" s="2"/>
      <c r="C246" s="2"/>
      <c r="D246" s="2"/>
      <c r="E246" s="4"/>
      <c r="F246" s="4"/>
      <c r="G246" s="21"/>
      <c r="H246" s="4"/>
      <c r="I246" s="4"/>
      <c r="J246" s="4"/>
      <c r="K246" s="4"/>
    </row>
    <row r="247" spans="1:11" ht="18" customHeight="1">
      <c r="A247" s="18"/>
      <c r="B247" s="2"/>
      <c r="C247" s="2"/>
      <c r="D247" s="2"/>
      <c r="E247" s="4"/>
      <c r="F247" s="4"/>
      <c r="G247" s="21"/>
      <c r="H247" s="4"/>
      <c r="I247" s="4"/>
      <c r="J247" s="4"/>
      <c r="K247" s="4"/>
    </row>
    <row r="248" spans="1:11">
      <c r="A248" s="18"/>
      <c r="B248" s="2"/>
      <c r="C248" s="2"/>
      <c r="D248" s="2"/>
      <c r="E248" s="4"/>
      <c r="F248" s="4"/>
      <c r="G248" s="21"/>
      <c r="H248" s="4"/>
      <c r="I248" s="4"/>
      <c r="J248" s="4"/>
      <c r="K248" s="4"/>
    </row>
  </sheetData>
  <mergeCells count="12">
    <mergeCell ref="A10:B10"/>
    <mergeCell ref="A17:B17"/>
    <mergeCell ref="A221:B221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2"/>
  <sheetViews>
    <sheetView workbookViewId="0">
      <pane xSplit="2" ySplit="1" topLeftCell="C11" activePane="bottomRight" state="frozen"/>
      <selection pane="topRight" activeCell="C1" sqref="C1"/>
      <selection pane="bottomLeft" activeCell="A11" sqref="A11"/>
      <selection pane="bottomRight" activeCell="Q41" sqref="Q41"/>
    </sheetView>
  </sheetViews>
  <sheetFormatPr defaultRowHeight="15"/>
  <cols>
    <col min="1" max="1" width="6.85546875" style="16" customWidth="1"/>
    <col min="2" max="2" width="20.85546875" style="1" customWidth="1"/>
    <col min="3" max="3" width="8" style="1" customWidth="1"/>
    <col min="4" max="5" width="6.7109375" style="1" customWidth="1"/>
    <col min="6" max="7" width="10.140625" style="3" customWidth="1"/>
    <col min="8" max="8" width="15.42578125" style="3" customWidth="1"/>
    <col min="9" max="9" width="8.5703125" style="19" customWidth="1"/>
    <col min="10" max="10" width="9.7109375" style="3" customWidth="1"/>
    <col min="11" max="11" width="10.140625" style="3" customWidth="1"/>
    <col min="12" max="12" width="15.5703125" style="3" customWidth="1"/>
    <col min="13" max="13" width="11.5703125" style="3" customWidth="1"/>
    <col min="14" max="14" width="9.42578125" style="3" customWidth="1"/>
    <col min="15" max="15" width="13.85546875" style="3" customWidth="1"/>
    <col min="16" max="16" width="13.5703125" style="1" customWidth="1"/>
    <col min="17" max="17" width="9.140625" style="1" customWidth="1"/>
    <col min="18" max="16384" width="9.140625" style="1"/>
  </cols>
  <sheetData>
    <row r="1" spans="1:17" ht="34.5" customHeight="1">
      <c r="A1" s="274" t="s">
        <v>121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7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3" spans="1:17" s="11" customFormat="1" ht="33" customHeight="1">
      <c r="A3" s="276" t="s">
        <v>11</v>
      </c>
      <c r="B3" s="276" t="s">
        <v>3</v>
      </c>
      <c r="C3" s="276" t="s">
        <v>10</v>
      </c>
      <c r="D3" s="276" t="s">
        <v>8</v>
      </c>
      <c r="E3" s="299" t="s">
        <v>196</v>
      </c>
      <c r="F3" s="300"/>
      <c r="G3" s="300"/>
      <c r="H3" s="301"/>
      <c r="I3" s="302" t="s">
        <v>197</v>
      </c>
      <c r="J3" s="303"/>
      <c r="K3" s="303"/>
      <c r="L3" s="304"/>
      <c r="M3" s="278" t="s">
        <v>199</v>
      </c>
      <c r="N3" s="278" t="s">
        <v>202</v>
      </c>
      <c r="O3" s="278" t="s">
        <v>203</v>
      </c>
      <c r="P3" s="305" t="s">
        <v>200</v>
      </c>
    </row>
    <row r="4" spans="1:17" s="11" customFormat="1" ht="32.25" customHeight="1">
      <c r="A4" s="277"/>
      <c r="B4" s="277"/>
      <c r="C4" s="277"/>
      <c r="D4" s="277"/>
      <c r="E4" s="44" t="s">
        <v>14</v>
      </c>
      <c r="F4" s="45" t="s">
        <v>9</v>
      </c>
      <c r="G4" s="45" t="s">
        <v>5</v>
      </c>
      <c r="H4" s="45" t="s">
        <v>86</v>
      </c>
      <c r="I4" s="47" t="s">
        <v>14</v>
      </c>
      <c r="J4" s="48" t="s">
        <v>201</v>
      </c>
      <c r="K4" s="48" t="s">
        <v>5</v>
      </c>
      <c r="L4" s="48" t="s">
        <v>87</v>
      </c>
      <c r="M4" s="278"/>
      <c r="N4" s="278"/>
      <c r="O4" s="278"/>
      <c r="P4" s="306"/>
    </row>
    <row r="5" spans="1:17" ht="18" customHeight="1">
      <c r="A5" s="18" t="s">
        <v>13</v>
      </c>
      <c r="B5" s="2" t="s">
        <v>35</v>
      </c>
      <c r="C5" s="2" t="s">
        <v>36</v>
      </c>
      <c r="D5" s="2" t="s">
        <v>85</v>
      </c>
      <c r="E5" s="46" t="s">
        <v>308</v>
      </c>
      <c r="F5" s="133">
        <f>32000+32520+32185</f>
        <v>96705</v>
      </c>
      <c r="G5" s="4">
        <v>6500</v>
      </c>
      <c r="H5" s="36">
        <f>+G5*F5</f>
        <v>628582500</v>
      </c>
      <c r="I5" s="40"/>
      <c r="J5" s="4"/>
      <c r="K5" s="4"/>
      <c r="L5" s="36">
        <f>J5*K5</f>
        <v>0</v>
      </c>
      <c r="M5" s="4">
        <f>F5-J5</f>
        <v>96705</v>
      </c>
      <c r="N5" s="4">
        <v>1260</v>
      </c>
      <c r="O5" s="36">
        <f>+J5*N5</f>
        <v>0</v>
      </c>
      <c r="P5" s="4"/>
    </row>
    <row r="6" spans="1:17" ht="18" customHeight="1">
      <c r="A6" s="18" t="s">
        <v>13</v>
      </c>
      <c r="B6" s="2" t="s">
        <v>35</v>
      </c>
      <c r="C6" s="2" t="s">
        <v>36</v>
      </c>
      <c r="D6" s="2" t="s">
        <v>85</v>
      </c>
      <c r="E6" s="7" t="s">
        <v>310</v>
      </c>
      <c r="F6" s="4">
        <f>31890+31825</f>
        <v>63715</v>
      </c>
      <c r="G6" s="4">
        <v>6500</v>
      </c>
      <c r="H6" s="36">
        <f>+G6*F6</f>
        <v>414147500</v>
      </c>
      <c r="I6" s="40"/>
      <c r="J6" s="4"/>
      <c r="K6" s="4"/>
      <c r="L6" s="36">
        <f t="shared" ref="L6:L11" si="0">J6*K6</f>
        <v>0</v>
      </c>
      <c r="M6" s="4">
        <f>+M5+F6-J6</f>
        <v>160420</v>
      </c>
      <c r="N6" s="4">
        <v>1260</v>
      </c>
      <c r="O6" s="36">
        <f t="shared" ref="O6:O11" si="1">+J6*N6</f>
        <v>0</v>
      </c>
      <c r="P6" s="4"/>
    </row>
    <row r="7" spans="1:17" ht="18" customHeight="1">
      <c r="A7" s="18" t="s">
        <v>13</v>
      </c>
      <c r="B7" s="2" t="s">
        <v>35</v>
      </c>
      <c r="C7" s="2" t="s">
        <v>36</v>
      </c>
      <c r="D7" s="2" t="s">
        <v>85</v>
      </c>
      <c r="E7" s="46"/>
      <c r="F7" s="4"/>
      <c r="G7" s="4"/>
      <c r="H7" s="4"/>
      <c r="I7" s="59" t="s">
        <v>350</v>
      </c>
      <c r="J7" s="4">
        <v>32820</v>
      </c>
      <c r="K7" s="4">
        <v>6500</v>
      </c>
      <c r="L7" s="36">
        <f t="shared" si="0"/>
        <v>213330000</v>
      </c>
      <c r="M7" s="4">
        <f t="shared" ref="M7:M11" si="2">+M6+F7-J7</f>
        <v>127600</v>
      </c>
      <c r="N7" s="4">
        <v>1260</v>
      </c>
      <c r="O7" s="36">
        <f t="shared" si="1"/>
        <v>41353200</v>
      </c>
      <c r="P7" s="4"/>
      <c r="Q7" s="2"/>
    </row>
    <row r="8" spans="1:17" ht="18" customHeight="1">
      <c r="A8" s="18" t="s">
        <v>13</v>
      </c>
      <c r="B8" s="2" t="s">
        <v>35</v>
      </c>
      <c r="C8" s="2" t="s">
        <v>36</v>
      </c>
      <c r="D8" s="2" t="s">
        <v>85</v>
      </c>
      <c r="E8" s="7"/>
      <c r="F8" s="4"/>
      <c r="G8" s="4"/>
      <c r="H8" s="4">
        <f>G8*F8</f>
        <v>0</v>
      </c>
      <c r="I8" s="40" t="s">
        <v>355</v>
      </c>
      <c r="J8" s="4">
        <v>35390</v>
      </c>
      <c r="K8" s="4">
        <v>6500</v>
      </c>
      <c r="L8" s="36">
        <f t="shared" si="0"/>
        <v>230035000</v>
      </c>
      <c r="M8" s="4">
        <f t="shared" si="2"/>
        <v>92210</v>
      </c>
      <c r="N8" s="4">
        <v>1260</v>
      </c>
      <c r="O8" s="36">
        <f t="shared" si="1"/>
        <v>44591400</v>
      </c>
      <c r="P8" s="4"/>
    </row>
    <row r="9" spans="1:17" ht="18" customHeight="1">
      <c r="A9" s="18"/>
      <c r="B9" s="2"/>
      <c r="C9" s="2"/>
      <c r="D9" s="2"/>
      <c r="E9" s="7"/>
      <c r="F9" s="4"/>
      <c r="G9" s="4"/>
      <c r="H9" s="4"/>
      <c r="I9" s="40" t="s">
        <v>363</v>
      </c>
      <c r="J9" s="4">
        <v>44730</v>
      </c>
      <c r="K9" s="4">
        <v>6500</v>
      </c>
      <c r="L9" s="36">
        <f t="shared" si="0"/>
        <v>290745000</v>
      </c>
      <c r="M9" s="4">
        <f t="shared" si="2"/>
        <v>47480</v>
      </c>
      <c r="N9" s="4">
        <v>1260</v>
      </c>
      <c r="O9" s="36">
        <f t="shared" si="1"/>
        <v>56359800</v>
      </c>
      <c r="P9" s="4"/>
    </row>
    <row r="10" spans="1:17" ht="18" customHeight="1">
      <c r="A10" s="18"/>
      <c r="B10" s="2"/>
      <c r="C10" s="2"/>
      <c r="D10" s="2"/>
      <c r="E10" s="7"/>
      <c r="F10" s="4"/>
      <c r="G10" s="4"/>
      <c r="H10" s="4"/>
      <c r="I10" s="40"/>
      <c r="J10" s="4"/>
      <c r="K10" s="4"/>
      <c r="L10" s="36">
        <f t="shared" si="0"/>
        <v>0</v>
      </c>
      <c r="M10" s="4">
        <f t="shared" si="2"/>
        <v>47480</v>
      </c>
      <c r="N10" s="4">
        <v>1260</v>
      </c>
      <c r="O10" s="36">
        <f t="shared" si="1"/>
        <v>0</v>
      </c>
      <c r="P10" s="4"/>
    </row>
    <row r="11" spans="1:17" ht="18" customHeight="1">
      <c r="A11" s="18" t="s">
        <v>13</v>
      </c>
      <c r="B11" s="2" t="s">
        <v>35</v>
      </c>
      <c r="C11" s="2" t="s">
        <v>36</v>
      </c>
      <c r="D11" s="2" t="s">
        <v>85</v>
      </c>
      <c r="E11" s="7"/>
      <c r="F11" s="4"/>
      <c r="G11" s="4"/>
      <c r="H11" s="36">
        <f>G11*F11</f>
        <v>0</v>
      </c>
      <c r="I11" s="21"/>
      <c r="J11" s="4"/>
      <c r="K11" s="4"/>
      <c r="L11" s="36">
        <f t="shared" si="0"/>
        <v>0</v>
      </c>
      <c r="M11" s="4">
        <f t="shared" si="2"/>
        <v>47480</v>
      </c>
      <c r="N11" s="4">
        <v>1260</v>
      </c>
      <c r="O11" s="36">
        <f t="shared" si="1"/>
        <v>0</v>
      </c>
      <c r="P11" s="4"/>
    </row>
    <row r="12" spans="1:17" ht="18" customHeight="1">
      <c r="A12" s="307" t="s">
        <v>421</v>
      </c>
      <c r="B12" s="308"/>
      <c r="C12" s="308"/>
      <c r="D12" s="308"/>
      <c r="E12" s="309"/>
      <c r="F12" s="103">
        <f>SUBTOTAL(9,F5:F11)</f>
        <v>160420</v>
      </c>
      <c r="G12" s="103"/>
      <c r="H12" s="103">
        <f t="shared" ref="H12" si="3">SUBTOTAL(9,H5:H11)</f>
        <v>1042730000</v>
      </c>
      <c r="I12" s="103"/>
      <c r="J12" s="103">
        <f>SUBTOTAL(9,J5:J11)</f>
        <v>112940</v>
      </c>
      <c r="K12" s="103"/>
      <c r="L12" s="103">
        <f>SUBTOTAL(9,L5:L11)</f>
        <v>734110000</v>
      </c>
      <c r="M12" s="103"/>
      <c r="N12" s="103"/>
      <c r="O12" s="103">
        <f>SUBTOTAL(9,O5:O11)</f>
        <v>142304400</v>
      </c>
      <c r="P12" s="49"/>
    </row>
    <row r="13" spans="1:17" ht="18" customHeight="1">
      <c r="A13" s="18" t="s">
        <v>13</v>
      </c>
      <c r="B13" s="2" t="s">
        <v>35</v>
      </c>
      <c r="C13" s="2" t="s">
        <v>36</v>
      </c>
      <c r="D13" s="2" t="s">
        <v>85</v>
      </c>
      <c r="E13" s="7"/>
      <c r="F13" s="4"/>
      <c r="G13" s="4"/>
      <c r="H13" s="4">
        <f t="shared" ref="H13:H18" si="4">G13*F13</f>
        <v>0</v>
      </c>
      <c r="I13" s="40" t="s">
        <v>378</v>
      </c>
      <c r="J13" s="4">
        <v>34070</v>
      </c>
      <c r="K13" s="4">
        <v>6500</v>
      </c>
      <c r="L13" s="36">
        <f t="shared" ref="L13:L17" si="5">J13*K13</f>
        <v>221455000</v>
      </c>
      <c r="M13" s="4">
        <f>+M11+F13-J13</f>
        <v>13410</v>
      </c>
      <c r="N13" s="4">
        <v>1260</v>
      </c>
      <c r="O13" s="36">
        <f>+J13*N13</f>
        <v>42928200</v>
      </c>
      <c r="P13" s="4"/>
    </row>
    <row r="14" spans="1:17" ht="18" customHeight="1">
      <c r="A14" s="18" t="s">
        <v>13</v>
      </c>
      <c r="B14" s="2" t="s">
        <v>35</v>
      </c>
      <c r="C14" s="2" t="s">
        <v>36</v>
      </c>
      <c r="D14" s="2" t="s">
        <v>85</v>
      </c>
      <c r="E14" s="7"/>
      <c r="F14" s="4"/>
      <c r="G14" s="4"/>
      <c r="H14" s="4">
        <f t="shared" si="4"/>
        <v>0</v>
      </c>
      <c r="I14" s="40" t="s">
        <v>389</v>
      </c>
      <c r="J14" s="4">
        <f>30730-17320</f>
        <v>13410</v>
      </c>
      <c r="K14" s="4">
        <v>6500</v>
      </c>
      <c r="L14" s="36">
        <f t="shared" si="5"/>
        <v>87165000</v>
      </c>
      <c r="M14" s="4">
        <f>M13+F14-J14</f>
        <v>0</v>
      </c>
      <c r="N14" s="4">
        <v>1260</v>
      </c>
      <c r="O14" s="36">
        <f>+J14*N14</f>
        <v>16896600</v>
      </c>
      <c r="P14" s="4">
        <v>202129200</v>
      </c>
    </row>
    <row r="15" spans="1:17" ht="18" hidden="1" customHeight="1">
      <c r="A15" s="18" t="s">
        <v>13</v>
      </c>
      <c r="B15" s="2" t="s">
        <v>35</v>
      </c>
      <c r="C15" s="2" t="s">
        <v>36</v>
      </c>
      <c r="D15" s="2" t="s">
        <v>85</v>
      </c>
      <c r="E15" s="7"/>
      <c r="F15" s="25"/>
      <c r="G15" s="4"/>
      <c r="H15" s="4">
        <f t="shared" si="4"/>
        <v>0</v>
      </c>
      <c r="I15" s="40"/>
      <c r="J15" s="4"/>
      <c r="K15" s="4"/>
      <c r="L15" s="4">
        <f t="shared" si="5"/>
        <v>0</v>
      </c>
      <c r="M15" s="4">
        <f t="shared" ref="M15:M19" si="6">M14+F15-J15</f>
        <v>0</v>
      </c>
      <c r="N15" s="4"/>
      <c r="O15" s="49">
        <f t="shared" ref="O15:O19" si="7">+J15*N15</f>
        <v>0</v>
      </c>
      <c r="P15" s="4"/>
    </row>
    <row r="16" spans="1:17" ht="18" hidden="1" customHeight="1">
      <c r="A16" s="18" t="s">
        <v>13</v>
      </c>
      <c r="B16" s="2" t="s">
        <v>35</v>
      </c>
      <c r="C16" s="2" t="s">
        <v>36</v>
      </c>
      <c r="D16" s="2" t="s">
        <v>85</v>
      </c>
      <c r="E16" s="7"/>
      <c r="F16" s="4"/>
      <c r="G16" s="4"/>
      <c r="H16" s="4">
        <f t="shared" si="4"/>
        <v>0</v>
      </c>
      <c r="I16" s="21"/>
      <c r="J16" s="4"/>
      <c r="K16" s="4"/>
      <c r="L16" s="4">
        <f t="shared" si="5"/>
        <v>0</v>
      </c>
      <c r="M16" s="4">
        <f t="shared" si="6"/>
        <v>0</v>
      </c>
      <c r="N16" s="4"/>
      <c r="O16" s="49">
        <f t="shared" si="7"/>
        <v>0</v>
      </c>
      <c r="P16" s="4"/>
    </row>
    <row r="17" spans="1:17" ht="18" hidden="1" customHeight="1">
      <c r="A17" s="18" t="s">
        <v>13</v>
      </c>
      <c r="B17" s="2" t="s">
        <v>35</v>
      </c>
      <c r="C17" s="2" t="s">
        <v>36</v>
      </c>
      <c r="D17" s="2" t="s">
        <v>85</v>
      </c>
      <c r="E17" s="7"/>
      <c r="F17" s="4"/>
      <c r="G17" s="4"/>
      <c r="H17" s="4">
        <f t="shared" si="4"/>
        <v>0</v>
      </c>
      <c r="I17" s="21"/>
      <c r="J17" s="4"/>
      <c r="K17" s="4"/>
      <c r="L17" s="4">
        <f t="shared" si="5"/>
        <v>0</v>
      </c>
      <c r="M17" s="4">
        <f t="shared" si="6"/>
        <v>0</v>
      </c>
      <c r="N17" s="4"/>
      <c r="O17" s="49">
        <f t="shared" si="7"/>
        <v>0</v>
      </c>
      <c r="P17" s="4"/>
    </row>
    <row r="18" spans="1:17" ht="18" hidden="1" customHeight="1">
      <c r="A18" s="18" t="s">
        <v>13</v>
      </c>
      <c r="B18" s="2" t="s">
        <v>35</v>
      </c>
      <c r="C18" s="2" t="s">
        <v>36</v>
      </c>
      <c r="D18" s="2" t="s">
        <v>85</v>
      </c>
      <c r="E18" s="7"/>
      <c r="F18" s="4"/>
      <c r="G18" s="4"/>
      <c r="H18" s="4">
        <f t="shared" si="4"/>
        <v>0</v>
      </c>
      <c r="I18" s="40"/>
      <c r="J18" s="4"/>
      <c r="K18" s="4"/>
      <c r="L18" s="4"/>
      <c r="M18" s="4">
        <f t="shared" si="6"/>
        <v>0</v>
      </c>
      <c r="N18" s="4"/>
      <c r="O18" s="49">
        <f t="shared" si="7"/>
        <v>0</v>
      </c>
      <c r="P18" s="4"/>
    </row>
    <row r="19" spans="1:17" ht="18" hidden="1" customHeight="1">
      <c r="A19" s="18"/>
      <c r="B19" s="2" t="s">
        <v>35</v>
      </c>
      <c r="C19" s="2" t="s">
        <v>36</v>
      </c>
      <c r="D19" s="2" t="s">
        <v>85</v>
      </c>
      <c r="E19" s="7"/>
      <c r="F19" s="4"/>
      <c r="G19" s="4"/>
      <c r="H19" s="4"/>
      <c r="I19" s="40"/>
      <c r="J19" s="4"/>
      <c r="K19" s="4"/>
      <c r="L19" s="36">
        <f>+K19*J19</f>
        <v>0</v>
      </c>
      <c r="M19" s="4">
        <f t="shared" si="6"/>
        <v>0</v>
      </c>
      <c r="N19" s="4"/>
      <c r="O19" s="79">
        <f t="shared" si="7"/>
        <v>0</v>
      </c>
      <c r="P19" s="4"/>
    </row>
    <row r="20" spans="1:17" ht="18" customHeight="1">
      <c r="A20" s="307" t="s">
        <v>422</v>
      </c>
      <c r="B20" s="308"/>
      <c r="C20" s="308"/>
      <c r="D20" s="308"/>
      <c r="E20" s="309"/>
      <c r="F20" s="103">
        <f>SUBTOTAL(9,F13:F19)</f>
        <v>0</v>
      </c>
      <c r="G20" s="103"/>
      <c r="H20" s="103">
        <f t="shared" ref="H20:I20" si="8">SUBTOTAL(9,H13:H19)</f>
        <v>0</v>
      </c>
      <c r="I20" s="103">
        <f t="shared" si="8"/>
        <v>0</v>
      </c>
      <c r="J20" s="103">
        <f>SUBTOTAL(9,J13:J19)</f>
        <v>47480</v>
      </c>
      <c r="K20" s="103"/>
      <c r="L20" s="103">
        <f t="shared" ref="L20" si="9">SUBTOTAL(9,L13:L19)</f>
        <v>308620000</v>
      </c>
      <c r="M20" s="103"/>
      <c r="N20" s="103"/>
      <c r="O20" s="103">
        <f t="shared" ref="O20" si="10">SUBTOTAL(9,O13:O19)</f>
        <v>59824800</v>
      </c>
      <c r="P20" s="103"/>
    </row>
    <row r="21" spans="1:17" ht="18" hidden="1" customHeight="1">
      <c r="A21" s="18" t="s">
        <v>13</v>
      </c>
      <c r="B21" s="2" t="s">
        <v>35</v>
      </c>
      <c r="C21" s="2" t="s">
        <v>36</v>
      </c>
      <c r="D21" s="2" t="s">
        <v>85</v>
      </c>
      <c r="E21" s="7"/>
      <c r="F21" s="4"/>
      <c r="G21" s="4"/>
      <c r="H21" s="4">
        <f t="shared" ref="H21:H27" si="11">G21*F21</f>
        <v>0</v>
      </c>
      <c r="I21" s="40"/>
      <c r="J21" s="4"/>
      <c r="K21" s="4"/>
      <c r="L21" s="4"/>
      <c r="M21" s="4">
        <f>M19+F21-J21</f>
        <v>0</v>
      </c>
      <c r="N21" s="4"/>
      <c r="O21" s="49"/>
      <c r="P21" s="4"/>
    </row>
    <row r="22" spans="1:17" ht="18" hidden="1" customHeight="1">
      <c r="A22" s="18" t="s">
        <v>13</v>
      </c>
      <c r="B22" s="2" t="s">
        <v>35</v>
      </c>
      <c r="C22" s="2" t="s">
        <v>36</v>
      </c>
      <c r="D22" s="2" t="s">
        <v>85</v>
      </c>
      <c r="E22" s="7"/>
      <c r="F22" s="4"/>
      <c r="G22" s="4"/>
      <c r="H22" s="4">
        <f t="shared" si="11"/>
        <v>0</v>
      </c>
      <c r="I22" s="40"/>
      <c r="J22" s="4"/>
      <c r="K22" s="4"/>
      <c r="L22" s="36"/>
      <c r="M22" s="4">
        <f>M21+F22-J22</f>
        <v>0</v>
      </c>
      <c r="N22" s="4"/>
      <c r="O22" s="79">
        <f>+N22*J22</f>
        <v>0</v>
      </c>
      <c r="P22" s="4"/>
    </row>
    <row r="23" spans="1:17" ht="18" hidden="1" customHeight="1">
      <c r="A23" s="18" t="s">
        <v>13</v>
      </c>
      <c r="B23" s="2" t="s">
        <v>35</v>
      </c>
      <c r="C23" s="2" t="s">
        <v>36</v>
      </c>
      <c r="D23" s="2" t="s">
        <v>85</v>
      </c>
      <c r="E23" s="7"/>
      <c r="F23" s="4"/>
      <c r="G23" s="4"/>
      <c r="H23" s="4">
        <f t="shared" si="11"/>
        <v>0</v>
      </c>
      <c r="I23" s="40"/>
      <c r="J23" s="4"/>
      <c r="K23" s="4"/>
      <c r="L23" s="36"/>
      <c r="M23" s="4">
        <f t="shared" ref="M23:M26" si="12">M22+F23-J23</f>
        <v>0</v>
      </c>
      <c r="N23" s="4"/>
      <c r="O23" s="79">
        <f>J23*1100</f>
        <v>0</v>
      </c>
      <c r="P23" s="4"/>
      <c r="Q23" s="4"/>
    </row>
    <row r="24" spans="1:17" ht="18" hidden="1" customHeight="1">
      <c r="A24" s="18" t="s">
        <v>13</v>
      </c>
      <c r="B24" s="2" t="s">
        <v>35</v>
      </c>
      <c r="C24" s="2" t="s">
        <v>36</v>
      </c>
      <c r="D24" s="2" t="s">
        <v>85</v>
      </c>
      <c r="E24" s="7"/>
      <c r="F24" s="4"/>
      <c r="G24" s="4"/>
      <c r="H24" s="4">
        <f t="shared" si="11"/>
        <v>0</v>
      </c>
      <c r="I24" s="40"/>
      <c r="J24" s="4"/>
      <c r="K24" s="4"/>
      <c r="L24" s="36"/>
      <c r="M24" s="4">
        <f t="shared" si="12"/>
        <v>0</v>
      </c>
      <c r="N24" s="4"/>
      <c r="O24" s="79">
        <f t="shared" ref="O24:O27" si="13">J24*1100</f>
        <v>0</v>
      </c>
      <c r="P24" s="4"/>
      <c r="Q24" s="4"/>
    </row>
    <row r="25" spans="1:17" ht="16.5" hidden="1" customHeight="1">
      <c r="A25" s="18" t="s">
        <v>13</v>
      </c>
      <c r="B25" s="2" t="s">
        <v>35</v>
      </c>
      <c r="C25" s="2" t="s">
        <v>36</v>
      </c>
      <c r="D25" s="2" t="s">
        <v>85</v>
      </c>
      <c r="E25" s="7"/>
      <c r="F25" s="4"/>
      <c r="G25" s="4"/>
      <c r="H25" s="4">
        <f t="shared" si="11"/>
        <v>0</v>
      </c>
      <c r="I25" s="40"/>
      <c r="J25" s="4"/>
      <c r="K25" s="4"/>
      <c r="L25" s="4"/>
      <c r="M25" s="4">
        <f t="shared" si="12"/>
        <v>0</v>
      </c>
      <c r="N25" s="4"/>
      <c r="O25" s="49">
        <f t="shared" si="13"/>
        <v>0</v>
      </c>
      <c r="P25" s="4"/>
      <c r="Q25" s="4"/>
    </row>
    <row r="26" spans="1:17" ht="16.5" hidden="1" customHeight="1">
      <c r="A26" s="18" t="s">
        <v>13</v>
      </c>
      <c r="B26" s="2" t="s">
        <v>35</v>
      </c>
      <c r="C26" s="2" t="s">
        <v>36</v>
      </c>
      <c r="D26" s="2" t="s">
        <v>85</v>
      </c>
      <c r="E26" s="7"/>
      <c r="F26" s="4"/>
      <c r="G26" s="4"/>
      <c r="H26" s="4">
        <f t="shared" si="11"/>
        <v>0</v>
      </c>
      <c r="I26" s="40"/>
      <c r="J26" s="4"/>
      <c r="K26" s="4"/>
      <c r="L26" s="4"/>
      <c r="M26" s="4">
        <f t="shared" si="12"/>
        <v>0</v>
      </c>
      <c r="N26" s="4"/>
      <c r="O26" s="49">
        <f t="shared" si="13"/>
        <v>0</v>
      </c>
      <c r="P26" s="4"/>
    </row>
    <row r="27" spans="1:17" ht="18" hidden="1" customHeight="1">
      <c r="A27" s="18" t="s">
        <v>13</v>
      </c>
      <c r="B27" s="2" t="s">
        <v>35</v>
      </c>
      <c r="C27" s="2" t="s">
        <v>36</v>
      </c>
      <c r="D27" s="2" t="s">
        <v>85</v>
      </c>
      <c r="E27" s="2"/>
      <c r="F27" s="4"/>
      <c r="G27" s="4"/>
      <c r="H27" s="4">
        <f t="shared" si="11"/>
        <v>0</v>
      </c>
      <c r="I27" s="40"/>
      <c r="J27" s="4"/>
      <c r="K27" s="4"/>
      <c r="L27" s="4"/>
      <c r="M27" s="4">
        <f>M26+F27-J27</f>
        <v>0</v>
      </c>
      <c r="N27" s="4"/>
      <c r="O27" s="49">
        <f t="shared" si="13"/>
        <v>0</v>
      </c>
      <c r="P27" s="4"/>
    </row>
    <row r="28" spans="1:17" ht="18" hidden="1" customHeight="1">
      <c r="A28" s="307" t="s">
        <v>216</v>
      </c>
      <c r="B28" s="308"/>
      <c r="C28" s="308"/>
      <c r="D28" s="308"/>
      <c r="E28" s="104"/>
      <c r="F28" s="105">
        <f>SUBTOTAL(9,F21:F27)</f>
        <v>0</v>
      </c>
      <c r="G28" s="105"/>
      <c r="H28" s="105">
        <f t="shared" ref="H28:I28" si="14">SUBTOTAL(9,H21:H27)</f>
        <v>0</v>
      </c>
      <c r="I28" s="105">
        <f t="shared" si="14"/>
        <v>0</v>
      </c>
      <c r="J28" s="105">
        <f>SUBTOTAL(9,J21:J27)</f>
        <v>0</v>
      </c>
      <c r="K28" s="105">
        <f t="shared" ref="K28:L28" si="15">SUBTOTAL(9,K21:K27)</f>
        <v>0</v>
      </c>
      <c r="L28" s="105">
        <f t="shared" si="15"/>
        <v>0</v>
      </c>
      <c r="M28" s="105"/>
      <c r="N28" s="105"/>
      <c r="O28" s="105">
        <f t="shared" ref="O28" si="16">SUBTOTAL(9,O21:O27)</f>
        <v>0</v>
      </c>
      <c r="P28" s="105"/>
    </row>
    <row r="29" spans="1:17" ht="18" hidden="1" customHeight="1">
      <c r="A29" s="18" t="s">
        <v>13</v>
      </c>
      <c r="B29" s="2" t="s">
        <v>35</v>
      </c>
      <c r="C29" s="2" t="s">
        <v>36</v>
      </c>
      <c r="D29" s="2" t="s">
        <v>85</v>
      </c>
      <c r="E29" s="2"/>
      <c r="F29" s="4"/>
      <c r="G29" s="4"/>
      <c r="H29" s="4"/>
      <c r="I29" s="40"/>
      <c r="J29" s="4"/>
      <c r="K29" s="4"/>
      <c r="L29" s="36">
        <f>+K29*J29</f>
        <v>0</v>
      </c>
      <c r="M29" s="4">
        <f>M27+F29-J29</f>
        <v>0</v>
      </c>
      <c r="N29" s="4"/>
      <c r="O29" s="79">
        <f>J29*1100</f>
        <v>0</v>
      </c>
      <c r="P29" s="4"/>
    </row>
    <row r="30" spans="1:17" ht="18" hidden="1" customHeight="1">
      <c r="A30" s="307" t="s">
        <v>246</v>
      </c>
      <c r="B30" s="308"/>
      <c r="C30" s="308"/>
      <c r="D30" s="309"/>
      <c r="E30" s="111"/>
      <c r="F30" s="103">
        <f>SUM(F29)</f>
        <v>0</v>
      </c>
      <c r="G30" s="103"/>
      <c r="H30" s="103"/>
      <c r="I30" s="112"/>
      <c r="J30" s="103">
        <f>SUBTOTAL(9,J29)</f>
        <v>0</v>
      </c>
      <c r="K30" s="103">
        <v>5300</v>
      </c>
      <c r="L30" s="103">
        <f>+L29</f>
        <v>0</v>
      </c>
      <c r="M30" s="103"/>
      <c r="N30" s="103"/>
      <c r="O30" s="103">
        <f>SUBTOTAL(9,O29)</f>
        <v>0</v>
      </c>
      <c r="P30" s="103"/>
    </row>
    <row r="31" spans="1:17" ht="18" hidden="1" customHeight="1">
      <c r="A31" s="18" t="s">
        <v>13</v>
      </c>
      <c r="B31" s="2" t="s">
        <v>35</v>
      </c>
      <c r="C31" s="2" t="s">
        <v>36</v>
      </c>
      <c r="D31" s="2" t="s">
        <v>85</v>
      </c>
      <c r="E31" s="2"/>
      <c r="F31" s="4"/>
      <c r="G31" s="4"/>
      <c r="H31" s="4"/>
      <c r="I31" s="40"/>
      <c r="J31" s="4"/>
      <c r="K31" s="4"/>
      <c r="L31" s="36">
        <f>+K31*J31</f>
        <v>0</v>
      </c>
      <c r="M31" s="4">
        <f>M29+F31-J31</f>
        <v>0</v>
      </c>
      <c r="N31" s="4"/>
      <c r="O31" s="79">
        <f>+N31*J31</f>
        <v>0</v>
      </c>
      <c r="P31" s="4"/>
    </row>
    <row r="32" spans="1:17" ht="18" hidden="1" customHeight="1">
      <c r="A32" s="18" t="s">
        <v>13</v>
      </c>
      <c r="B32" s="2" t="s">
        <v>35</v>
      </c>
      <c r="C32" s="2" t="s">
        <v>36</v>
      </c>
      <c r="D32" s="2" t="s">
        <v>85</v>
      </c>
      <c r="E32" s="2"/>
      <c r="F32" s="4"/>
      <c r="G32" s="4"/>
      <c r="H32" s="4"/>
      <c r="I32" s="40"/>
      <c r="J32" s="4"/>
      <c r="K32" s="4"/>
      <c r="L32" s="36">
        <f t="shared" ref="L32:L37" si="17">+K32*J32</f>
        <v>0</v>
      </c>
      <c r="M32" s="4">
        <f>+M31+F32-J32</f>
        <v>0</v>
      </c>
      <c r="N32" s="4"/>
      <c r="O32" s="79">
        <f t="shared" ref="O32" si="18">+N32*J32</f>
        <v>0</v>
      </c>
      <c r="P32" s="4"/>
    </row>
    <row r="33" spans="1:17" ht="18" hidden="1" customHeight="1">
      <c r="A33" s="18" t="s">
        <v>13</v>
      </c>
      <c r="B33" s="2" t="s">
        <v>35</v>
      </c>
      <c r="C33" s="2" t="s">
        <v>36</v>
      </c>
      <c r="D33" s="2" t="s">
        <v>85</v>
      </c>
      <c r="E33" s="2"/>
      <c r="F33" s="4"/>
      <c r="G33" s="4"/>
      <c r="H33" s="4"/>
      <c r="I33" s="40"/>
      <c r="J33" s="4"/>
      <c r="K33" s="4"/>
      <c r="L33" s="36">
        <f t="shared" si="17"/>
        <v>0</v>
      </c>
      <c r="M33" s="4">
        <f t="shared" ref="M33:M36" si="19">+M32+F33-J33</f>
        <v>0</v>
      </c>
      <c r="N33" s="4"/>
      <c r="O33" s="79">
        <f>+N33*J33</f>
        <v>0</v>
      </c>
      <c r="P33" s="4"/>
    </row>
    <row r="34" spans="1:17" ht="18" hidden="1" customHeight="1">
      <c r="A34" s="18" t="s">
        <v>13</v>
      </c>
      <c r="B34" s="2" t="s">
        <v>35</v>
      </c>
      <c r="C34" s="2" t="s">
        <v>36</v>
      </c>
      <c r="D34" s="2" t="s">
        <v>85</v>
      </c>
      <c r="E34" s="2"/>
      <c r="F34" s="4"/>
      <c r="G34" s="4"/>
      <c r="H34" s="4"/>
      <c r="I34" s="40"/>
      <c r="J34" s="4"/>
      <c r="K34" s="4"/>
      <c r="L34" s="36">
        <f t="shared" si="17"/>
        <v>0</v>
      </c>
      <c r="M34" s="4">
        <f t="shared" si="19"/>
        <v>0</v>
      </c>
      <c r="N34" s="4"/>
      <c r="O34" s="79">
        <f t="shared" ref="O34" si="20">+N34*J34</f>
        <v>0</v>
      </c>
      <c r="P34" s="4"/>
    </row>
    <row r="35" spans="1:17" ht="18" hidden="1" customHeight="1">
      <c r="A35" s="18" t="s">
        <v>13</v>
      </c>
      <c r="B35" s="2" t="s">
        <v>35</v>
      </c>
      <c r="C35" s="2" t="s">
        <v>36</v>
      </c>
      <c r="D35" s="2" t="s">
        <v>85</v>
      </c>
      <c r="E35" s="2"/>
      <c r="F35" s="4"/>
      <c r="G35" s="4"/>
      <c r="H35" s="4"/>
      <c r="I35" s="40"/>
      <c r="J35" s="4"/>
      <c r="K35" s="4"/>
      <c r="L35" s="36">
        <f t="shared" si="17"/>
        <v>0</v>
      </c>
      <c r="M35" s="4">
        <f t="shared" si="19"/>
        <v>0</v>
      </c>
      <c r="N35" s="4"/>
      <c r="O35" s="79">
        <f>+N35*J35</f>
        <v>0</v>
      </c>
      <c r="P35" s="4"/>
    </row>
    <row r="36" spans="1:17" ht="18" hidden="1" customHeight="1">
      <c r="A36" s="18" t="s">
        <v>13</v>
      </c>
      <c r="B36" s="2" t="s">
        <v>35</v>
      </c>
      <c r="C36" s="2" t="s">
        <v>36</v>
      </c>
      <c r="D36" s="2" t="s">
        <v>85</v>
      </c>
      <c r="E36" s="2"/>
      <c r="F36" s="4"/>
      <c r="G36" s="4"/>
      <c r="H36" s="4"/>
      <c r="I36" s="40"/>
      <c r="J36" s="4"/>
      <c r="K36" s="4"/>
      <c r="L36" s="4">
        <f t="shared" si="17"/>
        <v>0</v>
      </c>
      <c r="M36" s="4">
        <f t="shared" si="19"/>
        <v>0</v>
      </c>
      <c r="N36" s="4"/>
      <c r="O36" s="49">
        <f t="shared" ref="O36" si="21">+N36*J36</f>
        <v>0</v>
      </c>
      <c r="P36" s="4"/>
    </row>
    <row r="37" spans="1:17" s="15" customFormat="1" ht="18" hidden="1" customHeight="1">
      <c r="A37" s="307" t="s">
        <v>277</v>
      </c>
      <c r="B37" s="308"/>
      <c r="C37" s="308"/>
      <c r="D37" s="309"/>
      <c r="E37" s="111"/>
      <c r="F37" s="103"/>
      <c r="G37" s="103"/>
      <c r="H37" s="103"/>
      <c r="I37" s="112"/>
      <c r="J37" s="103">
        <f>SUBTOTAL(9,J31:J36)</f>
        <v>0</v>
      </c>
      <c r="K37" s="103"/>
      <c r="L37" s="103">
        <f t="shared" si="17"/>
        <v>0</v>
      </c>
      <c r="M37" s="103"/>
      <c r="N37" s="103">
        <v>1160</v>
      </c>
      <c r="O37" s="103">
        <f>SUBTOTAL(9,O31:O36)</f>
        <v>0</v>
      </c>
      <c r="P37" s="103"/>
    </row>
    <row r="38" spans="1:17" ht="18" hidden="1" customHeight="1">
      <c r="A38" s="18" t="s">
        <v>13</v>
      </c>
      <c r="B38" s="2" t="s">
        <v>35</v>
      </c>
      <c r="C38" s="2" t="s">
        <v>36</v>
      </c>
      <c r="D38" s="2" t="s">
        <v>85</v>
      </c>
      <c r="E38" s="2"/>
      <c r="F38" s="4"/>
      <c r="G38" s="4"/>
      <c r="H38" s="4"/>
      <c r="I38" s="40"/>
      <c r="J38" s="4"/>
      <c r="K38" s="4"/>
      <c r="L38" s="4"/>
      <c r="M38" s="4"/>
      <c r="N38" s="4"/>
      <c r="O38" s="49">
        <f t="shared" ref="O38" si="22">+N38*J38</f>
        <v>0</v>
      </c>
      <c r="P38" s="4"/>
    </row>
    <row r="39" spans="1:17" ht="18" customHeight="1">
      <c r="A39" s="281" t="s">
        <v>0</v>
      </c>
      <c r="B39" s="282"/>
      <c r="C39" s="131"/>
      <c r="D39" s="131"/>
      <c r="E39" s="131"/>
      <c r="F39" s="5">
        <f>SUBTOTAL(9,F5:F38)</f>
        <v>160420</v>
      </c>
      <c r="G39" s="5"/>
      <c r="H39" s="5">
        <f>SUBTOTAL(9,H5:H38)</f>
        <v>1042730000</v>
      </c>
      <c r="I39" s="5">
        <f t="shared" ref="I39" si="23">SUBTOTAL(9,I5:I38)</f>
        <v>0</v>
      </c>
      <c r="J39" s="5">
        <f>SUBTOTAL(9,J5:J38)</f>
        <v>160420</v>
      </c>
      <c r="K39" s="5"/>
      <c r="L39" s="5">
        <f t="shared" ref="L39" si="24">SUBTOTAL(9,L5:L38)</f>
        <v>1042730000</v>
      </c>
      <c r="M39" s="5"/>
      <c r="N39" s="5"/>
      <c r="O39" s="5">
        <f>SUBTOTAL(9,O5:O38)</f>
        <v>202129200</v>
      </c>
      <c r="P39" s="5">
        <f>SUBTOTAL(9,P5:P38)</f>
        <v>202129200</v>
      </c>
    </row>
    <row r="40" spans="1:17" s="6" customFormat="1" ht="24.75" customHeight="1">
      <c r="A40" s="296" t="s">
        <v>127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8"/>
      <c r="M40" s="4"/>
      <c r="N40" s="76"/>
      <c r="O40" s="311">
        <f>O39-P39</f>
        <v>0</v>
      </c>
      <c r="P40" s="312"/>
    </row>
    <row r="41" spans="1:17" s="6" customFormat="1" ht="24.75" customHeight="1">
      <c r="A41" s="296" t="s">
        <v>198</v>
      </c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8"/>
      <c r="M41" s="4"/>
      <c r="N41" s="4"/>
      <c r="O41" s="313">
        <f>F39-J39</f>
        <v>0</v>
      </c>
      <c r="P41" s="314"/>
      <c r="Q41" s="6" t="s">
        <v>524</v>
      </c>
    </row>
    <row r="42" spans="1:17">
      <c r="B42" s="69" t="s">
        <v>1</v>
      </c>
      <c r="C42" s="69"/>
      <c r="D42" s="69"/>
      <c r="E42" s="69"/>
      <c r="F42" s="70"/>
      <c r="G42" s="270" t="s">
        <v>119</v>
      </c>
      <c r="H42" s="270"/>
      <c r="I42" s="270"/>
      <c r="J42" s="270"/>
      <c r="K42" s="270"/>
      <c r="L42" s="132"/>
      <c r="M42" s="310" t="s">
        <v>120</v>
      </c>
      <c r="N42" s="310"/>
      <c r="O42" s="310"/>
    </row>
  </sheetData>
  <mergeCells count="24">
    <mergeCell ref="G42:K42"/>
    <mergeCell ref="M42:O42"/>
    <mergeCell ref="A37:D37"/>
    <mergeCell ref="A39:B39"/>
    <mergeCell ref="A40:L40"/>
    <mergeCell ref="O40:P40"/>
    <mergeCell ref="A41:L41"/>
    <mergeCell ref="O41:P41"/>
    <mergeCell ref="P3:P4"/>
    <mergeCell ref="A12:E12"/>
    <mergeCell ref="A20:E20"/>
    <mergeCell ref="A28:D28"/>
    <mergeCell ref="A30:D30"/>
    <mergeCell ref="A1:O1"/>
    <mergeCell ref="A2:O2"/>
    <mergeCell ref="A3:A4"/>
    <mergeCell ref="B3:B4"/>
    <mergeCell ref="C3:C4"/>
    <mergeCell ref="D3:D4"/>
    <mergeCell ref="E3:H3"/>
    <mergeCell ref="I3:L3"/>
    <mergeCell ref="M3:M4"/>
    <mergeCell ref="N3:N4"/>
    <mergeCell ref="O3:O4"/>
  </mergeCells>
  <pageMargins left="0.24" right="0.28999999999999998" top="0.17" bottom="0.17" header="0.26" footer="0.21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88"/>
  <sheetViews>
    <sheetView workbookViewId="0">
      <pane xSplit="2" ySplit="1" topLeftCell="D46" activePane="bottomRight" state="frozen"/>
      <selection pane="topRight" activeCell="C1" sqref="C1"/>
      <selection pane="bottomLeft" activeCell="A11" sqref="A11"/>
      <selection pane="bottomRight" activeCell="L60" sqref="L60"/>
    </sheetView>
  </sheetViews>
  <sheetFormatPr defaultRowHeight="15"/>
  <cols>
    <col min="1" max="1" width="6.85546875" style="16" customWidth="1"/>
    <col min="2" max="2" width="20.85546875" style="1" customWidth="1"/>
    <col min="3" max="3" width="8" style="1" customWidth="1"/>
    <col min="4" max="4" width="6.7109375" style="1" customWidth="1"/>
    <col min="5" max="5" width="11.7109375" style="1" customWidth="1"/>
    <col min="6" max="9" width="10.140625" style="3" customWidth="1"/>
    <col min="10" max="10" width="15.42578125" style="3" customWidth="1"/>
    <col min="11" max="11" width="8.5703125" style="19" customWidth="1"/>
    <col min="12" max="12" width="14.7109375" style="3" customWidth="1"/>
    <col min="13" max="13" width="17.28515625" style="3" customWidth="1"/>
    <col min="14" max="14" width="16.7109375" style="3" customWidth="1"/>
    <col min="15" max="15" width="15.28515625" style="3" customWidth="1"/>
    <col min="16" max="16" width="8.42578125" style="3" customWidth="1"/>
    <col min="17" max="17" width="14.42578125" style="3" customWidth="1"/>
    <col min="18" max="18" width="14.140625" style="1" customWidth="1"/>
    <col min="19" max="19" width="10.7109375" style="1" customWidth="1"/>
    <col min="20" max="20" width="11" style="1" bestFit="1" customWidth="1"/>
    <col min="21" max="16384" width="9.140625" style="1"/>
  </cols>
  <sheetData>
    <row r="1" spans="1:19" ht="34.5" customHeight="1">
      <c r="A1" s="274" t="s">
        <v>589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19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9" s="11" customFormat="1" ht="33" customHeight="1">
      <c r="A3" s="276" t="s">
        <v>11</v>
      </c>
      <c r="B3" s="276" t="s">
        <v>3</v>
      </c>
      <c r="C3" s="276" t="s">
        <v>10</v>
      </c>
      <c r="D3" s="276" t="s">
        <v>8</v>
      </c>
      <c r="E3" s="299" t="s">
        <v>399</v>
      </c>
      <c r="F3" s="300"/>
      <c r="G3" s="300"/>
      <c r="H3" s="300"/>
      <c r="I3" s="300"/>
      <c r="J3" s="301"/>
      <c r="K3" s="302" t="s">
        <v>400</v>
      </c>
      <c r="L3" s="303"/>
      <c r="M3" s="303"/>
      <c r="N3" s="304"/>
      <c r="O3" s="278" t="s">
        <v>199</v>
      </c>
      <c r="P3" s="278" t="s">
        <v>202</v>
      </c>
      <c r="Q3" s="278" t="s">
        <v>203</v>
      </c>
      <c r="R3" s="305" t="s">
        <v>200</v>
      </c>
    </row>
    <row r="4" spans="1:19" s="11" customFormat="1" ht="52.5" customHeight="1">
      <c r="A4" s="277"/>
      <c r="B4" s="277"/>
      <c r="C4" s="277"/>
      <c r="D4" s="277"/>
      <c r="E4" s="44" t="s">
        <v>14</v>
      </c>
      <c r="F4" s="45" t="s">
        <v>426</v>
      </c>
      <c r="G4" s="45" t="s">
        <v>424</v>
      </c>
      <c r="H4" s="45" t="s">
        <v>425</v>
      </c>
      <c r="I4" s="45" t="s">
        <v>5</v>
      </c>
      <c r="J4" s="45" t="s">
        <v>86</v>
      </c>
      <c r="K4" s="47" t="s">
        <v>14</v>
      </c>
      <c r="L4" s="48" t="s">
        <v>201</v>
      </c>
      <c r="M4" s="48" t="s">
        <v>5</v>
      </c>
      <c r="N4" s="48" t="s">
        <v>87</v>
      </c>
      <c r="O4" s="278"/>
      <c r="P4" s="278"/>
      <c r="Q4" s="278"/>
      <c r="R4" s="306"/>
    </row>
    <row r="5" spans="1:19" ht="18" customHeight="1">
      <c r="A5" s="18" t="s">
        <v>398</v>
      </c>
      <c r="B5" s="2" t="s">
        <v>38</v>
      </c>
      <c r="C5" s="2" t="s">
        <v>36</v>
      </c>
      <c r="D5" s="2" t="s">
        <v>85</v>
      </c>
      <c r="E5" s="46" t="s">
        <v>401</v>
      </c>
      <c r="F5" s="133">
        <v>24760</v>
      </c>
      <c r="G5" s="133">
        <f>+F5*0.0417</f>
        <v>1032.492</v>
      </c>
      <c r="H5" s="133">
        <f>+F5-G5</f>
        <v>23727.508000000002</v>
      </c>
      <c r="I5" s="4">
        <v>6800</v>
      </c>
      <c r="J5" s="4">
        <f>+I5*F5</f>
        <v>168368000</v>
      </c>
      <c r="K5" s="40"/>
      <c r="L5" s="4"/>
      <c r="M5" s="4"/>
      <c r="N5" s="36">
        <f>L5*M5</f>
        <v>0</v>
      </c>
      <c r="O5" s="4">
        <f>H5-L5</f>
        <v>23727.508000000002</v>
      </c>
      <c r="P5" s="4"/>
      <c r="Q5" s="36">
        <f>+L5*P5</f>
        <v>0</v>
      </c>
      <c r="R5" s="4"/>
    </row>
    <row r="6" spans="1:19" ht="18" customHeight="1">
      <c r="A6" s="18" t="s">
        <v>398</v>
      </c>
      <c r="B6" s="2" t="s">
        <v>38</v>
      </c>
      <c r="C6" s="2" t="s">
        <v>36</v>
      </c>
      <c r="D6" s="2" t="s">
        <v>85</v>
      </c>
      <c r="E6" s="7" t="s">
        <v>403</v>
      </c>
      <c r="F6" s="4">
        <v>24065</v>
      </c>
      <c r="G6" s="133">
        <f t="shared" ref="G6:G9" si="0">+F6*0.0417</f>
        <v>1003.5105</v>
      </c>
      <c r="H6" s="133">
        <f t="shared" ref="H6:H15" si="1">+F6-G6</f>
        <v>23061.4895</v>
      </c>
      <c r="I6" s="4">
        <v>6800</v>
      </c>
      <c r="J6" s="4">
        <f>+I6*F6</f>
        <v>163642000</v>
      </c>
      <c r="K6" s="40"/>
      <c r="L6" s="4"/>
      <c r="M6" s="4"/>
      <c r="N6" s="36">
        <f t="shared" ref="N6:N15" si="2">L6*M6</f>
        <v>0</v>
      </c>
      <c r="O6" s="4">
        <f>+O5+H6-L6</f>
        <v>46788.997499999998</v>
      </c>
      <c r="P6" s="4"/>
      <c r="Q6" s="36">
        <f t="shared" ref="Q6:Q15" si="3">+L6*P6</f>
        <v>0</v>
      </c>
      <c r="R6" s="4"/>
    </row>
    <row r="7" spans="1:19" ht="18" customHeight="1">
      <c r="A7" s="18" t="s">
        <v>398</v>
      </c>
      <c r="B7" s="2" t="s">
        <v>38</v>
      </c>
      <c r="C7" s="2" t="s">
        <v>36</v>
      </c>
      <c r="D7" s="2" t="s">
        <v>85</v>
      </c>
      <c r="E7" s="46"/>
      <c r="F7" s="4">
        <v>24230</v>
      </c>
      <c r="G7" s="133">
        <f t="shared" si="0"/>
        <v>1010.3910000000001</v>
      </c>
      <c r="H7" s="133">
        <f t="shared" si="1"/>
        <v>23219.609</v>
      </c>
      <c r="I7" s="4">
        <v>6800</v>
      </c>
      <c r="J7" s="4">
        <f t="shared" ref="J7:J15" si="4">+I7*F7</f>
        <v>164764000</v>
      </c>
      <c r="K7" s="59"/>
      <c r="L7" s="4"/>
      <c r="M7" s="4"/>
      <c r="N7" s="36">
        <f t="shared" si="2"/>
        <v>0</v>
      </c>
      <c r="O7" s="4">
        <f t="shared" ref="O7:O15" si="5">+O6+H7-L7</f>
        <v>70008.606499999994</v>
      </c>
      <c r="P7" s="4"/>
      <c r="Q7" s="36">
        <f t="shared" si="3"/>
        <v>0</v>
      </c>
      <c r="R7" s="4"/>
      <c r="S7" s="2"/>
    </row>
    <row r="8" spans="1:19" ht="18" customHeight="1">
      <c r="A8" s="18" t="s">
        <v>398</v>
      </c>
      <c r="B8" s="2" t="s">
        <v>38</v>
      </c>
      <c r="C8" s="2" t="s">
        <v>36</v>
      </c>
      <c r="D8" s="2" t="s">
        <v>85</v>
      </c>
      <c r="E8" s="7" t="s">
        <v>408</v>
      </c>
      <c r="F8" s="4">
        <v>23840</v>
      </c>
      <c r="G8" s="133">
        <f t="shared" si="0"/>
        <v>994.12800000000004</v>
      </c>
      <c r="H8" s="133">
        <f t="shared" si="1"/>
        <v>22845.871999999999</v>
      </c>
      <c r="I8" s="4">
        <v>6800</v>
      </c>
      <c r="J8" s="4">
        <f t="shared" si="4"/>
        <v>162112000</v>
      </c>
      <c r="K8" s="40"/>
      <c r="L8" s="4"/>
      <c r="M8" s="4"/>
      <c r="N8" s="36">
        <f t="shared" si="2"/>
        <v>0</v>
      </c>
      <c r="O8" s="4">
        <f t="shared" si="5"/>
        <v>92854.478499999997</v>
      </c>
      <c r="P8" s="4"/>
      <c r="Q8" s="36">
        <f t="shared" si="3"/>
        <v>0</v>
      </c>
      <c r="R8" s="4"/>
    </row>
    <row r="9" spans="1:19" ht="18" customHeight="1">
      <c r="A9" s="18" t="s">
        <v>398</v>
      </c>
      <c r="B9" s="2" t="s">
        <v>38</v>
      </c>
      <c r="C9" s="2" t="s">
        <v>36</v>
      </c>
      <c r="D9" s="2" t="s">
        <v>85</v>
      </c>
      <c r="E9" s="7" t="s">
        <v>410</v>
      </c>
      <c r="F9" s="4">
        <v>23435</v>
      </c>
      <c r="G9" s="133">
        <f t="shared" si="0"/>
        <v>977.23950000000002</v>
      </c>
      <c r="H9" s="133">
        <f t="shared" si="1"/>
        <v>22457.7605</v>
      </c>
      <c r="I9" s="4">
        <v>6800</v>
      </c>
      <c r="J9" s="4">
        <f t="shared" si="4"/>
        <v>159358000</v>
      </c>
      <c r="K9" s="40" t="s">
        <v>410</v>
      </c>
      <c r="L9" s="4">
        <v>8700</v>
      </c>
      <c r="M9" s="4"/>
      <c r="N9" s="36">
        <f t="shared" si="2"/>
        <v>0</v>
      </c>
      <c r="O9" s="4">
        <f t="shared" si="5"/>
        <v>106612.239</v>
      </c>
      <c r="P9" s="4">
        <v>900</v>
      </c>
      <c r="Q9" s="4">
        <f t="shared" si="3"/>
        <v>7830000</v>
      </c>
      <c r="R9" s="4"/>
    </row>
    <row r="10" spans="1:19" ht="18" customHeight="1">
      <c r="A10" s="18" t="s">
        <v>398</v>
      </c>
      <c r="B10" s="2" t="s">
        <v>38</v>
      </c>
      <c r="C10" s="2" t="s">
        <v>36</v>
      </c>
      <c r="D10" s="2" t="s">
        <v>85</v>
      </c>
      <c r="E10" s="7"/>
      <c r="F10" s="4">
        <v>23630</v>
      </c>
      <c r="G10" s="183">
        <f>+F10*0.0417+35</f>
        <v>1020.371</v>
      </c>
      <c r="H10" s="133">
        <f>+F10-G10</f>
        <v>22609.629000000001</v>
      </c>
      <c r="I10" s="4">
        <v>6800</v>
      </c>
      <c r="J10" s="4">
        <f t="shared" si="4"/>
        <v>160684000</v>
      </c>
      <c r="K10" s="40" t="s">
        <v>411</v>
      </c>
      <c r="L10" s="4">
        <v>8160</v>
      </c>
      <c r="M10" s="4"/>
      <c r="N10" s="36">
        <f t="shared" si="2"/>
        <v>0</v>
      </c>
      <c r="O10" s="4">
        <f t="shared" si="5"/>
        <v>121061.868</v>
      </c>
      <c r="P10" s="4">
        <v>900</v>
      </c>
      <c r="Q10" s="4">
        <f t="shared" si="3"/>
        <v>7344000</v>
      </c>
      <c r="R10" s="4"/>
    </row>
    <row r="11" spans="1:19" ht="18" customHeight="1">
      <c r="A11" s="18" t="s">
        <v>398</v>
      </c>
      <c r="B11" s="2" t="s">
        <v>38</v>
      </c>
      <c r="C11" s="2" t="s">
        <v>36</v>
      </c>
      <c r="D11" s="2" t="s">
        <v>85</v>
      </c>
      <c r="E11" s="7"/>
      <c r="F11" s="4"/>
      <c r="G11" s="133">
        <f t="shared" ref="G11:G15" si="6">+F11*0.0417</f>
        <v>0</v>
      </c>
      <c r="H11" s="133">
        <f t="shared" si="1"/>
        <v>0</v>
      </c>
      <c r="I11" s="4">
        <v>6800</v>
      </c>
      <c r="J11" s="36">
        <f t="shared" si="4"/>
        <v>0</v>
      </c>
      <c r="K11" s="40" t="s">
        <v>414</v>
      </c>
      <c r="L11" s="4">
        <v>11490</v>
      </c>
      <c r="M11" s="4"/>
      <c r="N11" s="36">
        <f t="shared" si="2"/>
        <v>0</v>
      </c>
      <c r="O11" s="4">
        <f t="shared" si="5"/>
        <v>109571.868</v>
      </c>
      <c r="P11" s="4">
        <v>900</v>
      </c>
      <c r="Q11" s="4">
        <f t="shared" si="3"/>
        <v>10341000</v>
      </c>
      <c r="R11" s="4"/>
    </row>
    <row r="12" spans="1:19" ht="18" customHeight="1">
      <c r="A12" s="18" t="s">
        <v>398</v>
      </c>
      <c r="B12" s="2" t="s">
        <v>38</v>
      </c>
      <c r="C12" s="2" t="s">
        <v>36</v>
      </c>
      <c r="D12" s="2" t="s">
        <v>85</v>
      </c>
      <c r="E12" s="7"/>
      <c r="F12" s="4"/>
      <c r="G12" s="133">
        <f t="shared" si="6"/>
        <v>0</v>
      </c>
      <c r="H12" s="133">
        <f t="shared" si="1"/>
        <v>0</v>
      </c>
      <c r="I12" s="4">
        <v>6800</v>
      </c>
      <c r="J12" s="36">
        <f t="shared" si="4"/>
        <v>0</v>
      </c>
      <c r="K12" s="40"/>
      <c r="L12" s="4"/>
      <c r="M12" s="4"/>
      <c r="N12" s="36">
        <f t="shared" si="2"/>
        <v>0</v>
      </c>
      <c r="O12" s="4">
        <f t="shared" si="5"/>
        <v>109571.868</v>
      </c>
      <c r="P12" s="4">
        <v>900</v>
      </c>
      <c r="Q12" s="36">
        <f t="shared" si="3"/>
        <v>0</v>
      </c>
      <c r="R12" s="4"/>
    </row>
    <row r="13" spans="1:19" ht="18" customHeight="1">
      <c r="A13" s="18" t="s">
        <v>398</v>
      </c>
      <c r="B13" s="2" t="s">
        <v>38</v>
      </c>
      <c r="C13" s="2" t="s">
        <v>36</v>
      </c>
      <c r="D13" s="2" t="s">
        <v>85</v>
      </c>
      <c r="E13" s="7"/>
      <c r="F13" s="4"/>
      <c r="G13" s="133">
        <f t="shared" si="6"/>
        <v>0</v>
      </c>
      <c r="H13" s="133">
        <f t="shared" si="1"/>
        <v>0</v>
      </c>
      <c r="I13" s="4">
        <v>6800</v>
      </c>
      <c r="J13" s="36">
        <f t="shared" si="4"/>
        <v>0</v>
      </c>
      <c r="K13" s="40"/>
      <c r="L13" s="4"/>
      <c r="M13" s="4"/>
      <c r="N13" s="36">
        <f t="shared" si="2"/>
        <v>0</v>
      </c>
      <c r="O13" s="4">
        <f t="shared" si="5"/>
        <v>109571.868</v>
      </c>
      <c r="P13" s="4">
        <v>900</v>
      </c>
      <c r="Q13" s="36">
        <f t="shared" si="3"/>
        <v>0</v>
      </c>
      <c r="R13" s="4"/>
    </row>
    <row r="14" spans="1:19" ht="18" customHeight="1">
      <c r="A14" s="18" t="s">
        <v>398</v>
      </c>
      <c r="B14" s="2" t="s">
        <v>38</v>
      </c>
      <c r="C14" s="2" t="s">
        <v>36</v>
      </c>
      <c r="D14" s="2" t="s">
        <v>85</v>
      </c>
      <c r="E14" s="7"/>
      <c r="F14" s="4"/>
      <c r="G14" s="133">
        <f t="shared" si="6"/>
        <v>0</v>
      </c>
      <c r="H14" s="133">
        <f t="shared" si="1"/>
        <v>0</v>
      </c>
      <c r="I14" s="4">
        <v>6800</v>
      </c>
      <c r="J14" s="36">
        <f t="shared" si="4"/>
        <v>0</v>
      </c>
      <c r="K14" s="40"/>
      <c r="L14" s="4"/>
      <c r="M14" s="4"/>
      <c r="N14" s="36">
        <f t="shared" si="2"/>
        <v>0</v>
      </c>
      <c r="O14" s="4">
        <f t="shared" si="5"/>
        <v>109571.868</v>
      </c>
      <c r="P14" s="4">
        <v>900</v>
      </c>
      <c r="Q14" s="36">
        <f t="shared" si="3"/>
        <v>0</v>
      </c>
      <c r="R14" s="4"/>
    </row>
    <row r="15" spans="1:19" ht="18" customHeight="1">
      <c r="A15" s="18" t="s">
        <v>398</v>
      </c>
      <c r="B15" s="2" t="s">
        <v>38</v>
      </c>
      <c r="C15" s="2" t="s">
        <v>36</v>
      </c>
      <c r="D15" s="2" t="s">
        <v>85</v>
      </c>
      <c r="E15" s="7"/>
      <c r="F15" s="4"/>
      <c r="G15" s="133">
        <f t="shared" si="6"/>
        <v>0</v>
      </c>
      <c r="H15" s="133">
        <f t="shared" si="1"/>
        <v>0</v>
      </c>
      <c r="I15" s="4">
        <v>6800</v>
      </c>
      <c r="J15" s="36">
        <f t="shared" si="4"/>
        <v>0</v>
      </c>
      <c r="K15" s="21"/>
      <c r="L15" s="4"/>
      <c r="M15" s="4"/>
      <c r="N15" s="36">
        <f t="shared" si="2"/>
        <v>0</v>
      </c>
      <c r="O15" s="4">
        <f t="shared" si="5"/>
        <v>109571.868</v>
      </c>
      <c r="P15" s="4">
        <v>900</v>
      </c>
      <c r="Q15" s="36">
        <f t="shared" si="3"/>
        <v>0</v>
      </c>
      <c r="R15" s="4"/>
      <c r="S15" s="50"/>
    </row>
    <row r="16" spans="1:19" ht="18" customHeight="1">
      <c r="A16" s="307" t="s">
        <v>402</v>
      </c>
      <c r="B16" s="308"/>
      <c r="C16" s="308"/>
      <c r="D16" s="308"/>
      <c r="E16" s="309"/>
      <c r="F16" s="103">
        <f>SUBTOTAL(9,F5:F15)</f>
        <v>143960</v>
      </c>
      <c r="G16" s="103">
        <f t="shared" ref="G16" si="7">SUBTOTAL(9,G5:G15)</f>
        <v>6038.1320000000005</v>
      </c>
      <c r="H16" s="103">
        <f>SUBTOTAL(9,H5:H15)</f>
        <v>137921.86800000002</v>
      </c>
      <c r="I16" s="103"/>
      <c r="J16" s="103">
        <f t="shared" ref="J16" si="8">SUBTOTAL(9,J5:J15)</f>
        <v>978928000</v>
      </c>
      <c r="K16" s="103"/>
      <c r="L16" s="103">
        <f>SUM(L5:L15)</f>
        <v>28350</v>
      </c>
      <c r="M16" s="103"/>
      <c r="N16" s="103">
        <f>SUBTOTAL(9,N5:N15)</f>
        <v>0</v>
      </c>
      <c r="O16" s="103"/>
      <c r="P16" s="103"/>
      <c r="Q16" s="103">
        <f>SUBTOTAL(9,Q5:Q15)</f>
        <v>25515000</v>
      </c>
      <c r="R16" s="49"/>
      <c r="S16" s="1" t="s">
        <v>420</v>
      </c>
    </row>
    <row r="17" spans="1:20" ht="18" customHeight="1">
      <c r="A17" s="18"/>
      <c r="B17" s="2"/>
      <c r="C17" s="2" t="s">
        <v>36</v>
      </c>
      <c r="D17" s="2" t="s">
        <v>85</v>
      </c>
      <c r="E17" s="7"/>
      <c r="F17" s="4"/>
      <c r="G17" s="4"/>
      <c r="H17" s="4"/>
      <c r="I17" s="4"/>
      <c r="J17" s="4">
        <f t="shared" ref="J17:J30" si="9">I17*F17</f>
        <v>0</v>
      </c>
      <c r="K17" s="40" t="s">
        <v>418</v>
      </c>
      <c r="L17" s="4">
        <v>8820</v>
      </c>
      <c r="M17" s="4"/>
      <c r="N17" s="36">
        <f t="shared" ref="N17:N31" si="10">L17*M17</f>
        <v>0</v>
      </c>
      <c r="O17" s="4">
        <f>+O15+H17-L17</f>
        <v>100751.868</v>
      </c>
      <c r="P17" s="4">
        <v>900</v>
      </c>
      <c r="Q17" s="4">
        <f>+L17*P17</f>
        <v>7938000</v>
      </c>
      <c r="R17" s="4"/>
    </row>
    <row r="18" spans="1:20" ht="18" customHeight="1">
      <c r="A18" s="18"/>
      <c r="B18" s="2"/>
      <c r="C18" s="2" t="s">
        <v>36</v>
      </c>
      <c r="D18" s="2" t="s">
        <v>85</v>
      </c>
      <c r="E18" s="7"/>
      <c r="F18" s="4"/>
      <c r="G18" s="4"/>
      <c r="H18" s="4"/>
      <c r="I18" s="4"/>
      <c r="J18" s="4">
        <f t="shared" si="9"/>
        <v>0</v>
      </c>
      <c r="K18" s="40" t="s">
        <v>419</v>
      </c>
      <c r="L18" s="4">
        <v>10050</v>
      </c>
      <c r="M18" s="4"/>
      <c r="N18" s="36">
        <f t="shared" si="10"/>
        <v>0</v>
      </c>
      <c r="O18" s="4">
        <f>O17+H18-L18</f>
        <v>90701.868000000002</v>
      </c>
      <c r="P18" s="4">
        <v>900</v>
      </c>
      <c r="Q18" s="4">
        <f>+L18*P18</f>
        <v>9045000</v>
      </c>
      <c r="R18" s="4"/>
    </row>
    <row r="19" spans="1:20" ht="18" customHeight="1">
      <c r="A19" s="18"/>
      <c r="B19" s="2"/>
      <c r="C19" s="2" t="s">
        <v>36</v>
      </c>
      <c r="D19" s="2" t="s">
        <v>85</v>
      </c>
      <c r="E19" s="7"/>
      <c r="F19" s="25"/>
      <c r="G19" s="25"/>
      <c r="H19" s="25"/>
      <c r="I19" s="4"/>
      <c r="J19" s="4">
        <f t="shared" si="9"/>
        <v>0</v>
      </c>
      <c r="K19" s="40" t="s">
        <v>423</v>
      </c>
      <c r="L19" s="4">
        <v>9245</v>
      </c>
      <c r="M19" s="4"/>
      <c r="N19" s="4">
        <f t="shared" si="10"/>
        <v>0</v>
      </c>
      <c r="O19" s="4">
        <f t="shared" ref="O19:O26" si="11">O18+H19-L19</f>
        <v>81456.868000000002</v>
      </c>
      <c r="P19" s="4">
        <v>900</v>
      </c>
      <c r="Q19" s="4">
        <f t="shared" ref="Q19:Q30" si="12">+L19*P19</f>
        <v>8320500</v>
      </c>
      <c r="R19" s="4"/>
    </row>
    <row r="20" spans="1:20" ht="18" customHeight="1">
      <c r="A20" s="18"/>
      <c r="B20" s="2"/>
      <c r="C20" s="2" t="s">
        <v>36</v>
      </c>
      <c r="D20" s="2" t="s">
        <v>85</v>
      </c>
      <c r="E20" s="7"/>
      <c r="F20" s="4"/>
      <c r="G20" s="4"/>
      <c r="H20" s="4"/>
      <c r="I20" s="4"/>
      <c r="J20" s="4">
        <f t="shared" si="9"/>
        <v>0</v>
      </c>
      <c r="K20" s="66" t="s">
        <v>427</v>
      </c>
      <c r="L20" s="49">
        <f>8120-20</f>
        <v>8100</v>
      </c>
      <c r="M20" s="4"/>
      <c r="N20" s="4">
        <f t="shared" si="10"/>
        <v>0</v>
      </c>
      <c r="O20" s="4">
        <f t="shared" si="11"/>
        <v>73356.868000000002</v>
      </c>
      <c r="P20" s="4">
        <v>900</v>
      </c>
      <c r="Q20" s="4">
        <f t="shared" si="12"/>
        <v>7290000</v>
      </c>
      <c r="R20" s="4"/>
      <c r="S20" s="1">
        <v>7308000</v>
      </c>
      <c r="T20" s="50">
        <f>+S20-Q20</f>
        <v>18000</v>
      </c>
    </row>
    <row r="21" spans="1:20" ht="18" customHeight="1">
      <c r="A21" s="18"/>
      <c r="B21" s="2"/>
      <c r="C21" s="2" t="s">
        <v>36</v>
      </c>
      <c r="D21" s="2" t="s">
        <v>85</v>
      </c>
      <c r="E21" s="7"/>
      <c r="F21" s="4"/>
      <c r="G21" s="4"/>
      <c r="H21" s="4"/>
      <c r="I21" s="4"/>
      <c r="J21" s="4">
        <f t="shared" si="9"/>
        <v>0</v>
      </c>
      <c r="K21" s="40" t="s">
        <v>429</v>
      </c>
      <c r="L21" s="4">
        <v>9445</v>
      </c>
      <c r="M21" s="4"/>
      <c r="N21" s="4">
        <f t="shared" si="10"/>
        <v>0</v>
      </c>
      <c r="O21" s="4">
        <f t="shared" si="11"/>
        <v>63911.868000000002</v>
      </c>
      <c r="P21" s="4">
        <v>900</v>
      </c>
      <c r="Q21" s="4">
        <f t="shared" si="12"/>
        <v>8500500</v>
      </c>
      <c r="R21" s="4"/>
    </row>
    <row r="22" spans="1:20" ht="18" customHeight="1">
      <c r="A22" s="18"/>
      <c r="B22" s="2"/>
      <c r="C22" s="2" t="s">
        <v>36</v>
      </c>
      <c r="D22" s="2" t="s">
        <v>85</v>
      </c>
      <c r="E22" s="7"/>
      <c r="F22" s="4"/>
      <c r="G22" s="4"/>
      <c r="H22" s="4"/>
      <c r="I22" s="4"/>
      <c r="J22" s="4"/>
      <c r="K22" s="40" t="s">
        <v>430</v>
      </c>
      <c r="L22" s="4">
        <v>9970</v>
      </c>
      <c r="M22" s="4"/>
      <c r="N22" s="4">
        <f t="shared" si="10"/>
        <v>0</v>
      </c>
      <c r="O22" s="4">
        <f t="shared" si="11"/>
        <v>53941.868000000002</v>
      </c>
      <c r="P22" s="4">
        <v>900</v>
      </c>
      <c r="Q22" s="4">
        <f t="shared" si="12"/>
        <v>8973000</v>
      </c>
      <c r="R22" s="4"/>
    </row>
    <row r="23" spans="1:20" ht="18" customHeight="1">
      <c r="A23" s="18"/>
      <c r="B23" s="2"/>
      <c r="C23" s="2" t="s">
        <v>36</v>
      </c>
      <c r="D23" s="2" t="s">
        <v>85</v>
      </c>
      <c r="E23" s="7"/>
      <c r="F23" s="4"/>
      <c r="G23" s="4"/>
      <c r="H23" s="4"/>
      <c r="I23" s="4"/>
      <c r="J23" s="4"/>
      <c r="K23" s="40" t="s">
        <v>430</v>
      </c>
      <c r="L23" s="4">
        <v>10230</v>
      </c>
      <c r="M23" s="4"/>
      <c r="N23" s="4">
        <f t="shared" si="10"/>
        <v>0</v>
      </c>
      <c r="O23" s="4">
        <f t="shared" si="11"/>
        <v>43711.868000000002</v>
      </c>
      <c r="P23" s="4">
        <v>900</v>
      </c>
      <c r="Q23" s="4">
        <f t="shared" si="12"/>
        <v>9207000</v>
      </c>
      <c r="R23" s="4"/>
    </row>
    <row r="24" spans="1:20" ht="18" customHeight="1">
      <c r="A24" s="18"/>
      <c r="B24" s="2"/>
      <c r="C24" s="2" t="s">
        <v>36</v>
      </c>
      <c r="D24" s="2" t="s">
        <v>85</v>
      </c>
      <c r="E24" s="7"/>
      <c r="F24" s="4"/>
      <c r="G24" s="4"/>
      <c r="H24" s="4"/>
      <c r="I24" s="4"/>
      <c r="J24" s="4"/>
      <c r="K24" s="40" t="s">
        <v>432</v>
      </c>
      <c r="L24" s="49">
        <f>11010-30</f>
        <v>10980</v>
      </c>
      <c r="M24" s="4"/>
      <c r="N24" s="4">
        <f t="shared" si="10"/>
        <v>0</v>
      </c>
      <c r="O24" s="4">
        <f t="shared" si="11"/>
        <v>32731.868000000002</v>
      </c>
      <c r="P24" s="4">
        <v>900</v>
      </c>
      <c r="Q24" s="4">
        <f t="shared" si="12"/>
        <v>9882000</v>
      </c>
      <c r="R24" s="4"/>
      <c r="S24" s="1">
        <v>9909000</v>
      </c>
      <c r="T24" s="50">
        <f>+S24-Q24</f>
        <v>27000</v>
      </c>
    </row>
    <row r="25" spans="1:20" ht="18" customHeight="1">
      <c r="A25" s="18"/>
      <c r="B25" s="2"/>
      <c r="C25" s="2" t="s">
        <v>36</v>
      </c>
      <c r="D25" s="2" t="s">
        <v>85</v>
      </c>
      <c r="E25" s="7"/>
      <c r="F25" s="4"/>
      <c r="G25" s="4"/>
      <c r="H25" s="4"/>
      <c r="I25" s="4"/>
      <c r="J25" s="4"/>
      <c r="K25" s="40" t="s">
        <v>433</v>
      </c>
      <c r="L25" s="4">
        <v>10770</v>
      </c>
      <c r="M25" s="4"/>
      <c r="N25" s="4">
        <f t="shared" si="10"/>
        <v>0</v>
      </c>
      <c r="O25" s="4">
        <f t="shared" si="11"/>
        <v>21961.868000000002</v>
      </c>
      <c r="P25" s="4">
        <v>900</v>
      </c>
      <c r="Q25" s="4">
        <f t="shared" si="12"/>
        <v>9693000</v>
      </c>
      <c r="R25" s="4"/>
    </row>
    <row r="26" spans="1:20" ht="18" customHeight="1">
      <c r="A26" s="18"/>
      <c r="B26" s="2"/>
      <c r="C26" s="2" t="s">
        <v>36</v>
      </c>
      <c r="D26" s="2" t="s">
        <v>85</v>
      </c>
      <c r="E26" s="7"/>
      <c r="F26" s="4"/>
      <c r="G26" s="4"/>
      <c r="H26" s="4"/>
      <c r="I26" s="4"/>
      <c r="J26" s="4"/>
      <c r="K26" s="40" t="s">
        <v>436</v>
      </c>
      <c r="L26" s="4">
        <v>8430</v>
      </c>
      <c r="M26" s="4"/>
      <c r="N26" s="4">
        <f t="shared" si="10"/>
        <v>0</v>
      </c>
      <c r="O26" s="4">
        <f t="shared" si="11"/>
        <v>13531.868000000002</v>
      </c>
      <c r="P26" s="4">
        <v>900</v>
      </c>
      <c r="Q26" s="4">
        <f t="shared" si="12"/>
        <v>7587000</v>
      </c>
      <c r="R26" s="4"/>
    </row>
    <row r="27" spans="1:20" ht="18" customHeight="1">
      <c r="A27" s="18"/>
      <c r="B27" s="2"/>
      <c r="C27" s="2" t="s">
        <v>36</v>
      </c>
      <c r="D27" s="2" t="s">
        <v>85</v>
      </c>
      <c r="E27" s="7"/>
      <c r="F27" s="4"/>
      <c r="G27" s="4"/>
      <c r="H27" s="4"/>
      <c r="I27" s="4"/>
      <c r="J27" s="4"/>
      <c r="K27" s="40" t="s">
        <v>436</v>
      </c>
      <c r="L27" s="4">
        <v>9105</v>
      </c>
      <c r="M27" s="4"/>
      <c r="N27" s="4">
        <f t="shared" si="10"/>
        <v>0</v>
      </c>
      <c r="O27" s="4">
        <f>O26+H27-L27</f>
        <v>4426.8680000000022</v>
      </c>
      <c r="P27" s="4">
        <v>900</v>
      </c>
      <c r="Q27" s="4">
        <f t="shared" si="12"/>
        <v>8194500</v>
      </c>
      <c r="R27" s="4"/>
    </row>
    <row r="28" spans="1:20" ht="18" customHeight="1">
      <c r="A28" s="18"/>
      <c r="B28" s="2"/>
      <c r="C28" s="2" t="s">
        <v>36</v>
      </c>
      <c r="D28" s="2" t="s">
        <v>85</v>
      </c>
      <c r="E28" s="7"/>
      <c r="F28" s="4"/>
      <c r="G28" s="4"/>
      <c r="H28" s="4"/>
      <c r="I28" s="4"/>
      <c r="J28" s="4"/>
      <c r="K28" s="40" t="s">
        <v>437</v>
      </c>
      <c r="L28" s="4"/>
      <c r="M28" s="4"/>
      <c r="N28" s="4">
        <f t="shared" si="10"/>
        <v>0</v>
      </c>
      <c r="O28" s="4">
        <f>O27+H28-L28</f>
        <v>4426.8680000000022</v>
      </c>
      <c r="P28" s="4">
        <v>900</v>
      </c>
      <c r="Q28" s="4">
        <f t="shared" si="12"/>
        <v>0</v>
      </c>
      <c r="R28" s="4">
        <v>25515000</v>
      </c>
    </row>
    <row r="29" spans="1:20" ht="18" customHeight="1">
      <c r="A29" s="55"/>
      <c r="B29" s="56" t="s">
        <v>449</v>
      </c>
      <c r="C29" s="56"/>
      <c r="D29" s="56"/>
      <c r="E29" s="159"/>
      <c r="F29" s="57"/>
      <c r="G29" s="57">
        <v>4.2000000000000003E-2</v>
      </c>
      <c r="H29" s="57"/>
      <c r="I29" s="57"/>
      <c r="J29" s="57"/>
      <c r="K29" s="118"/>
      <c r="L29" s="57">
        <f>SUM(L17:L28)</f>
        <v>105145</v>
      </c>
      <c r="M29" s="57"/>
      <c r="N29" s="57"/>
      <c r="O29" s="57"/>
      <c r="P29" s="57">
        <v>900</v>
      </c>
      <c r="Q29" s="57">
        <f>SUBTOTAL(9,Q17:Q28)</f>
        <v>94630500</v>
      </c>
      <c r="R29" s="57">
        <f>SUM(R17:R28)</f>
        <v>25515000</v>
      </c>
    </row>
    <row r="30" spans="1:20" ht="18" customHeight="1">
      <c r="A30" s="18"/>
      <c r="B30" s="2"/>
      <c r="C30" s="2" t="s">
        <v>36</v>
      </c>
      <c r="D30" s="2" t="s">
        <v>85</v>
      </c>
      <c r="E30" s="7"/>
      <c r="F30" s="4"/>
      <c r="G30" s="4"/>
      <c r="H30" s="4">
        <f>+F30-G30</f>
        <v>0</v>
      </c>
      <c r="I30" s="4"/>
      <c r="J30" s="4">
        <f t="shared" si="9"/>
        <v>0</v>
      </c>
      <c r="K30" s="40" t="s">
        <v>530</v>
      </c>
      <c r="L30" s="4">
        <v>4427</v>
      </c>
      <c r="M30" s="4"/>
      <c r="N30" s="4">
        <f t="shared" si="10"/>
        <v>0</v>
      </c>
      <c r="O30" s="4">
        <f>O28-L30</f>
        <v>-0.13199999999778811</v>
      </c>
      <c r="P30" s="4">
        <v>900</v>
      </c>
      <c r="Q30" s="4">
        <f t="shared" si="12"/>
        <v>3984300</v>
      </c>
      <c r="R30" s="4">
        <v>94630500</v>
      </c>
    </row>
    <row r="31" spans="1:20" ht="18" customHeight="1">
      <c r="A31" s="55"/>
      <c r="B31" s="56" t="s">
        <v>568</v>
      </c>
      <c r="C31" s="56" t="s">
        <v>36</v>
      </c>
      <c r="D31" s="56" t="s">
        <v>85</v>
      </c>
      <c r="E31" s="159"/>
      <c r="F31" s="57"/>
      <c r="G31" s="57"/>
      <c r="H31" s="57"/>
      <c r="I31" s="57"/>
      <c r="J31" s="57"/>
      <c r="K31" s="118"/>
      <c r="L31" s="57">
        <f>SUM(L30)</f>
        <v>4427</v>
      </c>
      <c r="M31" s="57"/>
      <c r="N31" s="57">
        <f t="shared" si="10"/>
        <v>0</v>
      </c>
      <c r="O31" s="57"/>
      <c r="P31" s="57"/>
      <c r="Q31" s="57">
        <f>Q30</f>
        <v>3984300</v>
      </c>
      <c r="R31" s="57">
        <f>R30</f>
        <v>94630500</v>
      </c>
      <c r="S31" s="50"/>
    </row>
    <row r="32" spans="1:20" ht="18" customHeight="1">
      <c r="A32" s="281" t="s">
        <v>0</v>
      </c>
      <c r="B32" s="282"/>
      <c r="C32" s="149"/>
      <c r="D32" s="149"/>
      <c r="E32" s="149"/>
      <c r="F32" s="5">
        <f>SUBTOTAL(9,F5:F31)</f>
        <v>143960</v>
      </c>
      <c r="G32" s="5">
        <f t="shared" ref="G32" si="13">SUBTOTAL(9,G5:G31)</f>
        <v>6038.1740000000009</v>
      </c>
      <c r="H32" s="5">
        <f>SUBTOTAL(9,H5:H31)</f>
        <v>137921.86800000002</v>
      </c>
      <c r="I32" s="5"/>
      <c r="J32" s="5">
        <f>SUBTOTAL(9,J5:J31)</f>
        <v>978928000</v>
      </c>
      <c r="K32" s="5">
        <f t="shared" ref="K32" si="14">SUBTOTAL(9,K5:K31)</f>
        <v>0</v>
      </c>
      <c r="L32" s="5">
        <f>L16+L29+L31</f>
        <v>137922</v>
      </c>
      <c r="M32" s="5"/>
      <c r="N32" s="5">
        <f>SUBTOTAL(9,N5:N31)</f>
        <v>0</v>
      </c>
      <c r="O32" s="5"/>
      <c r="P32" s="5"/>
      <c r="Q32" s="5">
        <f>Q16+Q29+Q31</f>
        <v>124129800</v>
      </c>
      <c r="R32" s="5">
        <f>R29+R31+R16</f>
        <v>120145500</v>
      </c>
    </row>
    <row r="33" spans="1:18" s="6" customFormat="1" ht="24.75" customHeight="1">
      <c r="A33" s="296" t="s">
        <v>127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8"/>
      <c r="O33" s="4"/>
      <c r="P33" s="76"/>
      <c r="Q33" s="311">
        <f>Q32-R32</f>
        <v>3984300</v>
      </c>
      <c r="R33" s="312"/>
    </row>
    <row r="34" spans="1:18" s="6" customFormat="1" ht="24.75" customHeight="1">
      <c r="A34" s="296" t="s">
        <v>198</v>
      </c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8"/>
      <c r="O34" s="4"/>
      <c r="P34" s="4"/>
      <c r="Q34" s="313">
        <f>H32-L32</f>
        <v>-0.13199999998323619</v>
      </c>
      <c r="R34" s="314"/>
    </row>
    <row r="35" spans="1:18">
      <c r="B35" s="69" t="s">
        <v>1</v>
      </c>
      <c r="C35" s="69"/>
      <c r="D35" s="69"/>
      <c r="E35" s="69"/>
      <c r="F35" s="70"/>
      <c r="G35" s="70"/>
      <c r="H35" s="70"/>
      <c r="I35" s="270" t="s">
        <v>119</v>
      </c>
      <c r="J35" s="270"/>
      <c r="K35" s="270"/>
      <c r="L35" s="270"/>
      <c r="M35" s="270"/>
      <c r="N35" s="150"/>
      <c r="O35" s="310" t="s">
        <v>120</v>
      </c>
      <c r="P35" s="310"/>
      <c r="Q35" s="310"/>
    </row>
    <row r="44" spans="1:18">
      <c r="E44" s="315" t="s">
        <v>438</v>
      </c>
      <c r="F44" s="315"/>
      <c r="G44" s="315"/>
      <c r="H44" s="315"/>
      <c r="I44" s="315"/>
      <c r="J44" s="315"/>
    </row>
    <row r="46" spans="1:18" s="11" customFormat="1" ht="15" customHeight="1">
      <c r="A46" s="276" t="s">
        <v>11</v>
      </c>
      <c r="B46" s="276" t="s">
        <v>3</v>
      </c>
      <c r="C46" s="276" t="s">
        <v>10</v>
      </c>
      <c r="D46" s="276" t="s">
        <v>8</v>
      </c>
      <c r="E46" s="278" t="s">
        <v>4</v>
      </c>
      <c r="F46" s="278"/>
      <c r="G46" s="288" t="s">
        <v>6</v>
      </c>
      <c r="H46" s="289"/>
      <c r="I46" s="290"/>
      <c r="J46" s="279" t="s">
        <v>7</v>
      </c>
      <c r="K46" s="280"/>
      <c r="L46" s="276" t="s">
        <v>211</v>
      </c>
      <c r="M46" s="276" t="s">
        <v>212</v>
      </c>
      <c r="N46" s="276" t="s">
        <v>213</v>
      </c>
    </row>
    <row r="47" spans="1:18" s="11" customFormat="1" ht="15" customHeight="1">
      <c r="A47" s="277"/>
      <c r="B47" s="277"/>
      <c r="C47" s="277"/>
      <c r="D47" s="277"/>
      <c r="E47" s="151" t="s">
        <v>9</v>
      </c>
      <c r="F47" s="151" t="s">
        <v>5</v>
      </c>
      <c r="G47" s="20" t="s">
        <v>14</v>
      </c>
      <c r="H47" s="151" t="s">
        <v>9</v>
      </c>
      <c r="I47" s="151" t="s">
        <v>5</v>
      </c>
      <c r="J47" s="151" t="s">
        <v>9</v>
      </c>
      <c r="K47" s="151" t="s">
        <v>5</v>
      </c>
      <c r="L47" s="277"/>
      <c r="M47" s="277"/>
      <c r="N47" s="277"/>
    </row>
    <row r="48" spans="1:18" ht="18" customHeight="1">
      <c r="A48" s="18" t="s">
        <v>13</v>
      </c>
      <c r="B48" s="60" t="s">
        <v>38</v>
      </c>
      <c r="C48" s="98" t="s">
        <v>214</v>
      </c>
      <c r="D48" s="60" t="s">
        <v>439</v>
      </c>
      <c r="E48" s="49">
        <v>200000</v>
      </c>
      <c r="F48" s="49">
        <v>8570</v>
      </c>
      <c r="G48" s="40"/>
      <c r="H48" s="4"/>
      <c r="I48" s="4"/>
      <c r="J48" s="4"/>
      <c r="K48" s="4"/>
      <c r="L48" s="4"/>
      <c r="M48" s="49"/>
      <c r="N48" s="4"/>
      <c r="O48" s="1"/>
      <c r="P48" s="1"/>
      <c r="Q48" s="1"/>
    </row>
    <row r="49" spans="1:17" ht="18" customHeight="1">
      <c r="A49" s="18"/>
      <c r="B49" s="2" t="s">
        <v>439</v>
      </c>
      <c r="C49" s="2"/>
      <c r="D49" s="2"/>
      <c r="E49" s="4"/>
      <c r="F49" s="4"/>
      <c r="G49" s="40" t="s">
        <v>437</v>
      </c>
      <c r="H49" s="4">
        <f>4623+4412</f>
        <v>9035</v>
      </c>
      <c r="I49" s="4"/>
      <c r="J49" s="4">
        <f>+E48-H49</f>
        <v>190965</v>
      </c>
      <c r="K49" s="4"/>
      <c r="L49" s="4">
        <f t="shared" ref="L49:L52" si="15">+H49*I49</f>
        <v>0</v>
      </c>
      <c r="M49" s="4"/>
      <c r="N49" s="4"/>
      <c r="O49" s="1"/>
      <c r="P49" s="1"/>
      <c r="Q49" s="1"/>
    </row>
    <row r="50" spans="1:17" ht="18" customHeight="1">
      <c r="A50" s="18"/>
      <c r="B50" s="60"/>
      <c r="C50" s="60"/>
      <c r="D50" s="60"/>
      <c r="E50" s="49"/>
      <c r="F50" s="49"/>
      <c r="G50" s="40" t="s">
        <v>455</v>
      </c>
      <c r="H50" s="4">
        <v>10730</v>
      </c>
      <c r="I50" s="4"/>
      <c r="J50" s="4">
        <f>+J49-H50</f>
        <v>180235</v>
      </c>
      <c r="K50" s="4"/>
      <c r="L50" s="4">
        <f t="shared" si="15"/>
        <v>0</v>
      </c>
      <c r="M50" s="4"/>
      <c r="N50" s="4"/>
      <c r="O50" s="1"/>
      <c r="P50" s="1"/>
      <c r="Q50" s="1"/>
    </row>
    <row r="51" spans="1:17" ht="18" customHeight="1">
      <c r="A51" s="18"/>
      <c r="B51" s="2"/>
      <c r="C51" s="2"/>
      <c r="D51" s="2"/>
      <c r="E51" s="4"/>
      <c r="F51" s="4"/>
      <c r="G51" s="40" t="s">
        <v>456</v>
      </c>
      <c r="H51" s="4">
        <v>9455</v>
      </c>
      <c r="I51" s="4"/>
      <c r="J51" s="4">
        <f t="shared" ref="J51:J65" si="16">+J50-H51</f>
        <v>170780</v>
      </c>
      <c r="K51" s="4"/>
      <c r="L51" s="4">
        <f t="shared" si="15"/>
        <v>0</v>
      </c>
      <c r="M51" s="4"/>
      <c r="N51" s="4"/>
      <c r="O51" s="1"/>
      <c r="P51" s="1"/>
      <c r="Q51" s="1"/>
    </row>
    <row r="52" spans="1:17" ht="18" customHeight="1">
      <c r="A52" s="18"/>
      <c r="B52" s="2"/>
      <c r="C52" s="2"/>
      <c r="D52" s="2"/>
      <c r="E52" s="4"/>
      <c r="F52" s="4"/>
      <c r="G52" s="40" t="s">
        <v>469</v>
      </c>
      <c r="H52" s="4">
        <v>10190</v>
      </c>
      <c r="I52" s="4"/>
      <c r="J52" s="4">
        <f t="shared" si="16"/>
        <v>160590</v>
      </c>
      <c r="K52" s="4"/>
      <c r="L52" s="4">
        <f t="shared" si="15"/>
        <v>0</v>
      </c>
      <c r="M52" s="4"/>
      <c r="N52" s="4"/>
      <c r="O52" s="1"/>
      <c r="P52" s="1"/>
      <c r="Q52" s="1"/>
    </row>
    <row r="53" spans="1:17" ht="18" customHeight="1">
      <c r="A53" s="18"/>
      <c r="B53" s="2"/>
      <c r="C53" s="2"/>
      <c r="D53" s="2"/>
      <c r="E53" s="4"/>
      <c r="F53" s="4"/>
      <c r="G53" s="40" t="s">
        <v>523</v>
      </c>
      <c r="H53" s="4">
        <v>9925</v>
      </c>
      <c r="I53" s="4"/>
      <c r="J53" s="4">
        <f t="shared" si="16"/>
        <v>150665</v>
      </c>
      <c r="K53" s="4"/>
      <c r="L53" s="4">
        <f>+H53*I53</f>
        <v>0</v>
      </c>
      <c r="M53" s="4">
        <v>770914350</v>
      </c>
      <c r="N53" s="101" t="s">
        <v>523</v>
      </c>
      <c r="O53" s="50"/>
      <c r="P53" s="1"/>
      <c r="Q53" s="1"/>
    </row>
    <row r="54" spans="1:17" ht="18" customHeight="1">
      <c r="A54" s="18"/>
      <c r="B54" s="2"/>
      <c r="C54" s="2"/>
      <c r="D54" s="2"/>
      <c r="E54" s="4"/>
      <c r="F54" s="4"/>
      <c r="G54" s="40" t="s">
        <v>530</v>
      </c>
      <c r="H54" s="4">
        <f>5705+4580-4427</f>
        <v>5858</v>
      </c>
      <c r="I54" s="4">
        <v>8570</v>
      </c>
      <c r="J54" s="4">
        <f t="shared" si="16"/>
        <v>144807</v>
      </c>
      <c r="K54" s="4"/>
      <c r="L54" s="36">
        <f t="shared" ref="L54:L60" si="17">+H54*I54</f>
        <v>50203060</v>
      </c>
      <c r="M54" s="4"/>
      <c r="N54" s="4"/>
      <c r="O54" s="50"/>
      <c r="P54" s="1" t="s">
        <v>642</v>
      </c>
      <c r="Q54" s="1"/>
    </row>
    <row r="55" spans="1:17" ht="18" customHeight="1">
      <c r="A55" s="18"/>
      <c r="B55" s="2"/>
      <c r="C55" s="2"/>
      <c r="D55" s="2"/>
      <c r="E55" s="4"/>
      <c r="F55" s="4"/>
      <c r="G55" s="40" t="s">
        <v>534</v>
      </c>
      <c r="H55" s="4">
        <v>12100</v>
      </c>
      <c r="I55" s="4">
        <v>8570</v>
      </c>
      <c r="J55" s="4">
        <f t="shared" si="16"/>
        <v>132707</v>
      </c>
      <c r="K55" s="4"/>
      <c r="L55" s="36">
        <f t="shared" si="17"/>
        <v>103697000</v>
      </c>
      <c r="M55" s="4"/>
      <c r="N55" s="4"/>
      <c r="O55" s="50"/>
      <c r="P55" s="1" t="s">
        <v>642</v>
      </c>
      <c r="Q55" s="1"/>
    </row>
    <row r="56" spans="1:17" ht="18" customHeight="1">
      <c r="A56" s="18"/>
      <c r="B56" s="2"/>
      <c r="C56" s="2"/>
      <c r="D56" s="2"/>
      <c r="E56" s="4"/>
      <c r="F56" s="4"/>
      <c r="G56" s="40" t="s">
        <v>603</v>
      </c>
      <c r="H56" s="4">
        <v>9525</v>
      </c>
      <c r="I56" s="4">
        <v>8570</v>
      </c>
      <c r="J56" s="4">
        <f t="shared" si="16"/>
        <v>123182</v>
      </c>
      <c r="K56" s="4"/>
      <c r="L56" s="36">
        <f t="shared" si="17"/>
        <v>81629250</v>
      </c>
      <c r="M56" s="4"/>
      <c r="N56" s="4"/>
      <c r="O56" s="50"/>
      <c r="P56" s="1" t="s">
        <v>643</v>
      </c>
      <c r="Q56" s="1"/>
    </row>
    <row r="57" spans="1:17" ht="18" customHeight="1">
      <c r="A57" s="18"/>
      <c r="B57" s="2"/>
      <c r="C57" s="2"/>
      <c r="D57" s="2"/>
      <c r="E57" s="4"/>
      <c r="F57" s="4"/>
      <c r="G57" s="40" t="s">
        <v>606</v>
      </c>
      <c r="H57" s="4">
        <f>6855-20</f>
        <v>6835</v>
      </c>
      <c r="I57" s="4">
        <v>8570</v>
      </c>
      <c r="J57" s="4">
        <f t="shared" si="16"/>
        <v>116347</v>
      </c>
      <c r="K57" s="4"/>
      <c r="L57" s="36">
        <f t="shared" si="17"/>
        <v>58575950</v>
      </c>
      <c r="M57" s="4"/>
      <c r="N57" s="4"/>
      <c r="O57" s="50" t="s">
        <v>558</v>
      </c>
      <c r="P57" s="1" t="s">
        <v>645</v>
      </c>
      <c r="Q57" s="1"/>
    </row>
    <row r="58" spans="1:17" ht="18" customHeight="1">
      <c r="A58" s="18"/>
      <c r="B58" s="2"/>
      <c r="C58" s="2"/>
      <c r="D58" s="2"/>
      <c r="E58" s="4"/>
      <c r="F58" s="4"/>
      <c r="G58" s="40" t="s">
        <v>607</v>
      </c>
      <c r="H58" s="4">
        <v>9295</v>
      </c>
      <c r="I58" s="4">
        <v>8570</v>
      </c>
      <c r="J58" s="4">
        <f t="shared" si="16"/>
        <v>107052</v>
      </c>
      <c r="K58" s="4"/>
      <c r="L58" s="36">
        <f t="shared" si="17"/>
        <v>79658150</v>
      </c>
      <c r="M58" s="4"/>
      <c r="N58" s="4"/>
      <c r="O58" s="50" t="s">
        <v>29</v>
      </c>
      <c r="P58" s="1" t="s">
        <v>645</v>
      </c>
      <c r="Q58" s="1"/>
    </row>
    <row r="59" spans="1:17" ht="18" customHeight="1">
      <c r="A59" s="18"/>
      <c r="B59" s="2"/>
      <c r="C59" s="2"/>
      <c r="D59" s="2"/>
      <c r="E59" s="4"/>
      <c r="F59" s="4"/>
      <c r="G59" s="40" t="s">
        <v>617</v>
      </c>
      <c r="H59" s="4">
        <v>10110</v>
      </c>
      <c r="I59" s="4">
        <v>8570</v>
      </c>
      <c r="J59" s="4">
        <f t="shared" si="16"/>
        <v>96942</v>
      </c>
      <c r="K59" s="4"/>
      <c r="L59" s="36">
        <f t="shared" si="17"/>
        <v>86642700</v>
      </c>
      <c r="M59" s="4"/>
      <c r="N59" s="4"/>
      <c r="O59" s="50" t="s">
        <v>29</v>
      </c>
      <c r="P59" s="1" t="s">
        <v>644</v>
      </c>
      <c r="Q59" s="1"/>
    </row>
    <row r="60" spans="1:17" ht="18" customHeight="1">
      <c r="A60" s="18"/>
      <c r="B60" s="2"/>
      <c r="C60" s="2"/>
      <c r="D60" s="2"/>
      <c r="E60" s="4"/>
      <c r="F60" s="4"/>
      <c r="G60" s="40" t="s">
        <v>629</v>
      </c>
      <c r="H60" s="4">
        <v>9000</v>
      </c>
      <c r="I60" s="4">
        <v>8570</v>
      </c>
      <c r="J60" s="4">
        <f t="shared" si="16"/>
        <v>87942</v>
      </c>
      <c r="K60" s="4"/>
      <c r="L60" s="4">
        <f t="shared" si="17"/>
        <v>77130000</v>
      </c>
      <c r="M60" s="4"/>
      <c r="N60" s="4"/>
      <c r="O60" s="50" t="s">
        <v>29</v>
      </c>
      <c r="P60" s="1" t="s">
        <v>646</v>
      </c>
      <c r="Q60" s="1"/>
    </row>
    <row r="61" spans="1:17" ht="18" customHeight="1">
      <c r="A61" s="18"/>
      <c r="B61" s="2"/>
      <c r="C61" s="2"/>
      <c r="D61" s="2"/>
      <c r="E61" s="4"/>
      <c r="F61" s="4"/>
      <c r="G61" s="40"/>
      <c r="H61" s="4"/>
      <c r="I61" s="4"/>
      <c r="J61" s="4">
        <f t="shared" si="16"/>
        <v>87942</v>
      </c>
      <c r="K61" s="4"/>
      <c r="L61" s="4"/>
      <c r="M61" s="4"/>
      <c r="N61" s="4"/>
      <c r="O61" s="50"/>
      <c r="P61" s="1"/>
      <c r="Q61" s="1"/>
    </row>
    <row r="62" spans="1:17" ht="18" customHeight="1">
      <c r="A62" s="18"/>
      <c r="B62" s="2"/>
      <c r="C62" s="2"/>
      <c r="D62" s="2"/>
      <c r="E62" s="4"/>
      <c r="F62" s="4"/>
      <c r="G62" s="40"/>
      <c r="H62" s="4"/>
      <c r="I62" s="4"/>
      <c r="J62" s="4">
        <f t="shared" si="16"/>
        <v>87942</v>
      </c>
      <c r="K62" s="4"/>
      <c r="L62" s="4"/>
      <c r="M62" s="4"/>
      <c r="N62" s="4"/>
      <c r="O62" s="50"/>
      <c r="P62" s="1"/>
      <c r="Q62" s="1"/>
    </row>
    <row r="63" spans="1:17" ht="18" customHeight="1">
      <c r="A63" s="18"/>
      <c r="B63" s="2"/>
      <c r="C63" s="2"/>
      <c r="D63" s="2"/>
      <c r="E63" s="4"/>
      <c r="F63" s="4"/>
      <c r="G63" s="40"/>
      <c r="H63" s="4"/>
      <c r="I63" s="4"/>
      <c r="J63" s="4">
        <f t="shared" si="16"/>
        <v>87942</v>
      </c>
      <c r="K63" s="4"/>
      <c r="L63" s="4"/>
      <c r="M63" s="4"/>
      <c r="N63" s="4"/>
      <c r="O63" s="50"/>
      <c r="P63" s="1"/>
      <c r="Q63" s="1"/>
    </row>
    <row r="64" spans="1:17" ht="18" customHeight="1">
      <c r="A64" s="18"/>
      <c r="B64" s="2"/>
      <c r="C64" s="2"/>
      <c r="D64" s="2"/>
      <c r="E64" s="4"/>
      <c r="F64" s="4"/>
      <c r="G64" s="40"/>
      <c r="H64" s="4"/>
      <c r="I64" s="4"/>
      <c r="J64" s="4">
        <f t="shared" si="16"/>
        <v>87942</v>
      </c>
      <c r="K64" s="4"/>
      <c r="L64" s="4"/>
      <c r="M64" s="4"/>
      <c r="N64" s="4"/>
      <c r="O64" s="50"/>
      <c r="P64" s="1"/>
      <c r="Q64" s="1"/>
    </row>
    <row r="65" spans="1:17" ht="18" customHeight="1">
      <c r="A65" s="18"/>
      <c r="B65" s="2"/>
      <c r="C65" s="2"/>
      <c r="D65" s="2"/>
      <c r="E65" s="4"/>
      <c r="F65" s="4"/>
      <c r="G65" s="40"/>
      <c r="H65" s="4"/>
      <c r="I65" s="4"/>
      <c r="J65" s="4">
        <f t="shared" si="16"/>
        <v>87942</v>
      </c>
      <c r="K65" s="4"/>
      <c r="L65" s="4"/>
      <c r="M65" s="4"/>
      <c r="N65" s="4"/>
      <c r="O65" s="50"/>
      <c r="P65" s="1"/>
      <c r="Q65" s="1"/>
    </row>
    <row r="66" spans="1:17" ht="18" customHeight="1">
      <c r="A66" s="128"/>
      <c r="B66" s="24"/>
      <c r="C66" s="24"/>
      <c r="D66" s="24"/>
      <c r="E66" s="25"/>
      <c r="F66" s="25"/>
      <c r="G66" s="78"/>
      <c r="H66" s="57">
        <f>SUM(H49:H65)</f>
        <v>112058</v>
      </c>
      <c r="I66" s="57">
        <v>8570</v>
      </c>
      <c r="J66" s="57">
        <f>H66*I66</f>
        <v>960337060</v>
      </c>
      <c r="K66" s="57"/>
      <c r="L66" s="57">
        <f>SUM(L49:L65)</f>
        <v>537536110</v>
      </c>
      <c r="M66" s="57">
        <f t="shared" ref="M66" si="18">SUM(M49:M65)</f>
        <v>770914350</v>
      </c>
      <c r="N66" s="57">
        <f>M66-J66</f>
        <v>-189422710</v>
      </c>
      <c r="O66" s="50"/>
      <c r="P66" s="1"/>
      <c r="Q66" s="1"/>
    </row>
    <row r="67" spans="1:17" ht="18" customHeight="1">
      <c r="A67" s="18"/>
      <c r="B67" s="60" t="s">
        <v>466</v>
      </c>
      <c r="C67" s="60"/>
      <c r="D67" s="60" t="s">
        <v>439</v>
      </c>
      <c r="E67" s="49">
        <v>120000</v>
      </c>
      <c r="F67" s="49">
        <v>8700</v>
      </c>
      <c r="G67" s="61" t="s">
        <v>583</v>
      </c>
      <c r="H67" s="49" t="s">
        <v>584</v>
      </c>
      <c r="I67" s="49" t="s">
        <v>585</v>
      </c>
      <c r="J67" s="49" t="s">
        <v>586</v>
      </c>
      <c r="K67" s="49"/>
      <c r="L67" s="49" t="s">
        <v>587</v>
      </c>
      <c r="M67" s="49"/>
      <c r="N67" s="49" t="s">
        <v>588</v>
      </c>
      <c r="O67" s="50"/>
      <c r="P67" s="1"/>
      <c r="Q67" s="1"/>
    </row>
    <row r="68" spans="1:17" ht="18" customHeight="1">
      <c r="A68" s="18"/>
      <c r="B68" s="2" t="s">
        <v>467</v>
      </c>
      <c r="C68" s="2"/>
      <c r="D68" s="2"/>
      <c r="E68" s="4"/>
      <c r="F68" s="4"/>
      <c r="G68" s="40" t="s">
        <v>540</v>
      </c>
      <c r="H68" s="4">
        <v>12145</v>
      </c>
      <c r="I68" s="4">
        <v>8700</v>
      </c>
      <c r="J68" s="4">
        <f>+E67-H68</f>
        <v>107855</v>
      </c>
      <c r="K68" s="4"/>
      <c r="L68" s="4">
        <f>+I68*H68</f>
        <v>105661500</v>
      </c>
      <c r="M68" s="4"/>
      <c r="N68" s="4">
        <f>+H68*8800</f>
        <v>106876000</v>
      </c>
      <c r="O68" s="50" t="s">
        <v>559</v>
      </c>
      <c r="P68" s="1"/>
      <c r="Q68" s="1"/>
    </row>
    <row r="69" spans="1:17" ht="18" customHeight="1">
      <c r="A69" s="17"/>
      <c r="B69" s="2"/>
      <c r="C69" s="2"/>
      <c r="D69" s="2"/>
      <c r="E69" s="4"/>
      <c r="F69" s="4"/>
      <c r="G69" s="40" t="s">
        <v>547</v>
      </c>
      <c r="H69" s="4">
        <v>9560</v>
      </c>
      <c r="I69" s="4">
        <v>8700</v>
      </c>
      <c r="J69" s="4">
        <f>+J68-H69</f>
        <v>98295</v>
      </c>
      <c r="K69" s="4"/>
      <c r="L69" s="4">
        <f t="shared" ref="L69:L85" si="19">+I69*H69</f>
        <v>83172000</v>
      </c>
      <c r="M69" s="4"/>
      <c r="N69" s="4"/>
      <c r="O69" s="50" t="s">
        <v>553</v>
      </c>
      <c r="P69" s="1"/>
      <c r="Q69" s="1"/>
    </row>
    <row r="70" spans="1:17" ht="18" customHeight="1">
      <c r="A70" s="18"/>
      <c r="B70" s="2"/>
      <c r="C70" s="2"/>
      <c r="D70" s="2"/>
      <c r="E70" s="4"/>
      <c r="F70" s="4"/>
      <c r="G70" s="40" t="s">
        <v>554</v>
      </c>
      <c r="H70" s="4">
        <v>10140</v>
      </c>
      <c r="I70" s="4">
        <v>8700</v>
      </c>
      <c r="J70" s="4">
        <f t="shared" ref="J70:J85" si="20">+J69-H70</f>
        <v>88155</v>
      </c>
      <c r="K70" s="4"/>
      <c r="L70" s="4">
        <f t="shared" si="19"/>
        <v>88218000</v>
      </c>
      <c r="M70" s="4"/>
      <c r="N70" s="4"/>
      <c r="O70" s="50" t="s">
        <v>553</v>
      </c>
      <c r="P70" s="1"/>
      <c r="Q70" s="1"/>
    </row>
    <row r="71" spans="1:17" ht="18" customHeight="1">
      <c r="A71" s="18"/>
      <c r="B71" s="2"/>
      <c r="C71" s="2"/>
      <c r="D71" s="2"/>
      <c r="E71" s="4"/>
      <c r="F71" s="4"/>
      <c r="G71" s="40"/>
      <c r="H71" s="4">
        <v>8800</v>
      </c>
      <c r="I71" s="4">
        <v>8700</v>
      </c>
      <c r="J71" s="4">
        <f t="shared" si="20"/>
        <v>79355</v>
      </c>
      <c r="K71" s="4"/>
      <c r="L71" s="4">
        <f t="shared" si="19"/>
        <v>76560000</v>
      </c>
      <c r="M71" s="4"/>
      <c r="N71" s="4">
        <f>8802*8800</f>
        <v>77457600</v>
      </c>
      <c r="O71" s="50" t="s">
        <v>558</v>
      </c>
      <c r="P71" s="1"/>
      <c r="Q71" s="1"/>
    </row>
    <row r="72" spans="1:17" ht="18" customHeight="1">
      <c r="A72" s="18"/>
      <c r="B72" s="2"/>
      <c r="C72" s="2"/>
      <c r="D72" s="2"/>
      <c r="E72" s="4"/>
      <c r="F72" s="4"/>
      <c r="G72" s="40" t="s">
        <v>564</v>
      </c>
      <c r="H72" s="4">
        <v>7882</v>
      </c>
      <c r="I72" s="4">
        <v>8700</v>
      </c>
      <c r="J72" s="4">
        <f t="shared" si="20"/>
        <v>71473</v>
      </c>
      <c r="K72" s="4"/>
      <c r="L72" s="4">
        <f t="shared" si="19"/>
        <v>68573400</v>
      </c>
      <c r="M72" s="4"/>
      <c r="N72" s="4">
        <f>7885*8800</f>
        <v>69388000</v>
      </c>
      <c r="O72" s="50" t="s">
        <v>558</v>
      </c>
      <c r="P72" s="1"/>
      <c r="Q72" s="1"/>
    </row>
    <row r="73" spans="1:17" ht="18" customHeight="1">
      <c r="A73" s="18"/>
      <c r="B73" s="2"/>
      <c r="C73" s="2"/>
      <c r="D73" s="2"/>
      <c r="E73" s="4"/>
      <c r="F73" s="4"/>
      <c r="G73" s="40" t="s">
        <v>565</v>
      </c>
      <c r="H73" s="4">
        <v>10550</v>
      </c>
      <c r="I73" s="4">
        <v>8700</v>
      </c>
      <c r="J73" s="4">
        <f t="shared" si="20"/>
        <v>60923</v>
      </c>
      <c r="K73" s="4"/>
      <c r="L73" s="4">
        <f t="shared" si="19"/>
        <v>91785000</v>
      </c>
      <c r="M73" s="4"/>
      <c r="N73" s="4"/>
      <c r="O73" s="50" t="s">
        <v>29</v>
      </c>
      <c r="P73" s="1"/>
      <c r="Q73" s="1"/>
    </row>
    <row r="74" spans="1:17" ht="18" customHeight="1">
      <c r="A74" s="18"/>
      <c r="B74" s="2"/>
      <c r="C74" s="2"/>
      <c r="D74" s="2"/>
      <c r="E74" s="4"/>
      <c r="F74" s="4"/>
      <c r="G74" s="40" t="s">
        <v>566</v>
      </c>
      <c r="H74" s="4">
        <v>8241</v>
      </c>
      <c r="I74" s="4">
        <v>8700</v>
      </c>
      <c r="J74" s="4">
        <f t="shared" si="20"/>
        <v>52682</v>
      </c>
      <c r="K74" s="4"/>
      <c r="L74" s="4">
        <f t="shared" si="19"/>
        <v>71696700</v>
      </c>
      <c r="M74" s="4"/>
      <c r="N74" s="4">
        <f>8244*8800</f>
        <v>72547200</v>
      </c>
      <c r="O74" s="50" t="s">
        <v>558</v>
      </c>
      <c r="P74" s="1"/>
      <c r="Q74" s="1"/>
    </row>
    <row r="75" spans="1:17" ht="18" customHeight="1">
      <c r="A75" s="18"/>
      <c r="B75" s="2"/>
      <c r="C75" s="2"/>
      <c r="D75" s="2"/>
      <c r="E75" s="4"/>
      <c r="F75" s="4"/>
      <c r="G75" s="40"/>
      <c r="H75" s="4">
        <v>10020</v>
      </c>
      <c r="I75" s="4">
        <v>8700</v>
      </c>
      <c r="J75" s="4">
        <f t="shared" si="20"/>
        <v>42662</v>
      </c>
      <c r="K75" s="4"/>
      <c r="L75" s="4">
        <f t="shared" si="19"/>
        <v>87174000</v>
      </c>
      <c r="M75" s="4"/>
      <c r="N75" s="4"/>
      <c r="O75" s="50" t="s">
        <v>29</v>
      </c>
      <c r="P75" s="1"/>
      <c r="Q75" s="1"/>
    </row>
    <row r="76" spans="1:17" ht="18" customHeight="1">
      <c r="A76" s="18"/>
      <c r="B76" s="2"/>
      <c r="C76" s="2"/>
      <c r="D76" s="2"/>
      <c r="E76" s="4"/>
      <c r="F76" s="4"/>
      <c r="G76" s="40" t="s">
        <v>590</v>
      </c>
      <c r="H76" s="4">
        <v>9435</v>
      </c>
      <c r="I76" s="4">
        <v>8700</v>
      </c>
      <c r="J76" s="4">
        <f t="shared" si="20"/>
        <v>33227</v>
      </c>
      <c r="K76" s="4"/>
      <c r="L76" s="4">
        <f t="shared" si="19"/>
        <v>82084500</v>
      </c>
      <c r="M76" s="4"/>
      <c r="N76" s="4"/>
      <c r="O76" s="50" t="s">
        <v>29</v>
      </c>
      <c r="P76" s="1"/>
      <c r="Q76" s="1"/>
    </row>
    <row r="77" spans="1:17" ht="18" customHeight="1">
      <c r="A77" s="18"/>
      <c r="B77" s="2"/>
      <c r="C77" s="2"/>
      <c r="D77" s="2"/>
      <c r="E77" s="4"/>
      <c r="F77" s="4"/>
      <c r="G77" s="40"/>
      <c r="H77" s="4">
        <v>10085</v>
      </c>
      <c r="I77" s="4">
        <v>8700</v>
      </c>
      <c r="J77" s="4">
        <f t="shared" si="20"/>
        <v>23142</v>
      </c>
      <c r="K77" s="4"/>
      <c r="L77" s="4">
        <f t="shared" si="19"/>
        <v>87739500</v>
      </c>
      <c r="M77" s="4">
        <v>200000000</v>
      </c>
      <c r="N77" s="4">
        <f>10090*8800</f>
        <v>88792000</v>
      </c>
      <c r="O77" s="50" t="s">
        <v>558</v>
      </c>
      <c r="P77" s="92" t="s">
        <v>601</v>
      </c>
      <c r="Q77" s="1"/>
    </row>
    <row r="78" spans="1:17" ht="18" customHeight="1">
      <c r="A78" s="18"/>
      <c r="B78" s="2"/>
      <c r="C78" s="2"/>
      <c r="D78" s="2"/>
      <c r="E78" s="4"/>
      <c r="F78" s="4"/>
      <c r="G78" s="40" t="s">
        <v>598</v>
      </c>
      <c r="H78" s="4">
        <v>8037</v>
      </c>
      <c r="I78" s="4">
        <v>8700</v>
      </c>
      <c r="J78" s="4">
        <f t="shared" si="20"/>
        <v>15105</v>
      </c>
      <c r="K78" s="4"/>
      <c r="L78" s="4">
        <f t="shared" si="19"/>
        <v>69921900</v>
      </c>
      <c r="M78" s="4"/>
      <c r="N78" s="4">
        <f>8040*8800</f>
        <v>70752000</v>
      </c>
      <c r="O78" s="50" t="s">
        <v>558</v>
      </c>
      <c r="P78" s="1"/>
      <c r="Q78" s="1"/>
    </row>
    <row r="79" spans="1:17" ht="18" customHeight="1">
      <c r="A79" s="18"/>
      <c r="B79" s="2"/>
      <c r="C79" s="2"/>
      <c r="D79" s="2"/>
      <c r="E79" s="4"/>
      <c r="F79" s="4"/>
      <c r="G79" s="40" t="s">
        <v>602</v>
      </c>
      <c r="H79" s="4">
        <v>9685</v>
      </c>
      <c r="I79" s="4">
        <v>8700</v>
      </c>
      <c r="J79" s="4">
        <f t="shared" si="20"/>
        <v>5420</v>
      </c>
      <c r="K79" s="4"/>
      <c r="L79" s="4">
        <f t="shared" si="19"/>
        <v>84259500</v>
      </c>
      <c r="M79" s="4"/>
      <c r="N79" s="4"/>
      <c r="O79" s="50" t="s">
        <v>29</v>
      </c>
      <c r="P79" s="1"/>
      <c r="Q79" s="1"/>
    </row>
    <row r="80" spans="1:17" ht="18" customHeight="1">
      <c r="A80" s="18"/>
      <c r="B80" s="2"/>
      <c r="C80" s="2"/>
      <c r="D80" s="2"/>
      <c r="E80" s="4"/>
      <c r="F80" s="4"/>
      <c r="G80" s="40"/>
      <c r="H80" s="4"/>
      <c r="I80" s="4">
        <v>8700</v>
      </c>
      <c r="J80" s="4">
        <f t="shared" si="20"/>
        <v>5420</v>
      </c>
      <c r="K80" s="4"/>
      <c r="L80" s="4">
        <f t="shared" si="19"/>
        <v>0</v>
      </c>
      <c r="M80" s="4">
        <v>300000000</v>
      </c>
      <c r="N80" s="4"/>
      <c r="O80" s="50"/>
      <c r="P80" s="92" t="s">
        <v>618</v>
      </c>
      <c r="Q80" s="1"/>
    </row>
    <row r="81" spans="1:17" ht="18" customHeight="1">
      <c r="A81" s="18"/>
      <c r="B81" s="2"/>
      <c r="C81" s="2"/>
      <c r="D81" s="2"/>
      <c r="E81" s="4"/>
      <c r="F81" s="4"/>
      <c r="G81" s="40"/>
      <c r="H81" s="4"/>
      <c r="I81" s="4">
        <v>8700</v>
      </c>
      <c r="J81" s="4">
        <f t="shared" si="20"/>
        <v>5420</v>
      </c>
      <c r="K81" s="4"/>
      <c r="L81" s="4">
        <f t="shared" si="19"/>
        <v>0</v>
      </c>
      <c r="M81" s="4"/>
      <c r="N81" s="4"/>
      <c r="O81" s="50"/>
      <c r="P81" s="1"/>
      <c r="Q81" s="1"/>
    </row>
    <row r="82" spans="1:17" ht="18" customHeight="1">
      <c r="A82" s="18"/>
      <c r="B82" s="2"/>
      <c r="C82" s="2"/>
      <c r="D82" s="2"/>
      <c r="E82" s="4"/>
      <c r="F82" s="4"/>
      <c r="G82" s="40"/>
      <c r="H82" s="4"/>
      <c r="I82" s="4">
        <v>8700</v>
      </c>
      <c r="J82" s="4">
        <f t="shared" si="20"/>
        <v>5420</v>
      </c>
      <c r="K82" s="4"/>
      <c r="L82" s="4">
        <f t="shared" si="19"/>
        <v>0</v>
      </c>
      <c r="M82" s="4"/>
      <c r="N82" s="4"/>
      <c r="O82" s="50"/>
      <c r="P82" s="1"/>
      <c r="Q82" s="1"/>
    </row>
    <row r="83" spans="1:17" ht="18" customHeight="1">
      <c r="A83" s="18"/>
      <c r="B83" s="2"/>
      <c r="C83" s="2"/>
      <c r="D83" s="2"/>
      <c r="E83" s="4"/>
      <c r="F83" s="4"/>
      <c r="G83" s="40"/>
      <c r="H83" s="4"/>
      <c r="I83" s="4">
        <v>8700</v>
      </c>
      <c r="J83" s="4">
        <f t="shared" si="20"/>
        <v>5420</v>
      </c>
      <c r="K83" s="4"/>
      <c r="L83" s="4">
        <f t="shared" si="19"/>
        <v>0</v>
      </c>
      <c r="M83" s="4"/>
      <c r="N83" s="4"/>
      <c r="O83" s="50"/>
      <c r="P83" s="1"/>
      <c r="Q83" s="1"/>
    </row>
    <row r="84" spans="1:17" ht="18" customHeight="1">
      <c r="A84" s="18"/>
      <c r="B84" s="2"/>
      <c r="C84" s="2"/>
      <c r="D84" s="2"/>
      <c r="E84" s="4"/>
      <c r="F84" s="4"/>
      <c r="G84" s="21"/>
      <c r="H84" s="4"/>
      <c r="I84" s="4">
        <v>8700</v>
      </c>
      <c r="J84" s="4">
        <f t="shared" si="20"/>
        <v>5420</v>
      </c>
      <c r="K84" s="4"/>
      <c r="L84" s="4">
        <f t="shared" si="19"/>
        <v>0</v>
      </c>
      <c r="M84" s="4"/>
      <c r="N84" s="4"/>
      <c r="O84" s="1"/>
      <c r="P84" s="1"/>
      <c r="Q84" s="1"/>
    </row>
    <row r="85" spans="1:17" ht="18" customHeight="1">
      <c r="A85" s="152"/>
      <c r="B85" s="39"/>
      <c r="C85" s="2"/>
      <c r="D85" s="2"/>
      <c r="E85" s="4"/>
      <c r="F85" s="4"/>
      <c r="G85" s="40"/>
      <c r="H85" s="4"/>
      <c r="I85" s="4">
        <v>8700</v>
      </c>
      <c r="J85" s="4">
        <f t="shared" si="20"/>
        <v>5420</v>
      </c>
      <c r="K85" s="4"/>
      <c r="L85" s="4">
        <f t="shared" si="19"/>
        <v>0</v>
      </c>
      <c r="M85" s="4"/>
      <c r="N85" s="4"/>
      <c r="O85" s="1"/>
      <c r="P85" s="1"/>
      <c r="Q85" s="1"/>
    </row>
    <row r="86" spans="1:17" s="15" customFormat="1" ht="18" customHeight="1">
      <c r="A86" s="291" t="s">
        <v>15</v>
      </c>
      <c r="B86" s="292"/>
      <c r="C86" s="13"/>
      <c r="D86" s="13"/>
      <c r="E86" s="14"/>
      <c r="F86" s="14"/>
      <c r="G86" s="22"/>
      <c r="H86" s="14">
        <f>SUM(H68:H85)</f>
        <v>114580</v>
      </c>
      <c r="I86" s="14">
        <v>8700</v>
      </c>
      <c r="J86" s="14">
        <f>I86*H86</f>
        <v>996846000</v>
      </c>
      <c r="K86" s="14"/>
      <c r="L86" s="14">
        <f>SUM(L68:L85)</f>
        <v>996846000</v>
      </c>
      <c r="M86" s="14">
        <f t="shared" ref="M86" si="21">SUM(M68:M85)</f>
        <v>500000000</v>
      </c>
      <c r="N86" s="14">
        <f>SUM(N68:N85)</f>
        <v>485812800</v>
      </c>
      <c r="O86" s="188">
        <f>N66+N87</f>
        <v>-686268710</v>
      </c>
    </row>
    <row r="87" spans="1:17">
      <c r="N87" s="187">
        <f>M86-L86</f>
        <v>-496846000</v>
      </c>
    </row>
    <row r="88" spans="1:17">
      <c r="B88" s="1" t="s">
        <v>1</v>
      </c>
      <c r="H88" s="3" t="s">
        <v>119</v>
      </c>
      <c r="M88" s="3" t="s">
        <v>593</v>
      </c>
    </row>
  </sheetData>
  <mergeCells count="32">
    <mergeCell ref="A86:B86"/>
    <mergeCell ref="E44:J44"/>
    <mergeCell ref="G46:I46"/>
    <mergeCell ref="J46:K46"/>
    <mergeCell ref="L46:L47"/>
    <mergeCell ref="M46:M47"/>
    <mergeCell ref="N46:N47"/>
    <mergeCell ref="A46:A47"/>
    <mergeCell ref="B46:B47"/>
    <mergeCell ref="C46:C47"/>
    <mergeCell ref="D46:D47"/>
    <mergeCell ref="E46:F46"/>
    <mergeCell ref="R3:R4"/>
    <mergeCell ref="A16:E16"/>
    <mergeCell ref="I35:M35"/>
    <mergeCell ref="O35:Q35"/>
    <mergeCell ref="A32:B32"/>
    <mergeCell ref="A33:N33"/>
    <mergeCell ref="Q33:R33"/>
    <mergeCell ref="A34:N34"/>
    <mergeCell ref="Q34:R34"/>
    <mergeCell ref="A1:Q1"/>
    <mergeCell ref="A2:Q2"/>
    <mergeCell ref="A3:A4"/>
    <mergeCell ref="B3:B4"/>
    <mergeCell ref="C3:C4"/>
    <mergeCell ref="D3:D4"/>
    <mergeCell ref="E3:J3"/>
    <mergeCell ref="K3:N3"/>
    <mergeCell ref="O3:O4"/>
    <mergeCell ref="P3:P4"/>
    <mergeCell ref="Q3:Q4"/>
  </mergeCells>
  <pageMargins left="0.24" right="0.16" top="0.22" bottom="0.17" header="0.26" footer="0.21"/>
  <pageSetup paperSize="9" scale="7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8"/>
  <sheetViews>
    <sheetView workbookViewId="0">
      <pane ySplit="5" topLeftCell="A23" activePane="bottomLeft" state="frozen"/>
      <selection pane="bottomLeft" activeCell="I35" sqref="I35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18.7109375" style="1" bestFit="1" customWidth="1"/>
    <col min="13" max="16384" width="9.140625" style="1"/>
  </cols>
  <sheetData>
    <row r="1" spans="1:11" ht="34.5" customHeight="1">
      <c r="A1" s="274" t="s">
        <v>659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62" t="s">
        <v>9</v>
      </c>
      <c r="F5" s="62" t="s">
        <v>5</v>
      </c>
      <c r="G5" s="20" t="s">
        <v>14</v>
      </c>
      <c r="H5" s="62" t="s">
        <v>9</v>
      </c>
      <c r="I5" s="62" t="s">
        <v>5</v>
      </c>
      <c r="J5" s="62" t="s">
        <v>9</v>
      </c>
      <c r="K5" s="6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13</v>
      </c>
      <c r="B11" s="2" t="s">
        <v>260</v>
      </c>
      <c r="C11" s="2"/>
      <c r="D11" s="2" t="s">
        <v>261</v>
      </c>
      <c r="E11" s="4">
        <v>200000</v>
      </c>
      <c r="F11" s="4">
        <v>6400</v>
      </c>
      <c r="G11" s="21"/>
      <c r="H11" s="4"/>
      <c r="I11" s="4"/>
      <c r="J11" s="4">
        <f>E11-H11</f>
        <v>200000</v>
      </c>
      <c r="K11" s="4">
        <f>F11</f>
        <v>6400</v>
      </c>
    </row>
    <row r="12" spans="1:11" ht="18" customHeight="1">
      <c r="A12" s="18"/>
      <c r="B12" s="2"/>
      <c r="C12" s="2"/>
      <c r="D12" s="2"/>
      <c r="E12" s="4"/>
      <c r="F12" s="4"/>
      <c r="G12" s="40" t="s">
        <v>262</v>
      </c>
      <c r="H12" s="4">
        <v>33140</v>
      </c>
      <c r="I12" s="4"/>
      <c r="J12" s="4">
        <f t="shared" ref="J12:J17" si="2">J11-H12</f>
        <v>166860</v>
      </c>
      <c r="K12" s="4">
        <f t="shared" ref="K12:K18" si="3">F12</f>
        <v>0</v>
      </c>
    </row>
    <row r="13" spans="1:11" ht="18" customHeight="1">
      <c r="A13" s="18"/>
      <c r="B13" s="2"/>
      <c r="C13" s="2"/>
      <c r="D13" s="2"/>
      <c r="E13" s="4"/>
      <c r="F13" s="4"/>
      <c r="G13" s="21"/>
      <c r="H13" s="4">
        <v>32000</v>
      </c>
      <c r="I13" s="4"/>
      <c r="J13" s="4">
        <f t="shared" si="2"/>
        <v>134860</v>
      </c>
      <c r="K13" s="4">
        <f t="shared" si="3"/>
        <v>0</v>
      </c>
    </row>
    <row r="14" spans="1:11" ht="18" customHeight="1">
      <c r="A14" s="18"/>
      <c r="B14" s="2"/>
      <c r="C14" s="2"/>
      <c r="D14" s="2"/>
      <c r="E14" s="4"/>
      <c r="F14" s="4"/>
      <c r="G14" s="21"/>
      <c r="H14" s="4">
        <v>32410</v>
      </c>
      <c r="I14" s="4"/>
      <c r="J14" s="4">
        <f t="shared" si="2"/>
        <v>102450</v>
      </c>
      <c r="K14" s="4">
        <f t="shared" si="3"/>
        <v>0</v>
      </c>
    </row>
    <row r="15" spans="1:11" ht="18" customHeight="1">
      <c r="A15" s="18"/>
      <c r="B15" s="2"/>
      <c r="C15" s="2"/>
      <c r="D15" s="2"/>
      <c r="E15" s="4"/>
      <c r="F15" s="4"/>
      <c r="G15" s="40" t="s">
        <v>265</v>
      </c>
      <c r="H15" s="4">
        <v>31780</v>
      </c>
      <c r="I15" s="4"/>
      <c r="J15" s="4">
        <f t="shared" si="2"/>
        <v>70670</v>
      </c>
      <c r="K15" s="4">
        <f t="shared" si="3"/>
        <v>0</v>
      </c>
    </row>
    <row r="16" spans="1:11" ht="18" customHeight="1">
      <c r="A16" s="18"/>
      <c r="B16" s="2"/>
      <c r="C16" s="2"/>
      <c r="D16" s="2"/>
      <c r="E16" s="4"/>
      <c r="F16" s="4"/>
      <c r="G16" s="21"/>
      <c r="H16" s="4">
        <v>32390</v>
      </c>
      <c r="I16" s="4"/>
      <c r="J16" s="4">
        <f t="shared" si="2"/>
        <v>38280</v>
      </c>
      <c r="K16" s="4"/>
    </row>
    <row r="17" spans="1:12" ht="18" customHeight="1">
      <c r="A17" s="18"/>
      <c r="B17" s="2"/>
      <c r="C17" s="2"/>
      <c r="D17" s="2"/>
      <c r="E17" s="4"/>
      <c r="F17" s="4"/>
      <c r="G17" s="21"/>
      <c r="H17" s="4">
        <v>32490</v>
      </c>
      <c r="I17" s="4"/>
      <c r="J17" s="4">
        <f t="shared" si="2"/>
        <v>5790</v>
      </c>
      <c r="K17" s="4"/>
    </row>
    <row r="18" spans="1:12" ht="18" customHeight="1">
      <c r="A18" s="18"/>
      <c r="B18" s="2"/>
      <c r="C18" s="2"/>
      <c r="D18" s="2"/>
      <c r="E18" s="4"/>
      <c r="F18" s="4"/>
      <c r="G18" s="21"/>
      <c r="H18" s="4"/>
      <c r="I18" s="4"/>
      <c r="J18" s="4"/>
      <c r="K18" s="4">
        <f t="shared" si="3"/>
        <v>0</v>
      </c>
    </row>
    <row r="19" spans="1:12" s="15" customFormat="1" ht="18" customHeight="1">
      <c r="A19" s="291" t="s">
        <v>15</v>
      </c>
      <c r="B19" s="292"/>
      <c r="C19" s="13"/>
      <c r="D19" s="13"/>
      <c r="E19" s="14">
        <v>300000</v>
      </c>
      <c r="F19" s="14"/>
      <c r="G19" s="22"/>
      <c r="H19" s="14">
        <f>SUM(H11:H18)</f>
        <v>194210</v>
      </c>
      <c r="I19" s="14">
        <v>6400</v>
      </c>
      <c r="J19" s="14">
        <f>E19-H19</f>
        <v>105790</v>
      </c>
      <c r="K19" s="14"/>
      <c r="L19" s="75">
        <f>+I19*H19</f>
        <v>1242944000</v>
      </c>
    </row>
    <row r="20" spans="1:12" ht="18" customHeight="1">
      <c r="A20" s="18" t="s">
        <v>13</v>
      </c>
      <c r="B20" s="2" t="s">
        <v>260</v>
      </c>
      <c r="C20" s="2">
        <v>60721</v>
      </c>
      <c r="D20" s="2" t="s">
        <v>660</v>
      </c>
      <c r="E20" s="4">
        <v>30000</v>
      </c>
      <c r="F20" s="4">
        <v>4700</v>
      </c>
      <c r="G20" s="21"/>
      <c r="H20" s="4"/>
      <c r="I20" s="4"/>
      <c r="J20" s="4"/>
      <c r="K20" s="4"/>
    </row>
    <row r="21" spans="1:12" ht="18" customHeight="1">
      <c r="A21" s="18"/>
      <c r="B21" s="2" t="s">
        <v>661</v>
      </c>
      <c r="C21" s="2"/>
      <c r="D21" s="2"/>
      <c r="E21" s="4"/>
      <c r="F21" s="4"/>
      <c r="G21" s="40" t="s">
        <v>705</v>
      </c>
      <c r="H21" s="4">
        <v>33660</v>
      </c>
      <c r="I21" s="4"/>
      <c r="J21" s="4"/>
      <c r="K21" s="4"/>
    </row>
    <row r="22" spans="1:12" ht="18" customHeight="1">
      <c r="A22" s="18"/>
      <c r="B22" s="2" t="s">
        <v>662</v>
      </c>
      <c r="C22" s="2"/>
      <c r="D22" s="2"/>
      <c r="E22" s="4"/>
      <c r="F22" s="4"/>
      <c r="G22" s="21"/>
      <c r="H22" s="4"/>
      <c r="I22" s="4"/>
      <c r="J22" s="4"/>
      <c r="K22" s="4"/>
    </row>
    <row r="23" spans="1:12" ht="18" customHeight="1">
      <c r="A23" s="55"/>
      <c r="B23" s="24"/>
      <c r="C23" s="24"/>
      <c r="D23" s="24"/>
      <c r="E23" s="25"/>
      <c r="F23" s="25"/>
      <c r="G23" s="26"/>
      <c r="H23" s="25"/>
      <c r="I23" s="25"/>
      <c r="J23" s="25"/>
      <c r="K23" s="25"/>
    </row>
    <row r="24" spans="1:12" ht="18" customHeight="1">
      <c r="A24" s="18" t="s">
        <v>13</v>
      </c>
      <c r="B24" s="2" t="s">
        <v>260</v>
      </c>
      <c r="C24" s="2"/>
      <c r="D24" s="2"/>
      <c r="E24" s="4"/>
      <c r="F24" s="4"/>
      <c r="G24" s="21"/>
      <c r="H24" s="4"/>
      <c r="I24" s="4"/>
      <c r="J24" s="4"/>
      <c r="K24" s="4"/>
    </row>
    <row r="25" spans="1:12" ht="18" customHeight="1">
      <c r="A25" s="18"/>
      <c r="B25" s="2" t="s">
        <v>706</v>
      </c>
      <c r="C25" s="2"/>
      <c r="D25" s="2" t="s">
        <v>34</v>
      </c>
      <c r="E25" s="4">
        <v>50000</v>
      </c>
      <c r="F25" s="4">
        <v>8830</v>
      </c>
      <c r="G25" s="21"/>
      <c r="H25" s="4"/>
      <c r="I25" s="4"/>
      <c r="J25" s="4"/>
      <c r="K25" s="4"/>
    </row>
    <row r="26" spans="1:12" ht="18" customHeight="1">
      <c r="A26" s="18"/>
      <c r="B26" s="2" t="s">
        <v>662</v>
      </c>
      <c r="C26" s="2"/>
      <c r="D26" s="2"/>
      <c r="E26" s="4"/>
      <c r="F26" s="4"/>
      <c r="G26" s="40" t="s">
        <v>718</v>
      </c>
      <c r="H26" s="4">
        <v>23500</v>
      </c>
      <c r="I26" s="4"/>
      <c r="J26" s="4"/>
      <c r="K26" s="4"/>
    </row>
    <row r="27" spans="1:12" ht="18" customHeight="1">
      <c r="A27" s="18"/>
      <c r="B27" s="2"/>
      <c r="C27" s="2"/>
      <c r="D27" s="2"/>
      <c r="E27" s="4"/>
      <c r="F27" s="4"/>
      <c r="G27" s="40" t="s">
        <v>719</v>
      </c>
      <c r="H27" s="4">
        <v>23170</v>
      </c>
      <c r="I27" s="4"/>
      <c r="J27" s="4"/>
      <c r="K27" s="4"/>
    </row>
    <row r="28" spans="1:12" ht="18" customHeight="1">
      <c r="A28" s="55"/>
      <c r="B28" s="24"/>
      <c r="C28" s="24"/>
      <c r="D28" s="24"/>
      <c r="E28" s="25"/>
      <c r="F28" s="25"/>
      <c r="G28" s="26"/>
      <c r="H28" s="57">
        <f>SUM(H26:H27)</f>
        <v>46670</v>
      </c>
      <c r="I28" s="25"/>
      <c r="J28" s="25"/>
      <c r="K28" s="25"/>
    </row>
    <row r="29" spans="1:12" ht="18" customHeight="1">
      <c r="A29" s="18" t="s">
        <v>13</v>
      </c>
      <c r="B29" s="60" t="s">
        <v>260</v>
      </c>
      <c r="C29" s="60"/>
      <c r="D29" s="60" t="s">
        <v>34</v>
      </c>
      <c r="E29" s="49">
        <v>50000</v>
      </c>
      <c r="F29" s="49">
        <v>8500</v>
      </c>
      <c r="G29" s="21"/>
      <c r="H29" s="4"/>
      <c r="I29" s="4"/>
      <c r="J29" s="4"/>
      <c r="K29" s="4"/>
    </row>
    <row r="30" spans="1:12" ht="18" customHeight="1">
      <c r="A30" s="18"/>
      <c r="B30" s="60" t="s">
        <v>765</v>
      </c>
      <c r="C30" s="60"/>
      <c r="D30" s="60"/>
      <c r="E30" s="49"/>
      <c r="F30" s="49"/>
      <c r="G30" s="40" t="s">
        <v>769</v>
      </c>
      <c r="H30" s="4">
        <v>23260</v>
      </c>
      <c r="I30" s="4">
        <v>8500</v>
      </c>
      <c r="J30" s="4">
        <f>+E29-H30</f>
        <v>26740</v>
      </c>
      <c r="K30" s="4"/>
    </row>
    <row r="31" spans="1:12" ht="18" customHeight="1">
      <c r="A31" s="18"/>
      <c r="B31" s="2"/>
      <c r="C31" s="2"/>
      <c r="D31" s="2"/>
      <c r="E31" s="4"/>
      <c r="F31" s="4"/>
      <c r="G31" s="40" t="s">
        <v>770</v>
      </c>
      <c r="H31" s="4">
        <v>23170</v>
      </c>
      <c r="I31" s="4">
        <v>8500</v>
      </c>
      <c r="J31" s="4">
        <f>+J30-H31</f>
        <v>3570</v>
      </c>
      <c r="K31" s="4"/>
    </row>
    <row r="32" spans="1:12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 t="s">
        <v>13</v>
      </c>
      <c r="B33" s="60" t="s">
        <v>260</v>
      </c>
      <c r="C33" s="60"/>
      <c r="D33" s="60" t="s">
        <v>34</v>
      </c>
      <c r="E33" s="4">
        <v>26000</v>
      </c>
      <c r="F33" s="4">
        <v>8400</v>
      </c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40" t="s">
        <v>169</v>
      </c>
      <c r="H34" s="4">
        <v>23540</v>
      </c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21"/>
      <c r="H58" s="4"/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21"/>
      <c r="H60" s="4"/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281" t="s">
        <v>0</v>
      </c>
      <c r="B63" s="282"/>
      <c r="C63" s="63"/>
      <c r="D63" s="63"/>
      <c r="E63" s="5">
        <f>SUM(E6:E62)</f>
        <v>656000</v>
      </c>
      <c r="F63" s="5">
        <f>SUM(F6:F62)</f>
        <v>36830</v>
      </c>
      <c r="G63" s="23"/>
      <c r="H63" s="5">
        <f>SUM(H6:H62)</f>
        <v>585390</v>
      </c>
      <c r="I63" s="5">
        <f>SUM(I6:I62)</f>
        <v>23400</v>
      </c>
      <c r="J63" s="5"/>
      <c r="K63" s="5"/>
    </row>
    <row r="64" spans="1:11" s="6" customFormat="1" ht="24.75" customHeight="1">
      <c r="A64" s="16"/>
      <c r="B64" s="1"/>
      <c r="C64" s="1"/>
      <c r="D64" s="1"/>
      <c r="E64" s="3"/>
      <c r="F64" s="3"/>
      <c r="G64" s="19"/>
      <c r="H64" s="3"/>
      <c r="I64" s="3"/>
      <c r="J64" s="3"/>
      <c r="K64" s="3"/>
    </row>
    <row r="65" spans="6:11">
      <c r="F65" s="270" t="s">
        <v>1</v>
      </c>
      <c r="G65" s="270"/>
      <c r="H65" s="270"/>
      <c r="I65" s="270"/>
      <c r="J65" s="1"/>
      <c r="K65" s="8"/>
    </row>
    <row r="68" spans="6:11">
      <c r="F68" s="271"/>
      <c r="G68" s="271"/>
      <c r="H68" s="271"/>
      <c r="I68" s="271"/>
      <c r="J68" s="1"/>
      <c r="K68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19:B19"/>
    <mergeCell ref="A63:B63"/>
    <mergeCell ref="F65:I65"/>
    <mergeCell ref="F68:I68"/>
  </mergeCells>
  <pageMargins left="0.28999999999999998" right="0.28999999999999998" top="0.32" bottom="0.27" header="0.23" footer="0.21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71"/>
  <sheetViews>
    <sheetView workbookViewId="0">
      <pane ySplit="5" topLeftCell="A20" activePane="bottomLeft" state="frozen"/>
      <selection pane="bottomLeft" activeCell="J31" sqref="J31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15" style="1" bestFit="1" customWidth="1"/>
    <col min="13" max="16384" width="9.140625" style="1"/>
  </cols>
  <sheetData>
    <row r="1" spans="1:11" ht="34.5" customHeight="1">
      <c r="A1" s="274" t="s">
        <v>150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73" t="s">
        <v>9</v>
      </c>
      <c r="F5" s="73" t="s">
        <v>5</v>
      </c>
      <c r="G5" s="20" t="s">
        <v>14</v>
      </c>
      <c r="H5" s="73" t="s">
        <v>9</v>
      </c>
      <c r="I5" s="73" t="s">
        <v>5</v>
      </c>
      <c r="J5" s="73" t="s">
        <v>9</v>
      </c>
      <c r="K5" s="73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13</v>
      </c>
      <c r="B11" s="60" t="s">
        <v>151</v>
      </c>
      <c r="C11" s="60" t="s">
        <v>133</v>
      </c>
      <c r="D11" s="60" t="s">
        <v>132</v>
      </c>
      <c r="E11" s="49">
        <v>45000</v>
      </c>
      <c r="F11" s="49">
        <v>5200</v>
      </c>
      <c r="G11" s="40" t="s">
        <v>149</v>
      </c>
      <c r="H11" s="4">
        <v>19270</v>
      </c>
      <c r="I11" s="4">
        <v>5200</v>
      </c>
      <c r="J11" s="4">
        <f>E11-H11</f>
        <v>25730</v>
      </c>
      <c r="K11" s="4"/>
    </row>
    <row r="12" spans="1:11" ht="18" customHeight="1">
      <c r="A12" s="18"/>
      <c r="B12" s="2" t="s">
        <v>151</v>
      </c>
      <c r="C12" s="2"/>
      <c r="D12" s="2"/>
      <c r="E12" s="4"/>
      <c r="F12" s="4"/>
      <c r="G12" s="40" t="s">
        <v>206</v>
      </c>
      <c r="H12" s="4">
        <v>26875</v>
      </c>
      <c r="I12" s="4">
        <v>5200</v>
      </c>
      <c r="J12" s="4">
        <f>J11-H12</f>
        <v>-1145</v>
      </c>
      <c r="K12" s="4"/>
    </row>
    <row r="13" spans="1:11" ht="18" customHeight="1">
      <c r="A13" s="18" t="s">
        <v>13</v>
      </c>
      <c r="B13" s="60" t="s">
        <v>151</v>
      </c>
      <c r="C13" s="60" t="s">
        <v>77</v>
      </c>
      <c r="D13" s="60" t="s">
        <v>132</v>
      </c>
      <c r="E13" s="49">
        <v>150000</v>
      </c>
      <c r="F13" s="49">
        <v>5200</v>
      </c>
      <c r="G13" s="21"/>
      <c r="H13" s="4"/>
      <c r="I13" s="4"/>
      <c r="J13" s="4"/>
      <c r="K13" s="4"/>
    </row>
    <row r="14" spans="1:11" ht="18" customHeight="1">
      <c r="A14" s="18"/>
      <c r="B14" s="2"/>
      <c r="C14" s="2"/>
      <c r="D14" s="2"/>
      <c r="E14" s="4"/>
      <c r="F14" s="4"/>
      <c r="G14" s="40" t="s">
        <v>233</v>
      </c>
      <c r="H14" s="4">
        <v>27010</v>
      </c>
      <c r="I14" s="4">
        <v>5200</v>
      </c>
      <c r="J14" s="4">
        <f>+E13-H14</f>
        <v>122990</v>
      </c>
      <c r="K14" s="4">
        <f t="shared" ref="K14:K15" si="2">F14</f>
        <v>0</v>
      </c>
    </row>
    <row r="15" spans="1:11" ht="18" customHeight="1">
      <c r="A15" s="18"/>
      <c r="B15" s="2"/>
      <c r="C15" s="2"/>
      <c r="D15" s="2"/>
      <c r="E15" s="4"/>
      <c r="F15" s="4"/>
      <c r="G15" s="40" t="s">
        <v>240</v>
      </c>
      <c r="H15" s="4">
        <v>23990</v>
      </c>
      <c r="I15" s="4">
        <v>5200</v>
      </c>
      <c r="J15" s="4">
        <f>+J14-H15</f>
        <v>99000</v>
      </c>
      <c r="K15" s="4">
        <f t="shared" si="2"/>
        <v>0</v>
      </c>
    </row>
    <row r="16" spans="1:11" ht="18" customHeight="1">
      <c r="A16" s="18"/>
      <c r="B16" s="2"/>
      <c r="C16" s="2"/>
      <c r="D16" s="2"/>
      <c r="E16" s="4"/>
      <c r="F16" s="4"/>
      <c r="G16" s="21"/>
      <c r="H16" s="4">
        <v>23960</v>
      </c>
      <c r="I16" s="4">
        <v>5200</v>
      </c>
      <c r="J16" s="4">
        <f t="shared" ref="J16:J20" si="3">+J15-H16</f>
        <v>75040</v>
      </c>
      <c r="K16" s="4"/>
    </row>
    <row r="17" spans="1:12" ht="18" customHeight="1">
      <c r="A17" s="18"/>
      <c r="B17" s="2"/>
      <c r="C17" s="2"/>
      <c r="D17" s="2"/>
      <c r="E17" s="4"/>
      <c r="F17" s="4"/>
      <c r="G17" s="40" t="s">
        <v>241</v>
      </c>
      <c r="H17" s="4">
        <v>24020</v>
      </c>
      <c r="I17" s="4">
        <v>5200</v>
      </c>
      <c r="J17" s="4">
        <f t="shared" si="3"/>
        <v>51020</v>
      </c>
      <c r="K17" s="4"/>
    </row>
    <row r="18" spans="1:12" ht="18" customHeight="1">
      <c r="A18" s="18"/>
      <c r="B18" s="2"/>
      <c r="C18" s="2"/>
      <c r="D18" s="2"/>
      <c r="E18" s="4"/>
      <c r="F18" s="4"/>
      <c r="G18" s="21"/>
      <c r="H18" s="4">
        <v>24000</v>
      </c>
      <c r="I18" s="4">
        <v>5200</v>
      </c>
      <c r="J18" s="4">
        <f t="shared" si="3"/>
        <v>27020</v>
      </c>
      <c r="K18" s="4"/>
    </row>
    <row r="19" spans="1:12" ht="18" customHeight="1">
      <c r="A19" s="18"/>
      <c r="B19" s="2"/>
      <c r="C19" s="2"/>
      <c r="D19" s="2"/>
      <c r="E19" s="4"/>
      <c r="F19" s="4"/>
      <c r="G19" s="40" t="s">
        <v>253</v>
      </c>
      <c r="H19" s="25">
        <v>12020</v>
      </c>
      <c r="I19" s="25"/>
      <c r="J19" s="25">
        <f t="shared" si="3"/>
        <v>15000</v>
      </c>
      <c r="K19" s="4" t="s">
        <v>255</v>
      </c>
    </row>
    <row r="20" spans="1:12" ht="18" customHeight="1">
      <c r="A20" s="18"/>
      <c r="B20" s="2"/>
      <c r="C20" s="2"/>
      <c r="D20" s="2"/>
      <c r="E20" s="4"/>
      <c r="F20" s="4"/>
      <c r="G20" s="21"/>
      <c r="H20" s="4"/>
      <c r="I20" s="4"/>
      <c r="J20" s="4">
        <f t="shared" si="3"/>
        <v>15000</v>
      </c>
      <c r="K20" s="4"/>
    </row>
    <row r="21" spans="1:12" s="15" customFormat="1" ht="18" customHeight="1">
      <c r="A21" s="291" t="s">
        <v>15</v>
      </c>
      <c r="B21" s="292"/>
      <c r="C21" s="13"/>
      <c r="D21" s="13"/>
      <c r="E21" s="14">
        <f>+E11+E13</f>
        <v>195000</v>
      </c>
      <c r="F21" s="14"/>
      <c r="G21" s="22"/>
      <c r="H21" s="14">
        <f>SUM(H11:H20)</f>
        <v>181145</v>
      </c>
      <c r="I21" s="14"/>
      <c r="J21" s="14">
        <f>E21-H21</f>
        <v>13855</v>
      </c>
      <c r="K21" s="14"/>
    </row>
    <row r="22" spans="1:12" ht="18" customHeight="1">
      <c r="A22" s="18" t="s">
        <v>13</v>
      </c>
      <c r="B22" s="60" t="s">
        <v>151</v>
      </c>
      <c r="C22" s="60" t="s">
        <v>78</v>
      </c>
      <c r="D22" s="60" t="s">
        <v>132</v>
      </c>
      <c r="E22" s="49">
        <v>200000</v>
      </c>
      <c r="F22" s="49">
        <v>5450</v>
      </c>
      <c r="G22" s="61"/>
      <c r="H22" s="49"/>
      <c r="I22" s="49"/>
      <c r="J22" s="49"/>
      <c r="K22" s="4"/>
    </row>
    <row r="23" spans="1:12" ht="18" customHeight="1">
      <c r="A23" s="18"/>
      <c r="B23" s="2"/>
      <c r="C23" s="2"/>
      <c r="D23" s="2"/>
      <c r="E23" s="4"/>
      <c r="F23" s="4"/>
      <c r="G23" s="40" t="s">
        <v>253</v>
      </c>
      <c r="H23" s="4">
        <v>12030</v>
      </c>
      <c r="I23" s="4">
        <v>5450</v>
      </c>
      <c r="J23" s="4">
        <f>E22-H23</f>
        <v>187970</v>
      </c>
      <c r="K23" s="4"/>
    </row>
    <row r="24" spans="1:12" ht="18" customHeight="1">
      <c r="A24" s="18"/>
      <c r="B24" s="2"/>
      <c r="C24" s="2"/>
      <c r="D24" s="2"/>
      <c r="E24" s="4"/>
      <c r="F24" s="4"/>
      <c r="G24" s="40" t="s">
        <v>253</v>
      </c>
      <c r="H24" s="4">
        <v>24080</v>
      </c>
      <c r="I24" s="4"/>
      <c r="J24" s="4">
        <f>+J23-H24</f>
        <v>163890</v>
      </c>
      <c r="K24" s="4"/>
    </row>
    <row r="25" spans="1:12" ht="18" customHeight="1">
      <c r="A25" s="18"/>
      <c r="B25" s="2"/>
      <c r="C25" s="2"/>
      <c r="D25" s="2"/>
      <c r="E25" s="4"/>
      <c r="F25" s="4"/>
      <c r="G25" s="40" t="s">
        <v>259</v>
      </c>
      <c r="H25" s="4">
        <v>26955</v>
      </c>
      <c r="I25" s="4"/>
      <c r="J25" s="4">
        <f t="shared" ref="J25:J30" si="4">+J24-H25</f>
        <v>136935</v>
      </c>
      <c r="K25" s="4"/>
    </row>
    <row r="26" spans="1:12" ht="18" customHeight="1">
      <c r="A26" s="18"/>
      <c r="B26" s="2"/>
      <c r="C26" s="2"/>
      <c r="D26" s="2"/>
      <c r="E26" s="4"/>
      <c r="F26" s="4"/>
      <c r="G26" s="40" t="s">
        <v>270</v>
      </c>
      <c r="H26" s="4">
        <v>23990</v>
      </c>
      <c r="I26" s="4"/>
      <c r="J26" s="4">
        <f t="shared" si="4"/>
        <v>112945</v>
      </c>
      <c r="K26" s="4"/>
      <c r="L26" s="3">
        <f>272500000*2+163500000</f>
        <v>708500000</v>
      </c>
    </row>
    <row r="27" spans="1:12" ht="18" customHeight="1">
      <c r="A27" s="18"/>
      <c r="B27" s="2"/>
      <c r="C27" s="2"/>
      <c r="D27" s="2"/>
      <c r="E27" s="4"/>
      <c r="F27" s="4"/>
      <c r="G27" s="21"/>
      <c r="H27" s="4">
        <v>24030</v>
      </c>
      <c r="I27" s="4"/>
      <c r="J27" s="4">
        <f t="shared" si="4"/>
        <v>88915</v>
      </c>
      <c r="K27" s="4"/>
    </row>
    <row r="28" spans="1:12" ht="18" customHeight="1">
      <c r="A28" s="18"/>
      <c r="B28" s="2"/>
      <c r="C28" s="2"/>
      <c r="D28" s="2"/>
      <c r="E28" s="4"/>
      <c r="F28" s="4"/>
      <c r="G28" s="40" t="s">
        <v>271</v>
      </c>
      <c r="H28" s="4">
        <v>23910</v>
      </c>
      <c r="I28" s="4"/>
      <c r="J28" s="4">
        <f t="shared" si="4"/>
        <v>65005</v>
      </c>
      <c r="K28" s="4"/>
    </row>
    <row r="29" spans="1:12" ht="18" customHeight="1">
      <c r="A29" s="18"/>
      <c r="B29" s="2"/>
      <c r="C29" s="2"/>
      <c r="D29" s="2"/>
      <c r="E29" s="4"/>
      <c r="F29" s="4"/>
      <c r="G29" s="21"/>
      <c r="H29" s="4">
        <v>23900</v>
      </c>
      <c r="I29" s="4"/>
      <c r="J29" s="4">
        <f t="shared" si="4"/>
        <v>41105</v>
      </c>
      <c r="K29" s="4"/>
    </row>
    <row r="30" spans="1:12" ht="18" customHeight="1">
      <c r="A30" s="18"/>
      <c r="B30" s="2"/>
      <c r="C30" s="2"/>
      <c r="D30" s="2"/>
      <c r="E30" s="4"/>
      <c r="F30" s="4"/>
      <c r="G30" s="40" t="s">
        <v>285</v>
      </c>
      <c r="H30" s="4">
        <v>24110</v>
      </c>
      <c r="I30" s="4">
        <v>5450</v>
      </c>
      <c r="J30" s="4">
        <f t="shared" si="4"/>
        <v>16995</v>
      </c>
      <c r="K30" s="4"/>
    </row>
    <row r="31" spans="1:12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</row>
    <row r="32" spans="1:12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21"/>
      <c r="H58" s="4"/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21"/>
      <c r="H60" s="4"/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1" ht="18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customHeight="1">
      <c r="A65" s="18"/>
      <c r="B65" s="2"/>
      <c r="C65" s="2"/>
      <c r="D65" s="2"/>
      <c r="E65" s="4"/>
      <c r="F65" s="4"/>
      <c r="G65" s="21"/>
      <c r="H65" s="4"/>
      <c r="I65" s="4"/>
      <c r="J65" s="4"/>
      <c r="K65" s="4"/>
    </row>
    <row r="66" spans="1:11" ht="18" customHeight="1">
      <c r="A66" s="281" t="s">
        <v>0</v>
      </c>
      <c r="B66" s="282"/>
      <c r="C66" s="74"/>
      <c r="D66" s="74"/>
      <c r="E66" s="5">
        <f>SUM(E6:E65)</f>
        <v>590000</v>
      </c>
      <c r="F66" s="5">
        <f>SUM(F6:F65)</f>
        <v>15850</v>
      </c>
      <c r="G66" s="23"/>
      <c r="H66" s="5">
        <f>SUM(H6:H65)</f>
        <v>545295</v>
      </c>
      <c r="I66" s="5">
        <f>SUM(I6:I65)</f>
        <v>47300</v>
      </c>
      <c r="J66" s="5"/>
      <c r="K66" s="5"/>
    </row>
    <row r="67" spans="1:11" s="6" customFormat="1" ht="24.75" customHeight="1">
      <c r="A67" s="16"/>
      <c r="B67" s="1"/>
      <c r="C67" s="1"/>
      <c r="D67" s="1"/>
      <c r="E67" s="3"/>
      <c r="F67" s="3"/>
      <c r="G67" s="19"/>
      <c r="H67" s="3"/>
      <c r="I67" s="3"/>
      <c r="J67" s="3"/>
      <c r="K67" s="3"/>
    </row>
    <row r="68" spans="1:11">
      <c r="F68" s="270" t="s">
        <v>1</v>
      </c>
      <c r="G68" s="270"/>
      <c r="H68" s="270"/>
      <c r="I68" s="270"/>
      <c r="J68" s="1"/>
      <c r="K68" s="8"/>
    </row>
    <row r="71" spans="1:11">
      <c r="F71" s="271"/>
      <c r="G71" s="271"/>
      <c r="H71" s="271"/>
      <c r="I71" s="271"/>
      <c r="J71" s="1"/>
      <c r="K71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21:B21"/>
    <mergeCell ref="A66:B66"/>
    <mergeCell ref="F68:I68"/>
    <mergeCell ref="F71:I71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1"/>
  <sheetViews>
    <sheetView topLeftCell="D1" workbookViewId="0">
      <pane ySplit="5" topLeftCell="A25" activePane="bottomLeft" state="frozen"/>
      <selection pane="bottomLeft" activeCell="N36" sqref="N36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207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96" t="s">
        <v>9</v>
      </c>
      <c r="F5" s="96" t="s">
        <v>5</v>
      </c>
      <c r="G5" s="20" t="s">
        <v>14</v>
      </c>
      <c r="H5" s="96" t="s">
        <v>9</v>
      </c>
      <c r="I5" s="96" t="s">
        <v>5</v>
      </c>
      <c r="J5" s="96" t="s">
        <v>9</v>
      </c>
      <c r="K5" s="96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13</v>
      </c>
      <c r="B11" s="60" t="s">
        <v>208</v>
      </c>
      <c r="C11" s="98" t="s">
        <v>210</v>
      </c>
      <c r="D11" s="60" t="s">
        <v>209</v>
      </c>
      <c r="E11" s="49">
        <v>200000</v>
      </c>
      <c r="F11" s="49">
        <v>12350</v>
      </c>
      <c r="G11" s="40"/>
      <c r="H11" s="4"/>
      <c r="I11" s="4">
        <v>12350</v>
      </c>
      <c r="J11" s="4"/>
      <c r="K11" s="4"/>
      <c r="L11" s="4"/>
      <c r="M11" s="49">
        <v>123500000</v>
      </c>
      <c r="N11" s="101" t="s">
        <v>215</v>
      </c>
    </row>
    <row r="12" spans="1:15" ht="18" customHeight="1">
      <c r="A12" s="18"/>
      <c r="B12" s="2"/>
      <c r="C12" s="2"/>
      <c r="D12" s="2"/>
      <c r="E12" s="4"/>
      <c r="F12" s="4"/>
      <c r="G12" s="40" t="s">
        <v>270</v>
      </c>
      <c r="H12" s="4">
        <v>33800</v>
      </c>
      <c r="I12" s="4">
        <v>12350</v>
      </c>
      <c r="J12" s="4">
        <f>+E11-H12</f>
        <v>166200</v>
      </c>
      <c r="K12" s="4"/>
      <c r="L12" s="4">
        <f t="shared" ref="L12:L18" si="2">+H12*I12</f>
        <v>417430000</v>
      </c>
      <c r="M12" s="4"/>
      <c r="N12" s="4"/>
    </row>
    <row r="13" spans="1:15" ht="18" customHeight="1">
      <c r="A13" s="18"/>
      <c r="B13" s="60"/>
      <c r="C13" s="60"/>
      <c r="D13" s="60"/>
      <c r="E13" s="49"/>
      <c r="F13" s="49"/>
      <c r="G13" s="21"/>
      <c r="H13" s="4">
        <v>32740</v>
      </c>
      <c r="I13" s="4">
        <v>12350</v>
      </c>
      <c r="J13" s="4">
        <f>+J12-H13</f>
        <v>133460</v>
      </c>
      <c r="K13" s="4"/>
      <c r="L13" s="4">
        <f t="shared" si="2"/>
        <v>404339000</v>
      </c>
      <c r="M13" s="4"/>
      <c r="N13" s="4"/>
    </row>
    <row r="14" spans="1:15" ht="18" customHeight="1">
      <c r="A14" s="18"/>
      <c r="B14" s="2"/>
      <c r="C14" s="2"/>
      <c r="D14" s="2"/>
      <c r="E14" s="4"/>
      <c r="F14" s="4"/>
      <c r="G14" s="40" t="s">
        <v>271</v>
      </c>
      <c r="H14" s="4">
        <v>32100</v>
      </c>
      <c r="I14" s="4">
        <v>12350</v>
      </c>
      <c r="J14" s="4">
        <f t="shared" ref="J14:J17" si="3">+J13-H14</f>
        <v>101360</v>
      </c>
      <c r="K14" s="4"/>
      <c r="L14" s="4">
        <f t="shared" si="2"/>
        <v>396435000</v>
      </c>
      <c r="M14" s="4"/>
      <c r="N14" s="4"/>
    </row>
    <row r="15" spans="1:15" ht="18" customHeight="1">
      <c r="A15" s="18"/>
      <c r="B15" s="2"/>
      <c r="C15" s="2"/>
      <c r="D15" s="2"/>
      <c r="E15" s="4"/>
      <c r="F15" s="4"/>
      <c r="G15" s="21"/>
      <c r="H15" s="4">
        <v>32190</v>
      </c>
      <c r="I15" s="4">
        <v>12350</v>
      </c>
      <c r="J15" s="4">
        <f t="shared" si="3"/>
        <v>69170</v>
      </c>
      <c r="K15" s="4"/>
      <c r="L15" s="4">
        <f t="shared" si="2"/>
        <v>397546500</v>
      </c>
      <c r="M15" s="4"/>
      <c r="N15" s="4"/>
    </row>
    <row r="16" spans="1:15" ht="18" customHeight="1">
      <c r="A16" s="18"/>
      <c r="B16" s="2"/>
      <c r="C16" s="2"/>
      <c r="D16" s="2"/>
      <c r="E16" s="4"/>
      <c r="F16" s="4"/>
      <c r="G16" s="40" t="s">
        <v>272</v>
      </c>
      <c r="H16" s="4">
        <v>32310</v>
      </c>
      <c r="I16" s="4">
        <v>12350</v>
      </c>
      <c r="J16" s="4">
        <f t="shared" si="3"/>
        <v>36860</v>
      </c>
      <c r="K16" s="4"/>
      <c r="L16" s="4">
        <f t="shared" si="2"/>
        <v>399028500</v>
      </c>
      <c r="M16" s="4"/>
      <c r="N16" s="4"/>
      <c r="O16" s="50"/>
    </row>
    <row r="17" spans="1:15" ht="18" customHeight="1">
      <c r="A17" s="18"/>
      <c r="B17" s="2"/>
      <c r="C17" s="2"/>
      <c r="D17" s="2"/>
      <c r="E17" s="4"/>
      <c r="F17" s="4"/>
      <c r="G17" s="21"/>
      <c r="H17" s="4">
        <f>31570-14710</f>
        <v>16860</v>
      </c>
      <c r="I17" s="4">
        <v>12350</v>
      </c>
      <c r="J17" s="4">
        <f t="shared" si="3"/>
        <v>20000</v>
      </c>
      <c r="K17" s="4"/>
      <c r="L17" s="4">
        <f t="shared" si="2"/>
        <v>208221000</v>
      </c>
      <c r="M17" s="4"/>
      <c r="N17" s="4"/>
      <c r="O17" s="50"/>
    </row>
    <row r="18" spans="1:15" ht="18" customHeight="1">
      <c r="A18" s="18"/>
      <c r="B18" s="2"/>
      <c r="C18" s="2"/>
      <c r="D18" s="2"/>
      <c r="E18" s="4"/>
      <c r="F18" s="4"/>
      <c r="G18" s="21"/>
      <c r="H18" s="4"/>
      <c r="I18" s="4">
        <v>12350</v>
      </c>
      <c r="J18" s="4"/>
      <c r="K18" s="4"/>
      <c r="L18" s="4">
        <f t="shared" si="2"/>
        <v>0</v>
      </c>
      <c r="M18" s="4"/>
      <c r="N18" s="4"/>
    </row>
    <row r="19" spans="1:15" s="15" customFormat="1" ht="18" customHeight="1">
      <c r="A19" s="291" t="s">
        <v>15</v>
      </c>
      <c r="B19" s="292"/>
      <c r="C19" s="13"/>
      <c r="D19" s="13"/>
      <c r="E19" s="14"/>
      <c r="F19" s="14"/>
      <c r="G19" s="22"/>
      <c r="H19" s="14">
        <f>SUM(H11:H18)</f>
        <v>180000</v>
      </c>
      <c r="I19" s="14">
        <v>12350</v>
      </c>
      <c r="J19" s="14"/>
      <c r="K19" s="14"/>
      <c r="L19" s="14">
        <f>+H19*I19</f>
        <v>2223000000</v>
      </c>
      <c r="M19" s="57">
        <f>741000000*3</f>
        <v>2223000000</v>
      </c>
      <c r="N19" s="14">
        <f>+M19-L19</f>
        <v>0</v>
      </c>
      <c r="O19" s="120"/>
    </row>
    <row r="20" spans="1:15" ht="18" customHeight="1">
      <c r="A20" s="18" t="s">
        <v>13</v>
      </c>
      <c r="B20" s="60" t="s">
        <v>208</v>
      </c>
      <c r="C20" s="60" t="s">
        <v>214</v>
      </c>
      <c r="D20" s="60" t="s">
        <v>28</v>
      </c>
      <c r="E20" s="49">
        <f>400000-40000</f>
        <v>360000</v>
      </c>
      <c r="F20" s="49">
        <v>12350</v>
      </c>
      <c r="G20" s="61"/>
      <c r="H20" s="49"/>
      <c r="I20" s="49"/>
      <c r="J20" s="49"/>
      <c r="K20" s="49"/>
      <c r="L20" s="49"/>
      <c r="M20" s="49">
        <v>247000000</v>
      </c>
      <c r="N20" s="102" t="s">
        <v>215</v>
      </c>
      <c r="O20" s="50"/>
    </row>
    <row r="21" spans="1:15" ht="18" customHeight="1">
      <c r="A21" s="316" t="s">
        <v>324</v>
      </c>
      <c r="B21" s="317"/>
      <c r="C21" s="317"/>
      <c r="D21" s="317"/>
      <c r="E21" s="318"/>
      <c r="F21" s="4"/>
      <c r="G21" s="40" t="s">
        <v>272</v>
      </c>
      <c r="H21" s="4">
        <v>14710</v>
      </c>
      <c r="I21" s="4">
        <v>12350</v>
      </c>
      <c r="J21" s="4">
        <f>+E20-H21</f>
        <v>345290</v>
      </c>
      <c r="K21" s="4"/>
      <c r="L21" s="4"/>
      <c r="M21" s="49">
        <f>+H21*I21</f>
        <v>181668500</v>
      </c>
      <c r="N21" s="49" t="s">
        <v>311</v>
      </c>
      <c r="O21" s="120"/>
    </row>
    <row r="22" spans="1:15" ht="18" customHeight="1">
      <c r="A22" s="18"/>
      <c r="B22" s="2"/>
      <c r="C22" s="2"/>
      <c r="D22" s="2"/>
      <c r="E22" s="4"/>
      <c r="F22" s="4"/>
      <c r="G22" s="40" t="s">
        <v>309</v>
      </c>
      <c r="H22" s="4">
        <v>52750</v>
      </c>
      <c r="I22" s="4">
        <v>12350</v>
      </c>
      <c r="J22" s="4">
        <f>+J21-H22</f>
        <v>292540</v>
      </c>
      <c r="K22" s="4"/>
      <c r="L22" s="4"/>
      <c r="M22" s="4">
        <f t="shared" ref="M22:M29" si="4">+H22*I22</f>
        <v>651462500</v>
      </c>
      <c r="N22" s="4"/>
    </row>
    <row r="23" spans="1:15" ht="18" customHeight="1">
      <c r="A23" s="18"/>
      <c r="B23" s="2"/>
      <c r="C23" s="2"/>
      <c r="D23" s="2"/>
      <c r="E23" s="4"/>
      <c r="F23" s="4"/>
      <c r="G23" s="40" t="s">
        <v>312</v>
      </c>
      <c r="H23" s="4">
        <v>35810</v>
      </c>
      <c r="I23" s="4">
        <v>12350</v>
      </c>
      <c r="J23" s="4">
        <f t="shared" ref="J23:J30" si="5">+J22-H23</f>
        <v>256730</v>
      </c>
      <c r="K23" s="4"/>
      <c r="L23" s="4"/>
      <c r="M23" s="4">
        <f t="shared" si="4"/>
        <v>442253500</v>
      </c>
      <c r="N23" s="4"/>
    </row>
    <row r="24" spans="1:15" ht="18" customHeight="1">
      <c r="A24" s="18"/>
      <c r="B24" s="2"/>
      <c r="C24" s="2"/>
      <c r="D24" s="2"/>
      <c r="E24" s="4"/>
      <c r="F24" s="4"/>
      <c r="G24" s="40" t="s">
        <v>321</v>
      </c>
      <c r="H24" s="4">
        <v>49470</v>
      </c>
      <c r="I24" s="4">
        <v>12350</v>
      </c>
      <c r="J24" s="4">
        <f t="shared" si="5"/>
        <v>207260</v>
      </c>
      <c r="K24" s="4"/>
      <c r="L24" s="4"/>
      <c r="M24" s="4">
        <f t="shared" si="4"/>
        <v>610954500</v>
      </c>
      <c r="N24" s="4"/>
    </row>
    <row r="25" spans="1:15" ht="18" customHeight="1">
      <c r="A25" s="18"/>
      <c r="B25" s="2"/>
      <c r="C25" s="2"/>
      <c r="D25" s="2"/>
      <c r="E25" s="4"/>
      <c r="F25" s="4"/>
      <c r="G25" s="40" t="s">
        <v>323</v>
      </c>
      <c r="H25" s="4">
        <v>49600</v>
      </c>
      <c r="I25" s="4">
        <v>12350</v>
      </c>
      <c r="J25" s="4">
        <f t="shared" si="5"/>
        <v>157660</v>
      </c>
      <c r="K25" s="4"/>
      <c r="L25" s="4"/>
      <c r="M25" s="4">
        <f t="shared" si="4"/>
        <v>612560000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 t="s">
        <v>336</v>
      </c>
      <c r="H26" s="4">
        <v>47130</v>
      </c>
      <c r="I26" s="4">
        <v>12350</v>
      </c>
      <c r="J26" s="4">
        <f t="shared" si="5"/>
        <v>110530</v>
      </c>
      <c r="K26" s="4"/>
      <c r="L26" s="4"/>
      <c r="M26" s="4">
        <f t="shared" si="4"/>
        <v>582055500</v>
      </c>
      <c r="N26" s="4"/>
    </row>
    <row r="27" spans="1:15" ht="18" customHeight="1">
      <c r="A27" s="18"/>
      <c r="B27" s="2"/>
      <c r="C27" s="2"/>
      <c r="D27" s="2"/>
      <c r="E27" s="4"/>
      <c r="F27" s="4"/>
      <c r="G27" s="40" t="s">
        <v>338</v>
      </c>
      <c r="H27" s="4">
        <v>47490</v>
      </c>
      <c r="I27" s="4">
        <v>12350</v>
      </c>
      <c r="J27" s="4">
        <f t="shared" si="5"/>
        <v>63040</v>
      </c>
      <c r="K27" s="4"/>
      <c r="L27" s="4"/>
      <c r="M27" s="4">
        <f t="shared" si="4"/>
        <v>586501500</v>
      </c>
      <c r="N27" s="4"/>
    </row>
    <row r="28" spans="1:15" ht="18" customHeight="1">
      <c r="A28" s="18"/>
      <c r="B28" s="2"/>
      <c r="C28" s="2"/>
      <c r="D28" s="2"/>
      <c r="E28" s="4"/>
      <c r="F28" s="4"/>
      <c r="G28" s="40" t="s">
        <v>361</v>
      </c>
      <c r="H28" s="4">
        <v>31800</v>
      </c>
      <c r="I28" s="4">
        <v>12350</v>
      </c>
      <c r="J28" s="4">
        <f t="shared" si="5"/>
        <v>31240</v>
      </c>
      <c r="K28" s="4"/>
      <c r="L28" s="4"/>
      <c r="M28" s="4">
        <f t="shared" si="4"/>
        <v>392730000</v>
      </c>
      <c r="N28" s="49">
        <v>440000000</v>
      </c>
      <c r="O28" s="92" t="s">
        <v>361</v>
      </c>
    </row>
    <row r="29" spans="1:15" ht="18" customHeight="1">
      <c r="A29" s="18"/>
      <c r="B29" s="2"/>
      <c r="C29" s="2"/>
      <c r="D29" s="2"/>
      <c r="E29" s="4"/>
      <c r="F29" s="4"/>
      <c r="G29" s="40" t="s">
        <v>362</v>
      </c>
      <c r="H29" s="4">
        <v>31330</v>
      </c>
      <c r="I29" s="4">
        <v>12350</v>
      </c>
      <c r="J29" s="4">
        <f t="shared" si="5"/>
        <v>-90</v>
      </c>
      <c r="K29" s="4"/>
      <c r="L29" s="4"/>
      <c r="M29" s="4">
        <f t="shared" si="4"/>
        <v>386925500</v>
      </c>
      <c r="N29" s="4"/>
    </row>
    <row r="30" spans="1:15" s="136" customFormat="1" ht="18" customHeight="1">
      <c r="A30" s="134"/>
      <c r="B30" s="130"/>
      <c r="C30" s="64"/>
      <c r="D30" s="64"/>
      <c r="E30" s="65"/>
      <c r="F30" s="65"/>
      <c r="G30" s="135"/>
      <c r="H30" s="65"/>
      <c r="I30" s="4">
        <v>12350</v>
      </c>
      <c r="J30" s="4">
        <f t="shared" si="5"/>
        <v>-90</v>
      </c>
      <c r="K30" s="65">
        <f t="shared" ref="K30:L30" si="6">SUM(K21:K29)</f>
        <v>0</v>
      </c>
      <c r="L30" s="65">
        <f t="shared" si="6"/>
        <v>0</v>
      </c>
      <c r="M30" s="65">
        <f>SUM(M22:M29)</f>
        <v>4265443000</v>
      </c>
      <c r="N30" s="65">
        <f>1235000000*2+1100000000+M20+N28</f>
        <v>4257000000</v>
      </c>
      <c r="O30" s="129">
        <f>N30-M30</f>
        <v>-8443000</v>
      </c>
    </row>
    <row r="31" spans="1:15" ht="18" customHeight="1">
      <c r="A31" s="18"/>
      <c r="B31" s="2"/>
      <c r="C31" s="2"/>
      <c r="D31" s="2"/>
      <c r="E31" s="4"/>
      <c r="F31" s="4"/>
      <c r="G31" s="21"/>
      <c r="H31" s="4"/>
      <c r="I31" s="4">
        <v>12350</v>
      </c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21"/>
      <c r="H32" s="4"/>
      <c r="I32" s="4">
        <v>12350</v>
      </c>
      <c r="J32" s="4"/>
      <c r="K32" s="4"/>
      <c r="L32" s="4"/>
      <c r="M32" s="4"/>
      <c r="N32" s="4"/>
    </row>
    <row r="33" spans="1:14" ht="18" customHeight="1">
      <c r="A33" s="18"/>
      <c r="B33" s="2"/>
      <c r="C33" s="2"/>
      <c r="D33" s="2"/>
      <c r="E33" s="4"/>
      <c r="F33" s="4"/>
      <c r="G33" s="21"/>
      <c r="H33" s="4"/>
      <c r="I33" s="4">
        <v>12350</v>
      </c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21"/>
      <c r="H34" s="4"/>
      <c r="I34" s="4">
        <v>12350</v>
      </c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  <c r="L35" s="4"/>
      <c r="M35" s="4"/>
      <c r="N35" s="4"/>
    </row>
    <row r="36" spans="1:14" ht="18" customHeight="1">
      <c r="A36" s="281" t="s">
        <v>0</v>
      </c>
      <c r="B36" s="282"/>
      <c r="C36" s="97"/>
      <c r="D36" s="97"/>
      <c r="E36" s="5">
        <f>SUM(E21:E35)</f>
        <v>0</v>
      </c>
      <c r="F36" s="5">
        <v>12350</v>
      </c>
      <c r="G36" s="23"/>
      <c r="H36" s="5">
        <f>SUM(H21:H35)</f>
        <v>360090</v>
      </c>
      <c r="I36" s="5">
        <v>12350</v>
      </c>
      <c r="J36" s="5"/>
      <c r="K36" s="99"/>
      <c r="L36" s="100">
        <f>H36*I36</f>
        <v>4447111500</v>
      </c>
      <c r="M36" s="14"/>
      <c r="N36" s="100" t="s">
        <v>524</v>
      </c>
    </row>
    <row r="37" spans="1:14" s="6" customFormat="1" ht="24.75" customHeight="1">
      <c r="A37" s="16"/>
      <c r="B37" s="1"/>
      <c r="C37" s="1"/>
      <c r="D37" s="1"/>
      <c r="E37" s="3"/>
      <c r="F37" s="3"/>
      <c r="G37" s="19"/>
      <c r="H37" s="3"/>
      <c r="I37" s="3"/>
      <c r="J37" s="3"/>
      <c r="K37" s="3"/>
    </row>
    <row r="38" spans="1:14">
      <c r="F38" s="270" t="s">
        <v>1</v>
      </c>
      <c r="G38" s="270"/>
      <c r="H38" s="270"/>
      <c r="I38" s="270"/>
      <c r="J38" s="1"/>
      <c r="K38" s="8"/>
    </row>
    <row r="41" spans="1:14">
      <c r="F41" s="271"/>
      <c r="G41" s="271"/>
      <c r="H41" s="271"/>
      <c r="I41" s="271"/>
      <c r="J41" s="1"/>
      <c r="K41" s="1"/>
    </row>
  </sheetData>
  <mergeCells count="18">
    <mergeCell ref="F38:I38"/>
    <mergeCell ref="F41:I41"/>
    <mergeCell ref="L4:L5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M4:M5"/>
    <mergeCell ref="N4:N5"/>
    <mergeCell ref="A10:B10"/>
    <mergeCell ref="A19:B19"/>
    <mergeCell ref="A36:B36"/>
    <mergeCell ref="A21:E21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2"/>
  <sheetViews>
    <sheetView workbookViewId="0">
      <pane ySplit="5" topLeftCell="A21" activePane="bottomLeft" state="frozen"/>
      <selection pane="bottomLeft" activeCell="J32" sqref="J32"/>
    </sheetView>
  </sheetViews>
  <sheetFormatPr defaultRowHeight="15"/>
  <cols>
    <col min="1" max="1" width="11.85546875" style="16" customWidth="1"/>
    <col min="2" max="2" width="21.140625" style="1" customWidth="1"/>
    <col min="3" max="3" width="17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4" width="11.5703125" style="1" bestFit="1" customWidth="1"/>
    <col min="15" max="16384" width="9.140625" style="1"/>
  </cols>
  <sheetData>
    <row r="1" spans="1:14" ht="34.5" customHeight="1">
      <c r="A1" s="274" t="s">
        <v>219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1.2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06" t="s">
        <v>9</v>
      </c>
      <c r="F5" s="106" t="s">
        <v>5</v>
      </c>
      <c r="G5" s="20" t="s">
        <v>14</v>
      </c>
      <c r="H5" s="106" t="s">
        <v>9</v>
      </c>
      <c r="I5" s="106" t="s">
        <v>5</v>
      </c>
      <c r="J5" s="106" t="s">
        <v>9</v>
      </c>
      <c r="K5" s="106" t="s">
        <v>5</v>
      </c>
      <c r="L5" s="277"/>
      <c r="M5" s="277"/>
      <c r="N5" s="277"/>
    </row>
    <row r="6" spans="1:14" ht="18" customHeight="1">
      <c r="A6" s="18" t="s">
        <v>273</v>
      </c>
      <c r="B6" s="60" t="s">
        <v>220</v>
      </c>
      <c r="C6" s="98" t="s">
        <v>223</v>
      </c>
      <c r="D6" s="60" t="s">
        <v>221</v>
      </c>
      <c r="E6" s="49">
        <f>171000</f>
        <v>171000</v>
      </c>
      <c r="F6" s="49">
        <v>4000</v>
      </c>
      <c r="G6" s="61"/>
      <c r="H6" s="49"/>
      <c r="I6" s="49">
        <f>F6</f>
        <v>4000</v>
      </c>
      <c r="J6" s="49">
        <f>E6-H6</f>
        <v>171000</v>
      </c>
      <c r="K6" s="4">
        <f>I6</f>
        <v>4000</v>
      </c>
      <c r="L6" s="2"/>
      <c r="M6" s="2"/>
      <c r="N6" s="2"/>
    </row>
    <row r="7" spans="1:14" ht="18" customHeight="1">
      <c r="A7" s="18"/>
      <c r="B7" s="2"/>
      <c r="C7" s="2" t="s">
        <v>315</v>
      </c>
      <c r="D7" s="2"/>
      <c r="E7" s="4"/>
      <c r="F7" s="4"/>
      <c r="G7" s="40" t="s">
        <v>272</v>
      </c>
      <c r="H7" s="4">
        <v>11595</v>
      </c>
      <c r="I7" s="4">
        <v>4000</v>
      </c>
      <c r="J7" s="4">
        <f>J6-H7</f>
        <v>159405</v>
      </c>
      <c r="K7" s="4"/>
      <c r="L7" s="2"/>
      <c r="M7" s="2"/>
      <c r="N7" s="2"/>
    </row>
    <row r="8" spans="1:14" ht="18" customHeight="1">
      <c r="A8" s="18"/>
      <c r="B8" s="2"/>
      <c r="C8" s="2"/>
      <c r="D8" s="2"/>
      <c r="E8" s="4"/>
      <c r="F8" s="4"/>
      <c r="G8" s="78" t="s">
        <v>278</v>
      </c>
      <c r="H8" s="25">
        <f>28390-57</f>
        <v>28333</v>
      </c>
      <c r="I8" s="25">
        <f>4000-150</f>
        <v>3850</v>
      </c>
      <c r="J8" s="25">
        <f t="shared" ref="J8:J9" si="0">J7-H8</f>
        <v>131072</v>
      </c>
      <c r="K8" s="4"/>
      <c r="L8" s="2" t="s">
        <v>279</v>
      </c>
      <c r="M8" s="2" t="s">
        <v>280</v>
      </c>
      <c r="N8" s="2"/>
    </row>
    <row r="9" spans="1:14" ht="18" customHeight="1">
      <c r="A9" s="18"/>
      <c r="B9" s="2"/>
      <c r="C9" s="2"/>
      <c r="D9" s="2"/>
      <c r="E9" s="4"/>
      <c r="F9" s="4"/>
      <c r="G9" s="78" t="s">
        <v>281</v>
      </c>
      <c r="H9" s="25">
        <f>28600-57</f>
        <v>28543</v>
      </c>
      <c r="I9" s="25">
        <f>4000-150</f>
        <v>3850</v>
      </c>
      <c r="J9" s="25">
        <f t="shared" si="0"/>
        <v>102529</v>
      </c>
      <c r="K9" s="4"/>
      <c r="L9" s="2" t="s">
        <v>279</v>
      </c>
      <c r="M9" s="2" t="s">
        <v>282</v>
      </c>
      <c r="N9" s="2"/>
    </row>
    <row r="10" spans="1:14" ht="18" customHeight="1">
      <c r="A10" s="18"/>
      <c r="B10" s="2"/>
      <c r="C10" s="2"/>
      <c r="D10" s="2"/>
      <c r="E10" s="4"/>
      <c r="F10" s="4"/>
      <c r="G10" s="40" t="s">
        <v>312</v>
      </c>
      <c r="H10" s="4">
        <v>27720</v>
      </c>
      <c r="I10" s="4">
        <v>3850</v>
      </c>
      <c r="J10" s="4">
        <f>J9-H10</f>
        <v>74809</v>
      </c>
      <c r="K10" s="4"/>
      <c r="L10" s="2"/>
      <c r="M10" s="2"/>
      <c r="N10" s="2"/>
    </row>
    <row r="11" spans="1:14" ht="18" customHeight="1">
      <c r="A11" s="18"/>
      <c r="B11" s="2"/>
      <c r="C11" s="2"/>
      <c r="D11" s="2"/>
      <c r="E11" s="4"/>
      <c r="F11" s="4"/>
      <c r="G11" s="40" t="s">
        <v>336</v>
      </c>
      <c r="H11" s="4">
        <v>28370</v>
      </c>
      <c r="I11" s="4">
        <v>4000</v>
      </c>
      <c r="J11" s="4">
        <f t="shared" ref="J11:J14" si="1">J10-H11</f>
        <v>46439</v>
      </c>
      <c r="K11" s="4"/>
      <c r="L11" s="2"/>
      <c r="M11" s="2"/>
      <c r="N11" s="2"/>
    </row>
    <row r="12" spans="1:14" ht="18" customHeight="1">
      <c r="A12" s="18"/>
      <c r="B12" s="2"/>
      <c r="C12" s="2"/>
      <c r="D12" s="2"/>
      <c r="E12" s="4"/>
      <c r="F12" s="4"/>
      <c r="G12" s="40" t="s">
        <v>346</v>
      </c>
      <c r="H12" s="4">
        <v>28380</v>
      </c>
      <c r="I12" s="4">
        <v>4000</v>
      </c>
      <c r="J12" s="4">
        <f t="shared" si="1"/>
        <v>18059</v>
      </c>
      <c r="K12" s="4"/>
      <c r="L12" s="2"/>
      <c r="M12" s="2"/>
      <c r="N12" s="2"/>
    </row>
    <row r="13" spans="1:14" ht="18" customHeight="1">
      <c r="A13" s="18"/>
      <c r="B13" s="2"/>
      <c r="C13" s="2"/>
      <c r="D13" s="2"/>
      <c r="E13" s="4"/>
      <c r="F13" s="4"/>
      <c r="G13" s="40" t="s">
        <v>366</v>
      </c>
      <c r="H13" s="4">
        <f>28450-10450</f>
        <v>18000</v>
      </c>
      <c r="I13" s="4">
        <v>4000</v>
      </c>
      <c r="J13" s="4">
        <f t="shared" si="1"/>
        <v>59</v>
      </c>
      <c r="K13" s="4"/>
      <c r="L13" s="2"/>
      <c r="M13" s="2"/>
      <c r="N13" s="2"/>
    </row>
    <row r="14" spans="1:14" ht="18" customHeight="1">
      <c r="A14" s="18"/>
      <c r="B14" s="2"/>
      <c r="C14" s="2"/>
      <c r="D14" s="2"/>
      <c r="E14" s="4"/>
      <c r="F14" s="4"/>
      <c r="G14" s="21"/>
      <c r="H14" s="4"/>
      <c r="I14" s="4"/>
      <c r="J14" s="4">
        <f t="shared" si="1"/>
        <v>59</v>
      </c>
      <c r="K14" s="4"/>
      <c r="L14" s="2"/>
      <c r="M14" s="2"/>
      <c r="N14" s="2"/>
    </row>
    <row r="15" spans="1:14" s="15" customFormat="1" ht="18" customHeight="1">
      <c r="A15" s="291" t="s">
        <v>15</v>
      </c>
      <c r="B15" s="292"/>
      <c r="C15" s="13"/>
      <c r="D15" s="13"/>
      <c r="E15" s="14">
        <f>SUM(E6:E14)</f>
        <v>171000</v>
      </c>
      <c r="F15" s="14">
        <f t="shared" ref="F15:K15" si="2">SUM(F6:F14)</f>
        <v>4000</v>
      </c>
      <c r="G15" s="22"/>
      <c r="H15" s="14">
        <f t="shared" si="2"/>
        <v>170941</v>
      </c>
      <c r="I15" s="14">
        <f t="shared" si="2"/>
        <v>31550</v>
      </c>
      <c r="J15" s="14">
        <f t="shared" si="2"/>
        <v>703431</v>
      </c>
      <c r="K15" s="14">
        <f t="shared" si="2"/>
        <v>4000</v>
      </c>
      <c r="L15" s="60"/>
      <c r="M15" s="60"/>
      <c r="N15" s="60"/>
    </row>
    <row r="16" spans="1:14" ht="18" customHeight="1">
      <c r="A16" s="18" t="s">
        <v>13</v>
      </c>
      <c r="B16" s="60" t="s">
        <v>220</v>
      </c>
      <c r="C16" s="98" t="s">
        <v>223</v>
      </c>
      <c r="D16" s="60" t="s">
        <v>221</v>
      </c>
      <c r="E16" s="49">
        <v>57000</v>
      </c>
      <c r="F16" s="49">
        <v>4450</v>
      </c>
      <c r="G16" s="61"/>
      <c r="H16" s="49"/>
      <c r="I16" s="49"/>
      <c r="J16" s="49"/>
      <c r="K16" s="49"/>
      <c r="L16" s="49"/>
      <c r="M16" s="4"/>
      <c r="N16" s="4"/>
    </row>
    <row r="17" spans="1:14" ht="18" customHeight="1">
      <c r="A17" s="18"/>
      <c r="B17" s="2"/>
      <c r="C17" s="2" t="s">
        <v>214</v>
      </c>
      <c r="D17" s="2"/>
      <c r="E17" s="4"/>
      <c r="F17" s="4"/>
      <c r="G17" s="40" t="s">
        <v>327</v>
      </c>
      <c r="H17" s="4">
        <v>27050</v>
      </c>
      <c r="I17" s="4">
        <v>4450</v>
      </c>
      <c r="J17" s="4">
        <f>+E16-H17</f>
        <v>29950</v>
      </c>
      <c r="K17" s="4"/>
      <c r="L17" s="4"/>
      <c r="M17" s="4"/>
      <c r="N17" s="4"/>
    </row>
    <row r="18" spans="1:14" ht="18" customHeight="1">
      <c r="A18" s="18"/>
      <c r="B18" s="2"/>
      <c r="C18" s="24" t="s">
        <v>526</v>
      </c>
      <c r="D18" s="24"/>
      <c r="E18" s="4"/>
      <c r="F18" s="4"/>
      <c r="G18" s="40" t="s">
        <v>356</v>
      </c>
      <c r="H18" s="146">
        <v>28490</v>
      </c>
      <c r="I18" s="146">
        <v>4300</v>
      </c>
      <c r="J18" s="4">
        <f>+J17-H18</f>
        <v>1460</v>
      </c>
      <c r="K18" s="4"/>
      <c r="L18" s="4" t="s">
        <v>357</v>
      </c>
      <c r="M18" s="4"/>
      <c r="N18" s="4"/>
    </row>
    <row r="19" spans="1:14" ht="18" customHeight="1">
      <c r="A19" s="18"/>
      <c r="B19" s="2"/>
      <c r="C19" s="2"/>
      <c r="D19" s="2"/>
      <c r="E19" s="4"/>
      <c r="F19" s="4"/>
      <c r="G19" s="40" t="s">
        <v>529</v>
      </c>
      <c r="H19" s="4">
        <v>28460</v>
      </c>
      <c r="I19" s="4">
        <f>4450-150</f>
        <v>4300</v>
      </c>
      <c r="J19" s="4"/>
      <c r="K19" s="4"/>
      <c r="L19" s="4">
        <f t="shared" ref="L19:L20" si="3">+H19*I19</f>
        <v>122378000</v>
      </c>
      <c r="M19" s="4"/>
      <c r="N19" s="4"/>
    </row>
    <row r="20" spans="1:14" ht="18" customHeight="1">
      <c r="A20" s="18"/>
      <c r="B20" s="2"/>
      <c r="C20" s="2"/>
      <c r="D20" s="2"/>
      <c r="E20" s="4"/>
      <c r="F20" s="4"/>
      <c r="G20" s="21"/>
      <c r="H20" s="4"/>
      <c r="I20" s="4"/>
      <c r="J20" s="4"/>
      <c r="K20" s="4"/>
      <c r="L20" s="4">
        <f t="shared" si="3"/>
        <v>0</v>
      </c>
      <c r="M20" s="4"/>
      <c r="N20" s="4"/>
    </row>
    <row r="21" spans="1:14" s="15" customFormat="1" ht="18" customHeight="1">
      <c r="A21" s="291" t="s">
        <v>15</v>
      </c>
      <c r="B21" s="292"/>
      <c r="C21" s="13"/>
      <c r="D21" s="13"/>
      <c r="E21" s="14"/>
      <c r="F21" s="14"/>
      <c r="G21" s="22"/>
      <c r="H21" s="14">
        <f>SUM(H16:H20)</f>
        <v>84000</v>
      </c>
      <c r="I21" s="14">
        <v>4450</v>
      </c>
      <c r="J21" s="14"/>
      <c r="K21" s="14"/>
      <c r="L21" s="14">
        <f>+H21*I21</f>
        <v>373800000</v>
      </c>
      <c r="M21" s="14">
        <f>SUM(M16:M20)</f>
        <v>0</v>
      </c>
      <c r="N21" s="14"/>
    </row>
    <row r="22" spans="1:14" ht="18" customHeight="1">
      <c r="A22" s="18" t="s">
        <v>13</v>
      </c>
      <c r="B22" s="60" t="s">
        <v>220</v>
      </c>
      <c r="C22" s="98" t="s">
        <v>224</v>
      </c>
      <c r="D22" s="60" t="s">
        <v>221</v>
      </c>
      <c r="E22" s="49">
        <v>171000</v>
      </c>
      <c r="F22" s="49">
        <v>4350</v>
      </c>
      <c r="G22" s="61"/>
      <c r="H22" s="49"/>
      <c r="I22" s="49"/>
      <c r="J22" s="49"/>
      <c r="K22" s="49"/>
      <c r="L22" s="49"/>
      <c r="M22" s="49"/>
      <c r="N22" s="102"/>
    </row>
    <row r="23" spans="1:14" ht="18" customHeight="1">
      <c r="A23" s="18"/>
      <c r="B23" s="2"/>
      <c r="C23" s="2"/>
      <c r="D23" s="2"/>
      <c r="E23" s="4"/>
      <c r="F23" s="4"/>
      <c r="G23" s="40" t="s">
        <v>366</v>
      </c>
      <c r="H23" s="4">
        <f>28450-18000</f>
        <v>10450</v>
      </c>
      <c r="I23" s="4">
        <v>4350</v>
      </c>
      <c r="J23" s="4">
        <f>+E22-H23</f>
        <v>160550</v>
      </c>
      <c r="K23" s="4"/>
      <c r="L23" s="4"/>
      <c r="M23" s="4"/>
      <c r="N23" s="4"/>
    </row>
    <row r="24" spans="1:14" ht="18" customHeight="1">
      <c r="A24" s="18"/>
      <c r="B24" s="2"/>
      <c r="C24" s="2"/>
      <c r="D24" s="2"/>
      <c r="E24" s="4"/>
      <c r="F24" s="4"/>
      <c r="G24" s="40" t="s">
        <v>381</v>
      </c>
      <c r="H24" s="4">
        <v>16775</v>
      </c>
      <c r="I24" s="4">
        <v>4350</v>
      </c>
      <c r="J24" s="4">
        <f>+J23-H24</f>
        <v>143775</v>
      </c>
      <c r="K24" s="4"/>
      <c r="L24" s="4"/>
      <c r="M24" s="4"/>
      <c r="N24" s="4"/>
    </row>
    <row r="25" spans="1:14" ht="18" customHeight="1">
      <c r="A25" s="18"/>
      <c r="B25" s="2"/>
      <c r="C25" s="2"/>
      <c r="D25" s="2"/>
      <c r="E25" s="4"/>
      <c r="F25" s="4"/>
      <c r="G25" s="40" t="s">
        <v>397</v>
      </c>
      <c r="H25" s="4">
        <v>28470</v>
      </c>
      <c r="I25" s="4">
        <v>4350</v>
      </c>
      <c r="J25" s="4">
        <f t="shared" ref="J25:J29" si="4">+J24-H25</f>
        <v>115305</v>
      </c>
      <c r="K25" s="4"/>
      <c r="L25" s="4"/>
      <c r="M25" s="4"/>
      <c r="N25" s="4"/>
    </row>
    <row r="26" spans="1:14" ht="18" customHeight="1">
      <c r="A26" s="18"/>
      <c r="B26" s="2"/>
      <c r="C26" s="2"/>
      <c r="D26" s="2"/>
      <c r="E26" s="4"/>
      <c r="F26" s="4"/>
      <c r="G26" s="40" t="s">
        <v>441</v>
      </c>
      <c r="H26" s="4">
        <v>28470</v>
      </c>
      <c r="I26" s="4">
        <v>4350</v>
      </c>
      <c r="J26" s="4">
        <f t="shared" si="4"/>
        <v>86835</v>
      </c>
      <c r="K26" s="4"/>
      <c r="L26" s="4"/>
      <c r="M26" s="4"/>
      <c r="N26" s="4"/>
    </row>
    <row r="27" spans="1:14" ht="18" customHeight="1">
      <c r="A27" s="18"/>
      <c r="B27" s="2"/>
      <c r="C27" s="2"/>
      <c r="D27" s="2"/>
      <c r="E27" s="4"/>
      <c r="F27" s="4"/>
      <c r="G27" s="40" t="s">
        <v>454</v>
      </c>
      <c r="H27" s="4">
        <v>28490</v>
      </c>
      <c r="I27" s="4">
        <v>4350</v>
      </c>
      <c r="J27" s="4">
        <f t="shared" si="4"/>
        <v>58345</v>
      </c>
      <c r="K27" s="4"/>
      <c r="L27" s="4"/>
      <c r="M27" s="4"/>
      <c r="N27" s="4"/>
    </row>
    <row r="28" spans="1:14" ht="18" customHeight="1">
      <c r="A28" s="18"/>
      <c r="B28" s="2"/>
      <c r="C28" s="2"/>
      <c r="D28" s="2"/>
      <c r="E28" s="4"/>
      <c r="F28" s="4"/>
      <c r="G28" s="40" t="s">
        <v>476</v>
      </c>
      <c r="H28" s="65">
        <v>28164</v>
      </c>
      <c r="I28" s="65">
        <f>4350-150</f>
        <v>4200</v>
      </c>
      <c r="J28" s="4">
        <f t="shared" si="4"/>
        <v>30181</v>
      </c>
      <c r="K28" s="4"/>
      <c r="L28" s="4" t="s">
        <v>525</v>
      </c>
      <c r="M28" s="4"/>
      <c r="N28" s="4"/>
    </row>
    <row r="29" spans="1:14" ht="18" customHeight="1">
      <c r="A29" s="18"/>
      <c r="B29" s="2"/>
      <c r="C29" s="2"/>
      <c r="D29" s="2"/>
      <c r="E29" s="4"/>
      <c r="F29" s="4"/>
      <c r="G29" s="40" t="s">
        <v>523</v>
      </c>
      <c r="H29" s="65">
        <v>28104</v>
      </c>
      <c r="I29" s="65">
        <f>4350-150</f>
        <v>4200</v>
      </c>
      <c r="J29" s="4">
        <f t="shared" si="4"/>
        <v>2077</v>
      </c>
      <c r="K29" s="4"/>
      <c r="L29" s="4" t="s">
        <v>525</v>
      </c>
      <c r="M29" s="4"/>
      <c r="N29" s="4"/>
    </row>
    <row r="30" spans="1:14" ht="18" customHeight="1">
      <c r="A30" s="55"/>
      <c r="B30" s="56" t="s">
        <v>235</v>
      </c>
      <c r="C30" s="24"/>
      <c r="D30" s="24"/>
      <c r="E30" s="25"/>
      <c r="F30" s="25"/>
      <c r="G30" s="26"/>
      <c r="H30" s="57">
        <f>SUM(H23:H29)</f>
        <v>168923</v>
      </c>
      <c r="I30" s="25"/>
      <c r="J30" s="25"/>
      <c r="K30" s="25"/>
      <c r="L30" s="25"/>
      <c r="M30" s="25"/>
      <c r="N30" s="25"/>
    </row>
    <row r="31" spans="1:14" ht="18" customHeight="1">
      <c r="A31" s="18" t="s">
        <v>13</v>
      </c>
      <c r="B31" s="2" t="s">
        <v>576</v>
      </c>
      <c r="C31" s="2"/>
      <c r="D31" s="2" t="s">
        <v>577</v>
      </c>
      <c r="E31" s="4">
        <v>25000</v>
      </c>
      <c r="F31" s="4">
        <v>5950</v>
      </c>
      <c r="G31" s="21"/>
      <c r="H31" s="4"/>
      <c r="I31" s="4"/>
      <c r="J31" s="4"/>
      <c r="K31" s="4"/>
      <c r="L31" s="4"/>
      <c r="M31" s="4"/>
      <c r="N31" s="4"/>
    </row>
    <row r="32" spans="1:14" ht="18" customHeight="1">
      <c r="A32" s="18"/>
      <c r="B32" s="2"/>
      <c r="C32" s="2"/>
      <c r="D32" s="2"/>
      <c r="E32" s="4"/>
      <c r="F32" s="4"/>
      <c r="G32" s="40" t="s">
        <v>574</v>
      </c>
      <c r="H32" s="4">
        <v>24120</v>
      </c>
      <c r="I32" s="4">
        <v>5950</v>
      </c>
      <c r="J32" s="4"/>
      <c r="K32" s="4"/>
      <c r="L32" s="4"/>
      <c r="M32" s="4"/>
      <c r="N32" s="4"/>
    </row>
    <row r="33" spans="1:14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  <c r="L35" s="4"/>
      <c r="M35" s="4"/>
      <c r="N35" s="4"/>
    </row>
    <row r="36" spans="1:14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  <c r="L36" s="4"/>
      <c r="M36" s="4"/>
      <c r="N36" s="4"/>
    </row>
    <row r="37" spans="1:14" ht="18" customHeight="1">
      <c r="A37" s="281" t="s">
        <v>0</v>
      </c>
      <c r="B37" s="282"/>
      <c r="C37" s="107"/>
      <c r="D37" s="107"/>
      <c r="E37" s="5">
        <f>SUM(E23:E36)</f>
        <v>25000</v>
      </c>
      <c r="F37" s="5"/>
      <c r="G37" s="23"/>
      <c r="H37" s="5"/>
      <c r="I37" s="5"/>
      <c r="J37" s="5"/>
      <c r="K37" s="99"/>
      <c r="L37" s="100">
        <f>H37*I37</f>
        <v>0</v>
      </c>
      <c r="M37" s="14">
        <f>SUM(M22:M36)</f>
        <v>0</v>
      </c>
      <c r="N37" s="100"/>
    </row>
    <row r="38" spans="1:14" s="6" customFormat="1" ht="24.75" customHeight="1">
      <c r="A38" s="16"/>
      <c r="B38" s="1"/>
      <c r="C38" s="1"/>
      <c r="D38" s="1"/>
      <c r="E38" s="3"/>
      <c r="F38" s="3"/>
      <c r="G38" s="19"/>
      <c r="H38" s="3"/>
      <c r="I38" s="3"/>
      <c r="J38" s="3"/>
      <c r="K38" s="3"/>
    </row>
    <row r="39" spans="1:14">
      <c r="F39" s="270" t="s">
        <v>1</v>
      </c>
      <c r="G39" s="270"/>
      <c r="H39" s="270"/>
      <c r="I39" s="270"/>
      <c r="J39" s="1"/>
      <c r="K39" s="8"/>
    </row>
    <row r="42" spans="1:14">
      <c r="F42" s="271"/>
      <c r="G42" s="271"/>
      <c r="H42" s="271"/>
      <c r="I42" s="271"/>
      <c r="J42" s="1"/>
      <c r="K42" s="1"/>
    </row>
  </sheetData>
  <mergeCells count="17">
    <mergeCell ref="A15:B15"/>
    <mergeCell ref="A21:B21"/>
    <mergeCell ref="A37:B37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39:I39"/>
    <mergeCell ref="F42:I42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3"/>
  <sheetViews>
    <sheetView workbookViewId="0">
      <pane ySplit="5" topLeftCell="A44" activePane="bottomLeft" state="frozen"/>
      <selection pane="bottomLeft" activeCell="H49" sqref="H49"/>
    </sheetView>
  </sheetViews>
  <sheetFormatPr defaultRowHeight="15"/>
  <cols>
    <col min="1" max="1" width="11.85546875" style="16" customWidth="1"/>
    <col min="2" max="2" width="17.28515625" style="1" customWidth="1"/>
    <col min="3" max="3" width="17.7109375" style="1" customWidth="1"/>
    <col min="4" max="4" width="27.14062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179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93" t="s">
        <v>9</v>
      </c>
      <c r="F5" s="93" t="s">
        <v>5</v>
      </c>
      <c r="G5" s="20" t="s">
        <v>14</v>
      </c>
      <c r="H5" s="93" t="s">
        <v>9</v>
      </c>
      <c r="I5" s="93" t="s">
        <v>5</v>
      </c>
      <c r="J5" s="93" t="s">
        <v>9</v>
      </c>
      <c r="K5" s="93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29</v>
      </c>
      <c r="B11" s="60" t="s">
        <v>180</v>
      </c>
      <c r="C11" s="56" t="s">
        <v>78</v>
      </c>
      <c r="D11" s="56" t="s">
        <v>181</v>
      </c>
      <c r="E11" s="25">
        <v>2500</v>
      </c>
      <c r="F11" s="25">
        <v>12500</v>
      </c>
      <c r="G11" s="78"/>
      <c r="H11" s="25">
        <f>1000+1000+500</f>
        <v>2500</v>
      </c>
      <c r="I11" s="25"/>
      <c r="J11" s="25">
        <f>+E11-H11</f>
        <v>0</v>
      </c>
      <c r="K11" s="4"/>
    </row>
    <row r="12" spans="1:11" ht="18" customHeight="1">
      <c r="A12" s="18"/>
      <c r="B12" s="60"/>
      <c r="C12" s="60" t="s">
        <v>183</v>
      </c>
      <c r="D12" s="60" t="s">
        <v>181</v>
      </c>
      <c r="E12" s="4">
        <v>12000</v>
      </c>
      <c r="F12" s="4">
        <v>13800</v>
      </c>
      <c r="G12" s="40"/>
      <c r="H12" s="4">
        <f>500+3000+2000+2000-1475+2000+2475+1475</f>
        <v>11975</v>
      </c>
      <c r="I12" s="4"/>
      <c r="J12" s="4">
        <f t="shared" ref="J12:J52" si="2">+E12-H12</f>
        <v>25</v>
      </c>
      <c r="K12" s="4"/>
    </row>
    <row r="13" spans="1:11" ht="18" customHeight="1">
      <c r="A13" s="18"/>
      <c r="B13" s="2"/>
      <c r="C13" s="60" t="s">
        <v>182</v>
      </c>
      <c r="D13" s="56" t="s">
        <v>232</v>
      </c>
      <c r="E13" s="25">
        <v>10000</v>
      </c>
      <c r="F13" s="25">
        <v>28000</v>
      </c>
      <c r="G13" s="78"/>
      <c r="H13" s="25">
        <f>300+1000+1000+1000+1000+1000+1500+1000+500+1000+700</f>
        <v>10000</v>
      </c>
      <c r="I13" s="25"/>
      <c r="J13" s="25">
        <f t="shared" si="2"/>
        <v>0</v>
      </c>
      <c r="K13" s="4"/>
    </row>
    <row r="14" spans="1:11" ht="18" customHeight="1">
      <c r="A14" s="18"/>
      <c r="B14" s="60"/>
      <c r="C14" s="60" t="s">
        <v>182</v>
      </c>
      <c r="D14" s="60" t="s">
        <v>188</v>
      </c>
      <c r="E14" s="4">
        <v>5000</v>
      </c>
      <c r="F14" s="4">
        <v>23500</v>
      </c>
      <c r="G14" s="21"/>
      <c r="H14" s="4">
        <f>500+1000+1500+500+1500</f>
        <v>5000</v>
      </c>
      <c r="I14" s="4"/>
      <c r="J14" s="4">
        <f t="shared" si="2"/>
        <v>0</v>
      </c>
      <c r="K14" s="4"/>
    </row>
    <row r="15" spans="1:11" ht="18" customHeight="1">
      <c r="A15" s="18"/>
      <c r="B15" s="2"/>
      <c r="C15" s="56" t="s">
        <v>185</v>
      </c>
      <c r="D15" s="56" t="s">
        <v>184</v>
      </c>
      <c r="E15" s="25">
        <v>10000</v>
      </c>
      <c r="F15" s="25">
        <v>47000</v>
      </c>
      <c r="G15" s="26"/>
      <c r="H15" s="25">
        <f>6000+775+1000+1000+1000+225</f>
        <v>10000</v>
      </c>
      <c r="I15" s="25"/>
      <c r="J15" s="25">
        <f t="shared" si="2"/>
        <v>0</v>
      </c>
      <c r="K15" s="4"/>
    </row>
    <row r="16" spans="1:11" ht="18" customHeight="1">
      <c r="A16" s="18"/>
      <c r="B16" s="2"/>
      <c r="C16" s="60" t="s">
        <v>186</v>
      </c>
      <c r="D16" s="60" t="s">
        <v>187</v>
      </c>
      <c r="E16" s="4">
        <v>800</v>
      </c>
      <c r="F16" s="4">
        <v>65000</v>
      </c>
      <c r="G16" s="21"/>
      <c r="H16" s="4">
        <f>400</f>
        <v>400</v>
      </c>
      <c r="I16" s="4"/>
      <c r="J16" s="4">
        <f t="shared" si="2"/>
        <v>400</v>
      </c>
      <c r="K16" s="4">
        <f t="shared" ref="K16:K19" si="3">F16</f>
        <v>65000</v>
      </c>
    </row>
    <row r="17" spans="1:11" ht="18" customHeight="1">
      <c r="A17" s="18"/>
      <c r="B17" s="2"/>
      <c r="C17" s="60" t="s">
        <v>189</v>
      </c>
      <c r="D17" s="56" t="s">
        <v>409</v>
      </c>
      <c r="E17" s="25">
        <v>20000</v>
      </c>
      <c r="F17" s="25">
        <v>26500</v>
      </c>
      <c r="G17" s="26"/>
      <c r="H17" s="25">
        <f>1000+1000+1000+1000+1000+1000+3000+1000+2000+3000+1000+3000+1000</f>
        <v>20000</v>
      </c>
      <c r="I17" s="25"/>
      <c r="J17" s="25">
        <f t="shared" si="2"/>
        <v>0</v>
      </c>
      <c r="K17" s="4"/>
    </row>
    <row r="18" spans="1:11" ht="18" customHeight="1">
      <c r="A18" s="18"/>
      <c r="B18" s="2"/>
      <c r="C18" s="56" t="s">
        <v>191</v>
      </c>
      <c r="D18" s="56" t="s">
        <v>190</v>
      </c>
      <c r="E18" s="25">
        <v>1000</v>
      </c>
      <c r="F18" s="25">
        <v>120000</v>
      </c>
      <c r="G18" s="26"/>
      <c r="H18" s="25">
        <f>500+500</f>
        <v>1000</v>
      </c>
      <c r="I18" s="25"/>
      <c r="J18" s="25">
        <f t="shared" si="2"/>
        <v>0</v>
      </c>
      <c r="K18" s="4"/>
    </row>
    <row r="19" spans="1:11" ht="18" customHeight="1">
      <c r="A19" s="18"/>
      <c r="B19" s="2"/>
      <c r="C19" s="56" t="s">
        <v>193</v>
      </c>
      <c r="D19" s="56" t="s">
        <v>192</v>
      </c>
      <c r="E19" s="25">
        <v>10000</v>
      </c>
      <c r="F19" s="25">
        <v>46000</v>
      </c>
      <c r="G19" s="26"/>
      <c r="H19" s="25">
        <f>1000+2000+1000+2000+1000+1000+2225</f>
        <v>10225</v>
      </c>
      <c r="I19" s="25"/>
      <c r="J19" s="25">
        <f t="shared" si="2"/>
        <v>-225</v>
      </c>
      <c r="K19" s="4">
        <f t="shared" si="3"/>
        <v>46000</v>
      </c>
    </row>
    <row r="20" spans="1:11" ht="18" customHeight="1">
      <c r="A20" s="18"/>
      <c r="B20" s="39"/>
      <c r="C20" s="60" t="s">
        <v>325</v>
      </c>
      <c r="D20" s="60" t="s">
        <v>232</v>
      </c>
      <c r="E20" s="4">
        <v>6000</v>
      </c>
      <c r="F20" s="4">
        <v>33500</v>
      </c>
      <c r="G20" s="21"/>
      <c r="H20" s="4">
        <f>300+2000+1000+1000+1000+700</f>
        <v>6000</v>
      </c>
      <c r="I20" s="4"/>
      <c r="J20" s="4">
        <f t="shared" si="2"/>
        <v>0</v>
      </c>
      <c r="K20" s="4"/>
    </row>
    <row r="21" spans="1:11" ht="18" customHeight="1">
      <c r="A21" s="18"/>
      <c r="B21" s="39"/>
      <c r="C21" s="60" t="s">
        <v>325</v>
      </c>
      <c r="D21" s="60" t="s">
        <v>326</v>
      </c>
      <c r="E21" s="4">
        <v>10000</v>
      </c>
      <c r="F21" s="4">
        <v>32800</v>
      </c>
      <c r="G21" s="21"/>
      <c r="H21" s="4">
        <f>3000+3000+1950+1975+25</f>
        <v>9950</v>
      </c>
      <c r="I21" s="4"/>
      <c r="J21" s="4">
        <f t="shared" si="2"/>
        <v>50</v>
      </c>
      <c r="K21" s="4"/>
    </row>
    <row r="22" spans="1:11" ht="18" customHeight="1">
      <c r="A22" s="18"/>
      <c r="B22" s="39"/>
      <c r="C22" s="56" t="s">
        <v>325</v>
      </c>
      <c r="D22" s="56" t="s">
        <v>190</v>
      </c>
      <c r="E22" s="25">
        <v>1000</v>
      </c>
      <c r="F22" s="25">
        <v>185000</v>
      </c>
      <c r="G22" s="26"/>
      <c r="H22" s="25">
        <f>200+100+700</f>
        <v>1000</v>
      </c>
      <c r="I22" s="25"/>
      <c r="J22" s="25">
        <f t="shared" si="2"/>
        <v>0</v>
      </c>
      <c r="K22" s="4"/>
    </row>
    <row r="23" spans="1:11" ht="18" customHeight="1">
      <c r="A23" s="18"/>
      <c r="B23" s="39"/>
      <c r="C23" s="64" t="s">
        <v>376</v>
      </c>
      <c r="D23" s="64" t="s">
        <v>190</v>
      </c>
      <c r="E23" s="68">
        <v>1500</v>
      </c>
      <c r="F23" s="68">
        <v>265000</v>
      </c>
      <c r="G23" s="110"/>
      <c r="H23" s="68">
        <f>500+500+500</f>
        <v>1500</v>
      </c>
      <c r="I23" s="68"/>
      <c r="J23" s="68">
        <f t="shared" si="2"/>
        <v>0</v>
      </c>
      <c r="K23" s="4"/>
    </row>
    <row r="24" spans="1:11" ht="18" customHeight="1">
      <c r="A24" s="18"/>
      <c r="B24" s="39"/>
      <c r="C24" s="64" t="s">
        <v>263</v>
      </c>
      <c r="D24" s="64" t="s">
        <v>264</v>
      </c>
      <c r="E24" s="68">
        <v>10000</v>
      </c>
      <c r="F24" s="68">
        <v>20300</v>
      </c>
      <c r="G24" s="110"/>
      <c r="H24" s="68">
        <f>2000+200</f>
        <v>2200</v>
      </c>
      <c r="I24" s="68"/>
      <c r="J24" s="68">
        <f t="shared" si="2"/>
        <v>7800</v>
      </c>
      <c r="K24" s="4"/>
    </row>
    <row r="25" spans="1:11" ht="18" customHeight="1">
      <c r="A25" s="18"/>
      <c r="B25" s="39"/>
      <c r="C25" s="60" t="s">
        <v>334</v>
      </c>
      <c r="D25" s="60" t="s">
        <v>335</v>
      </c>
      <c r="E25" s="4">
        <f>4000+4000</f>
        <v>8000</v>
      </c>
      <c r="F25" s="4">
        <v>21000</v>
      </c>
      <c r="G25" s="21"/>
      <c r="H25" s="4">
        <f>1325+5250</f>
        <v>6575</v>
      </c>
      <c r="I25" s="4"/>
      <c r="J25" s="4">
        <f t="shared" si="2"/>
        <v>1425</v>
      </c>
      <c r="K25" s="4"/>
    </row>
    <row r="26" spans="1:11" ht="18" customHeight="1">
      <c r="A26" s="18"/>
      <c r="B26" s="39"/>
      <c r="C26" s="56" t="s">
        <v>304</v>
      </c>
      <c r="D26" s="56" t="s">
        <v>303</v>
      </c>
      <c r="E26" s="25">
        <v>15000</v>
      </c>
      <c r="F26" s="25">
        <v>17500</v>
      </c>
      <c r="G26" s="26"/>
      <c r="H26" s="25">
        <f>4000+2000+4000+2000+3000</f>
        <v>15000</v>
      </c>
      <c r="I26" s="25"/>
      <c r="J26" s="25">
        <f t="shared" si="2"/>
        <v>0</v>
      </c>
      <c r="K26" s="4"/>
    </row>
    <row r="27" spans="1:11" ht="18" customHeight="1">
      <c r="A27" s="18"/>
      <c r="B27" s="2"/>
      <c r="C27" s="56" t="s">
        <v>304</v>
      </c>
      <c r="D27" s="56" t="s">
        <v>303</v>
      </c>
      <c r="E27" s="25">
        <v>15000</v>
      </c>
      <c r="F27" s="25">
        <v>18000</v>
      </c>
      <c r="G27" s="26"/>
      <c r="H27" s="25">
        <f>2000+2000+3000+5000+3000</f>
        <v>15000</v>
      </c>
      <c r="I27" s="25"/>
      <c r="J27" s="25">
        <f t="shared" si="2"/>
        <v>0</v>
      </c>
      <c r="K27" s="4"/>
    </row>
    <row r="28" spans="1:11" ht="18" customHeight="1">
      <c r="A28" s="18"/>
      <c r="B28" s="2"/>
      <c r="C28" s="60"/>
      <c r="D28" s="60" t="s">
        <v>394</v>
      </c>
      <c r="E28" s="4">
        <v>8000</v>
      </c>
      <c r="F28" s="4">
        <v>65000</v>
      </c>
      <c r="G28" s="21"/>
      <c r="H28" s="4">
        <f>2000+2000+1000+1500+500+875</f>
        <v>7875</v>
      </c>
      <c r="I28" s="4"/>
      <c r="J28" s="4">
        <f t="shared" si="2"/>
        <v>125</v>
      </c>
      <c r="K28" s="4"/>
    </row>
    <row r="29" spans="1:11" ht="18" customHeight="1">
      <c r="A29" s="18"/>
      <c r="B29" s="2"/>
      <c r="C29" s="56" t="s">
        <v>405</v>
      </c>
      <c r="D29" s="56" t="s">
        <v>303</v>
      </c>
      <c r="E29" s="25">
        <v>40000</v>
      </c>
      <c r="F29" s="25">
        <v>19300</v>
      </c>
      <c r="G29" s="26"/>
      <c r="H29" s="25">
        <f>2000+5000+5000+4000+4000+5000+2000+4000+3000+3000+3000</f>
        <v>40000</v>
      </c>
      <c r="I29" s="25"/>
      <c r="J29" s="25">
        <f t="shared" si="2"/>
        <v>0</v>
      </c>
      <c r="K29" s="4"/>
    </row>
    <row r="30" spans="1:11" ht="18" customHeight="1">
      <c r="A30" s="18"/>
      <c r="B30" s="2"/>
      <c r="C30" s="60" t="s">
        <v>405</v>
      </c>
      <c r="D30" s="60" t="s">
        <v>406</v>
      </c>
      <c r="E30" s="49">
        <v>22000</v>
      </c>
      <c r="F30" s="49">
        <v>29500</v>
      </c>
      <c r="G30" s="61"/>
      <c r="H30" s="49">
        <f>2000+2975+2000+1000+1000+1000+1000+2000+2000+2000+3000+1000+750</f>
        <v>21725</v>
      </c>
      <c r="I30" s="49"/>
      <c r="J30" s="49">
        <f t="shared" si="2"/>
        <v>275</v>
      </c>
      <c r="K30" s="4" t="s">
        <v>831</v>
      </c>
    </row>
    <row r="31" spans="1:11" ht="18" customHeight="1">
      <c r="A31" s="18"/>
      <c r="B31" s="2"/>
      <c r="C31" s="56" t="s">
        <v>76</v>
      </c>
      <c r="D31" s="56" t="s">
        <v>596</v>
      </c>
      <c r="E31" s="25">
        <v>1000</v>
      </c>
      <c r="F31" s="25">
        <v>19000</v>
      </c>
      <c r="G31" s="26"/>
      <c r="H31" s="25">
        <v>1000</v>
      </c>
      <c r="I31" s="25"/>
      <c r="J31" s="25">
        <f t="shared" si="2"/>
        <v>0</v>
      </c>
      <c r="K31" s="4"/>
    </row>
    <row r="32" spans="1:11" ht="18" customHeight="1">
      <c r="A32" s="18"/>
      <c r="B32" s="2"/>
      <c r="C32" s="56"/>
      <c r="D32" s="56" t="s">
        <v>610</v>
      </c>
      <c r="E32" s="25">
        <v>3000</v>
      </c>
      <c r="F32" s="25">
        <v>34500</v>
      </c>
      <c r="G32" s="26"/>
      <c r="H32" s="25">
        <f>2000+1000</f>
        <v>3000</v>
      </c>
      <c r="I32" s="25"/>
      <c r="J32" s="25">
        <f t="shared" si="2"/>
        <v>0</v>
      </c>
      <c r="K32" s="4"/>
    </row>
    <row r="33" spans="1:11" ht="18" customHeight="1">
      <c r="A33" s="18"/>
      <c r="B33" s="2"/>
      <c r="C33" s="56"/>
      <c r="D33" s="56" t="s">
        <v>335</v>
      </c>
      <c r="E33" s="25">
        <v>2000</v>
      </c>
      <c r="F33" s="25">
        <v>26500</v>
      </c>
      <c r="G33" s="26"/>
      <c r="H33" s="25">
        <v>2000</v>
      </c>
      <c r="I33" s="25"/>
      <c r="J33" s="25">
        <f t="shared" si="2"/>
        <v>0</v>
      </c>
      <c r="K33" s="4"/>
    </row>
    <row r="34" spans="1:11" ht="18" customHeight="1">
      <c r="A34" s="18" t="s">
        <v>29</v>
      </c>
      <c r="B34" s="2" t="s">
        <v>180</v>
      </c>
      <c r="C34" s="60" t="s">
        <v>620</v>
      </c>
      <c r="D34" s="60" t="s">
        <v>619</v>
      </c>
      <c r="E34" s="4">
        <f>6000*3</f>
        <v>18000</v>
      </c>
      <c r="F34" s="4">
        <v>34000</v>
      </c>
      <c r="G34" s="21"/>
      <c r="H34" s="36">
        <f>2000+975+1000+1000+2000+3000+2000+1500+2000+2000+500</f>
        <v>17975</v>
      </c>
      <c r="I34" s="4"/>
      <c r="J34" s="4">
        <f t="shared" si="2"/>
        <v>25</v>
      </c>
      <c r="K34" s="4"/>
    </row>
    <row r="35" spans="1:11" ht="18" customHeight="1">
      <c r="A35" s="18"/>
      <c r="B35" s="2"/>
      <c r="C35" s="60"/>
      <c r="D35" s="60" t="s">
        <v>621</v>
      </c>
      <c r="E35" s="4">
        <f>2000*3</f>
        <v>6000</v>
      </c>
      <c r="F35" s="4">
        <v>20300</v>
      </c>
      <c r="G35" s="21"/>
      <c r="H35" s="25">
        <f>1000+1000+500+100+1000+1000+1000+1000</f>
        <v>6600</v>
      </c>
      <c r="I35" s="4"/>
      <c r="J35" s="4">
        <f t="shared" si="2"/>
        <v>-600</v>
      </c>
      <c r="K35" s="4"/>
    </row>
    <row r="36" spans="1:11" ht="18" customHeight="1">
      <c r="A36" s="18"/>
      <c r="B36" s="2"/>
      <c r="C36" s="60"/>
      <c r="D36" s="60" t="s">
        <v>622</v>
      </c>
      <c r="E36" s="4">
        <f>2500*3</f>
        <v>7500</v>
      </c>
      <c r="F36" s="4">
        <v>37000</v>
      </c>
      <c r="G36" s="21"/>
      <c r="H36" s="4">
        <f>300+2000+1000+1000+500+1000+1000+700</f>
        <v>7500</v>
      </c>
      <c r="I36" s="4"/>
      <c r="J36" s="4">
        <f t="shared" si="2"/>
        <v>0</v>
      </c>
      <c r="K36" s="4"/>
    </row>
    <row r="37" spans="1:11" ht="18" customHeight="1">
      <c r="A37" s="18"/>
      <c r="B37" s="2"/>
      <c r="C37" s="60" t="s">
        <v>634</v>
      </c>
      <c r="D37" s="60" t="s">
        <v>303</v>
      </c>
      <c r="E37" s="4">
        <v>20000</v>
      </c>
      <c r="F37" s="4">
        <v>20000</v>
      </c>
      <c r="G37" s="21"/>
      <c r="H37" s="4">
        <f>2000+2000+2000+3000+3500+5000+2500</f>
        <v>20000</v>
      </c>
      <c r="I37" s="4"/>
      <c r="J37" s="4">
        <f t="shared" si="2"/>
        <v>0</v>
      </c>
      <c r="K37" s="4"/>
    </row>
    <row r="38" spans="1:11" ht="18" customHeight="1">
      <c r="A38" s="18"/>
      <c r="B38" s="2"/>
      <c r="C38" s="60" t="s">
        <v>620</v>
      </c>
      <c r="D38" s="60" t="s">
        <v>635</v>
      </c>
      <c r="E38" s="4">
        <f>500*3</f>
        <v>1500</v>
      </c>
      <c r="F38" s="4">
        <v>71000</v>
      </c>
      <c r="G38" s="21"/>
      <c r="H38" s="4">
        <f>500+500+500</f>
        <v>1500</v>
      </c>
      <c r="I38" s="4"/>
      <c r="J38" s="4">
        <f t="shared" si="2"/>
        <v>0</v>
      </c>
      <c r="K38" s="4"/>
    </row>
    <row r="39" spans="1:11" ht="18" customHeight="1">
      <c r="A39" s="18"/>
      <c r="B39" s="2"/>
      <c r="C39" s="60"/>
      <c r="D39" s="60" t="s">
        <v>720</v>
      </c>
      <c r="E39" s="4">
        <v>1000</v>
      </c>
      <c r="F39" s="4">
        <v>59000</v>
      </c>
      <c r="G39" s="21"/>
      <c r="H39" s="4">
        <v>1000</v>
      </c>
      <c r="I39" s="4"/>
      <c r="J39" s="4">
        <f t="shared" si="2"/>
        <v>0</v>
      </c>
      <c r="K39" s="4"/>
    </row>
    <row r="40" spans="1:11" ht="18" customHeight="1">
      <c r="A40" s="18"/>
      <c r="B40" s="2"/>
      <c r="C40" s="60"/>
      <c r="D40" s="60" t="s">
        <v>190</v>
      </c>
      <c r="E40" s="4">
        <v>500</v>
      </c>
      <c r="F40" s="4">
        <v>178000</v>
      </c>
      <c r="G40" s="21"/>
      <c r="H40" s="4">
        <v>500</v>
      </c>
      <c r="I40" s="4"/>
      <c r="J40" s="4">
        <f t="shared" si="2"/>
        <v>0</v>
      </c>
      <c r="K40" s="4"/>
    </row>
    <row r="41" spans="1:11" ht="18" customHeight="1">
      <c r="A41" s="18"/>
      <c r="B41" s="2"/>
      <c r="C41" s="60"/>
      <c r="D41" s="60" t="s">
        <v>720</v>
      </c>
      <c r="E41" s="4">
        <v>3000</v>
      </c>
      <c r="F41" s="4">
        <v>58000</v>
      </c>
      <c r="G41" s="21"/>
      <c r="H41" s="4">
        <f>500+500+2000</f>
        <v>3000</v>
      </c>
      <c r="I41" s="4"/>
      <c r="J41" s="4">
        <f t="shared" si="2"/>
        <v>0</v>
      </c>
      <c r="K41" s="4"/>
    </row>
    <row r="42" spans="1:11" ht="18" customHeight="1">
      <c r="A42" s="18"/>
      <c r="B42" s="2"/>
      <c r="C42" s="60"/>
      <c r="D42" s="60" t="s">
        <v>190</v>
      </c>
      <c r="E42" s="4">
        <v>500</v>
      </c>
      <c r="F42" s="4">
        <v>173000</v>
      </c>
      <c r="G42" s="21"/>
      <c r="H42" s="4">
        <f>200+300</f>
        <v>500</v>
      </c>
      <c r="I42" s="4"/>
      <c r="J42" s="4">
        <f t="shared" si="2"/>
        <v>0</v>
      </c>
      <c r="K42" s="4"/>
    </row>
    <row r="43" spans="1:11" ht="18" customHeight="1">
      <c r="A43" s="18"/>
      <c r="B43" s="2"/>
      <c r="C43" s="60"/>
      <c r="D43" s="60" t="s">
        <v>303</v>
      </c>
      <c r="E43" s="4">
        <v>20000</v>
      </c>
      <c r="F43" s="4">
        <v>19300</v>
      </c>
      <c r="G43" s="21"/>
      <c r="H43" s="4">
        <f>5000+5000+2950+2000+4000+(3000-1950)</f>
        <v>20000</v>
      </c>
      <c r="I43" s="4"/>
      <c r="J43" s="4">
        <f t="shared" si="2"/>
        <v>0</v>
      </c>
      <c r="K43" s="4"/>
    </row>
    <row r="44" spans="1:11" ht="18" customHeight="1">
      <c r="A44" s="18"/>
      <c r="B44" s="2"/>
      <c r="C44" s="60" t="s">
        <v>751</v>
      </c>
      <c r="D44" s="60" t="s">
        <v>596</v>
      </c>
      <c r="E44" s="4">
        <v>15000</v>
      </c>
      <c r="F44" s="4">
        <v>20800</v>
      </c>
      <c r="G44" s="21"/>
      <c r="H44" s="4">
        <f>2000+2000+250+2000+2000+2000+2000+2000+750</f>
        <v>15000</v>
      </c>
      <c r="I44" s="4"/>
      <c r="J44" s="4">
        <f t="shared" si="2"/>
        <v>0</v>
      </c>
      <c r="K44" s="4"/>
    </row>
    <row r="45" spans="1:11" ht="18" customHeight="1">
      <c r="A45" s="18"/>
      <c r="B45" s="2"/>
      <c r="C45" s="60" t="s">
        <v>185</v>
      </c>
      <c r="D45" s="60" t="s">
        <v>720</v>
      </c>
      <c r="E45" s="4">
        <v>15000</v>
      </c>
      <c r="F45" s="4">
        <v>55000</v>
      </c>
      <c r="G45" s="21"/>
      <c r="H45" s="4">
        <f>2000+1500+1000+2000+1000+500+5000</f>
        <v>13000</v>
      </c>
      <c r="I45" s="4"/>
      <c r="J45" s="4">
        <f t="shared" si="2"/>
        <v>2000</v>
      </c>
      <c r="K45" s="4"/>
    </row>
    <row r="46" spans="1:11" ht="18" customHeight="1">
      <c r="A46" s="18"/>
      <c r="B46" s="2"/>
      <c r="C46" s="60" t="s">
        <v>186</v>
      </c>
      <c r="D46" s="60" t="s">
        <v>758</v>
      </c>
      <c r="E46" s="4">
        <v>20000</v>
      </c>
      <c r="F46" s="4">
        <v>33000</v>
      </c>
      <c r="G46" s="21"/>
      <c r="H46" s="4">
        <f>1000+3000+500+7000+1000</f>
        <v>12500</v>
      </c>
      <c r="I46" s="4"/>
      <c r="J46" s="4">
        <f t="shared" si="2"/>
        <v>7500</v>
      </c>
      <c r="K46" s="4"/>
    </row>
    <row r="47" spans="1:11" ht="18" customHeight="1">
      <c r="A47" s="18"/>
      <c r="B47" s="2"/>
      <c r="C47" s="60" t="s">
        <v>186</v>
      </c>
      <c r="D47" s="60" t="s">
        <v>759</v>
      </c>
      <c r="E47" s="4">
        <v>10000</v>
      </c>
      <c r="F47" s="4">
        <v>35500</v>
      </c>
      <c r="G47" s="21"/>
      <c r="H47" s="4">
        <f>300+5000</f>
        <v>5300</v>
      </c>
      <c r="I47" s="4"/>
      <c r="J47" s="4">
        <f t="shared" si="2"/>
        <v>4700</v>
      </c>
      <c r="K47" s="4"/>
    </row>
    <row r="48" spans="1:11" ht="18" customHeight="1">
      <c r="A48" s="18"/>
      <c r="B48" s="2"/>
      <c r="C48" s="60" t="s">
        <v>186</v>
      </c>
      <c r="D48" s="64" t="s">
        <v>303</v>
      </c>
      <c r="E48" s="68">
        <v>45000</v>
      </c>
      <c r="F48" s="68">
        <v>19000</v>
      </c>
      <c r="G48" s="110"/>
      <c r="H48" s="68">
        <f>1950+2500+3000+2000+3000+2000+3000+1500+4000+4000+2975+3525</f>
        <v>33450</v>
      </c>
      <c r="I48" s="68"/>
      <c r="J48" s="68">
        <f t="shared" si="2"/>
        <v>11550</v>
      </c>
      <c r="K48" s="4"/>
    </row>
    <row r="49" spans="1:11" ht="18" customHeight="1">
      <c r="A49" s="18"/>
      <c r="B49" s="2"/>
      <c r="C49" s="111" t="s">
        <v>821</v>
      </c>
      <c r="D49" s="111" t="s">
        <v>335</v>
      </c>
      <c r="E49" s="234">
        <f>6000*4</f>
        <v>24000</v>
      </c>
      <c r="F49" s="234">
        <v>21000</v>
      </c>
      <c r="G49" s="21"/>
      <c r="H49" s="4">
        <f>1000+2500+2000+2000+3000+2000+2000</f>
        <v>14500</v>
      </c>
      <c r="I49" s="4"/>
      <c r="J49" s="4">
        <f t="shared" si="2"/>
        <v>9500</v>
      </c>
      <c r="K49" s="4"/>
    </row>
    <row r="50" spans="1:11" ht="18" customHeight="1">
      <c r="A50" s="18"/>
      <c r="B50" s="2"/>
      <c r="C50" s="60"/>
      <c r="D50" s="60"/>
      <c r="E50" s="4"/>
      <c r="F50" s="4"/>
      <c r="G50" s="21"/>
      <c r="H50" s="4"/>
      <c r="I50" s="4"/>
      <c r="J50" s="4">
        <f t="shared" si="2"/>
        <v>0</v>
      </c>
      <c r="K50" s="4"/>
    </row>
    <row r="51" spans="1:11" ht="18" customHeight="1">
      <c r="A51" s="18"/>
      <c r="B51" s="2"/>
      <c r="C51" s="60"/>
      <c r="D51" s="60"/>
      <c r="E51" s="4"/>
      <c r="F51" s="4"/>
      <c r="G51" s="21"/>
      <c r="H51" s="4"/>
      <c r="I51" s="4"/>
      <c r="J51" s="4">
        <f t="shared" si="2"/>
        <v>0</v>
      </c>
      <c r="K51" s="4"/>
    </row>
    <row r="52" spans="1:11" ht="18" customHeight="1">
      <c r="A52" s="18"/>
      <c r="B52" s="2"/>
      <c r="C52" s="60"/>
      <c r="D52" s="60"/>
      <c r="E52" s="4"/>
      <c r="F52" s="4"/>
      <c r="G52" s="21"/>
      <c r="H52" s="4"/>
      <c r="I52" s="4"/>
      <c r="J52" s="4">
        <f t="shared" si="2"/>
        <v>0</v>
      </c>
      <c r="K52" s="4"/>
    </row>
    <row r="53" spans="1:11" s="15" customFormat="1" ht="18" customHeight="1">
      <c r="A53" s="291" t="s">
        <v>15</v>
      </c>
      <c r="B53" s="292"/>
      <c r="C53" s="13"/>
      <c r="D53" s="13"/>
      <c r="E53" s="14"/>
      <c r="F53" s="14"/>
      <c r="G53" s="22"/>
      <c r="H53" s="14">
        <f>SUM(H11:H52)</f>
        <v>376250</v>
      </c>
      <c r="I53" s="14">
        <f t="shared" ref="I53:J53" si="4">SUM(I11:I52)</f>
        <v>0</v>
      </c>
      <c r="J53" s="14">
        <f t="shared" si="4"/>
        <v>44550</v>
      </c>
      <c r="K53" s="14"/>
    </row>
    <row r="54" spans="1:11" ht="18" customHeight="1">
      <c r="A54" s="18" t="s">
        <v>13</v>
      </c>
      <c r="B54" s="60" t="s">
        <v>180</v>
      </c>
      <c r="C54" s="60"/>
      <c r="D54" s="60" t="s">
        <v>176</v>
      </c>
      <c r="E54" s="49">
        <v>100000</v>
      </c>
      <c r="F54" s="49">
        <v>4770</v>
      </c>
      <c r="G54" s="61"/>
      <c r="H54" s="49"/>
      <c r="I54" s="49"/>
      <c r="J54" s="49"/>
      <c r="K54" s="4"/>
    </row>
    <row r="55" spans="1:11" ht="18" customHeight="1">
      <c r="A55" s="18"/>
      <c r="B55" s="2"/>
      <c r="C55" s="2"/>
      <c r="D55" s="2"/>
      <c r="E55" s="4"/>
      <c r="F55" s="4"/>
      <c r="G55" s="40" t="s">
        <v>430</v>
      </c>
      <c r="H55" s="4">
        <v>28180</v>
      </c>
      <c r="I55" s="4">
        <v>4770</v>
      </c>
      <c r="J55" s="49">
        <f>+E54-H55</f>
        <v>71820</v>
      </c>
      <c r="K55" s="4"/>
    </row>
    <row r="56" spans="1:11" ht="18" customHeight="1">
      <c r="A56" s="18"/>
      <c r="B56" s="2"/>
      <c r="C56" s="2"/>
      <c r="D56" s="2"/>
      <c r="E56" s="4"/>
      <c r="F56" s="4"/>
      <c r="G56" s="40" t="s">
        <v>430</v>
      </c>
      <c r="H56" s="4">
        <v>28040</v>
      </c>
      <c r="I56" s="4"/>
      <c r="J56" s="49">
        <f>J55-H56</f>
        <v>43780</v>
      </c>
      <c r="K56" s="4"/>
    </row>
    <row r="57" spans="1:11" ht="18" customHeight="1">
      <c r="A57" s="18"/>
      <c r="B57" s="2"/>
      <c r="C57" s="2"/>
      <c r="D57" s="2"/>
      <c r="E57" s="4"/>
      <c r="F57" s="4"/>
      <c r="G57" s="40" t="s">
        <v>434</v>
      </c>
      <c r="H57" s="4">
        <v>8355</v>
      </c>
      <c r="I57" s="4"/>
      <c r="J57" s="49">
        <f t="shared" ref="J57:J58" si="5">J56-H57</f>
        <v>35425</v>
      </c>
      <c r="K57" s="4"/>
    </row>
    <row r="58" spans="1:11" ht="18" customHeight="1">
      <c r="A58" s="18"/>
      <c r="B58" s="2"/>
      <c r="C58" s="2"/>
      <c r="D58" s="2"/>
      <c r="E58" s="4"/>
      <c r="F58" s="4"/>
      <c r="G58" s="40" t="s">
        <v>435</v>
      </c>
      <c r="H58" s="4">
        <v>28450</v>
      </c>
      <c r="I58" s="4"/>
      <c r="J58" s="49">
        <f t="shared" si="5"/>
        <v>6975</v>
      </c>
      <c r="K58" s="4"/>
    </row>
    <row r="59" spans="1:11" ht="18" customHeight="1">
      <c r="A59" s="14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61"/>
      <c r="H60" s="49"/>
      <c r="I60" s="49"/>
      <c r="J60" s="49"/>
      <c r="K60" s="49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9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9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9"/>
      <c r="K63" s="4"/>
    </row>
    <row r="64" spans="1:11" ht="18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customHeight="1">
      <c r="A65" s="18"/>
      <c r="B65" s="2"/>
      <c r="C65" s="2"/>
      <c r="D65" s="2"/>
      <c r="E65" s="4"/>
      <c r="F65" s="4"/>
      <c r="G65" s="21"/>
      <c r="H65" s="4"/>
      <c r="I65" s="4"/>
      <c r="J65" s="4"/>
      <c r="K65" s="4"/>
    </row>
    <row r="66" spans="1:11" ht="18" customHeight="1">
      <c r="A66" s="55"/>
      <c r="B66" s="56"/>
      <c r="C66" s="56"/>
      <c r="D66" s="56"/>
      <c r="E66" s="57"/>
      <c r="F66" s="57"/>
      <c r="G66" s="58"/>
      <c r="H66" s="57">
        <f>SUM(H61:H65)</f>
        <v>0</v>
      </c>
      <c r="I66" s="57"/>
      <c r="J66" s="57"/>
      <c r="K66" s="57"/>
    </row>
    <row r="67" spans="1:11" ht="18" customHeight="1">
      <c r="A67" s="18"/>
      <c r="B67" s="2"/>
      <c r="C67" s="2"/>
      <c r="D67" s="2"/>
      <c r="E67" s="4"/>
      <c r="F67" s="4"/>
      <c r="G67" s="21"/>
      <c r="H67" s="4"/>
      <c r="I67" s="4"/>
      <c r="J67" s="4"/>
      <c r="K67" s="4"/>
    </row>
    <row r="68" spans="1:11" ht="18" customHeight="1">
      <c r="A68" s="18"/>
      <c r="B68" s="2"/>
      <c r="C68" s="2"/>
      <c r="D68" s="2"/>
      <c r="E68" s="4"/>
      <c r="F68" s="4"/>
      <c r="G68" s="21"/>
      <c r="H68" s="4"/>
      <c r="I68" s="4"/>
      <c r="J68" s="4"/>
      <c r="K68" s="4"/>
    </row>
    <row r="69" spans="1:11" ht="18" customHeight="1">
      <c r="A69" s="18"/>
      <c r="B69" s="2"/>
      <c r="C69" s="2"/>
      <c r="D69" s="2"/>
      <c r="E69" s="4"/>
      <c r="F69" s="4"/>
      <c r="G69" s="21"/>
      <c r="H69" s="4"/>
      <c r="I69" s="4"/>
      <c r="J69" s="4"/>
      <c r="K69" s="4"/>
    </row>
    <row r="70" spans="1:11" ht="18" customHeight="1">
      <c r="A70" s="18"/>
      <c r="B70" s="2"/>
      <c r="C70" s="2"/>
      <c r="D70" s="2"/>
      <c r="E70" s="4"/>
      <c r="F70" s="4"/>
      <c r="G70" s="21"/>
      <c r="H70" s="4"/>
      <c r="I70" s="4"/>
      <c r="J70" s="4"/>
      <c r="K70" s="4"/>
    </row>
    <row r="71" spans="1:11" ht="18" customHeight="1">
      <c r="A71" s="18"/>
      <c r="B71" s="2"/>
      <c r="C71" s="2"/>
      <c r="D71" s="2"/>
      <c r="E71" s="4"/>
      <c r="F71" s="4"/>
      <c r="G71" s="21"/>
      <c r="H71" s="4"/>
      <c r="I71" s="4"/>
      <c r="J71" s="4"/>
      <c r="K71" s="4"/>
    </row>
    <row r="72" spans="1:11" ht="18" customHeight="1">
      <c r="A72" s="18"/>
      <c r="B72" s="2"/>
      <c r="C72" s="2"/>
      <c r="D72" s="2"/>
      <c r="E72" s="4"/>
      <c r="F72" s="4"/>
      <c r="G72" s="21"/>
      <c r="H72" s="4"/>
      <c r="I72" s="4"/>
      <c r="J72" s="4"/>
      <c r="K72" s="4"/>
    </row>
    <row r="73" spans="1:11" ht="18" customHeight="1">
      <c r="A73" s="18"/>
      <c r="B73" s="2"/>
      <c r="C73" s="2"/>
      <c r="D73" s="2"/>
      <c r="E73" s="4"/>
      <c r="F73" s="4"/>
      <c r="G73" s="21"/>
      <c r="H73" s="4"/>
      <c r="I73" s="4"/>
      <c r="J73" s="4"/>
      <c r="K73" s="4"/>
    </row>
    <row r="74" spans="1:11" ht="18" customHeight="1">
      <c r="A74" s="18"/>
      <c r="B74" s="2"/>
      <c r="C74" s="2"/>
      <c r="D74" s="2"/>
      <c r="E74" s="4"/>
      <c r="F74" s="4"/>
      <c r="G74" s="21"/>
      <c r="H74" s="4"/>
      <c r="I74" s="4"/>
      <c r="J74" s="4"/>
      <c r="K74" s="4"/>
    </row>
    <row r="75" spans="1:11" ht="18" customHeight="1">
      <c r="A75" s="18"/>
      <c r="B75" s="2"/>
      <c r="C75" s="2"/>
      <c r="D75" s="2"/>
      <c r="E75" s="4"/>
      <c r="F75" s="4"/>
      <c r="G75" s="21"/>
      <c r="H75" s="4"/>
      <c r="I75" s="4"/>
      <c r="J75" s="4"/>
      <c r="K75" s="4"/>
    </row>
    <row r="76" spans="1:11" ht="18" customHeight="1">
      <c r="A76" s="18"/>
      <c r="B76" s="2"/>
      <c r="C76" s="2"/>
      <c r="D76" s="2"/>
      <c r="E76" s="4"/>
      <c r="F76" s="4"/>
      <c r="G76" s="21"/>
      <c r="H76" s="4"/>
      <c r="I76" s="4"/>
      <c r="J76" s="4"/>
      <c r="K76" s="4"/>
    </row>
    <row r="77" spans="1:11" ht="18" customHeight="1">
      <c r="A77" s="18"/>
      <c r="B77" s="2"/>
      <c r="C77" s="2"/>
      <c r="D77" s="2"/>
      <c r="E77" s="4"/>
      <c r="F77" s="4"/>
      <c r="G77" s="21"/>
      <c r="H77" s="4"/>
      <c r="I77" s="4"/>
      <c r="J77" s="4"/>
      <c r="K77" s="4"/>
    </row>
    <row r="78" spans="1:11" ht="18" customHeight="1">
      <c r="A78" s="18"/>
      <c r="B78" s="2"/>
      <c r="C78" s="2"/>
      <c r="D78" s="2"/>
      <c r="E78" s="4"/>
      <c r="F78" s="4"/>
      <c r="G78" s="21"/>
      <c r="H78" s="4"/>
      <c r="I78" s="4"/>
      <c r="J78" s="4"/>
      <c r="K78" s="4"/>
    </row>
    <row r="79" spans="1:11" ht="18" customHeight="1">
      <c r="A79" s="18"/>
      <c r="B79" s="2"/>
      <c r="C79" s="2"/>
      <c r="D79" s="2"/>
      <c r="E79" s="4"/>
      <c r="F79" s="4"/>
      <c r="G79" s="21"/>
      <c r="H79" s="4"/>
      <c r="I79" s="4"/>
      <c r="J79" s="4"/>
      <c r="K79" s="4"/>
    </row>
    <row r="80" spans="1:11" ht="18" customHeight="1">
      <c r="A80" s="18"/>
      <c r="B80" s="2"/>
      <c r="C80" s="2"/>
      <c r="D80" s="2"/>
      <c r="E80" s="4"/>
      <c r="F80" s="4"/>
      <c r="G80" s="21"/>
      <c r="H80" s="4"/>
      <c r="I80" s="4"/>
      <c r="J80" s="4"/>
      <c r="K80" s="4"/>
    </row>
    <row r="81" spans="1:11" ht="18" customHeight="1">
      <c r="A81" s="18"/>
      <c r="B81" s="2"/>
      <c r="C81" s="2"/>
      <c r="D81" s="2"/>
      <c r="E81" s="4"/>
      <c r="F81" s="4"/>
      <c r="G81" s="21"/>
      <c r="H81" s="4"/>
      <c r="I81" s="4"/>
      <c r="J81" s="4"/>
      <c r="K81" s="4"/>
    </row>
    <row r="82" spans="1:11" ht="18" customHeight="1">
      <c r="A82" s="18"/>
      <c r="B82" s="2"/>
      <c r="C82" s="2"/>
      <c r="D82" s="2"/>
      <c r="E82" s="4"/>
      <c r="F82" s="4"/>
      <c r="G82" s="21"/>
      <c r="H82" s="4"/>
      <c r="I82" s="4"/>
      <c r="J82" s="4"/>
      <c r="K82" s="4"/>
    </row>
    <row r="83" spans="1:11" ht="18" customHeight="1">
      <c r="A83" s="18"/>
      <c r="B83" s="2"/>
      <c r="C83" s="2"/>
      <c r="D83" s="2"/>
      <c r="E83" s="4"/>
      <c r="F83" s="4"/>
      <c r="G83" s="21"/>
      <c r="H83" s="4"/>
      <c r="I83" s="4"/>
      <c r="J83" s="4"/>
      <c r="K83" s="4"/>
    </row>
    <row r="84" spans="1:11" ht="18" customHeight="1">
      <c r="A84" s="18"/>
      <c r="B84" s="2"/>
      <c r="C84" s="2"/>
      <c r="D84" s="2"/>
      <c r="E84" s="4"/>
      <c r="F84" s="4"/>
      <c r="G84" s="21"/>
      <c r="H84" s="4"/>
      <c r="I84" s="4"/>
      <c r="J84" s="4"/>
      <c r="K84" s="4"/>
    </row>
    <row r="85" spans="1:11" ht="18" customHeight="1">
      <c r="A85" s="18"/>
      <c r="B85" s="2"/>
      <c r="C85" s="2"/>
      <c r="D85" s="2"/>
      <c r="E85" s="4"/>
      <c r="F85" s="4"/>
      <c r="G85" s="21"/>
      <c r="H85" s="4"/>
      <c r="I85" s="4"/>
      <c r="J85" s="4"/>
      <c r="K85" s="4"/>
    </row>
    <row r="86" spans="1:11" ht="18" customHeight="1">
      <c r="A86" s="18"/>
      <c r="B86" s="2"/>
      <c r="C86" s="2"/>
      <c r="D86" s="2"/>
      <c r="E86" s="4"/>
      <c r="F86" s="4"/>
      <c r="G86" s="21"/>
      <c r="H86" s="4"/>
      <c r="I86" s="4"/>
      <c r="J86" s="4"/>
      <c r="K86" s="4"/>
    </row>
    <row r="87" spans="1:11" ht="18" customHeight="1">
      <c r="A87" s="18"/>
      <c r="B87" s="2"/>
      <c r="C87" s="2"/>
      <c r="D87" s="2"/>
      <c r="E87" s="4"/>
      <c r="F87" s="4"/>
      <c r="G87" s="21"/>
      <c r="H87" s="4"/>
      <c r="I87" s="4"/>
      <c r="J87" s="4"/>
      <c r="K87" s="4"/>
    </row>
    <row r="88" spans="1:11" ht="18" customHeight="1">
      <c r="A88" s="18"/>
      <c r="B88" s="2"/>
      <c r="C88" s="2"/>
      <c r="D88" s="2"/>
      <c r="E88" s="4"/>
      <c r="F88" s="4"/>
      <c r="G88" s="21"/>
      <c r="H88" s="4"/>
      <c r="I88" s="4"/>
      <c r="J88" s="4"/>
      <c r="K88" s="4"/>
    </row>
    <row r="89" spans="1:11" ht="18" customHeight="1">
      <c r="A89" s="18"/>
      <c r="B89" s="2"/>
      <c r="C89" s="2"/>
      <c r="D89" s="2"/>
      <c r="E89" s="4"/>
      <c r="F89" s="4"/>
      <c r="G89" s="21"/>
      <c r="H89" s="4"/>
      <c r="I89" s="4"/>
      <c r="J89" s="4"/>
      <c r="K89" s="4"/>
    </row>
    <row r="90" spans="1:11" ht="18" customHeight="1">
      <c r="A90" s="18"/>
      <c r="B90" s="2"/>
      <c r="C90" s="2"/>
      <c r="D90" s="2"/>
      <c r="E90" s="4"/>
      <c r="F90" s="4"/>
      <c r="G90" s="21"/>
      <c r="H90" s="4"/>
      <c r="I90" s="4"/>
      <c r="J90" s="4"/>
      <c r="K90" s="4"/>
    </row>
    <row r="91" spans="1:11" ht="18" customHeight="1">
      <c r="A91" s="18"/>
      <c r="B91" s="2"/>
      <c r="C91" s="2"/>
      <c r="D91" s="2"/>
      <c r="E91" s="4"/>
      <c r="F91" s="4"/>
      <c r="G91" s="21"/>
      <c r="H91" s="4"/>
      <c r="I91" s="4"/>
      <c r="J91" s="4"/>
      <c r="K91" s="4"/>
    </row>
    <row r="92" spans="1:11" ht="18" customHeight="1">
      <c r="A92" s="18"/>
      <c r="B92" s="2"/>
      <c r="C92" s="2"/>
      <c r="D92" s="2"/>
      <c r="E92" s="4"/>
      <c r="F92" s="4"/>
      <c r="G92" s="21"/>
      <c r="H92" s="4"/>
      <c r="I92" s="4"/>
      <c r="J92" s="4"/>
      <c r="K92" s="4"/>
    </row>
    <row r="93" spans="1:11" ht="18" customHeight="1">
      <c r="A93" s="18"/>
      <c r="B93" s="2"/>
      <c r="C93" s="2"/>
      <c r="D93" s="2"/>
      <c r="E93" s="4"/>
      <c r="F93" s="4"/>
      <c r="G93" s="21"/>
      <c r="H93" s="4"/>
      <c r="I93" s="4"/>
      <c r="J93" s="4"/>
      <c r="K93" s="4"/>
    </row>
    <row r="94" spans="1:11" ht="18" customHeight="1">
      <c r="A94" s="18"/>
      <c r="B94" s="2"/>
      <c r="C94" s="2"/>
      <c r="D94" s="2"/>
      <c r="E94" s="4"/>
      <c r="F94" s="4"/>
      <c r="G94" s="21"/>
      <c r="H94" s="4"/>
      <c r="I94" s="4"/>
      <c r="J94" s="4"/>
      <c r="K94" s="4"/>
    </row>
    <row r="95" spans="1:11" ht="18" customHeight="1">
      <c r="A95" s="18"/>
      <c r="B95" s="2"/>
      <c r="C95" s="2"/>
      <c r="D95" s="2"/>
      <c r="E95" s="4"/>
      <c r="F95" s="4"/>
      <c r="G95" s="21"/>
      <c r="H95" s="4"/>
      <c r="I95" s="4"/>
      <c r="J95" s="4"/>
      <c r="K95" s="4"/>
    </row>
    <row r="96" spans="1:11" ht="18" customHeight="1">
      <c r="A96" s="18"/>
      <c r="B96" s="2"/>
      <c r="C96" s="2"/>
      <c r="D96" s="2"/>
      <c r="E96" s="4"/>
      <c r="F96" s="4"/>
      <c r="G96" s="21"/>
      <c r="H96" s="4"/>
      <c r="I96" s="4"/>
      <c r="J96" s="4"/>
      <c r="K96" s="4"/>
    </row>
    <row r="97" spans="1:11" ht="18" customHeight="1">
      <c r="A97" s="18"/>
      <c r="B97" s="2"/>
      <c r="C97" s="2"/>
      <c r="D97" s="2"/>
      <c r="E97" s="4"/>
      <c r="F97" s="4"/>
      <c r="G97" s="21"/>
      <c r="H97" s="4"/>
      <c r="I97" s="4"/>
      <c r="J97" s="4"/>
      <c r="K97" s="4"/>
    </row>
    <row r="98" spans="1:11" ht="18" customHeight="1">
      <c r="A98" s="281" t="s">
        <v>0</v>
      </c>
      <c r="B98" s="282"/>
      <c r="C98" s="94"/>
      <c r="D98" s="94"/>
      <c r="E98" s="5">
        <f>SUM(E6:E97)</f>
        <v>520800</v>
      </c>
      <c r="F98" s="5">
        <f>SUM(F6:F97)</f>
        <v>2027870</v>
      </c>
      <c r="G98" s="23"/>
      <c r="H98" s="5">
        <f>SUM(H6:H97)</f>
        <v>845525</v>
      </c>
      <c r="I98" s="5">
        <f>SUM(I6:I97)</f>
        <v>4770</v>
      </c>
      <c r="J98" s="5"/>
      <c r="K98" s="5"/>
    </row>
    <row r="99" spans="1:11" s="6" customFormat="1" ht="24.75" customHeight="1">
      <c r="A99" s="16"/>
      <c r="B99" s="1"/>
      <c r="C99" s="1"/>
      <c r="D99" s="1"/>
      <c r="E99" s="3"/>
      <c r="F99" s="3"/>
      <c r="G99" s="19"/>
      <c r="H99" s="3"/>
      <c r="I99" s="3"/>
      <c r="J99" s="3"/>
      <c r="K99" s="3"/>
    </row>
    <row r="100" spans="1:11">
      <c r="F100" s="270" t="s">
        <v>1</v>
      </c>
      <c r="G100" s="270"/>
      <c r="H100" s="270"/>
      <c r="I100" s="270"/>
      <c r="J100" s="1"/>
      <c r="K100" s="8"/>
    </row>
    <row r="103" spans="1:11">
      <c r="F103" s="271"/>
      <c r="G103" s="271"/>
      <c r="H103" s="271"/>
      <c r="I103" s="271"/>
      <c r="J103" s="1"/>
      <c r="K103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53:B53"/>
    <mergeCell ref="A98:B98"/>
    <mergeCell ref="F100:I100"/>
    <mergeCell ref="F103:I103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7"/>
  <sheetViews>
    <sheetView workbookViewId="0">
      <pane xSplit="5" ySplit="5" topLeftCell="F12" activePane="bottomRight" state="frozen"/>
      <selection pane="topRight" activeCell="D1" sqref="D1"/>
      <selection pane="bottomLeft" activeCell="A7" sqref="A7"/>
      <selection pane="bottomRight" activeCell="I9" sqref="I9"/>
    </sheetView>
  </sheetViews>
  <sheetFormatPr defaultRowHeight="15"/>
  <cols>
    <col min="1" max="1" width="6.28515625" style="1" customWidth="1"/>
    <col min="2" max="2" width="24.85546875" style="1" customWidth="1"/>
    <col min="3" max="3" width="12.7109375" style="1" customWidth="1"/>
    <col min="4" max="4" width="20" style="1" customWidth="1"/>
    <col min="5" max="10" width="14.28515625" style="3" customWidth="1"/>
    <col min="11" max="11" width="21.28515625" style="1" customWidth="1"/>
    <col min="12" max="16384" width="9.140625" style="1"/>
  </cols>
  <sheetData>
    <row r="1" spans="1:11" ht="34.5" customHeight="1">
      <c r="A1" s="274" t="s">
        <v>16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11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528</v>
      </c>
      <c r="D4" s="276" t="s">
        <v>8</v>
      </c>
      <c r="E4" s="278" t="s">
        <v>4</v>
      </c>
      <c r="F4" s="278"/>
      <c r="G4" s="278" t="s">
        <v>6</v>
      </c>
      <c r="H4" s="278"/>
      <c r="I4" s="279" t="s">
        <v>7</v>
      </c>
      <c r="J4" s="280"/>
      <c r="K4" s="272" t="s">
        <v>494</v>
      </c>
    </row>
    <row r="5" spans="1:11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12" t="s">
        <v>9</v>
      </c>
      <c r="H5" s="12" t="s">
        <v>5</v>
      </c>
      <c r="I5" s="12" t="s">
        <v>9</v>
      </c>
      <c r="J5" s="12" t="s">
        <v>5</v>
      </c>
      <c r="K5" s="273"/>
    </row>
    <row r="6" spans="1:11" ht="18" customHeight="1">
      <c r="A6" s="60" t="s">
        <v>13</v>
      </c>
      <c r="B6" s="60" t="s">
        <v>477</v>
      </c>
      <c r="C6" s="2" t="s">
        <v>478</v>
      </c>
      <c r="D6" s="2" t="s">
        <v>157</v>
      </c>
      <c r="E6" s="4">
        <f>'Tân Long'!E132</f>
        <v>66000</v>
      </c>
      <c r="F6" s="4">
        <f>'Tân Long'!F132</f>
        <v>6050</v>
      </c>
      <c r="G6" s="4">
        <f>'Tân Long'!H135</f>
        <v>67720</v>
      </c>
      <c r="H6" s="4"/>
      <c r="I6" s="4">
        <f>G6-E6</f>
        <v>1720</v>
      </c>
      <c r="J6" s="283" t="s">
        <v>524</v>
      </c>
      <c r="K6" s="2" t="s">
        <v>463</v>
      </c>
    </row>
    <row r="7" spans="1:11" ht="18" customHeight="1">
      <c r="A7" s="2"/>
      <c r="B7" s="2"/>
      <c r="C7" s="2" t="s">
        <v>479</v>
      </c>
      <c r="D7" s="2" t="s">
        <v>157</v>
      </c>
      <c r="E7" s="4">
        <f>'Tân Long'!E137</f>
        <v>65000</v>
      </c>
      <c r="F7" s="4">
        <f>'Tân Long'!F137</f>
        <v>6900</v>
      </c>
      <c r="G7" s="4">
        <f>'Tân Long'!H140</f>
        <v>66068</v>
      </c>
      <c r="H7" s="4"/>
      <c r="I7" s="4">
        <f t="shared" ref="I7:I117" si="0">G7-E7</f>
        <v>1068</v>
      </c>
      <c r="J7" s="284"/>
      <c r="K7" s="2"/>
    </row>
    <row r="8" spans="1:11" ht="18" customHeight="1">
      <c r="A8" s="2"/>
      <c r="B8" s="2"/>
      <c r="C8" s="2" t="s">
        <v>480</v>
      </c>
      <c r="D8" s="2" t="s">
        <v>157</v>
      </c>
      <c r="E8" s="4">
        <f>'Tân Long'!E141</f>
        <v>65000</v>
      </c>
      <c r="F8" s="4">
        <f>'Tân Long'!F141</f>
        <v>6950</v>
      </c>
      <c r="G8" s="4">
        <f>'Tân Long'!H144</f>
        <v>63510</v>
      </c>
      <c r="H8" s="4"/>
      <c r="I8" s="4">
        <f t="shared" si="0"/>
        <v>-1490</v>
      </c>
      <c r="J8" s="285"/>
      <c r="K8" s="2"/>
    </row>
    <row r="9" spans="1:11" ht="18" customHeight="1">
      <c r="A9" s="2"/>
      <c r="B9" s="2"/>
      <c r="C9" s="2" t="s">
        <v>569</v>
      </c>
      <c r="D9" s="2" t="s">
        <v>157</v>
      </c>
      <c r="E9" s="4">
        <v>600000</v>
      </c>
      <c r="F9" s="4">
        <v>8100</v>
      </c>
      <c r="G9" s="4">
        <f>'Tân Long'!H169</f>
        <v>574180</v>
      </c>
      <c r="H9" s="4"/>
      <c r="I9" s="4">
        <f t="shared" si="0"/>
        <v>-25820</v>
      </c>
      <c r="J9" s="4"/>
      <c r="K9" s="2"/>
    </row>
    <row r="10" spans="1:11" ht="18" customHeight="1">
      <c r="A10" s="2" t="s">
        <v>29</v>
      </c>
      <c r="B10" s="2"/>
      <c r="C10" s="2" t="s">
        <v>726</v>
      </c>
      <c r="D10" s="2" t="s">
        <v>20</v>
      </c>
      <c r="E10" s="4">
        <v>100000</v>
      </c>
      <c r="F10" s="4">
        <v>7500</v>
      </c>
      <c r="G10" s="4">
        <f>'Tân Long'!H175</f>
        <v>101450</v>
      </c>
      <c r="H10" s="4"/>
      <c r="I10" s="4">
        <f t="shared" si="0"/>
        <v>1450</v>
      </c>
      <c r="J10" s="4"/>
      <c r="K10" s="2"/>
    </row>
    <row r="11" spans="1:11" ht="18" customHeight="1">
      <c r="A11" s="2"/>
      <c r="B11" s="2"/>
      <c r="C11" s="2"/>
      <c r="D11" s="2"/>
      <c r="E11" s="4"/>
      <c r="F11" s="4"/>
      <c r="G11" s="4"/>
      <c r="H11" s="4"/>
      <c r="I11" s="4">
        <f t="shared" si="0"/>
        <v>0</v>
      </c>
      <c r="J11" s="4"/>
      <c r="K11" s="2"/>
    </row>
    <row r="12" spans="1:11" ht="18" customHeight="1">
      <c r="A12" s="2"/>
      <c r="B12" s="2"/>
      <c r="C12" s="2"/>
      <c r="D12" s="2"/>
      <c r="E12" s="4"/>
      <c r="F12" s="4"/>
      <c r="G12" s="4"/>
      <c r="H12" s="4"/>
      <c r="I12" s="4">
        <f t="shared" si="0"/>
        <v>0</v>
      </c>
      <c r="J12" s="4"/>
      <c r="K12" s="2"/>
    </row>
    <row r="13" spans="1:11" ht="18" customHeight="1">
      <c r="A13" s="2"/>
      <c r="B13" s="2"/>
      <c r="C13" s="2"/>
      <c r="D13" s="2"/>
      <c r="E13" s="4"/>
      <c r="F13" s="4"/>
      <c r="G13" s="4"/>
      <c r="H13" s="4"/>
      <c r="I13" s="4">
        <f t="shared" si="0"/>
        <v>0</v>
      </c>
      <c r="J13" s="4"/>
      <c r="K13" s="2"/>
    </row>
    <row r="14" spans="1:11" ht="18" customHeight="1">
      <c r="A14" s="177"/>
      <c r="B14" s="177" t="s">
        <v>510</v>
      </c>
      <c r="C14" s="177"/>
      <c r="D14" s="177"/>
      <c r="E14" s="178">
        <f>SUM(E6:E13)</f>
        <v>896000</v>
      </c>
      <c r="F14" s="178"/>
      <c r="G14" s="178">
        <f t="shared" ref="G14:H14" si="1">SUM(G6:G13)</f>
        <v>872928</v>
      </c>
      <c r="H14" s="178">
        <f t="shared" si="1"/>
        <v>0</v>
      </c>
      <c r="I14" s="178"/>
      <c r="J14" s="178"/>
      <c r="K14" s="177"/>
    </row>
    <row r="15" spans="1:11" ht="18" customHeight="1">
      <c r="A15" s="60" t="s">
        <v>13</v>
      </c>
      <c r="B15" s="60" t="s">
        <v>481</v>
      </c>
      <c r="C15" s="2" t="s">
        <v>480</v>
      </c>
      <c r="D15" s="2" t="s">
        <v>268</v>
      </c>
      <c r="E15" s="4">
        <v>55000</v>
      </c>
      <c r="F15" s="4">
        <v>5800</v>
      </c>
      <c r="G15" s="4">
        <f>'Khai Minh'!H111+'Khai Minh'!H112</f>
        <v>53345</v>
      </c>
      <c r="H15" s="4"/>
      <c r="I15" s="4">
        <f t="shared" si="0"/>
        <v>-1655</v>
      </c>
      <c r="J15" s="283" t="s">
        <v>524</v>
      </c>
      <c r="K15" s="2" t="s">
        <v>495</v>
      </c>
    </row>
    <row r="16" spans="1:11" ht="18" customHeight="1">
      <c r="A16" s="2"/>
      <c r="B16" s="2"/>
      <c r="C16" s="2" t="s">
        <v>482</v>
      </c>
      <c r="D16" s="2" t="s">
        <v>268</v>
      </c>
      <c r="E16" s="4">
        <v>56000</v>
      </c>
      <c r="F16" s="4">
        <v>6200</v>
      </c>
      <c r="G16" s="4">
        <f>'Khai Minh'!H114+'Khai Minh'!H115</f>
        <v>47700</v>
      </c>
      <c r="H16" s="4"/>
      <c r="I16" s="4">
        <f t="shared" si="0"/>
        <v>-8300</v>
      </c>
      <c r="J16" s="285"/>
      <c r="K16" s="2"/>
    </row>
    <row r="17" spans="1:11" ht="18" customHeight="1">
      <c r="A17" s="2"/>
      <c r="B17" s="2"/>
      <c r="C17" s="2" t="s">
        <v>76</v>
      </c>
      <c r="D17" s="2" t="s">
        <v>20</v>
      </c>
      <c r="E17" s="4">
        <v>200000</v>
      </c>
      <c r="F17" s="4">
        <v>7550</v>
      </c>
      <c r="G17" s="4">
        <f>'Khai Minh'!H134</f>
        <v>190020</v>
      </c>
      <c r="H17" s="4"/>
      <c r="I17" s="4">
        <f t="shared" si="0"/>
        <v>-9980</v>
      </c>
      <c r="J17" s="4"/>
      <c r="K17" s="2"/>
    </row>
    <row r="18" spans="1:11" ht="18" customHeight="1">
      <c r="A18" s="2"/>
      <c r="B18" s="2"/>
      <c r="C18" s="2" t="s">
        <v>76</v>
      </c>
      <c r="D18" s="2" t="s">
        <v>647</v>
      </c>
      <c r="E18" s="4">
        <v>30000</v>
      </c>
      <c r="F18" s="4">
        <v>6400</v>
      </c>
      <c r="G18" s="4">
        <f>'Khai Minh'!H136</f>
        <v>30040</v>
      </c>
      <c r="H18" s="4"/>
      <c r="I18" s="4">
        <f t="shared" si="0"/>
        <v>40</v>
      </c>
      <c r="J18" s="4"/>
      <c r="K18" s="2"/>
    </row>
    <row r="19" spans="1:11" ht="18" customHeight="1">
      <c r="A19" s="2"/>
      <c r="B19" s="2"/>
      <c r="C19" s="2" t="s">
        <v>732</v>
      </c>
      <c r="D19" s="2" t="s">
        <v>132</v>
      </c>
      <c r="E19" s="4">
        <v>100000</v>
      </c>
      <c r="F19" s="4">
        <v>6500</v>
      </c>
      <c r="G19" s="4">
        <f>'Khai Minh'!H145</f>
        <v>87780</v>
      </c>
      <c r="H19" s="4"/>
      <c r="I19" s="4">
        <f t="shared" si="0"/>
        <v>-12220</v>
      </c>
      <c r="J19" s="4"/>
      <c r="K19" s="2"/>
    </row>
    <row r="20" spans="1:11" ht="18" customHeight="1">
      <c r="A20" s="2"/>
      <c r="B20" s="2"/>
      <c r="C20" s="2"/>
      <c r="D20" s="2"/>
      <c r="E20" s="4"/>
      <c r="F20" s="4"/>
      <c r="G20" s="4"/>
      <c r="H20" s="4"/>
      <c r="I20" s="4">
        <f t="shared" si="0"/>
        <v>0</v>
      </c>
      <c r="J20" s="4"/>
      <c r="K20" s="2"/>
    </row>
    <row r="21" spans="1:11" ht="18" customHeight="1">
      <c r="A21" s="2"/>
      <c r="B21" s="2"/>
      <c r="C21" s="2"/>
      <c r="D21" s="2"/>
      <c r="E21" s="4"/>
      <c r="F21" s="4"/>
      <c r="G21" s="4"/>
      <c r="H21" s="4"/>
      <c r="I21" s="4">
        <f t="shared" si="0"/>
        <v>0</v>
      </c>
      <c r="J21" s="4"/>
      <c r="K21" s="2"/>
    </row>
    <row r="22" spans="1:11" ht="18" customHeight="1">
      <c r="A22" s="177"/>
      <c r="B22" s="177" t="s">
        <v>511</v>
      </c>
      <c r="C22" s="177"/>
      <c r="D22" s="177"/>
      <c r="E22" s="178"/>
      <c r="F22" s="178"/>
      <c r="G22" s="178"/>
      <c r="H22" s="178"/>
      <c r="I22" s="178"/>
      <c r="J22" s="178"/>
      <c r="K22" s="177"/>
    </row>
    <row r="23" spans="1:11" ht="18" customHeight="1">
      <c r="A23" s="64" t="s">
        <v>13</v>
      </c>
      <c r="B23" s="64" t="s">
        <v>668</v>
      </c>
      <c r="C23" s="64" t="s">
        <v>669</v>
      </c>
      <c r="D23" s="64" t="s">
        <v>28</v>
      </c>
      <c r="E23" s="65">
        <v>230000</v>
      </c>
      <c r="F23" s="65">
        <v>11600</v>
      </c>
      <c r="G23" s="65">
        <f>'HÀ Thị'!H133</f>
        <v>239560</v>
      </c>
      <c r="H23" s="65"/>
      <c r="I23" s="65"/>
      <c r="J23" s="199"/>
      <c r="K23" s="64"/>
    </row>
    <row r="24" spans="1:11" ht="18" customHeight="1">
      <c r="A24" s="196"/>
      <c r="B24" s="196"/>
      <c r="C24" s="196"/>
      <c r="D24" s="196"/>
      <c r="E24" s="197"/>
      <c r="F24" s="197"/>
      <c r="G24" s="197"/>
      <c r="H24" s="197"/>
      <c r="I24" s="197"/>
      <c r="J24" s="198"/>
      <c r="K24" s="196"/>
    </row>
    <row r="25" spans="1:11" ht="18" customHeight="1">
      <c r="A25" s="196"/>
      <c r="B25" s="196"/>
      <c r="C25" s="196"/>
      <c r="D25" s="196"/>
      <c r="E25" s="197"/>
      <c r="F25" s="197"/>
      <c r="G25" s="197"/>
      <c r="H25" s="197"/>
      <c r="I25" s="197"/>
      <c r="J25" s="198"/>
      <c r="K25" s="196"/>
    </row>
    <row r="26" spans="1:11" ht="18" customHeight="1">
      <c r="A26" s="196"/>
      <c r="B26" s="196"/>
      <c r="C26" s="196"/>
      <c r="D26" s="196"/>
      <c r="E26" s="197"/>
      <c r="F26" s="197"/>
      <c r="G26" s="197"/>
      <c r="H26" s="197"/>
      <c r="I26" s="197"/>
      <c r="J26" s="198"/>
      <c r="K26" s="196"/>
    </row>
    <row r="27" spans="1:11" ht="18" customHeight="1">
      <c r="A27" s="177"/>
      <c r="B27" s="177" t="s">
        <v>670</v>
      </c>
      <c r="C27" s="177"/>
      <c r="D27" s="177"/>
      <c r="E27" s="178">
        <f>SUM(E23:E26)</f>
        <v>230000</v>
      </c>
      <c r="F27" s="178"/>
      <c r="G27" s="178">
        <f t="shared" ref="G27:I27" si="2">SUM(G23:G26)</f>
        <v>239560</v>
      </c>
      <c r="H27" s="178"/>
      <c r="I27" s="178">
        <f t="shared" si="2"/>
        <v>0</v>
      </c>
      <c r="J27" s="178"/>
      <c r="K27" s="177"/>
    </row>
    <row r="28" spans="1:11" ht="18" customHeight="1">
      <c r="A28" s="60" t="s">
        <v>13</v>
      </c>
      <c r="B28" s="60" t="s">
        <v>483</v>
      </c>
      <c r="C28" s="2" t="s">
        <v>485</v>
      </c>
      <c r="D28" s="2" t="s">
        <v>34</v>
      </c>
      <c r="E28" s="4">
        <v>200000</v>
      </c>
      <c r="F28" s="4">
        <v>6500</v>
      </c>
      <c r="G28" s="4">
        <f>'Tùng Lâm'!H67</f>
        <v>217270</v>
      </c>
      <c r="H28" s="4"/>
      <c r="I28" s="4">
        <f t="shared" si="0"/>
        <v>17270</v>
      </c>
      <c r="J28" s="286" t="s">
        <v>524</v>
      </c>
      <c r="K28" s="2" t="s">
        <v>496</v>
      </c>
    </row>
    <row r="29" spans="1:11" ht="18" customHeight="1">
      <c r="A29" s="60"/>
      <c r="B29" s="60"/>
      <c r="C29" s="2" t="s">
        <v>482</v>
      </c>
      <c r="D29" s="2" t="s">
        <v>34</v>
      </c>
      <c r="E29" s="4">
        <v>55000</v>
      </c>
      <c r="F29" s="4">
        <v>8300</v>
      </c>
      <c r="G29" s="4">
        <f>'Tùng Lâm'!H81</f>
        <v>51730</v>
      </c>
      <c r="H29" s="4"/>
      <c r="I29" s="4">
        <f t="shared" si="0"/>
        <v>-3270</v>
      </c>
      <c r="J29" s="287"/>
      <c r="K29" s="2"/>
    </row>
    <row r="30" spans="1:11" ht="18" customHeight="1">
      <c r="A30" s="60"/>
      <c r="B30" s="60"/>
      <c r="C30" s="2" t="s">
        <v>76</v>
      </c>
      <c r="D30" s="2" t="s">
        <v>34</v>
      </c>
      <c r="E30" s="4">
        <v>250000</v>
      </c>
      <c r="F30" s="4">
        <v>7000</v>
      </c>
      <c r="G30" s="4">
        <f>'Tùng Lâm'!H91</f>
        <v>80880</v>
      </c>
      <c r="H30" s="4"/>
      <c r="I30" s="4">
        <f t="shared" si="0"/>
        <v>-169120</v>
      </c>
      <c r="J30" s="4"/>
      <c r="K30" s="2"/>
    </row>
    <row r="31" spans="1:11" ht="18" customHeight="1">
      <c r="A31" s="60"/>
      <c r="B31" s="60"/>
      <c r="C31" s="2"/>
      <c r="D31" s="2"/>
      <c r="E31" s="4"/>
      <c r="F31" s="4"/>
      <c r="G31" s="4"/>
      <c r="H31" s="4"/>
      <c r="I31" s="4">
        <f t="shared" si="0"/>
        <v>0</v>
      </c>
      <c r="J31" s="4"/>
      <c r="K31" s="2"/>
    </row>
    <row r="32" spans="1:11" ht="18" customHeight="1">
      <c r="A32" s="2"/>
      <c r="B32" s="2"/>
      <c r="C32" s="2"/>
      <c r="D32" s="2"/>
      <c r="E32" s="4"/>
      <c r="F32" s="4"/>
      <c r="G32" s="4"/>
      <c r="H32" s="4"/>
      <c r="I32" s="4">
        <f t="shared" si="0"/>
        <v>0</v>
      </c>
      <c r="J32" s="4"/>
      <c r="K32" s="2"/>
    </row>
    <row r="33" spans="1:11" ht="18" customHeight="1">
      <c r="A33" s="177"/>
      <c r="B33" s="177" t="s">
        <v>512</v>
      </c>
      <c r="C33" s="177"/>
      <c r="D33" s="177"/>
      <c r="E33" s="178">
        <f>SUM(E28:E32)</f>
        <v>505000</v>
      </c>
      <c r="F33" s="178"/>
      <c r="G33" s="178">
        <f t="shared" ref="G33:I33" si="3">SUM(G28:G32)</f>
        <v>349880</v>
      </c>
      <c r="H33" s="178">
        <f t="shared" si="3"/>
        <v>0</v>
      </c>
      <c r="I33" s="178">
        <f t="shared" si="3"/>
        <v>-155120</v>
      </c>
      <c r="J33" s="178"/>
      <c r="K33" s="177"/>
    </row>
    <row r="34" spans="1:11" ht="18" customHeight="1">
      <c r="A34" s="60" t="s">
        <v>13</v>
      </c>
      <c r="B34" s="60" t="s">
        <v>486</v>
      </c>
      <c r="C34" s="2" t="s">
        <v>487</v>
      </c>
      <c r="D34" s="2" t="s">
        <v>488</v>
      </c>
      <c r="E34" s="4">
        <v>300000</v>
      </c>
      <c r="F34" s="4">
        <v>12000</v>
      </c>
      <c r="G34" s="4">
        <f>'Tedeco- Agrimax'!H42</f>
        <v>296035</v>
      </c>
      <c r="H34" s="4"/>
      <c r="I34" s="4">
        <f t="shared" si="0"/>
        <v>-3965</v>
      </c>
      <c r="J34" s="4" t="s">
        <v>524</v>
      </c>
      <c r="K34" s="2" t="s">
        <v>497</v>
      </c>
    </row>
    <row r="35" spans="1:11" ht="18" customHeight="1">
      <c r="A35" s="2"/>
      <c r="B35" s="2"/>
      <c r="C35" s="2" t="s">
        <v>677</v>
      </c>
      <c r="D35" s="2" t="s">
        <v>488</v>
      </c>
      <c r="E35" s="4">
        <v>40000</v>
      </c>
      <c r="F35" s="4">
        <v>13000</v>
      </c>
      <c r="G35" s="4">
        <f>'Tedeco- Agrimax'!H44</f>
        <v>41985</v>
      </c>
      <c r="H35" s="4"/>
      <c r="I35" s="4">
        <f t="shared" si="0"/>
        <v>1985</v>
      </c>
      <c r="J35" s="4" t="s">
        <v>524</v>
      </c>
      <c r="K35" s="2"/>
    </row>
    <row r="36" spans="1:11" ht="18" customHeight="1">
      <c r="A36" s="2"/>
      <c r="B36" s="2"/>
      <c r="C36" s="2"/>
      <c r="D36" s="2"/>
      <c r="E36" s="4"/>
      <c r="F36" s="4"/>
      <c r="G36" s="4"/>
      <c r="H36" s="4"/>
      <c r="I36" s="4">
        <f t="shared" si="0"/>
        <v>0</v>
      </c>
      <c r="J36" s="4"/>
      <c r="K36" s="2"/>
    </row>
    <row r="37" spans="1:11" ht="18" customHeight="1">
      <c r="A37" s="177"/>
      <c r="B37" s="177" t="s">
        <v>513</v>
      </c>
      <c r="C37" s="177"/>
      <c r="D37" s="177"/>
      <c r="E37" s="178">
        <f>SUM(E34:E36)</f>
        <v>340000</v>
      </c>
      <c r="F37" s="178"/>
      <c r="G37" s="178">
        <f t="shared" ref="G37:I37" si="4">SUM(G34:G36)</f>
        <v>338020</v>
      </c>
      <c r="H37" s="178">
        <f t="shared" si="4"/>
        <v>0</v>
      </c>
      <c r="I37" s="178">
        <f t="shared" si="4"/>
        <v>-1980</v>
      </c>
      <c r="J37" s="178"/>
      <c r="K37" s="177"/>
    </row>
    <row r="38" spans="1:11" ht="18" customHeight="1">
      <c r="A38" s="60" t="s">
        <v>13</v>
      </c>
      <c r="B38" s="60" t="s">
        <v>225</v>
      </c>
      <c r="C38" s="2" t="s">
        <v>482</v>
      </c>
      <c r="D38" s="2" t="s">
        <v>465</v>
      </c>
      <c r="E38" s="4">
        <f>'Phuc hưng'!E150</f>
        <v>450000</v>
      </c>
      <c r="F38" s="4">
        <v>7530</v>
      </c>
      <c r="G38" s="4">
        <f>'Phuc hưng'!H166</f>
        <v>449168</v>
      </c>
      <c r="H38" s="4"/>
      <c r="I38" s="4">
        <f t="shared" si="0"/>
        <v>-832</v>
      </c>
      <c r="J38" s="4"/>
      <c r="K38" s="2" t="s">
        <v>497</v>
      </c>
    </row>
    <row r="39" spans="1:11" ht="18" customHeight="1">
      <c r="A39" s="2"/>
      <c r="B39" s="2" t="s">
        <v>570</v>
      </c>
      <c r="C39" s="2" t="s">
        <v>76</v>
      </c>
      <c r="D39" s="2" t="s">
        <v>465</v>
      </c>
      <c r="E39" s="4">
        <f>200000-20000</f>
        <v>180000</v>
      </c>
      <c r="F39" s="4">
        <v>7600</v>
      </c>
      <c r="G39" s="4">
        <f>'Phuc hưng'!H174</f>
        <v>167990</v>
      </c>
      <c r="H39" s="4"/>
      <c r="I39" s="4">
        <f t="shared" si="0"/>
        <v>-12010</v>
      </c>
      <c r="J39" s="4"/>
      <c r="K39" s="2"/>
    </row>
    <row r="40" spans="1:11" ht="18" customHeight="1">
      <c r="A40" s="2"/>
      <c r="B40" s="2"/>
      <c r="C40" s="2" t="s">
        <v>76</v>
      </c>
      <c r="D40" s="2" t="s">
        <v>268</v>
      </c>
      <c r="E40" s="4">
        <v>170000</v>
      </c>
      <c r="F40" s="4">
        <v>6180</v>
      </c>
      <c r="G40" s="4">
        <f>'Phuc hưng'!H185</f>
        <v>30830</v>
      </c>
      <c r="H40" s="4"/>
      <c r="I40" s="4">
        <f t="shared" si="0"/>
        <v>-139170</v>
      </c>
      <c r="J40" s="4"/>
      <c r="K40" s="2"/>
    </row>
    <row r="41" spans="1:11" ht="18" customHeight="1">
      <c r="A41" s="2"/>
      <c r="B41" s="2"/>
      <c r="C41" s="2" t="s">
        <v>76</v>
      </c>
      <c r="D41" s="2" t="s">
        <v>34</v>
      </c>
      <c r="E41" s="4">
        <v>60000</v>
      </c>
      <c r="F41" s="4">
        <v>9050</v>
      </c>
      <c r="G41" s="4">
        <f>'Phuc hưng'!H189</f>
        <v>52110</v>
      </c>
      <c r="H41" s="4"/>
      <c r="I41" s="4">
        <f t="shared" si="0"/>
        <v>-7890</v>
      </c>
      <c r="J41" s="4"/>
      <c r="K41" s="2"/>
    </row>
    <row r="42" spans="1:11" ht="18" customHeight="1">
      <c r="A42" s="2"/>
      <c r="B42" s="2"/>
      <c r="C42" s="2"/>
      <c r="D42" s="2"/>
      <c r="E42" s="4"/>
      <c r="F42" s="4"/>
      <c r="G42" s="4"/>
      <c r="H42" s="4"/>
      <c r="I42" s="4">
        <f t="shared" si="0"/>
        <v>0</v>
      </c>
      <c r="J42" s="4"/>
      <c r="K42" s="2"/>
    </row>
    <row r="43" spans="1:11" ht="18" customHeight="1">
      <c r="A43" s="60" t="s">
        <v>29</v>
      </c>
      <c r="B43" s="60" t="s">
        <v>225</v>
      </c>
      <c r="C43" s="2" t="s">
        <v>669</v>
      </c>
      <c r="D43" s="2" t="s">
        <v>34</v>
      </c>
      <c r="E43" s="4">
        <v>130000</v>
      </c>
      <c r="F43" s="4">
        <v>8500</v>
      </c>
      <c r="G43" s="4">
        <f>'Phuc hưng'!H197</f>
        <v>153560</v>
      </c>
      <c r="H43" s="4"/>
      <c r="I43" s="4">
        <f t="shared" si="0"/>
        <v>23560</v>
      </c>
      <c r="J43" s="4"/>
      <c r="K43" s="2"/>
    </row>
    <row r="44" spans="1:11" ht="18" customHeight="1">
      <c r="A44" s="2"/>
      <c r="B44" s="2"/>
      <c r="C44" s="2"/>
      <c r="D44" s="2"/>
      <c r="E44" s="4"/>
      <c r="F44" s="4"/>
      <c r="G44" s="4"/>
      <c r="H44" s="4"/>
      <c r="I44" s="4">
        <f t="shared" si="0"/>
        <v>0</v>
      </c>
      <c r="J44" s="4"/>
      <c r="K44" s="2"/>
    </row>
    <row r="45" spans="1:11" ht="18" customHeight="1">
      <c r="A45" s="177"/>
      <c r="B45" s="177" t="s">
        <v>514</v>
      </c>
      <c r="C45" s="177"/>
      <c r="D45" s="177"/>
      <c r="E45" s="178">
        <f>SUM(E38:E44)</f>
        <v>990000</v>
      </c>
      <c r="F45" s="178"/>
      <c r="G45" s="178">
        <f t="shared" ref="G45:I45" si="5">SUM(G38:G44)</f>
        <v>853658</v>
      </c>
      <c r="H45" s="178">
        <f t="shared" si="5"/>
        <v>0</v>
      </c>
      <c r="I45" s="178">
        <f t="shared" si="5"/>
        <v>-136342</v>
      </c>
      <c r="J45" s="178"/>
      <c r="K45" s="177"/>
    </row>
    <row r="46" spans="1:11" s="136" customFormat="1" ht="18" customHeight="1">
      <c r="A46" s="130" t="s">
        <v>13</v>
      </c>
      <c r="B46" s="130" t="s">
        <v>671</v>
      </c>
      <c r="C46" s="130" t="s">
        <v>710</v>
      </c>
      <c r="D46" s="130" t="s">
        <v>229</v>
      </c>
      <c r="E46" s="68">
        <v>30000</v>
      </c>
      <c r="F46" s="68">
        <v>4700</v>
      </c>
      <c r="G46" s="68">
        <f>'Minh Việt'!H21</f>
        <v>33660</v>
      </c>
      <c r="H46" s="68"/>
      <c r="I46" s="68">
        <f>E46-G46</f>
        <v>-3660</v>
      </c>
      <c r="J46" s="68"/>
      <c r="K46" s="130" t="s">
        <v>733</v>
      </c>
    </row>
    <row r="47" spans="1:11" s="136" customFormat="1" ht="18" customHeight="1">
      <c r="A47" s="130"/>
      <c r="B47" s="130"/>
      <c r="C47" s="130" t="s">
        <v>711</v>
      </c>
      <c r="D47" s="130" t="s">
        <v>34</v>
      </c>
      <c r="E47" s="68">
        <v>50000</v>
      </c>
      <c r="F47" s="68">
        <v>8830</v>
      </c>
      <c r="G47" s="68">
        <f>'Minh Việt'!H28</f>
        <v>46670</v>
      </c>
      <c r="H47" s="68"/>
      <c r="I47" s="68">
        <f>E47-G47</f>
        <v>3330</v>
      </c>
      <c r="J47" s="68"/>
      <c r="K47" s="130" t="s">
        <v>733</v>
      </c>
    </row>
    <row r="48" spans="1:11" s="136" customFormat="1" ht="18" customHeight="1">
      <c r="A48" s="130"/>
      <c r="B48" s="130"/>
      <c r="C48" s="130"/>
      <c r="D48" s="130"/>
      <c r="E48" s="68"/>
      <c r="F48" s="68"/>
      <c r="G48" s="68"/>
      <c r="H48" s="68"/>
      <c r="I48" s="68"/>
      <c r="J48" s="68"/>
      <c r="K48" s="130"/>
    </row>
    <row r="49" spans="1:11" s="136" customFormat="1" ht="18" customHeight="1">
      <c r="A49" s="175"/>
      <c r="B49" s="175"/>
      <c r="C49" s="175"/>
      <c r="D49" s="175"/>
      <c r="E49" s="176"/>
      <c r="F49" s="176"/>
      <c r="G49" s="176"/>
      <c r="H49" s="176"/>
      <c r="I49" s="176"/>
      <c r="J49" s="176"/>
      <c r="K49" s="175"/>
    </row>
    <row r="50" spans="1:11" ht="18" customHeight="1">
      <c r="A50" s="60" t="s">
        <v>13</v>
      </c>
      <c r="B50" s="60" t="s">
        <v>489</v>
      </c>
      <c r="C50" s="2" t="s">
        <v>484</v>
      </c>
      <c r="D50" s="2" t="s">
        <v>37</v>
      </c>
      <c r="E50" s="4">
        <f>'HUNG GIA NAM GIA CÔNG'!E48</f>
        <v>200000</v>
      </c>
      <c r="F50" s="4">
        <v>8570</v>
      </c>
      <c r="G50" s="4">
        <f>'HUNG GIA NAM GIA CÔNG'!H66</f>
        <v>112058</v>
      </c>
      <c r="H50" s="4"/>
      <c r="I50" s="4">
        <f t="shared" si="0"/>
        <v>-87942</v>
      </c>
      <c r="J50" s="4"/>
      <c r="K50" s="2" t="s">
        <v>495</v>
      </c>
    </row>
    <row r="51" spans="1:11" ht="18" customHeight="1">
      <c r="A51" s="60" t="s">
        <v>29</v>
      </c>
      <c r="B51" s="60" t="s">
        <v>489</v>
      </c>
      <c r="C51" s="2" t="s">
        <v>482</v>
      </c>
      <c r="D51" s="2" t="s">
        <v>490</v>
      </c>
      <c r="E51" s="4">
        <v>120000</v>
      </c>
      <c r="F51" s="4">
        <v>8700</v>
      </c>
      <c r="G51" s="4">
        <f>'HUNG GIA NAM GIA CÔNG'!H86</f>
        <v>114580</v>
      </c>
      <c r="H51" s="4"/>
      <c r="I51" s="4">
        <f t="shared" si="0"/>
        <v>-5420</v>
      </c>
      <c r="J51" s="4" t="s">
        <v>524</v>
      </c>
      <c r="K51" s="2" t="s">
        <v>623</v>
      </c>
    </row>
    <row r="52" spans="1:11" ht="18" customHeight="1">
      <c r="A52" s="2"/>
      <c r="B52" s="2"/>
      <c r="C52" s="2"/>
      <c r="D52" s="2"/>
      <c r="E52" s="4"/>
      <c r="F52" s="4"/>
      <c r="G52" s="4"/>
      <c r="H52" s="4"/>
      <c r="I52" s="4">
        <f t="shared" si="0"/>
        <v>0</v>
      </c>
      <c r="J52" s="4"/>
      <c r="K52" s="2"/>
    </row>
    <row r="53" spans="1:11" ht="18" customHeight="1">
      <c r="A53" s="177"/>
      <c r="B53" s="177" t="s">
        <v>515</v>
      </c>
      <c r="C53" s="177"/>
      <c r="D53" s="177"/>
      <c r="E53" s="178">
        <f>SUM(E50:E52)</f>
        <v>320000</v>
      </c>
      <c r="F53" s="178"/>
      <c r="G53" s="178">
        <f t="shared" ref="G53:I53" si="6">SUM(G50:G52)</f>
        <v>226638</v>
      </c>
      <c r="H53" s="178"/>
      <c r="I53" s="178">
        <f t="shared" si="6"/>
        <v>-93362</v>
      </c>
      <c r="J53" s="178"/>
      <c r="K53" s="177"/>
    </row>
    <row r="54" spans="1:11" ht="18" customHeight="1">
      <c r="A54" s="130" t="s">
        <v>13</v>
      </c>
      <c r="B54" s="130" t="s">
        <v>671</v>
      </c>
      <c r="C54" s="130"/>
      <c r="D54" s="130" t="s">
        <v>660</v>
      </c>
      <c r="E54" s="68">
        <v>30000</v>
      </c>
      <c r="F54" s="68">
        <v>4700</v>
      </c>
      <c r="G54" s="68">
        <f>'Minh Việt'!H21</f>
        <v>33660</v>
      </c>
      <c r="H54" s="68"/>
      <c r="I54" s="68"/>
      <c r="J54" s="201"/>
      <c r="K54" s="130" t="s">
        <v>495</v>
      </c>
    </row>
    <row r="55" spans="1:11" ht="18" customHeight="1">
      <c r="A55" s="130"/>
      <c r="B55" s="130" t="s">
        <v>672</v>
      </c>
      <c r="C55" s="130"/>
      <c r="D55" s="130"/>
      <c r="E55" s="68"/>
      <c r="F55" s="68"/>
      <c r="G55" s="68"/>
      <c r="H55" s="68"/>
      <c r="I55" s="68"/>
      <c r="J55" s="201"/>
      <c r="K55" s="130"/>
    </row>
    <row r="56" spans="1:11" ht="18" customHeight="1">
      <c r="A56" s="130"/>
      <c r="B56" s="130"/>
      <c r="C56" s="130"/>
      <c r="D56" s="130"/>
      <c r="E56" s="68"/>
      <c r="F56" s="68"/>
      <c r="G56" s="68"/>
      <c r="H56" s="68"/>
      <c r="I56" s="68"/>
      <c r="J56" s="201"/>
      <c r="K56" s="130"/>
    </row>
    <row r="57" spans="1:11" ht="18" customHeight="1">
      <c r="A57" s="130"/>
      <c r="B57" s="130"/>
      <c r="C57" s="130"/>
      <c r="D57" s="130"/>
      <c r="E57" s="68"/>
      <c r="F57" s="68"/>
      <c r="G57" s="68"/>
      <c r="H57" s="68"/>
      <c r="I57" s="68"/>
      <c r="J57" s="201"/>
      <c r="K57" s="130"/>
    </row>
    <row r="58" spans="1:11" ht="18" customHeight="1">
      <c r="A58" s="177"/>
      <c r="B58" s="177"/>
      <c r="C58" s="177"/>
      <c r="D58" s="177"/>
      <c r="E58" s="178"/>
      <c r="F58" s="178"/>
      <c r="G58" s="178"/>
      <c r="H58" s="178"/>
      <c r="I58" s="178"/>
      <c r="J58" s="200"/>
      <c r="K58" s="177"/>
    </row>
    <row r="59" spans="1:11" ht="18" customHeight="1">
      <c r="A59" s="60" t="s">
        <v>13</v>
      </c>
      <c r="B59" s="60" t="s">
        <v>491</v>
      </c>
      <c r="C59" s="2" t="s">
        <v>485</v>
      </c>
      <c r="D59" s="2" t="s">
        <v>176</v>
      </c>
      <c r="E59" s="4">
        <f>'Việt Nam Ấn Độ'!E22</f>
        <v>171000</v>
      </c>
      <c r="F59" s="4">
        <v>4350</v>
      </c>
      <c r="G59" s="4">
        <f>'Việt Nam Ấn Độ'!H30</f>
        <v>168923</v>
      </c>
      <c r="H59" s="4"/>
      <c r="I59" s="4">
        <f t="shared" si="0"/>
        <v>-2077</v>
      </c>
      <c r="J59" s="286" t="s">
        <v>524</v>
      </c>
      <c r="K59" s="2" t="s">
        <v>495</v>
      </c>
    </row>
    <row r="60" spans="1:11" ht="18" customHeight="1">
      <c r="A60" s="60"/>
      <c r="B60" s="60"/>
      <c r="C60" s="7" t="s">
        <v>579</v>
      </c>
      <c r="D60" s="2" t="s">
        <v>578</v>
      </c>
      <c r="E60" s="4">
        <v>25000</v>
      </c>
      <c r="F60" s="4">
        <v>5950</v>
      </c>
      <c r="G60" s="4">
        <f>'Việt Nam Ấn Độ'!H32</f>
        <v>24120</v>
      </c>
      <c r="H60" s="4"/>
      <c r="I60" s="4">
        <f t="shared" si="0"/>
        <v>-880</v>
      </c>
      <c r="J60" s="287"/>
      <c r="K60" s="2"/>
    </row>
    <row r="61" spans="1:11" ht="18" customHeight="1">
      <c r="A61" s="60"/>
      <c r="B61" s="60"/>
      <c r="C61" s="2"/>
      <c r="D61" s="2"/>
      <c r="E61" s="4"/>
      <c r="F61" s="4"/>
      <c r="G61" s="4"/>
      <c r="H61" s="4"/>
      <c r="I61" s="4">
        <f t="shared" si="0"/>
        <v>0</v>
      </c>
      <c r="J61" s="4"/>
      <c r="K61" s="2"/>
    </row>
    <row r="62" spans="1:11" ht="18" customHeight="1">
      <c r="A62" s="2"/>
      <c r="B62" s="2"/>
      <c r="C62" s="2"/>
      <c r="D62" s="2"/>
      <c r="E62" s="4"/>
      <c r="F62" s="4"/>
      <c r="G62" s="4"/>
      <c r="H62" s="4"/>
      <c r="I62" s="4">
        <f t="shared" si="0"/>
        <v>0</v>
      </c>
      <c r="J62" s="4"/>
      <c r="K62" s="2"/>
    </row>
    <row r="63" spans="1:11" ht="18" customHeight="1">
      <c r="A63" s="177"/>
      <c r="B63" s="177" t="s">
        <v>516</v>
      </c>
      <c r="C63" s="177"/>
      <c r="D63" s="177"/>
      <c r="E63" s="178">
        <f>SUM(E59:E62)</f>
        <v>196000</v>
      </c>
      <c r="F63" s="178"/>
      <c r="G63" s="178">
        <f t="shared" ref="G63" si="7">SUM(G59:G62)</f>
        <v>193043</v>
      </c>
      <c r="H63" s="178"/>
      <c r="I63" s="178">
        <f t="shared" ref="I63" si="8">SUM(I59:I62)</f>
        <v>-2957</v>
      </c>
      <c r="J63" s="178"/>
      <c r="K63" s="177"/>
    </row>
    <row r="64" spans="1:11" ht="18" customHeight="1">
      <c r="A64" s="130"/>
      <c r="B64" s="130"/>
      <c r="C64" s="130"/>
      <c r="D64" s="130"/>
      <c r="E64" s="68"/>
      <c r="F64" s="68"/>
      <c r="G64" s="68"/>
      <c r="H64" s="68"/>
      <c r="I64" s="68"/>
      <c r="J64" s="68"/>
      <c r="K64" s="130"/>
    </row>
    <row r="65" spans="1:11" ht="18" customHeight="1">
      <c r="A65" s="130"/>
      <c r="B65" s="130"/>
      <c r="C65" s="130"/>
      <c r="D65" s="130"/>
      <c r="E65" s="68"/>
      <c r="F65" s="68"/>
      <c r="G65" s="68"/>
      <c r="H65" s="68"/>
      <c r="I65" s="68"/>
      <c r="J65" s="68"/>
      <c r="K65" s="130"/>
    </row>
    <row r="66" spans="1:11" ht="18" customHeight="1">
      <c r="A66" s="130"/>
      <c r="B66" s="130"/>
      <c r="C66" s="130"/>
      <c r="D66" s="130"/>
      <c r="E66" s="68"/>
      <c r="F66" s="68"/>
      <c r="G66" s="68"/>
      <c r="H66" s="68"/>
      <c r="I66" s="68"/>
      <c r="J66" s="68"/>
      <c r="K66" s="130"/>
    </row>
    <row r="67" spans="1:11" ht="18" customHeight="1">
      <c r="A67" s="130"/>
      <c r="B67" s="130"/>
      <c r="C67" s="130"/>
      <c r="D67" s="130"/>
      <c r="E67" s="68"/>
      <c r="F67" s="68"/>
      <c r="G67" s="68"/>
      <c r="H67" s="68"/>
      <c r="I67" s="68"/>
      <c r="J67" s="68"/>
      <c r="K67" s="130"/>
    </row>
    <row r="68" spans="1:11" ht="18" customHeight="1">
      <c r="A68" s="177"/>
      <c r="B68" s="177" t="s">
        <v>674</v>
      </c>
      <c r="C68" s="177"/>
      <c r="D68" s="177"/>
      <c r="E68" s="178"/>
      <c r="F68" s="178"/>
      <c r="G68" s="178"/>
      <c r="H68" s="178"/>
      <c r="I68" s="178"/>
      <c r="J68" s="178"/>
      <c r="K68" s="177"/>
    </row>
    <row r="69" spans="1:11" ht="18" customHeight="1">
      <c r="A69" s="60" t="s">
        <v>13</v>
      </c>
      <c r="B69" s="60" t="s">
        <v>492</v>
      </c>
      <c r="C69" s="2" t="s">
        <v>76</v>
      </c>
      <c r="D69" s="2" t="s">
        <v>493</v>
      </c>
      <c r="E69" s="4">
        <v>300000</v>
      </c>
      <c r="F69" s="4">
        <v>7550</v>
      </c>
      <c r="G69" s="4">
        <f>'Tân Quang Minh'!H66</f>
        <v>196370</v>
      </c>
      <c r="H69" s="4"/>
      <c r="I69" s="4">
        <f t="shared" si="0"/>
        <v>-103630</v>
      </c>
      <c r="J69" s="4" t="s">
        <v>524</v>
      </c>
      <c r="K69" s="2" t="s">
        <v>496</v>
      </c>
    </row>
    <row r="70" spans="1:11" ht="18" customHeight="1">
      <c r="A70" s="60" t="s">
        <v>29</v>
      </c>
      <c r="B70" s="60" t="s">
        <v>654</v>
      </c>
      <c r="C70" s="2" t="s">
        <v>677</v>
      </c>
      <c r="D70" s="2" t="s">
        <v>708</v>
      </c>
      <c r="E70" s="4">
        <v>200000</v>
      </c>
      <c r="F70" s="4">
        <v>7200</v>
      </c>
      <c r="G70" s="4">
        <f>'Tân Quang Minh'!H66</f>
        <v>196370</v>
      </c>
      <c r="H70" s="4"/>
      <c r="I70" s="4"/>
      <c r="J70" s="4"/>
      <c r="K70" s="2" t="s">
        <v>662</v>
      </c>
    </row>
    <row r="71" spans="1:11" ht="18" customHeight="1">
      <c r="A71" s="60" t="s">
        <v>29</v>
      </c>
      <c r="B71" s="60" t="s">
        <v>654</v>
      </c>
      <c r="C71" s="2" t="s">
        <v>677</v>
      </c>
      <c r="D71" s="2" t="s">
        <v>82</v>
      </c>
      <c r="E71" s="4">
        <v>120000</v>
      </c>
      <c r="F71" s="4">
        <v>6450</v>
      </c>
      <c r="G71" s="4">
        <f>'Tân Quang Minh'!H71</f>
        <v>117830</v>
      </c>
      <c r="H71" s="4"/>
      <c r="I71" s="4"/>
      <c r="J71" s="4"/>
      <c r="K71" s="2" t="s">
        <v>662</v>
      </c>
    </row>
    <row r="72" spans="1:11" ht="18" customHeight="1">
      <c r="A72" s="60" t="s">
        <v>729</v>
      </c>
      <c r="B72" s="60" t="s">
        <v>730</v>
      </c>
      <c r="C72" s="2" t="s">
        <v>731</v>
      </c>
      <c r="D72" s="2" t="s">
        <v>28</v>
      </c>
      <c r="E72" s="4">
        <v>36000</v>
      </c>
      <c r="F72" s="4">
        <v>12150</v>
      </c>
      <c r="G72" s="4">
        <f>'Tân Quang Minh'!H73</f>
        <v>36180</v>
      </c>
      <c r="H72" s="4"/>
      <c r="I72" s="4"/>
      <c r="J72" s="4"/>
      <c r="K72" s="2"/>
    </row>
    <row r="73" spans="1:11" ht="18" customHeight="1">
      <c r="A73" s="60"/>
      <c r="B73" s="60"/>
      <c r="C73" s="2"/>
      <c r="D73" s="2"/>
      <c r="E73" s="4"/>
      <c r="F73" s="4"/>
      <c r="G73" s="4"/>
      <c r="H73" s="4"/>
      <c r="I73" s="4"/>
      <c r="J73" s="4"/>
      <c r="K73" s="2"/>
    </row>
    <row r="74" spans="1:11" ht="18" customHeight="1">
      <c r="A74" s="2"/>
      <c r="B74" s="2"/>
      <c r="C74" s="2"/>
      <c r="D74" s="2"/>
      <c r="E74" s="4"/>
      <c r="F74" s="4"/>
      <c r="G74" s="4"/>
      <c r="H74" s="4"/>
      <c r="I74" s="4">
        <f t="shared" si="0"/>
        <v>0</v>
      </c>
      <c r="J74" s="4"/>
      <c r="K74" s="2"/>
    </row>
    <row r="75" spans="1:11" ht="18" customHeight="1">
      <c r="A75" s="177"/>
      <c r="B75" s="177" t="s">
        <v>517</v>
      </c>
      <c r="C75" s="177"/>
      <c r="D75" s="177"/>
      <c r="E75" s="178">
        <f>SUM(E69:E74)</f>
        <v>656000</v>
      </c>
      <c r="F75" s="178"/>
      <c r="G75" s="178">
        <f t="shared" ref="G75" si="9">SUM(G69:G74)</f>
        <v>546750</v>
      </c>
      <c r="H75" s="178"/>
      <c r="I75" s="178">
        <f t="shared" si="0"/>
        <v>-109250</v>
      </c>
      <c r="J75" s="178"/>
      <c r="K75" s="177"/>
    </row>
    <row r="76" spans="1:11" ht="18" customHeight="1">
      <c r="A76" s="60" t="s">
        <v>13</v>
      </c>
      <c r="B76" s="60" t="s">
        <v>499</v>
      </c>
      <c r="C76" s="2" t="s">
        <v>479</v>
      </c>
      <c r="D76" s="2" t="s">
        <v>82</v>
      </c>
      <c r="E76" s="4">
        <v>300000</v>
      </c>
      <c r="F76" s="4">
        <v>6285</v>
      </c>
      <c r="G76" s="4">
        <f>'Minh ĐAn'!H51</f>
        <v>281640</v>
      </c>
      <c r="H76" s="4"/>
      <c r="I76" s="4">
        <f t="shared" si="0"/>
        <v>-18360</v>
      </c>
      <c r="J76" s="4" t="s">
        <v>524</v>
      </c>
      <c r="K76" s="2" t="s">
        <v>463</v>
      </c>
    </row>
    <row r="77" spans="1:11" ht="18" customHeight="1">
      <c r="A77" s="2"/>
      <c r="B77" s="2"/>
      <c r="C77" s="2"/>
      <c r="D77" s="2"/>
      <c r="E77" s="4"/>
      <c r="F77" s="4"/>
      <c r="G77" s="4"/>
      <c r="H77" s="4"/>
      <c r="I77" s="4">
        <f t="shared" si="0"/>
        <v>0</v>
      </c>
      <c r="J77" s="4"/>
      <c r="K77" s="2"/>
    </row>
    <row r="78" spans="1:11" ht="18" customHeight="1">
      <c r="A78" s="2"/>
      <c r="B78" s="2"/>
      <c r="C78" s="2"/>
      <c r="D78" s="2"/>
      <c r="E78" s="4"/>
      <c r="F78" s="4"/>
      <c r="G78" s="4"/>
      <c r="H78" s="4"/>
      <c r="I78" s="4">
        <f t="shared" si="0"/>
        <v>0</v>
      </c>
      <c r="J78" s="4"/>
      <c r="K78" s="2"/>
    </row>
    <row r="79" spans="1:11" ht="18" customHeight="1">
      <c r="A79" s="60" t="s">
        <v>500</v>
      </c>
      <c r="B79" s="60" t="s">
        <v>498</v>
      </c>
      <c r="C79" s="2" t="s">
        <v>479</v>
      </c>
      <c r="D79" s="2" t="s">
        <v>82</v>
      </c>
      <c r="E79" s="4">
        <v>400000</v>
      </c>
      <c r="F79" s="4">
        <v>6280</v>
      </c>
      <c r="G79" s="4">
        <f>'Minh ĐAn'!H25</f>
        <v>358000</v>
      </c>
      <c r="H79" s="4"/>
      <c r="I79" s="4">
        <f t="shared" si="0"/>
        <v>-42000</v>
      </c>
      <c r="J79" s="4" t="s">
        <v>524</v>
      </c>
      <c r="K79" s="2"/>
    </row>
    <row r="80" spans="1:11" ht="18" customHeight="1">
      <c r="A80" s="2"/>
      <c r="B80" s="2"/>
      <c r="C80" s="2"/>
      <c r="D80" s="2"/>
      <c r="E80" s="4"/>
      <c r="F80" s="4"/>
      <c r="G80" s="4"/>
      <c r="H80" s="4"/>
      <c r="I80" s="4">
        <f t="shared" si="0"/>
        <v>0</v>
      </c>
      <c r="J80" s="4"/>
      <c r="K80" s="2"/>
    </row>
    <row r="81" spans="1:11" ht="18" customHeight="1">
      <c r="A81" s="2"/>
      <c r="B81" s="2"/>
      <c r="C81" s="2"/>
      <c r="D81" s="2"/>
      <c r="E81" s="4"/>
      <c r="F81" s="4"/>
      <c r="G81" s="4"/>
      <c r="H81" s="4"/>
      <c r="I81" s="4">
        <f t="shared" si="0"/>
        <v>0</v>
      </c>
      <c r="J81" s="4"/>
      <c r="K81" s="2"/>
    </row>
    <row r="82" spans="1:11" ht="18" customHeight="1">
      <c r="A82" s="60" t="s">
        <v>298</v>
      </c>
      <c r="B82" s="60" t="s">
        <v>498</v>
      </c>
      <c r="C82" s="2" t="s">
        <v>479</v>
      </c>
      <c r="D82" s="2" t="s">
        <v>82</v>
      </c>
      <c r="E82" s="4">
        <v>300000</v>
      </c>
      <c r="F82" s="4">
        <v>6280</v>
      </c>
      <c r="G82" s="4">
        <f>'Minh ĐAn'!H38</f>
        <v>282790</v>
      </c>
      <c r="H82" s="4"/>
      <c r="I82" s="4">
        <f t="shared" si="0"/>
        <v>-17210</v>
      </c>
      <c r="J82" s="4" t="s">
        <v>524</v>
      </c>
      <c r="K82" s="2"/>
    </row>
    <row r="83" spans="1:11" ht="18" customHeight="1">
      <c r="A83" s="2"/>
      <c r="B83" s="2"/>
      <c r="C83" s="2"/>
      <c r="D83" s="2"/>
      <c r="E83" s="4"/>
      <c r="F83" s="4"/>
      <c r="G83" s="4"/>
      <c r="H83" s="4"/>
      <c r="I83" s="4">
        <f t="shared" si="0"/>
        <v>0</v>
      </c>
      <c r="J83" s="4"/>
      <c r="K83" s="2"/>
    </row>
    <row r="84" spans="1:11" ht="18" customHeight="1">
      <c r="A84" s="2"/>
      <c r="B84" s="2"/>
      <c r="C84" s="2"/>
      <c r="D84" s="2"/>
      <c r="E84" s="4"/>
      <c r="F84" s="4"/>
      <c r="G84" s="4"/>
      <c r="H84" s="4"/>
      <c r="I84" s="4">
        <f t="shared" si="0"/>
        <v>0</v>
      </c>
      <c r="J84" s="4"/>
      <c r="K84" s="2"/>
    </row>
    <row r="85" spans="1:11" ht="18" customHeight="1">
      <c r="A85" s="175" t="s">
        <v>13</v>
      </c>
      <c r="B85" s="175" t="s">
        <v>501</v>
      </c>
      <c r="C85" s="175" t="s">
        <v>482</v>
      </c>
      <c r="D85" s="175" t="s">
        <v>502</v>
      </c>
      <c r="E85" s="176">
        <v>180000</v>
      </c>
      <c r="F85" s="176">
        <v>7900</v>
      </c>
      <c r="G85" s="176">
        <f>'Hoàng Minh'!H29</f>
        <v>178540</v>
      </c>
      <c r="H85" s="176"/>
      <c r="I85" s="176">
        <f t="shared" si="0"/>
        <v>-1460</v>
      </c>
      <c r="J85" s="176" t="s">
        <v>524</v>
      </c>
      <c r="K85" s="175" t="s">
        <v>496</v>
      </c>
    </row>
    <row r="86" spans="1:11" ht="18" customHeight="1">
      <c r="A86" s="2"/>
      <c r="B86" s="2"/>
      <c r="C86" s="2"/>
      <c r="D86" s="2"/>
      <c r="E86" s="4"/>
      <c r="F86" s="4"/>
      <c r="G86" s="4"/>
      <c r="H86" s="4"/>
      <c r="I86" s="4">
        <f t="shared" si="0"/>
        <v>0</v>
      </c>
      <c r="J86" s="4"/>
      <c r="K86" s="2"/>
    </row>
    <row r="87" spans="1:11" ht="18" customHeight="1">
      <c r="A87" s="175" t="s">
        <v>13</v>
      </c>
      <c r="B87" s="175" t="s">
        <v>470</v>
      </c>
      <c r="C87" s="179" t="s">
        <v>469</v>
      </c>
      <c r="D87" s="175" t="s">
        <v>20</v>
      </c>
      <c r="E87" s="176">
        <v>66000</v>
      </c>
      <c r="F87" s="176">
        <v>7800</v>
      </c>
      <c r="G87" s="176">
        <f>'Minh Hiền'!H39</f>
        <v>65740</v>
      </c>
      <c r="H87" s="176"/>
      <c r="I87" s="176">
        <f t="shared" si="0"/>
        <v>-260</v>
      </c>
      <c r="J87" s="176" t="s">
        <v>524</v>
      </c>
      <c r="K87" s="175" t="s">
        <v>503</v>
      </c>
    </row>
    <row r="88" spans="1:11" ht="18" customHeight="1">
      <c r="A88" s="2"/>
      <c r="B88" s="2"/>
      <c r="C88" s="2"/>
      <c r="D88" s="2"/>
      <c r="E88" s="4"/>
      <c r="F88" s="4"/>
      <c r="G88" s="4"/>
      <c r="H88" s="4"/>
      <c r="I88" s="4">
        <f t="shared" si="0"/>
        <v>0</v>
      </c>
      <c r="J88" s="4"/>
      <c r="K88" s="2"/>
    </row>
    <row r="89" spans="1:11" ht="18" customHeight="1">
      <c r="A89" s="2"/>
      <c r="B89" s="2"/>
      <c r="C89" s="2"/>
      <c r="D89" s="2"/>
      <c r="E89" s="4"/>
      <c r="F89" s="4"/>
      <c r="G89" s="4"/>
      <c r="H89" s="4"/>
      <c r="I89" s="4">
        <f t="shared" si="0"/>
        <v>0</v>
      </c>
      <c r="J89" s="4"/>
      <c r="K89" s="2"/>
    </row>
    <row r="90" spans="1:11" ht="18" customHeight="1">
      <c r="A90" s="60" t="s">
        <v>13</v>
      </c>
      <c r="B90" s="60" t="s">
        <v>504</v>
      </c>
      <c r="C90" s="2" t="s">
        <v>487</v>
      </c>
      <c r="D90" s="2" t="s">
        <v>488</v>
      </c>
      <c r="E90" s="4">
        <v>100000</v>
      </c>
      <c r="F90" s="4">
        <v>11000</v>
      </c>
      <c r="G90" s="4">
        <f>'Hợp Lực'!H22</f>
        <v>56460</v>
      </c>
      <c r="H90" s="4"/>
      <c r="I90" s="4">
        <f t="shared" si="0"/>
        <v>-43540</v>
      </c>
      <c r="J90" s="4"/>
      <c r="K90" s="2" t="s">
        <v>506</v>
      </c>
    </row>
    <row r="91" spans="1:11" ht="18" customHeight="1">
      <c r="A91" s="2"/>
      <c r="B91" s="2"/>
      <c r="C91" s="2" t="s">
        <v>505</v>
      </c>
      <c r="D91" s="2" t="s">
        <v>413</v>
      </c>
      <c r="E91" s="4">
        <f>'Hợp Lực'!E33</f>
        <v>45000</v>
      </c>
      <c r="F91" s="4">
        <v>22200</v>
      </c>
      <c r="G91" s="4">
        <f>'Hợp Lực'!H33</f>
        <v>43206</v>
      </c>
      <c r="H91" s="4"/>
      <c r="I91" s="4">
        <f t="shared" si="0"/>
        <v>-1794</v>
      </c>
      <c r="J91" s="4" t="s">
        <v>524</v>
      </c>
      <c r="K91" s="2"/>
    </row>
    <row r="92" spans="1:11" ht="18" customHeight="1">
      <c r="A92" s="2"/>
      <c r="B92" s="2"/>
      <c r="C92" s="2"/>
      <c r="D92" s="2" t="s">
        <v>488</v>
      </c>
      <c r="E92" s="4">
        <v>20000</v>
      </c>
      <c r="F92" s="4">
        <v>12200</v>
      </c>
      <c r="G92" s="4">
        <f>'Hợp Lực'!H35</f>
        <v>20360</v>
      </c>
      <c r="H92" s="4"/>
      <c r="I92" s="4">
        <f t="shared" si="0"/>
        <v>360</v>
      </c>
      <c r="J92" s="4"/>
      <c r="K92" s="2" t="s">
        <v>709</v>
      </c>
    </row>
    <row r="93" spans="1:11" ht="18" customHeight="1">
      <c r="A93" s="2"/>
      <c r="B93" s="2"/>
      <c r="C93" s="2"/>
      <c r="D93" s="2"/>
      <c r="E93" s="4"/>
      <c r="F93" s="4"/>
      <c r="G93" s="4"/>
      <c r="H93" s="4"/>
      <c r="I93" s="4">
        <f t="shared" si="0"/>
        <v>0</v>
      </c>
      <c r="J93" s="4"/>
      <c r="K93" s="2"/>
    </row>
    <row r="94" spans="1:11" ht="18" customHeight="1">
      <c r="A94" s="177"/>
      <c r="B94" s="177" t="s">
        <v>518</v>
      </c>
      <c r="C94" s="177"/>
      <c r="D94" s="177"/>
      <c r="E94" s="178">
        <f>SUM(E90:E93)</f>
        <v>165000</v>
      </c>
      <c r="F94" s="178">
        <f t="shared" ref="F94:I94" si="10">SUM(F90:F93)</f>
        <v>45400</v>
      </c>
      <c r="G94" s="178"/>
      <c r="H94" s="178">
        <f t="shared" si="10"/>
        <v>0</v>
      </c>
      <c r="I94" s="178">
        <f t="shared" si="10"/>
        <v>-44974</v>
      </c>
      <c r="J94" s="178"/>
      <c r="K94" s="177"/>
    </row>
    <row r="95" spans="1:11" ht="18" customHeight="1">
      <c r="A95" s="60" t="s">
        <v>13</v>
      </c>
      <c r="B95" s="60" t="s">
        <v>507</v>
      </c>
      <c r="C95" s="2" t="s">
        <v>482</v>
      </c>
      <c r="D95" s="2" t="s">
        <v>28</v>
      </c>
      <c r="E95" s="4">
        <v>400000</v>
      </c>
      <c r="F95" s="174">
        <v>12899.29</v>
      </c>
      <c r="G95" s="4">
        <f>'Quang Dũng '!H38</f>
        <v>445830</v>
      </c>
      <c r="H95" s="4"/>
      <c r="I95" s="4">
        <f>G95-E96-E95</f>
        <v>5830</v>
      </c>
      <c r="J95" s="4" t="s">
        <v>524</v>
      </c>
      <c r="K95" s="2" t="s">
        <v>463</v>
      </c>
    </row>
    <row r="96" spans="1:11" ht="18" customHeight="1">
      <c r="A96" s="2"/>
      <c r="B96" s="2" t="s">
        <v>508</v>
      </c>
      <c r="C96" s="2"/>
      <c r="D96" s="7" t="s">
        <v>624</v>
      </c>
      <c r="E96" s="4">
        <v>40000</v>
      </c>
      <c r="F96" s="174"/>
      <c r="G96" s="4"/>
      <c r="H96" s="4"/>
      <c r="I96" s="4"/>
      <c r="J96" s="4"/>
      <c r="K96" s="2"/>
    </row>
    <row r="97" spans="1:11" ht="18" customHeight="1">
      <c r="A97" s="2"/>
      <c r="B97" s="2"/>
      <c r="C97" s="2"/>
      <c r="D97" s="2"/>
      <c r="E97" s="4"/>
      <c r="F97" s="4"/>
      <c r="G97" s="4"/>
      <c r="H97" s="4"/>
      <c r="I97" s="4">
        <f t="shared" si="0"/>
        <v>0</v>
      </c>
      <c r="J97" s="4"/>
      <c r="K97" s="2"/>
    </row>
    <row r="98" spans="1:11" ht="18" customHeight="1">
      <c r="A98" s="177"/>
      <c r="B98" s="177" t="s">
        <v>519</v>
      </c>
      <c r="C98" s="177"/>
      <c r="D98" s="177"/>
      <c r="E98" s="178">
        <f>SUM(E95:E97)</f>
        <v>440000</v>
      </c>
      <c r="F98" s="178"/>
      <c r="G98" s="178">
        <f t="shared" ref="G98:I98" si="11">SUM(G95:G97)</f>
        <v>445830</v>
      </c>
      <c r="H98" s="178">
        <f t="shared" si="11"/>
        <v>0</v>
      </c>
      <c r="I98" s="178">
        <f t="shared" si="11"/>
        <v>5830</v>
      </c>
      <c r="J98" s="178"/>
      <c r="K98" s="177"/>
    </row>
    <row r="99" spans="1:11" ht="18" customHeight="1">
      <c r="A99" s="60" t="s">
        <v>13</v>
      </c>
      <c r="B99" s="60" t="s">
        <v>509</v>
      </c>
      <c r="C99" s="2" t="s">
        <v>482</v>
      </c>
      <c r="D99" s="2" t="s">
        <v>231</v>
      </c>
      <c r="E99" s="4">
        <v>200000</v>
      </c>
      <c r="F99" s="4">
        <v>7600</v>
      </c>
      <c r="G99" s="4">
        <f>'Thuận AN'!H22</f>
        <v>187390</v>
      </c>
      <c r="H99" s="4"/>
      <c r="I99" s="4">
        <f t="shared" si="0"/>
        <v>-12610</v>
      </c>
      <c r="J99" s="286" t="s">
        <v>524</v>
      </c>
      <c r="K99" s="2" t="s">
        <v>496</v>
      </c>
    </row>
    <row r="100" spans="1:11" ht="18" customHeight="1">
      <c r="A100" s="60"/>
      <c r="B100" s="60"/>
      <c r="C100" s="2" t="s">
        <v>482</v>
      </c>
      <c r="D100" s="2" t="s">
        <v>43</v>
      </c>
      <c r="E100" s="4">
        <v>30000</v>
      </c>
      <c r="F100" s="4">
        <v>6200</v>
      </c>
      <c r="G100" s="4">
        <f>'Thuận AN'!H24</f>
        <v>30050</v>
      </c>
      <c r="H100" s="4"/>
      <c r="I100" s="4">
        <f t="shared" si="0"/>
        <v>50</v>
      </c>
      <c r="J100" s="287"/>
      <c r="K100" s="2" t="s">
        <v>496</v>
      </c>
    </row>
    <row r="101" spans="1:11" ht="18" customHeight="1">
      <c r="A101" s="60"/>
      <c r="B101" s="60"/>
      <c r="C101" s="2"/>
      <c r="D101" s="2"/>
      <c r="E101" s="4"/>
      <c r="F101" s="4"/>
      <c r="G101" s="4"/>
      <c r="H101" s="4"/>
      <c r="I101" s="4">
        <f t="shared" si="0"/>
        <v>0</v>
      </c>
      <c r="J101" s="4"/>
      <c r="K101" s="2"/>
    </row>
    <row r="102" spans="1:11" ht="18" customHeight="1">
      <c r="A102" s="177"/>
      <c r="B102" s="177" t="s">
        <v>520</v>
      </c>
      <c r="C102" s="177"/>
      <c r="D102" s="177"/>
      <c r="E102" s="178">
        <f>SUM(E99:E101)</f>
        <v>230000</v>
      </c>
      <c r="F102" s="178"/>
      <c r="G102" s="178">
        <f t="shared" ref="G102:H102" si="12">SUM(G99:G101)</f>
        <v>217440</v>
      </c>
      <c r="H102" s="178">
        <f t="shared" si="12"/>
        <v>0</v>
      </c>
      <c r="I102" s="178">
        <f t="shared" si="0"/>
        <v>-12560</v>
      </c>
      <c r="J102" s="178"/>
      <c r="K102" s="177"/>
    </row>
    <row r="103" spans="1:11" ht="18" customHeight="1">
      <c r="A103" s="60" t="s">
        <v>29</v>
      </c>
      <c r="B103" s="60" t="s">
        <v>473</v>
      </c>
      <c r="C103" s="2" t="s">
        <v>482</v>
      </c>
      <c r="D103" s="2" t="s">
        <v>85</v>
      </c>
      <c r="E103" s="4">
        <v>200000</v>
      </c>
      <c r="F103" s="4">
        <v>7950</v>
      </c>
      <c r="G103" s="4">
        <f>Intermax!H22</f>
        <v>183430</v>
      </c>
      <c r="H103" s="4"/>
      <c r="I103" s="4">
        <f t="shared" si="0"/>
        <v>-16570</v>
      </c>
      <c r="J103" s="4" t="s">
        <v>524</v>
      </c>
      <c r="K103" s="2" t="s">
        <v>463</v>
      </c>
    </row>
    <row r="104" spans="1:11" ht="18" customHeight="1">
      <c r="A104" s="60"/>
      <c r="B104" s="60"/>
      <c r="C104" s="2"/>
      <c r="D104" s="2"/>
      <c r="E104" s="4"/>
      <c r="F104" s="4"/>
      <c r="G104" s="4"/>
      <c r="H104" s="4"/>
      <c r="I104" s="4">
        <f t="shared" si="0"/>
        <v>0</v>
      </c>
      <c r="J104" s="4"/>
      <c r="K104" s="2"/>
    </row>
    <row r="105" spans="1:11" ht="18" customHeight="1">
      <c r="A105" s="60"/>
      <c r="B105" s="60"/>
      <c r="C105" s="2"/>
      <c r="D105" s="2"/>
      <c r="E105" s="4"/>
      <c r="F105" s="4"/>
      <c r="G105" s="4"/>
      <c r="H105" s="4"/>
      <c r="I105" s="4">
        <f t="shared" si="0"/>
        <v>0</v>
      </c>
      <c r="J105" s="4"/>
      <c r="K105" s="2"/>
    </row>
    <row r="106" spans="1:11" ht="18" customHeight="1">
      <c r="A106" s="60" t="s">
        <v>13</v>
      </c>
      <c r="B106" s="60" t="s">
        <v>522</v>
      </c>
      <c r="C106" s="2" t="s">
        <v>482</v>
      </c>
      <c r="D106" s="2" t="s">
        <v>85</v>
      </c>
      <c r="E106" s="4">
        <v>300000</v>
      </c>
      <c r="F106" s="4">
        <v>7800</v>
      </c>
      <c r="G106" s="4">
        <f>Japa!H22</f>
        <v>281750</v>
      </c>
      <c r="H106" s="4"/>
      <c r="I106" s="4">
        <f t="shared" si="0"/>
        <v>-18250</v>
      </c>
      <c r="J106" s="4" t="s">
        <v>524</v>
      </c>
      <c r="K106" s="2" t="s">
        <v>463</v>
      </c>
    </row>
    <row r="107" spans="1:11" ht="18" customHeight="1">
      <c r="A107" s="60"/>
      <c r="B107" s="60"/>
      <c r="C107" s="2"/>
      <c r="D107" s="2" t="s">
        <v>571</v>
      </c>
      <c r="E107" s="4">
        <v>30000</v>
      </c>
      <c r="F107" s="4">
        <v>17000</v>
      </c>
      <c r="G107" s="4">
        <f>Japa!H41</f>
        <v>50000</v>
      </c>
      <c r="H107" s="4"/>
      <c r="I107" s="4">
        <f t="shared" si="0"/>
        <v>20000</v>
      </c>
      <c r="J107" s="4"/>
      <c r="K107" s="2"/>
    </row>
    <row r="108" spans="1:11" ht="18" customHeight="1">
      <c r="A108" s="60"/>
      <c r="B108" s="60"/>
      <c r="C108" s="2"/>
      <c r="D108" s="2"/>
      <c r="E108" s="4"/>
      <c r="F108" s="4"/>
      <c r="G108" s="4"/>
      <c r="H108" s="4"/>
      <c r="I108" s="4">
        <f t="shared" si="0"/>
        <v>0</v>
      </c>
      <c r="J108" s="4"/>
      <c r="K108" s="2"/>
    </row>
    <row r="109" spans="1:11" ht="18" customHeight="1">
      <c r="A109" s="60"/>
      <c r="B109" s="60"/>
      <c r="C109" s="2"/>
      <c r="D109" s="2"/>
      <c r="E109" s="4"/>
      <c r="F109" s="4"/>
      <c r="G109" s="4"/>
      <c r="H109" s="4"/>
      <c r="I109" s="4">
        <f t="shared" si="0"/>
        <v>0</v>
      </c>
      <c r="J109" s="4"/>
      <c r="K109" s="2"/>
    </row>
    <row r="110" spans="1:11" ht="18" customHeight="1">
      <c r="A110" s="56"/>
      <c r="B110" s="56" t="s">
        <v>572</v>
      </c>
      <c r="C110" s="56"/>
      <c r="D110" s="56"/>
      <c r="E110" s="57">
        <f>SUM(E106:E109)</f>
        <v>330000</v>
      </c>
      <c r="F110" s="57"/>
      <c r="G110" s="57">
        <f t="shared" ref="G110" si="13">SUM(G106:G109)</f>
        <v>331750</v>
      </c>
      <c r="H110" s="57"/>
      <c r="I110" s="57">
        <f t="shared" si="0"/>
        <v>1750</v>
      </c>
      <c r="J110" s="57"/>
      <c r="K110" s="56"/>
    </row>
    <row r="111" spans="1:11" s="136" customFormat="1" ht="18" customHeight="1">
      <c r="A111" s="64" t="s">
        <v>29</v>
      </c>
      <c r="B111" s="64" t="s">
        <v>712</v>
      </c>
      <c r="C111" s="130" t="s">
        <v>677</v>
      </c>
      <c r="D111" s="130" t="s">
        <v>713</v>
      </c>
      <c r="E111" s="68">
        <v>100000</v>
      </c>
      <c r="F111" s="68">
        <v>8500</v>
      </c>
      <c r="G111" s="68">
        <f>'DƯỢC THÚ Ý'!H16</f>
        <v>78925</v>
      </c>
      <c r="H111" s="68"/>
      <c r="I111" s="68"/>
      <c r="J111" s="68"/>
      <c r="K111" s="130"/>
    </row>
    <row r="112" spans="1:11" s="136" customFormat="1" ht="18" customHeight="1">
      <c r="A112" s="130" t="s">
        <v>13</v>
      </c>
      <c r="B112" s="130" t="s">
        <v>712</v>
      </c>
      <c r="C112" s="130" t="s">
        <v>673</v>
      </c>
      <c r="D112" s="130" t="s">
        <v>755</v>
      </c>
      <c r="E112" s="68">
        <v>162000</v>
      </c>
      <c r="F112" s="68">
        <v>4550</v>
      </c>
      <c r="G112" s="68">
        <f>'DƯỢC THÚ Ý'!H67</f>
        <v>0</v>
      </c>
      <c r="H112" s="68"/>
      <c r="I112" s="68"/>
      <c r="J112" s="68"/>
      <c r="K112" s="130"/>
    </row>
    <row r="113" spans="1:11" s="136" customFormat="1" ht="18" customHeight="1">
      <c r="A113" s="130"/>
      <c r="B113" s="130"/>
      <c r="C113" s="130"/>
      <c r="D113" s="130"/>
      <c r="E113" s="68"/>
      <c r="F113" s="68"/>
      <c r="G113" s="68"/>
      <c r="H113" s="68"/>
      <c r="I113" s="68"/>
      <c r="J113" s="68"/>
      <c r="K113" s="130"/>
    </row>
    <row r="114" spans="1:11" s="136" customFormat="1" ht="18" customHeight="1">
      <c r="A114" s="56"/>
      <c r="B114" s="56" t="s">
        <v>715</v>
      </c>
      <c r="C114" s="56"/>
      <c r="D114" s="56"/>
      <c r="E114" s="57">
        <f>SUM(E111:E113)</f>
        <v>262000</v>
      </c>
      <c r="F114" s="57"/>
      <c r="G114" s="57">
        <f t="shared" ref="G114:I114" si="14">SUM(G111:G113)</f>
        <v>78925</v>
      </c>
      <c r="H114" s="57">
        <f t="shared" si="14"/>
        <v>0</v>
      </c>
      <c r="I114" s="57">
        <f t="shared" si="14"/>
        <v>0</v>
      </c>
      <c r="J114" s="57"/>
      <c r="K114" s="56"/>
    </row>
    <row r="115" spans="1:11" ht="18" customHeight="1">
      <c r="A115" s="60" t="s">
        <v>29</v>
      </c>
      <c r="B115" s="60" t="s">
        <v>679</v>
      </c>
      <c r="C115" s="2" t="s">
        <v>714</v>
      </c>
      <c r="D115" s="2" t="s">
        <v>34</v>
      </c>
      <c r="E115" s="4">
        <v>65000</v>
      </c>
      <c r="F115" s="4">
        <v>8900</v>
      </c>
      <c r="G115" s="4">
        <f>'Nông lâm Tâm Phát'!H16</f>
        <v>29740</v>
      </c>
      <c r="H115" s="4"/>
      <c r="I115" s="4">
        <f t="shared" si="0"/>
        <v>-35260</v>
      </c>
      <c r="J115" s="4"/>
      <c r="K115" s="2" t="s">
        <v>463</v>
      </c>
    </row>
    <row r="116" spans="1:11" ht="18" customHeight="1">
      <c r="A116" s="2"/>
      <c r="B116" s="2"/>
      <c r="C116" s="2"/>
      <c r="D116" s="2"/>
      <c r="E116" s="4"/>
      <c r="F116" s="4"/>
      <c r="G116" s="4"/>
      <c r="H116" s="4"/>
      <c r="I116" s="4">
        <f t="shared" si="0"/>
        <v>0</v>
      </c>
      <c r="J116" s="4"/>
      <c r="K116" s="2"/>
    </row>
    <row r="117" spans="1:11" ht="18" customHeight="1">
      <c r="A117" s="2"/>
      <c r="B117" s="2"/>
      <c r="C117" s="2"/>
      <c r="D117" s="2"/>
      <c r="E117" s="4"/>
      <c r="F117" s="4"/>
      <c r="G117" s="4"/>
      <c r="H117" s="4"/>
      <c r="I117" s="4">
        <f t="shared" si="0"/>
        <v>0</v>
      </c>
      <c r="J117" s="4"/>
      <c r="K117" s="2"/>
    </row>
    <row r="118" spans="1:11" ht="18" customHeight="1">
      <c r="A118" s="217"/>
      <c r="B118" s="219" t="s">
        <v>716</v>
      </c>
      <c r="C118" s="218"/>
      <c r="D118" s="219"/>
      <c r="E118" s="57">
        <f>SUM(E115:E117)</f>
        <v>65000</v>
      </c>
      <c r="F118" s="57"/>
      <c r="G118" s="57">
        <f t="shared" ref="G118:I118" si="15">SUM(G115:G117)</f>
        <v>29740</v>
      </c>
      <c r="H118" s="57">
        <f t="shared" si="15"/>
        <v>0</v>
      </c>
      <c r="I118" s="57">
        <f t="shared" si="15"/>
        <v>-35260</v>
      </c>
      <c r="J118" s="57"/>
      <c r="K118" s="24"/>
    </row>
    <row r="119" spans="1:11" ht="18" customHeight="1">
      <c r="A119" s="60" t="s">
        <v>29</v>
      </c>
      <c r="B119" s="60" t="s">
        <v>682</v>
      </c>
      <c r="C119" s="39" t="s">
        <v>714</v>
      </c>
      <c r="D119" s="39" t="s">
        <v>20</v>
      </c>
      <c r="E119" s="4">
        <v>65000</v>
      </c>
      <c r="F119" s="4">
        <v>7500</v>
      </c>
      <c r="G119" s="4">
        <f>'Khang Đạt'!H15</f>
        <v>63110</v>
      </c>
      <c r="H119" s="4"/>
      <c r="I119" s="4"/>
      <c r="J119" s="4"/>
      <c r="K119" s="2" t="s">
        <v>662</v>
      </c>
    </row>
    <row r="120" spans="1:11" ht="18" customHeight="1">
      <c r="A120" s="2"/>
      <c r="B120" s="2"/>
      <c r="C120" s="39"/>
      <c r="D120" s="39"/>
      <c r="E120" s="4"/>
      <c r="F120" s="4"/>
      <c r="G120" s="4"/>
      <c r="H120" s="4"/>
      <c r="I120" s="4"/>
      <c r="J120" s="4"/>
      <c r="K120" s="2"/>
    </row>
    <row r="121" spans="1:11" ht="18" customHeight="1">
      <c r="A121" s="2"/>
      <c r="B121" s="2"/>
      <c r="C121" s="39"/>
      <c r="D121" s="39"/>
      <c r="E121" s="4"/>
      <c r="F121" s="4"/>
      <c r="G121" s="4"/>
      <c r="H121" s="4"/>
      <c r="I121" s="4"/>
      <c r="J121" s="4"/>
      <c r="K121" s="2"/>
    </row>
    <row r="122" spans="1:11" ht="18" customHeight="1">
      <c r="A122" s="281" t="s">
        <v>717</v>
      </c>
      <c r="B122" s="282"/>
      <c r="C122" s="9"/>
      <c r="D122" s="9"/>
      <c r="E122" s="5">
        <f>SUM(E119:E121)</f>
        <v>65000</v>
      </c>
      <c r="F122" s="5"/>
      <c r="G122" s="5">
        <f t="shared" ref="G122:I122" si="16">SUM(G119:G121)</f>
        <v>63110</v>
      </c>
      <c r="H122" s="5">
        <f t="shared" si="16"/>
        <v>0</v>
      </c>
      <c r="I122" s="5">
        <f t="shared" si="16"/>
        <v>0</v>
      </c>
      <c r="J122" s="5"/>
      <c r="K122" s="2"/>
    </row>
    <row r="123" spans="1:11" s="6" customFormat="1" ht="24.75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</row>
    <row r="124" spans="1:11">
      <c r="F124" s="270" t="s">
        <v>1</v>
      </c>
      <c r="G124" s="270"/>
      <c r="H124" s="270"/>
      <c r="I124" s="1"/>
      <c r="J124" s="8"/>
    </row>
    <row r="127" spans="1:11">
      <c r="F127" s="271"/>
      <c r="G127" s="271"/>
      <c r="H127" s="271"/>
      <c r="I127" s="1"/>
      <c r="J127" s="1"/>
    </row>
  </sheetData>
  <mergeCells count="18">
    <mergeCell ref="A1:J1"/>
    <mergeCell ref="C4:C5"/>
    <mergeCell ref="A2:J2"/>
    <mergeCell ref="A122:B122"/>
    <mergeCell ref="K4:K5"/>
    <mergeCell ref="I4:J4"/>
    <mergeCell ref="J6:J8"/>
    <mergeCell ref="J15:J16"/>
    <mergeCell ref="J28:J29"/>
    <mergeCell ref="J59:J60"/>
    <mergeCell ref="J99:J100"/>
    <mergeCell ref="F124:H124"/>
    <mergeCell ref="F127:H127"/>
    <mergeCell ref="A4:A5"/>
    <mergeCell ref="B4:B5"/>
    <mergeCell ref="D4:D5"/>
    <mergeCell ref="E4:F4"/>
    <mergeCell ref="G4:H4"/>
  </mergeCells>
  <pageMargins left="0.37" right="0.17" top="0.27" bottom="0.23" header="0.23" footer="0.17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3"/>
  <sheetViews>
    <sheetView workbookViewId="0">
      <pane ySplit="5" topLeftCell="A6" activePane="bottomLeft" state="frozen"/>
      <selection pane="bottomLeft" activeCell="F13" sqref="F13"/>
    </sheetView>
  </sheetViews>
  <sheetFormatPr defaultRowHeight="15"/>
  <cols>
    <col min="1" max="1" width="11.85546875" style="16" customWidth="1"/>
    <col min="2" max="2" width="17.28515625" style="1" customWidth="1"/>
    <col min="3" max="3" width="17.7109375" style="1" customWidth="1"/>
    <col min="4" max="4" width="27.14062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836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239" t="s">
        <v>9</v>
      </c>
      <c r="F5" s="239" t="s">
        <v>5</v>
      </c>
      <c r="G5" s="20" t="s">
        <v>14</v>
      </c>
      <c r="H5" s="239" t="s">
        <v>9</v>
      </c>
      <c r="I5" s="239" t="s">
        <v>5</v>
      </c>
      <c r="J5" s="239" t="s">
        <v>9</v>
      </c>
      <c r="K5" s="239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34" t="s">
        <v>29</v>
      </c>
      <c r="B11" s="64" t="s">
        <v>837</v>
      </c>
      <c r="C11" s="64" t="s">
        <v>839</v>
      </c>
      <c r="D11" s="64" t="s">
        <v>838</v>
      </c>
      <c r="E11" s="68">
        <v>1500</v>
      </c>
      <c r="F11" s="68">
        <v>120000</v>
      </c>
      <c r="G11" s="67"/>
      <c r="H11" s="68">
        <f>50+100+100+100</f>
        <v>350</v>
      </c>
      <c r="I11" s="68"/>
      <c r="J11" s="68">
        <f>+E11-H11</f>
        <v>1150</v>
      </c>
      <c r="K11" s="4"/>
    </row>
    <row r="12" spans="1:11" ht="18" customHeight="1">
      <c r="A12" s="134"/>
      <c r="B12" s="64"/>
      <c r="C12" s="64"/>
      <c r="D12" s="64" t="s">
        <v>840</v>
      </c>
      <c r="E12" s="68">
        <v>2000</v>
      </c>
      <c r="F12" s="68">
        <v>135000</v>
      </c>
      <c r="G12" s="67"/>
      <c r="H12" s="68">
        <f>100+200+200+400</f>
        <v>900</v>
      </c>
      <c r="I12" s="68"/>
      <c r="J12" s="68">
        <f t="shared" ref="J12:J52" si="2">+E12-H12</f>
        <v>1100</v>
      </c>
      <c r="K12" s="4"/>
    </row>
    <row r="13" spans="1:11" ht="18" customHeight="1">
      <c r="A13" s="134"/>
      <c r="B13" s="130"/>
      <c r="C13" s="64"/>
      <c r="D13" s="64" t="s">
        <v>841</v>
      </c>
      <c r="E13" s="68">
        <v>5000</v>
      </c>
      <c r="F13" s="68">
        <v>50000</v>
      </c>
      <c r="G13" s="67"/>
      <c r="H13" s="68">
        <f>100+500+300+300</f>
        <v>1200</v>
      </c>
      <c r="I13" s="68"/>
      <c r="J13" s="68">
        <f t="shared" si="2"/>
        <v>3800</v>
      </c>
      <c r="K13" s="4"/>
    </row>
    <row r="14" spans="1:11" ht="18" customHeight="1">
      <c r="A14" s="134"/>
      <c r="B14" s="64"/>
      <c r="C14" s="64"/>
      <c r="D14" s="64" t="s">
        <v>842</v>
      </c>
      <c r="E14" s="68">
        <v>1500</v>
      </c>
      <c r="F14" s="68">
        <v>180000</v>
      </c>
      <c r="G14" s="110"/>
      <c r="H14" s="68">
        <f>100+200+100+100+200</f>
        <v>700</v>
      </c>
      <c r="I14" s="68"/>
      <c r="J14" s="68">
        <f t="shared" si="2"/>
        <v>800</v>
      </c>
      <c r="K14" s="4"/>
    </row>
    <row r="15" spans="1:11" ht="18" customHeight="1">
      <c r="A15" s="134"/>
      <c r="B15" s="130"/>
      <c r="C15" s="64"/>
      <c r="D15" s="64" t="s">
        <v>843</v>
      </c>
      <c r="E15" s="68">
        <v>20000</v>
      </c>
      <c r="F15" s="68">
        <v>42000</v>
      </c>
      <c r="G15" s="110"/>
      <c r="H15" s="68">
        <f>500+500+500+700+700+700+700+500</f>
        <v>4800</v>
      </c>
      <c r="I15" s="68"/>
      <c r="J15" s="68">
        <f t="shared" si="2"/>
        <v>15200</v>
      </c>
      <c r="K15" s="4"/>
    </row>
    <row r="16" spans="1:11" ht="18" customHeight="1">
      <c r="A16" s="134"/>
      <c r="B16" s="130"/>
      <c r="C16" s="64"/>
      <c r="D16" s="64"/>
      <c r="E16" s="68"/>
      <c r="F16" s="68"/>
      <c r="G16" s="110"/>
      <c r="H16" s="68"/>
      <c r="I16" s="68"/>
      <c r="J16" s="68">
        <f t="shared" si="2"/>
        <v>0</v>
      </c>
      <c r="K16" s="4">
        <f t="shared" ref="K16:K19" si="3">F16</f>
        <v>0</v>
      </c>
    </row>
    <row r="17" spans="1:11" ht="18" customHeight="1">
      <c r="A17" s="134"/>
      <c r="B17" s="130"/>
      <c r="C17" s="64"/>
      <c r="D17" s="64"/>
      <c r="E17" s="68"/>
      <c r="F17" s="68"/>
      <c r="G17" s="110"/>
      <c r="H17" s="68"/>
      <c r="I17" s="68"/>
      <c r="J17" s="68">
        <f t="shared" si="2"/>
        <v>0</v>
      </c>
      <c r="K17" s="4"/>
    </row>
    <row r="18" spans="1:11" ht="18" customHeight="1">
      <c r="A18" s="134"/>
      <c r="B18" s="130"/>
      <c r="C18" s="64"/>
      <c r="D18" s="64"/>
      <c r="E18" s="68"/>
      <c r="F18" s="68"/>
      <c r="G18" s="110"/>
      <c r="H18" s="68"/>
      <c r="I18" s="68"/>
      <c r="J18" s="68">
        <f t="shared" si="2"/>
        <v>0</v>
      </c>
      <c r="K18" s="4"/>
    </row>
    <row r="19" spans="1:11" ht="18" customHeight="1">
      <c r="A19" s="134"/>
      <c r="B19" s="130"/>
      <c r="C19" s="64"/>
      <c r="D19" s="64"/>
      <c r="E19" s="68"/>
      <c r="F19" s="68"/>
      <c r="G19" s="110"/>
      <c r="H19" s="68"/>
      <c r="I19" s="68"/>
      <c r="J19" s="68">
        <f t="shared" si="2"/>
        <v>0</v>
      </c>
      <c r="K19" s="4">
        <f t="shared" si="3"/>
        <v>0</v>
      </c>
    </row>
    <row r="20" spans="1:11" ht="18" customHeight="1">
      <c r="A20" s="134"/>
      <c r="B20" s="243"/>
      <c r="C20" s="64"/>
      <c r="D20" s="64"/>
      <c r="E20" s="68"/>
      <c r="F20" s="68"/>
      <c r="G20" s="110"/>
      <c r="H20" s="68"/>
      <c r="I20" s="68"/>
      <c r="J20" s="68">
        <f t="shared" si="2"/>
        <v>0</v>
      </c>
      <c r="K20" s="4"/>
    </row>
    <row r="21" spans="1:11" ht="18" customHeight="1">
      <c r="A21" s="134"/>
      <c r="B21" s="243"/>
      <c r="C21" s="64"/>
      <c r="D21" s="64"/>
      <c r="E21" s="68"/>
      <c r="F21" s="68"/>
      <c r="G21" s="110"/>
      <c r="H21" s="68"/>
      <c r="I21" s="68"/>
      <c r="J21" s="68">
        <f t="shared" si="2"/>
        <v>0</v>
      </c>
      <c r="K21" s="4"/>
    </row>
    <row r="22" spans="1:11" ht="18" customHeight="1">
      <c r="A22" s="134"/>
      <c r="B22" s="243"/>
      <c r="C22" s="64"/>
      <c r="D22" s="64"/>
      <c r="E22" s="68"/>
      <c r="F22" s="68"/>
      <c r="G22" s="110"/>
      <c r="H22" s="68"/>
      <c r="I22" s="68"/>
      <c r="J22" s="68">
        <f t="shared" si="2"/>
        <v>0</v>
      </c>
      <c r="K22" s="4"/>
    </row>
    <row r="23" spans="1:11" ht="18" customHeight="1">
      <c r="A23" s="134"/>
      <c r="B23" s="243"/>
      <c r="C23" s="64"/>
      <c r="D23" s="64"/>
      <c r="E23" s="68"/>
      <c r="F23" s="68"/>
      <c r="G23" s="110"/>
      <c r="H23" s="68"/>
      <c r="I23" s="68"/>
      <c r="J23" s="68">
        <f t="shared" si="2"/>
        <v>0</v>
      </c>
      <c r="K23" s="4"/>
    </row>
    <row r="24" spans="1:11" ht="18" customHeight="1">
      <c r="A24" s="134"/>
      <c r="B24" s="243"/>
      <c r="C24" s="64"/>
      <c r="D24" s="64"/>
      <c r="E24" s="68"/>
      <c r="F24" s="68"/>
      <c r="G24" s="110"/>
      <c r="H24" s="68"/>
      <c r="I24" s="68"/>
      <c r="J24" s="68">
        <f t="shared" si="2"/>
        <v>0</v>
      </c>
      <c r="K24" s="4"/>
    </row>
    <row r="25" spans="1:11" ht="18" customHeight="1">
      <c r="A25" s="134"/>
      <c r="B25" s="243"/>
      <c r="C25" s="64"/>
      <c r="D25" s="64"/>
      <c r="E25" s="68"/>
      <c r="F25" s="68"/>
      <c r="G25" s="110"/>
      <c r="H25" s="68"/>
      <c r="I25" s="68"/>
      <c r="J25" s="4">
        <f t="shared" si="2"/>
        <v>0</v>
      </c>
      <c r="K25" s="4"/>
    </row>
    <row r="26" spans="1:11" ht="18" customHeight="1">
      <c r="A26" s="134"/>
      <c r="B26" s="243"/>
      <c r="C26" s="64"/>
      <c r="D26" s="64"/>
      <c r="E26" s="68"/>
      <c r="F26" s="68"/>
      <c r="G26" s="110"/>
      <c r="H26" s="68"/>
      <c r="I26" s="68"/>
      <c r="J26" s="25">
        <f t="shared" si="2"/>
        <v>0</v>
      </c>
      <c r="K26" s="4"/>
    </row>
    <row r="27" spans="1:11" ht="18" customHeight="1">
      <c r="A27" s="134"/>
      <c r="B27" s="130"/>
      <c r="C27" s="64"/>
      <c r="D27" s="64"/>
      <c r="E27" s="68"/>
      <c r="F27" s="68"/>
      <c r="G27" s="110"/>
      <c r="H27" s="68"/>
      <c r="I27" s="68"/>
      <c r="J27" s="25">
        <f t="shared" si="2"/>
        <v>0</v>
      </c>
      <c r="K27" s="4"/>
    </row>
    <row r="28" spans="1:11" ht="18" customHeight="1">
      <c r="A28" s="134"/>
      <c r="B28" s="130"/>
      <c r="C28" s="64"/>
      <c r="D28" s="64"/>
      <c r="E28" s="68"/>
      <c r="F28" s="68"/>
      <c r="G28" s="110"/>
      <c r="H28" s="68"/>
      <c r="I28" s="68"/>
      <c r="J28" s="4">
        <f t="shared" si="2"/>
        <v>0</v>
      </c>
      <c r="K28" s="4"/>
    </row>
    <row r="29" spans="1:11" ht="18" customHeight="1">
      <c r="A29" s="134"/>
      <c r="B29" s="130"/>
      <c r="C29" s="64"/>
      <c r="D29" s="64"/>
      <c r="E29" s="68"/>
      <c r="F29" s="68"/>
      <c r="G29" s="110"/>
      <c r="H29" s="68"/>
      <c r="I29" s="68"/>
      <c r="J29" s="25">
        <f t="shared" si="2"/>
        <v>0</v>
      </c>
      <c r="K29" s="4"/>
    </row>
    <row r="30" spans="1:11" ht="18" customHeight="1">
      <c r="A30" s="134"/>
      <c r="B30" s="130"/>
      <c r="C30" s="64"/>
      <c r="D30" s="64"/>
      <c r="E30" s="65"/>
      <c r="F30" s="65"/>
      <c r="G30" s="135"/>
      <c r="H30" s="65"/>
      <c r="I30" s="65"/>
      <c r="J30" s="49">
        <f t="shared" si="2"/>
        <v>0</v>
      </c>
      <c r="K30" s="4" t="s">
        <v>831</v>
      </c>
    </row>
    <row r="31" spans="1:11" ht="18" customHeight="1">
      <c r="A31" s="134"/>
      <c r="B31" s="130"/>
      <c r="C31" s="64"/>
      <c r="D31" s="64"/>
      <c r="E31" s="68"/>
      <c r="F31" s="68"/>
      <c r="G31" s="110"/>
      <c r="H31" s="68"/>
      <c r="I31" s="68"/>
      <c r="J31" s="25">
        <f t="shared" si="2"/>
        <v>0</v>
      </c>
      <c r="K31" s="4"/>
    </row>
    <row r="32" spans="1:11" ht="18" customHeight="1">
      <c r="A32" s="134"/>
      <c r="B32" s="130"/>
      <c r="C32" s="64"/>
      <c r="D32" s="64"/>
      <c r="E32" s="68"/>
      <c r="F32" s="68"/>
      <c r="G32" s="110"/>
      <c r="H32" s="68"/>
      <c r="I32" s="68"/>
      <c r="J32" s="25">
        <f t="shared" si="2"/>
        <v>0</v>
      </c>
      <c r="K32" s="4"/>
    </row>
    <row r="33" spans="1:11" ht="18" customHeight="1">
      <c r="A33" s="134"/>
      <c r="B33" s="130"/>
      <c r="C33" s="64"/>
      <c r="D33" s="64"/>
      <c r="E33" s="68"/>
      <c r="F33" s="68"/>
      <c r="G33" s="110"/>
      <c r="H33" s="68"/>
      <c r="I33" s="68"/>
      <c r="J33" s="25">
        <f t="shared" si="2"/>
        <v>0</v>
      </c>
      <c r="K33" s="4"/>
    </row>
    <row r="34" spans="1:11" ht="18" customHeight="1">
      <c r="A34" s="134"/>
      <c r="B34" s="130"/>
      <c r="C34" s="64"/>
      <c r="D34" s="64"/>
      <c r="E34" s="68"/>
      <c r="F34" s="68"/>
      <c r="G34" s="110"/>
      <c r="H34" s="244"/>
      <c r="I34" s="68"/>
      <c r="J34" s="4">
        <f t="shared" si="2"/>
        <v>0</v>
      </c>
      <c r="K34" s="4"/>
    </row>
    <row r="35" spans="1:11" ht="18" customHeight="1">
      <c r="A35" s="134"/>
      <c r="B35" s="130"/>
      <c r="C35" s="64"/>
      <c r="D35" s="64"/>
      <c r="E35" s="68"/>
      <c r="F35" s="68"/>
      <c r="G35" s="110"/>
      <c r="H35" s="68"/>
      <c r="I35" s="68"/>
      <c r="J35" s="4">
        <f t="shared" si="2"/>
        <v>0</v>
      </c>
      <c r="K35" s="4"/>
    </row>
    <row r="36" spans="1:11" ht="18" customHeight="1">
      <c r="A36" s="134"/>
      <c r="B36" s="130"/>
      <c r="C36" s="64"/>
      <c r="D36" s="64"/>
      <c r="E36" s="68"/>
      <c r="F36" s="68"/>
      <c r="G36" s="110"/>
      <c r="H36" s="68"/>
      <c r="I36" s="68"/>
      <c r="J36" s="4">
        <f t="shared" si="2"/>
        <v>0</v>
      </c>
      <c r="K36" s="4"/>
    </row>
    <row r="37" spans="1:11" ht="18" customHeight="1">
      <c r="A37" s="134"/>
      <c r="B37" s="130"/>
      <c r="C37" s="64"/>
      <c r="D37" s="64"/>
      <c r="E37" s="68"/>
      <c r="F37" s="68"/>
      <c r="G37" s="110"/>
      <c r="H37" s="68"/>
      <c r="I37" s="68"/>
      <c r="J37" s="4">
        <f t="shared" si="2"/>
        <v>0</v>
      </c>
      <c r="K37" s="4"/>
    </row>
    <row r="38" spans="1:11" ht="18" customHeight="1">
      <c r="A38" s="134"/>
      <c r="B38" s="130"/>
      <c r="C38" s="64"/>
      <c r="D38" s="64"/>
      <c r="E38" s="68"/>
      <c r="F38" s="68"/>
      <c r="G38" s="110"/>
      <c r="H38" s="68"/>
      <c r="I38" s="68"/>
      <c r="J38" s="4">
        <f t="shared" si="2"/>
        <v>0</v>
      </c>
      <c r="K38" s="4"/>
    </row>
    <row r="39" spans="1:11" ht="18" customHeight="1">
      <c r="A39" s="134"/>
      <c r="B39" s="130"/>
      <c r="C39" s="64"/>
      <c r="D39" s="64"/>
      <c r="E39" s="68"/>
      <c r="F39" s="68"/>
      <c r="G39" s="110"/>
      <c r="H39" s="68"/>
      <c r="I39" s="68"/>
      <c r="J39" s="4">
        <f t="shared" si="2"/>
        <v>0</v>
      </c>
      <c r="K39" s="4"/>
    </row>
    <row r="40" spans="1:11" ht="18" customHeight="1">
      <c r="A40" s="134"/>
      <c r="B40" s="130"/>
      <c r="C40" s="64"/>
      <c r="D40" s="64"/>
      <c r="E40" s="68"/>
      <c r="F40" s="68"/>
      <c r="G40" s="110"/>
      <c r="H40" s="68"/>
      <c r="I40" s="68"/>
      <c r="J40" s="4">
        <f t="shared" si="2"/>
        <v>0</v>
      </c>
      <c r="K40" s="4"/>
    </row>
    <row r="41" spans="1:11" ht="18" customHeight="1">
      <c r="A41" s="134"/>
      <c r="B41" s="130"/>
      <c r="C41" s="64"/>
      <c r="D41" s="64"/>
      <c r="E41" s="68"/>
      <c r="F41" s="68"/>
      <c r="G41" s="110"/>
      <c r="H41" s="68"/>
      <c r="I41" s="68"/>
      <c r="J41" s="4">
        <f t="shared" si="2"/>
        <v>0</v>
      </c>
      <c r="K41" s="4"/>
    </row>
    <row r="42" spans="1:11" ht="18" customHeight="1">
      <c r="A42" s="134"/>
      <c r="B42" s="130"/>
      <c r="C42" s="64"/>
      <c r="D42" s="64"/>
      <c r="E42" s="68"/>
      <c r="F42" s="68"/>
      <c r="G42" s="110"/>
      <c r="H42" s="68"/>
      <c r="I42" s="68"/>
      <c r="J42" s="4">
        <f t="shared" si="2"/>
        <v>0</v>
      </c>
      <c r="K42" s="4"/>
    </row>
    <row r="43" spans="1:11" ht="18" customHeight="1">
      <c r="A43" s="134"/>
      <c r="B43" s="130"/>
      <c r="C43" s="64"/>
      <c r="D43" s="64"/>
      <c r="E43" s="68"/>
      <c r="F43" s="68"/>
      <c r="G43" s="110"/>
      <c r="H43" s="68"/>
      <c r="I43" s="68"/>
      <c r="J43" s="4">
        <f t="shared" si="2"/>
        <v>0</v>
      </c>
      <c r="K43" s="4"/>
    </row>
    <row r="44" spans="1:11" ht="18" customHeight="1">
      <c r="A44" s="134"/>
      <c r="B44" s="130"/>
      <c r="C44" s="64"/>
      <c r="D44" s="64"/>
      <c r="E44" s="68"/>
      <c r="F44" s="68"/>
      <c r="G44" s="110"/>
      <c r="H44" s="68"/>
      <c r="I44" s="68"/>
      <c r="J44" s="4">
        <f t="shared" si="2"/>
        <v>0</v>
      </c>
      <c r="K44" s="4"/>
    </row>
    <row r="45" spans="1:11" ht="18" customHeight="1">
      <c r="A45" s="134"/>
      <c r="B45" s="130"/>
      <c r="C45" s="64"/>
      <c r="D45" s="64"/>
      <c r="E45" s="68"/>
      <c r="F45" s="68"/>
      <c r="G45" s="110"/>
      <c r="H45" s="68"/>
      <c r="I45" s="68"/>
      <c r="J45" s="4">
        <f t="shared" si="2"/>
        <v>0</v>
      </c>
      <c r="K45" s="4"/>
    </row>
    <row r="46" spans="1:11" ht="18" customHeight="1">
      <c r="A46" s="134"/>
      <c r="B46" s="130"/>
      <c r="C46" s="64"/>
      <c r="D46" s="64"/>
      <c r="E46" s="68"/>
      <c r="F46" s="68"/>
      <c r="G46" s="110"/>
      <c r="H46" s="68"/>
      <c r="I46" s="68"/>
      <c r="J46" s="4">
        <f t="shared" si="2"/>
        <v>0</v>
      </c>
      <c r="K46" s="4"/>
    </row>
    <row r="47" spans="1:11" ht="18" customHeight="1">
      <c r="A47" s="134"/>
      <c r="B47" s="130"/>
      <c r="C47" s="64"/>
      <c r="D47" s="64"/>
      <c r="E47" s="68"/>
      <c r="F47" s="68"/>
      <c r="G47" s="110"/>
      <c r="H47" s="68"/>
      <c r="I47" s="68"/>
      <c r="J47" s="4">
        <f t="shared" si="2"/>
        <v>0</v>
      </c>
      <c r="K47" s="4"/>
    </row>
    <row r="48" spans="1:11" ht="18" customHeight="1">
      <c r="A48" s="134"/>
      <c r="B48" s="130"/>
      <c r="C48" s="64"/>
      <c r="D48" s="64"/>
      <c r="E48" s="68"/>
      <c r="F48" s="68"/>
      <c r="G48" s="110"/>
      <c r="H48" s="68"/>
      <c r="I48" s="68"/>
      <c r="J48" s="68">
        <f t="shared" si="2"/>
        <v>0</v>
      </c>
      <c r="K48" s="4"/>
    </row>
    <row r="49" spans="1:11" ht="18" customHeight="1">
      <c r="A49" s="134"/>
      <c r="B49" s="130"/>
      <c r="C49" s="64"/>
      <c r="D49" s="64"/>
      <c r="E49" s="68"/>
      <c r="F49" s="68"/>
      <c r="G49" s="110"/>
      <c r="H49" s="68"/>
      <c r="I49" s="68"/>
      <c r="J49" s="4">
        <f t="shared" si="2"/>
        <v>0</v>
      </c>
      <c r="K49" s="4"/>
    </row>
    <row r="50" spans="1:11" ht="18" customHeight="1">
      <c r="A50" s="134"/>
      <c r="B50" s="130"/>
      <c r="C50" s="64"/>
      <c r="D50" s="64"/>
      <c r="E50" s="68"/>
      <c r="F50" s="68"/>
      <c r="G50" s="110"/>
      <c r="H50" s="68"/>
      <c r="I50" s="68"/>
      <c r="J50" s="4">
        <f t="shared" si="2"/>
        <v>0</v>
      </c>
      <c r="K50" s="4"/>
    </row>
    <row r="51" spans="1:11" ht="18" customHeight="1">
      <c r="A51" s="134"/>
      <c r="B51" s="130"/>
      <c r="C51" s="64"/>
      <c r="D51" s="64"/>
      <c r="E51" s="68"/>
      <c r="F51" s="68"/>
      <c r="G51" s="110"/>
      <c r="H51" s="68"/>
      <c r="I51" s="68"/>
      <c r="J51" s="4">
        <f t="shared" si="2"/>
        <v>0</v>
      </c>
      <c r="K51" s="4"/>
    </row>
    <row r="52" spans="1:11" ht="18" customHeight="1">
      <c r="A52" s="134"/>
      <c r="B52" s="130"/>
      <c r="C52" s="64"/>
      <c r="D52" s="64"/>
      <c r="E52" s="68"/>
      <c r="F52" s="68"/>
      <c r="G52" s="110"/>
      <c r="H52" s="68"/>
      <c r="I52" s="68"/>
      <c r="J52" s="4">
        <f t="shared" si="2"/>
        <v>0</v>
      </c>
      <c r="K52" s="4"/>
    </row>
    <row r="53" spans="1:11" s="15" customFormat="1" ht="18" customHeight="1">
      <c r="A53" s="319"/>
      <c r="B53" s="320"/>
      <c r="C53" s="64"/>
      <c r="D53" s="64"/>
      <c r="E53" s="65"/>
      <c r="F53" s="65"/>
      <c r="G53" s="135"/>
      <c r="H53" s="65"/>
      <c r="I53" s="65"/>
      <c r="J53" s="14">
        <f t="shared" ref="J53" si="4">SUM(J11:J52)</f>
        <v>22050</v>
      </c>
      <c r="K53" s="14"/>
    </row>
    <row r="54" spans="1:11" ht="18" customHeight="1">
      <c r="A54" s="134"/>
      <c r="B54" s="64"/>
      <c r="C54" s="64"/>
      <c r="D54" s="64"/>
      <c r="E54" s="65"/>
      <c r="F54" s="65"/>
      <c r="G54" s="135"/>
      <c r="H54" s="65"/>
      <c r="I54" s="65"/>
      <c r="J54" s="49"/>
      <c r="K54" s="4"/>
    </row>
    <row r="55" spans="1:11" ht="18" customHeight="1">
      <c r="A55" s="134"/>
      <c r="B55" s="130"/>
      <c r="C55" s="130"/>
      <c r="D55" s="130"/>
      <c r="E55" s="68"/>
      <c r="F55" s="68"/>
      <c r="G55" s="67"/>
      <c r="H55" s="68"/>
      <c r="I55" s="68"/>
      <c r="J55" s="49">
        <f>+E54-H55</f>
        <v>0</v>
      </c>
      <c r="K55" s="4"/>
    </row>
    <row r="56" spans="1:11" ht="18" customHeight="1">
      <c r="A56" s="134"/>
      <c r="B56" s="130"/>
      <c r="C56" s="130"/>
      <c r="D56" s="130"/>
      <c r="E56" s="68"/>
      <c r="F56" s="68"/>
      <c r="G56" s="67"/>
      <c r="H56" s="68"/>
      <c r="I56" s="68"/>
      <c r="J56" s="49">
        <f>J55-H56</f>
        <v>0</v>
      </c>
      <c r="K56" s="4"/>
    </row>
    <row r="57" spans="1:11" ht="18" customHeight="1">
      <c r="A57" s="134"/>
      <c r="B57" s="130"/>
      <c r="C57" s="130"/>
      <c r="D57" s="130"/>
      <c r="E57" s="68"/>
      <c r="F57" s="68"/>
      <c r="G57" s="67"/>
      <c r="H57" s="68"/>
      <c r="I57" s="68"/>
      <c r="J57" s="49">
        <f t="shared" ref="J57:J58" si="5">J56-H57</f>
        <v>0</v>
      </c>
      <c r="K57" s="4"/>
    </row>
    <row r="58" spans="1:11" ht="18" customHeight="1">
      <c r="A58" s="134"/>
      <c r="B58" s="130"/>
      <c r="C58" s="130"/>
      <c r="D58" s="130"/>
      <c r="E58" s="68"/>
      <c r="F58" s="68"/>
      <c r="G58" s="67"/>
      <c r="H58" s="68"/>
      <c r="I58" s="68"/>
      <c r="J58" s="49">
        <f t="shared" si="5"/>
        <v>0</v>
      </c>
      <c r="K58" s="4"/>
    </row>
    <row r="59" spans="1:11" ht="18" customHeight="1">
      <c r="A59" s="245"/>
      <c r="B59" s="130"/>
      <c r="C59" s="130"/>
      <c r="D59" s="130"/>
      <c r="E59" s="68"/>
      <c r="F59" s="68"/>
      <c r="G59" s="110"/>
      <c r="H59" s="68"/>
      <c r="I59" s="68"/>
      <c r="J59" s="4"/>
      <c r="K59" s="4"/>
    </row>
    <row r="60" spans="1:11" ht="18" customHeight="1">
      <c r="A60" s="134"/>
      <c r="B60" s="130"/>
      <c r="C60" s="130"/>
      <c r="D60" s="130"/>
      <c r="E60" s="68"/>
      <c r="F60" s="68"/>
      <c r="G60" s="135"/>
      <c r="H60" s="65"/>
      <c r="I60" s="65"/>
      <c r="J60" s="49"/>
      <c r="K60" s="49"/>
    </row>
    <row r="61" spans="1:11" ht="18" customHeight="1">
      <c r="A61" s="134"/>
      <c r="B61" s="130"/>
      <c r="C61" s="130"/>
      <c r="D61" s="130"/>
      <c r="E61" s="68"/>
      <c r="F61" s="68"/>
      <c r="G61" s="110"/>
      <c r="H61" s="68"/>
      <c r="I61" s="68"/>
      <c r="J61" s="49"/>
      <c r="K61" s="4"/>
    </row>
    <row r="62" spans="1:11" ht="18" customHeight="1">
      <c r="A62" s="134"/>
      <c r="B62" s="130"/>
      <c r="C62" s="130"/>
      <c r="D62" s="130"/>
      <c r="E62" s="68"/>
      <c r="F62" s="68"/>
      <c r="G62" s="110"/>
      <c r="H62" s="68"/>
      <c r="I62" s="68"/>
      <c r="J62" s="49"/>
      <c r="K62" s="4"/>
    </row>
    <row r="63" spans="1:11" ht="18" customHeight="1">
      <c r="A63" s="134"/>
      <c r="B63" s="130"/>
      <c r="C63" s="130"/>
      <c r="D63" s="130"/>
      <c r="E63" s="68"/>
      <c r="F63" s="68"/>
      <c r="G63" s="110"/>
      <c r="H63" s="68"/>
      <c r="I63" s="68"/>
      <c r="J63" s="49"/>
      <c r="K63" s="4"/>
    </row>
    <row r="64" spans="1:11" ht="18" customHeight="1">
      <c r="A64" s="134"/>
      <c r="B64" s="130"/>
      <c r="C64" s="130"/>
      <c r="D64" s="130"/>
      <c r="E64" s="68"/>
      <c r="F64" s="68"/>
      <c r="G64" s="110"/>
      <c r="H64" s="68"/>
      <c r="I64" s="68"/>
      <c r="J64" s="4"/>
      <c r="K64" s="4"/>
    </row>
    <row r="65" spans="1:11" ht="18" customHeight="1">
      <c r="A65" s="134"/>
      <c r="B65" s="130"/>
      <c r="C65" s="130"/>
      <c r="D65" s="130"/>
      <c r="E65" s="68"/>
      <c r="F65" s="68"/>
      <c r="G65" s="110"/>
      <c r="H65" s="68"/>
      <c r="I65" s="68"/>
      <c r="J65" s="4"/>
      <c r="K65" s="4"/>
    </row>
    <row r="66" spans="1:11" ht="18" customHeight="1">
      <c r="A66" s="134"/>
      <c r="B66" s="64"/>
      <c r="C66" s="64"/>
      <c r="D66" s="64"/>
      <c r="E66" s="65"/>
      <c r="F66" s="65"/>
      <c r="G66" s="135"/>
      <c r="H66" s="65"/>
      <c r="I66" s="65"/>
      <c r="J66" s="57"/>
      <c r="K66" s="57"/>
    </row>
    <row r="67" spans="1:11" ht="18" customHeight="1">
      <c r="A67" s="134"/>
      <c r="B67" s="130"/>
      <c r="C67" s="130"/>
      <c r="D67" s="130"/>
      <c r="E67" s="68"/>
      <c r="F67" s="68"/>
      <c r="G67" s="110"/>
      <c r="H67" s="68"/>
      <c r="I67" s="68"/>
      <c r="J67" s="4"/>
      <c r="K67" s="4"/>
    </row>
    <row r="68" spans="1:11" ht="18" customHeight="1">
      <c r="A68" s="134"/>
      <c r="B68" s="130"/>
      <c r="C68" s="130"/>
      <c r="D68" s="130"/>
      <c r="E68" s="68"/>
      <c r="F68" s="68"/>
      <c r="G68" s="110"/>
      <c r="H68" s="68"/>
      <c r="I68" s="68"/>
      <c r="J68" s="4"/>
      <c r="K68" s="4"/>
    </row>
    <row r="69" spans="1:11" ht="18" customHeight="1">
      <c r="A69" s="134"/>
      <c r="B69" s="130"/>
      <c r="C69" s="130"/>
      <c r="D69" s="130"/>
      <c r="E69" s="68"/>
      <c r="F69" s="68"/>
      <c r="G69" s="110"/>
      <c r="H69" s="68"/>
      <c r="I69" s="68"/>
      <c r="J69" s="4"/>
      <c r="K69" s="4"/>
    </row>
    <row r="70" spans="1:11" ht="18" customHeight="1">
      <c r="A70" s="134"/>
      <c r="B70" s="130"/>
      <c r="C70" s="130"/>
      <c r="D70" s="130"/>
      <c r="E70" s="68"/>
      <c r="F70" s="68"/>
      <c r="G70" s="110"/>
      <c r="H70" s="68"/>
      <c r="I70" s="68"/>
      <c r="J70" s="4"/>
      <c r="K70" s="4"/>
    </row>
    <row r="71" spans="1:11" ht="18" customHeight="1">
      <c r="A71" s="134"/>
      <c r="B71" s="130"/>
      <c r="C71" s="130"/>
      <c r="D71" s="130"/>
      <c r="E71" s="68"/>
      <c r="F71" s="68"/>
      <c r="G71" s="110"/>
      <c r="H71" s="68"/>
      <c r="I71" s="68"/>
      <c r="J71" s="4"/>
      <c r="K71" s="4"/>
    </row>
    <row r="72" spans="1:11" ht="18" customHeight="1">
      <c r="A72" s="134"/>
      <c r="B72" s="130"/>
      <c r="C72" s="130"/>
      <c r="D72" s="130"/>
      <c r="E72" s="68"/>
      <c r="F72" s="68"/>
      <c r="G72" s="110"/>
      <c r="H72" s="68"/>
      <c r="I72" s="68"/>
      <c r="J72" s="4"/>
      <c r="K72" s="4"/>
    </row>
    <row r="73" spans="1:11" ht="18" customHeight="1">
      <c r="A73" s="134"/>
      <c r="B73" s="130"/>
      <c r="C73" s="130"/>
      <c r="D73" s="130"/>
      <c r="E73" s="68"/>
      <c r="F73" s="68"/>
      <c r="G73" s="110"/>
      <c r="H73" s="68"/>
      <c r="I73" s="68"/>
      <c r="J73" s="4"/>
      <c r="K73" s="4"/>
    </row>
    <row r="74" spans="1:11" ht="18" customHeight="1">
      <c r="A74" s="134"/>
      <c r="B74" s="130"/>
      <c r="C74" s="130"/>
      <c r="D74" s="130"/>
      <c r="E74" s="68"/>
      <c r="F74" s="68"/>
      <c r="G74" s="110"/>
      <c r="H74" s="68"/>
      <c r="I74" s="68"/>
      <c r="J74" s="4"/>
      <c r="K74" s="4"/>
    </row>
    <row r="75" spans="1:11" ht="18" customHeight="1">
      <c r="A75" s="134"/>
      <c r="B75" s="130"/>
      <c r="C75" s="130"/>
      <c r="D75" s="130"/>
      <c r="E75" s="68"/>
      <c r="F75" s="68"/>
      <c r="G75" s="110"/>
      <c r="H75" s="68"/>
      <c r="I75" s="68"/>
      <c r="J75" s="4"/>
      <c r="K75" s="4"/>
    </row>
    <row r="76" spans="1:11" ht="18" customHeight="1">
      <c r="A76" s="134"/>
      <c r="B76" s="130"/>
      <c r="C76" s="130"/>
      <c r="D76" s="130"/>
      <c r="E76" s="68"/>
      <c r="F76" s="68"/>
      <c r="G76" s="110"/>
      <c r="H76" s="68"/>
      <c r="I76" s="68"/>
      <c r="J76" s="4"/>
      <c r="K76" s="4"/>
    </row>
    <row r="77" spans="1:11" ht="18" customHeight="1">
      <c r="A77" s="134"/>
      <c r="B77" s="130"/>
      <c r="C77" s="130"/>
      <c r="D77" s="130"/>
      <c r="E77" s="68"/>
      <c r="F77" s="68"/>
      <c r="G77" s="110"/>
      <c r="H77" s="68"/>
      <c r="I77" s="68"/>
      <c r="J77" s="4"/>
      <c r="K77" s="4"/>
    </row>
    <row r="78" spans="1:11" ht="18" customHeight="1">
      <c r="A78" s="134"/>
      <c r="B78" s="130"/>
      <c r="C78" s="130"/>
      <c r="D78" s="130"/>
      <c r="E78" s="68"/>
      <c r="F78" s="68"/>
      <c r="G78" s="110"/>
      <c r="H78" s="68"/>
      <c r="I78" s="68"/>
      <c r="J78" s="4"/>
      <c r="K78" s="4"/>
    </row>
    <row r="79" spans="1:11" ht="18" customHeight="1">
      <c r="A79" s="134"/>
      <c r="B79" s="130"/>
      <c r="C79" s="130"/>
      <c r="D79" s="130"/>
      <c r="E79" s="68"/>
      <c r="F79" s="68"/>
      <c r="G79" s="110"/>
      <c r="H79" s="68"/>
      <c r="I79" s="68"/>
      <c r="J79" s="4"/>
      <c r="K79" s="4"/>
    </row>
    <row r="80" spans="1:11" ht="18" customHeight="1">
      <c r="A80" s="134"/>
      <c r="B80" s="130"/>
      <c r="C80" s="130"/>
      <c r="D80" s="130"/>
      <c r="E80" s="68"/>
      <c r="F80" s="68"/>
      <c r="G80" s="110"/>
      <c r="H80" s="68"/>
      <c r="I80" s="68"/>
      <c r="J80" s="4"/>
      <c r="K80" s="4"/>
    </row>
    <row r="81" spans="1:11" ht="18" customHeight="1">
      <c r="A81" s="134"/>
      <c r="B81" s="130"/>
      <c r="C81" s="130"/>
      <c r="D81" s="130"/>
      <c r="E81" s="68"/>
      <c r="F81" s="68"/>
      <c r="G81" s="110"/>
      <c r="H81" s="68"/>
      <c r="I81" s="68"/>
      <c r="J81" s="4"/>
      <c r="K81" s="4"/>
    </row>
    <row r="82" spans="1:11" ht="18" customHeight="1">
      <c r="A82" s="134"/>
      <c r="B82" s="130"/>
      <c r="C82" s="130"/>
      <c r="D82" s="130"/>
      <c r="E82" s="68"/>
      <c r="F82" s="68"/>
      <c r="G82" s="110"/>
      <c r="H82" s="68"/>
      <c r="I82" s="68"/>
      <c r="J82" s="4"/>
      <c r="K82" s="4"/>
    </row>
    <row r="83" spans="1:11" ht="18" customHeight="1">
      <c r="A83" s="134"/>
      <c r="B83" s="130"/>
      <c r="C83" s="130"/>
      <c r="D83" s="130"/>
      <c r="E83" s="68"/>
      <c r="F83" s="68"/>
      <c r="G83" s="110"/>
      <c r="H83" s="68"/>
      <c r="I83" s="68"/>
      <c r="J83" s="4"/>
      <c r="K83" s="4"/>
    </row>
    <row r="84" spans="1:11" ht="18" customHeight="1">
      <c r="A84" s="134"/>
      <c r="B84" s="130"/>
      <c r="C84" s="130"/>
      <c r="D84" s="130"/>
      <c r="E84" s="68"/>
      <c r="F84" s="68"/>
      <c r="G84" s="110"/>
      <c r="H84" s="68"/>
      <c r="I84" s="68"/>
      <c r="J84" s="4"/>
      <c r="K84" s="4"/>
    </row>
    <row r="85" spans="1:11" ht="18" customHeight="1">
      <c r="A85" s="134"/>
      <c r="B85" s="130"/>
      <c r="C85" s="130"/>
      <c r="D85" s="130"/>
      <c r="E85" s="68"/>
      <c r="F85" s="68"/>
      <c r="G85" s="110"/>
      <c r="H85" s="68"/>
      <c r="I85" s="68"/>
      <c r="J85" s="4"/>
      <c r="K85" s="4"/>
    </row>
    <row r="86" spans="1:11" ht="18" customHeight="1">
      <c r="A86" s="134"/>
      <c r="B86" s="130"/>
      <c r="C86" s="130"/>
      <c r="D86" s="130"/>
      <c r="E86" s="68"/>
      <c r="F86" s="68"/>
      <c r="G86" s="110"/>
      <c r="H86" s="68"/>
      <c r="I86" s="68"/>
      <c r="J86" s="4"/>
      <c r="K86" s="4"/>
    </row>
    <row r="87" spans="1:11" ht="18" customHeight="1">
      <c r="A87" s="134"/>
      <c r="B87" s="130"/>
      <c r="C87" s="130"/>
      <c r="D87" s="130"/>
      <c r="E87" s="68"/>
      <c r="F87" s="68"/>
      <c r="G87" s="110"/>
      <c r="H87" s="68"/>
      <c r="I87" s="68"/>
      <c r="J87" s="4"/>
      <c r="K87" s="4"/>
    </row>
    <row r="88" spans="1:11" ht="18" customHeight="1">
      <c r="A88" s="134"/>
      <c r="B88" s="130"/>
      <c r="C88" s="130"/>
      <c r="D88" s="130"/>
      <c r="E88" s="68"/>
      <c r="F88" s="68"/>
      <c r="G88" s="110"/>
      <c r="H88" s="68"/>
      <c r="I88" s="68"/>
      <c r="J88" s="4"/>
      <c r="K88" s="4"/>
    </row>
    <row r="89" spans="1:11" ht="18" customHeight="1">
      <c r="A89" s="134"/>
      <c r="B89" s="130"/>
      <c r="C89" s="130"/>
      <c r="D89" s="130"/>
      <c r="E89" s="68"/>
      <c r="F89" s="68"/>
      <c r="G89" s="110"/>
      <c r="H89" s="68"/>
      <c r="I89" s="68"/>
      <c r="J89" s="4"/>
      <c r="K89" s="4"/>
    </row>
    <row r="90" spans="1:11" ht="18" customHeight="1">
      <c r="A90" s="134"/>
      <c r="B90" s="130"/>
      <c r="C90" s="130"/>
      <c r="D90" s="130"/>
      <c r="E90" s="68"/>
      <c r="F90" s="68"/>
      <c r="G90" s="110"/>
      <c r="H90" s="68"/>
      <c r="I90" s="68"/>
      <c r="J90" s="4"/>
      <c r="K90" s="4"/>
    </row>
    <row r="91" spans="1:11" ht="18" customHeight="1">
      <c r="A91" s="134"/>
      <c r="B91" s="130"/>
      <c r="C91" s="130"/>
      <c r="D91" s="130"/>
      <c r="E91" s="68"/>
      <c r="F91" s="68"/>
      <c r="G91" s="110"/>
      <c r="H91" s="68"/>
      <c r="I91" s="68"/>
      <c r="J91" s="4"/>
      <c r="K91" s="4"/>
    </row>
    <row r="92" spans="1:11" ht="18" customHeight="1">
      <c r="A92" s="134"/>
      <c r="B92" s="130"/>
      <c r="C92" s="130"/>
      <c r="D92" s="130"/>
      <c r="E92" s="68"/>
      <c r="F92" s="68"/>
      <c r="G92" s="110"/>
      <c r="H92" s="68"/>
      <c r="I92" s="68"/>
      <c r="J92" s="4"/>
      <c r="K92" s="4"/>
    </row>
    <row r="93" spans="1:11" ht="18" customHeight="1">
      <c r="A93" s="134"/>
      <c r="B93" s="130"/>
      <c r="C93" s="130"/>
      <c r="D93" s="130"/>
      <c r="E93" s="68"/>
      <c r="F93" s="68"/>
      <c r="G93" s="110"/>
      <c r="H93" s="68"/>
      <c r="I93" s="68"/>
      <c r="J93" s="4"/>
      <c r="K93" s="4"/>
    </row>
    <row r="94" spans="1:11" ht="18" customHeight="1">
      <c r="A94" s="18"/>
      <c r="B94" s="2"/>
      <c r="C94" s="2"/>
      <c r="D94" s="2"/>
      <c r="E94" s="4"/>
      <c r="F94" s="4"/>
      <c r="G94" s="21"/>
      <c r="H94" s="4"/>
      <c r="I94" s="4"/>
      <c r="J94" s="4"/>
      <c r="K94" s="4"/>
    </row>
    <row r="95" spans="1:11" ht="18" customHeight="1">
      <c r="A95" s="18"/>
      <c r="B95" s="2"/>
      <c r="C95" s="2"/>
      <c r="D95" s="2"/>
      <c r="E95" s="4"/>
      <c r="F95" s="4"/>
      <c r="G95" s="21"/>
      <c r="H95" s="4"/>
      <c r="I95" s="4"/>
      <c r="J95" s="4"/>
      <c r="K95" s="4"/>
    </row>
    <row r="96" spans="1:11" ht="18" customHeight="1">
      <c r="A96" s="18"/>
      <c r="B96" s="2"/>
      <c r="C96" s="2"/>
      <c r="D96" s="2"/>
      <c r="E96" s="4"/>
      <c r="F96" s="4"/>
      <c r="G96" s="21"/>
      <c r="H96" s="4"/>
      <c r="I96" s="4"/>
      <c r="J96" s="4"/>
      <c r="K96" s="4"/>
    </row>
    <row r="97" spans="1:11" ht="18" customHeight="1">
      <c r="A97" s="18"/>
      <c r="B97" s="2"/>
      <c r="C97" s="2"/>
      <c r="D97" s="2"/>
      <c r="E97" s="4"/>
      <c r="F97" s="4"/>
      <c r="G97" s="21"/>
      <c r="H97" s="4"/>
      <c r="I97" s="4"/>
      <c r="J97" s="4"/>
      <c r="K97" s="4"/>
    </row>
    <row r="98" spans="1:11" ht="18" customHeight="1">
      <c r="A98" s="281" t="s">
        <v>0</v>
      </c>
      <c r="B98" s="282"/>
      <c r="C98" s="240"/>
      <c r="D98" s="240"/>
      <c r="E98" s="5">
        <f>SUM(E6:E97)</f>
        <v>30000</v>
      </c>
      <c r="F98" s="5">
        <f>SUM(F6:F97)</f>
        <v>527000</v>
      </c>
      <c r="G98" s="23"/>
      <c r="H98" s="5">
        <f>SUM(H6:H97)</f>
        <v>7950</v>
      </c>
      <c r="I98" s="5">
        <f>SUM(I6:I97)</f>
        <v>0</v>
      </c>
      <c r="J98" s="5"/>
      <c r="K98" s="5"/>
    </row>
    <row r="99" spans="1:11" s="6" customFormat="1" ht="24.75" customHeight="1">
      <c r="A99" s="16"/>
      <c r="B99" s="1"/>
      <c r="C99" s="1"/>
      <c r="D99" s="1"/>
      <c r="E99" s="3"/>
      <c r="F99" s="3"/>
      <c r="G99" s="19"/>
      <c r="H99" s="3"/>
      <c r="I99" s="3"/>
      <c r="J99" s="3"/>
      <c r="K99" s="3"/>
    </row>
    <row r="100" spans="1:11">
      <c r="F100" s="270" t="s">
        <v>1</v>
      </c>
      <c r="G100" s="270"/>
      <c r="H100" s="270"/>
      <c r="I100" s="270"/>
      <c r="J100" s="1"/>
      <c r="K100" s="8"/>
    </row>
    <row r="103" spans="1:11">
      <c r="F103" s="271"/>
      <c r="G103" s="271"/>
      <c r="H103" s="271"/>
      <c r="I103" s="271"/>
      <c r="J103" s="1"/>
      <c r="K103" s="1"/>
    </row>
  </sheetData>
  <mergeCells count="14">
    <mergeCell ref="A10:B10"/>
    <mergeCell ref="A53:B53"/>
    <mergeCell ref="A98:B98"/>
    <mergeCell ref="F100:I100"/>
    <mergeCell ref="F103:I103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3"/>
  <sheetViews>
    <sheetView workbookViewId="0">
      <pane ySplit="5" topLeftCell="A11" activePane="bottomLeft" state="frozen"/>
      <selection pane="bottomLeft" activeCell="H15" sqref="H15"/>
    </sheetView>
  </sheetViews>
  <sheetFormatPr defaultRowHeight="15"/>
  <cols>
    <col min="1" max="1" width="11.85546875" style="16" customWidth="1"/>
    <col min="2" max="2" width="17.28515625" style="1" customWidth="1"/>
    <col min="3" max="3" width="17.7109375" style="1" customWidth="1"/>
    <col min="4" max="4" width="27.14062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844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241" t="s">
        <v>9</v>
      </c>
      <c r="F5" s="241" t="s">
        <v>5</v>
      </c>
      <c r="G5" s="20" t="s">
        <v>14</v>
      </c>
      <c r="H5" s="241" t="s">
        <v>9</v>
      </c>
      <c r="I5" s="241" t="s">
        <v>5</v>
      </c>
      <c r="J5" s="241" t="s">
        <v>9</v>
      </c>
      <c r="K5" s="241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34" t="s">
        <v>29</v>
      </c>
      <c r="B11" s="64" t="s">
        <v>845</v>
      </c>
      <c r="C11" s="64" t="s">
        <v>846</v>
      </c>
      <c r="D11" s="64" t="s">
        <v>847</v>
      </c>
      <c r="E11" s="68">
        <v>4000</v>
      </c>
      <c r="F11" s="68">
        <v>35000</v>
      </c>
      <c r="G11" s="67"/>
      <c r="H11" s="68">
        <f>500+400+500+600+300</f>
        <v>2300</v>
      </c>
      <c r="I11" s="68"/>
      <c r="J11" s="68">
        <f>+E11-H11</f>
        <v>1700</v>
      </c>
      <c r="K11" s="4"/>
    </row>
    <row r="12" spans="1:11" ht="18" customHeight="1">
      <c r="A12" s="134"/>
      <c r="B12" s="64"/>
      <c r="C12" s="64"/>
      <c r="D12" s="64" t="s">
        <v>848</v>
      </c>
      <c r="E12" s="68">
        <v>1250</v>
      </c>
      <c r="F12" s="68">
        <v>210000</v>
      </c>
      <c r="G12" s="67"/>
      <c r="H12" s="68">
        <f>60+100+100+100</f>
        <v>360</v>
      </c>
      <c r="I12" s="68"/>
      <c r="J12" s="68">
        <f t="shared" ref="J12:J52" si="2">+E12-H12</f>
        <v>890</v>
      </c>
      <c r="K12" s="4"/>
    </row>
    <row r="13" spans="1:11" ht="18" customHeight="1">
      <c r="A13" s="134"/>
      <c r="B13" s="130"/>
      <c r="C13" s="64"/>
      <c r="D13" s="64" t="s">
        <v>849</v>
      </c>
      <c r="E13" s="68">
        <v>1250</v>
      </c>
      <c r="F13" s="68">
        <v>147000</v>
      </c>
      <c r="G13" s="67"/>
      <c r="H13" s="68">
        <f>60+60+100+100+100+100</f>
        <v>520</v>
      </c>
      <c r="I13" s="68"/>
      <c r="J13" s="68">
        <f t="shared" si="2"/>
        <v>730</v>
      </c>
      <c r="K13" s="4"/>
    </row>
    <row r="14" spans="1:11" ht="18" customHeight="1">
      <c r="A14" s="134"/>
      <c r="B14" s="64"/>
      <c r="C14" s="64"/>
      <c r="D14" s="64" t="s">
        <v>850</v>
      </c>
      <c r="E14" s="68">
        <v>1500</v>
      </c>
      <c r="F14" s="68">
        <v>20000</v>
      </c>
      <c r="G14" s="110"/>
      <c r="H14" s="68">
        <f>150+100+200+200+200</f>
        <v>850</v>
      </c>
      <c r="I14" s="68"/>
      <c r="J14" s="68">
        <f t="shared" si="2"/>
        <v>650</v>
      </c>
      <c r="K14" s="4"/>
    </row>
    <row r="15" spans="1:11" ht="18" customHeight="1">
      <c r="A15" s="134"/>
      <c r="B15" s="130"/>
      <c r="C15" s="64"/>
      <c r="D15" s="64"/>
      <c r="E15" s="68"/>
      <c r="F15" s="68"/>
      <c r="G15" s="110"/>
      <c r="H15" s="68"/>
      <c r="I15" s="68"/>
      <c r="J15" s="68">
        <f t="shared" si="2"/>
        <v>0</v>
      </c>
      <c r="K15" s="4"/>
    </row>
    <row r="16" spans="1:11" ht="18" customHeight="1">
      <c r="A16" s="134"/>
      <c r="B16" s="130"/>
      <c r="C16" s="64"/>
      <c r="D16" s="64"/>
      <c r="E16" s="68"/>
      <c r="F16" s="68"/>
      <c r="G16" s="110"/>
      <c r="H16" s="68"/>
      <c r="I16" s="68"/>
      <c r="J16" s="68">
        <f t="shared" si="2"/>
        <v>0</v>
      </c>
      <c r="K16" s="4">
        <f t="shared" ref="K16:K19" si="3">F16</f>
        <v>0</v>
      </c>
    </row>
    <row r="17" spans="1:11" ht="18" customHeight="1">
      <c r="A17" s="134"/>
      <c r="B17" s="130"/>
      <c r="C17" s="64"/>
      <c r="D17" s="64"/>
      <c r="E17" s="68"/>
      <c r="F17" s="68"/>
      <c r="G17" s="110"/>
      <c r="H17" s="68"/>
      <c r="I17" s="68"/>
      <c r="J17" s="68">
        <f t="shared" si="2"/>
        <v>0</v>
      </c>
      <c r="K17" s="4"/>
    </row>
    <row r="18" spans="1:11" ht="18" customHeight="1">
      <c r="A18" s="134"/>
      <c r="B18" s="130"/>
      <c r="C18" s="64"/>
      <c r="D18" s="64"/>
      <c r="E18" s="68"/>
      <c r="F18" s="68"/>
      <c r="G18" s="110"/>
      <c r="H18" s="68"/>
      <c r="I18" s="68"/>
      <c r="J18" s="68">
        <f t="shared" si="2"/>
        <v>0</v>
      </c>
      <c r="K18" s="4"/>
    </row>
    <row r="19" spans="1:11" ht="18" customHeight="1">
      <c r="A19" s="134"/>
      <c r="B19" s="130"/>
      <c r="C19" s="64"/>
      <c r="D19" s="64"/>
      <c r="E19" s="68"/>
      <c r="F19" s="68"/>
      <c r="G19" s="110"/>
      <c r="H19" s="68"/>
      <c r="I19" s="68"/>
      <c r="J19" s="68">
        <f t="shared" si="2"/>
        <v>0</v>
      </c>
      <c r="K19" s="4">
        <f t="shared" si="3"/>
        <v>0</v>
      </c>
    </row>
    <row r="20" spans="1:11" ht="18" customHeight="1">
      <c r="A20" s="134"/>
      <c r="B20" s="243"/>
      <c r="C20" s="64"/>
      <c r="D20" s="64"/>
      <c r="E20" s="68"/>
      <c r="F20" s="68"/>
      <c r="G20" s="110"/>
      <c r="H20" s="68"/>
      <c r="I20" s="68"/>
      <c r="J20" s="68">
        <f t="shared" si="2"/>
        <v>0</v>
      </c>
      <c r="K20" s="4"/>
    </row>
    <row r="21" spans="1:11" ht="18" customHeight="1">
      <c r="A21" s="134"/>
      <c r="B21" s="243"/>
      <c r="C21" s="64"/>
      <c r="D21" s="64"/>
      <c r="E21" s="68"/>
      <c r="F21" s="68"/>
      <c r="G21" s="110"/>
      <c r="H21" s="68"/>
      <c r="I21" s="68"/>
      <c r="J21" s="68">
        <f t="shared" si="2"/>
        <v>0</v>
      </c>
      <c r="K21" s="4"/>
    </row>
    <row r="22" spans="1:11" ht="18" customHeight="1">
      <c r="A22" s="134"/>
      <c r="B22" s="243"/>
      <c r="C22" s="64"/>
      <c r="D22" s="64"/>
      <c r="E22" s="68"/>
      <c r="F22" s="68"/>
      <c r="G22" s="110"/>
      <c r="H22" s="68"/>
      <c r="I22" s="68"/>
      <c r="J22" s="68">
        <f t="shared" si="2"/>
        <v>0</v>
      </c>
      <c r="K22" s="4"/>
    </row>
    <row r="23" spans="1:11" ht="18" customHeight="1">
      <c r="A23" s="134"/>
      <c r="B23" s="243"/>
      <c r="C23" s="64"/>
      <c r="D23" s="64"/>
      <c r="E23" s="68"/>
      <c r="F23" s="68"/>
      <c r="G23" s="110"/>
      <c r="H23" s="68"/>
      <c r="I23" s="68"/>
      <c r="J23" s="68">
        <f t="shared" si="2"/>
        <v>0</v>
      </c>
      <c r="K23" s="4"/>
    </row>
    <row r="24" spans="1:11" ht="18" customHeight="1">
      <c r="A24" s="134"/>
      <c r="B24" s="243"/>
      <c r="C24" s="64"/>
      <c r="D24" s="64"/>
      <c r="E24" s="68"/>
      <c r="F24" s="68"/>
      <c r="G24" s="110"/>
      <c r="H24" s="68"/>
      <c r="I24" s="68"/>
      <c r="J24" s="68">
        <f t="shared" si="2"/>
        <v>0</v>
      </c>
      <c r="K24" s="4"/>
    </row>
    <row r="25" spans="1:11" ht="18" customHeight="1">
      <c r="A25" s="134"/>
      <c r="B25" s="243"/>
      <c r="C25" s="64"/>
      <c r="D25" s="64"/>
      <c r="E25" s="68"/>
      <c r="F25" s="68"/>
      <c r="G25" s="110"/>
      <c r="H25" s="68"/>
      <c r="I25" s="68"/>
      <c r="J25" s="4">
        <f t="shared" si="2"/>
        <v>0</v>
      </c>
      <c r="K25" s="4"/>
    </row>
    <row r="26" spans="1:11" ht="18" customHeight="1">
      <c r="A26" s="134"/>
      <c r="B26" s="243"/>
      <c r="C26" s="64"/>
      <c r="D26" s="64"/>
      <c r="E26" s="68"/>
      <c r="F26" s="68"/>
      <c r="G26" s="110"/>
      <c r="H26" s="68"/>
      <c r="I26" s="68"/>
      <c r="J26" s="25">
        <f t="shared" si="2"/>
        <v>0</v>
      </c>
      <c r="K26" s="4"/>
    </row>
    <row r="27" spans="1:11" ht="18" customHeight="1">
      <c r="A27" s="134"/>
      <c r="B27" s="130"/>
      <c r="C27" s="64"/>
      <c r="D27" s="64"/>
      <c r="E27" s="68"/>
      <c r="F27" s="68"/>
      <c r="G27" s="110"/>
      <c r="H27" s="68"/>
      <c r="I27" s="68"/>
      <c r="J27" s="25">
        <f t="shared" si="2"/>
        <v>0</v>
      </c>
      <c r="K27" s="4"/>
    </row>
    <row r="28" spans="1:11" ht="18" customHeight="1">
      <c r="A28" s="134"/>
      <c r="B28" s="130"/>
      <c r="C28" s="64"/>
      <c r="D28" s="64"/>
      <c r="E28" s="68"/>
      <c r="F28" s="68"/>
      <c r="G28" s="110"/>
      <c r="H28" s="68"/>
      <c r="I28" s="68"/>
      <c r="J28" s="4">
        <f t="shared" si="2"/>
        <v>0</v>
      </c>
      <c r="K28" s="4"/>
    </row>
    <row r="29" spans="1:11" ht="18" customHeight="1">
      <c r="A29" s="134"/>
      <c r="B29" s="130"/>
      <c r="C29" s="64"/>
      <c r="D29" s="64"/>
      <c r="E29" s="68"/>
      <c r="F29" s="68"/>
      <c r="G29" s="110"/>
      <c r="H29" s="68"/>
      <c r="I29" s="68"/>
      <c r="J29" s="25">
        <f t="shared" si="2"/>
        <v>0</v>
      </c>
      <c r="K29" s="4"/>
    </row>
    <row r="30" spans="1:11" ht="18" customHeight="1">
      <c r="A30" s="134"/>
      <c r="B30" s="130"/>
      <c r="C30" s="64"/>
      <c r="D30" s="64"/>
      <c r="E30" s="65"/>
      <c r="F30" s="65"/>
      <c r="G30" s="135"/>
      <c r="H30" s="65"/>
      <c r="I30" s="65"/>
      <c r="J30" s="49">
        <f t="shared" si="2"/>
        <v>0</v>
      </c>
      <c r="K30" s="4" t="s">
        <v>831</v>
      </c>
    </row>
    <row r="31" spans="1:11" ht="18" customHeight="1">
      <c r="A31" s="134"/>
      <c r="B31" s="130"/>
      <c r="C31" s="64"/>
      <c r="D31" s="64"/>
      <c r="E31" s="68"/>
      <c r="F31" s="68"/>
      <c r="G31" s="110"/>
      <c r="H31" s="68"/>
      <c r="I31" s="68"/>
      <c r="J31" s="25">
        <f t="shared" si="2"/>
        <v>0</v>
      </c>
      <c r="K31" s="4"/>
    </row>
    <row r="32" spans="1:11" ht="18" customHeight="1">
      <c r="A32" s="134"/>
      <c r="B32" s="130"/>
      <c r="C32" s="64"/>
      <c r="D32" s="64"/>
      <c r="E32" s="68"/>
      <c r="F32" s="68"/>
      <c r="G32" s="110"/>
      <c r="H32" s="68"/>
      <c r="I32" s="68"/>
      <c r="J32" s="25">
        <f t="shared" si="2"/>
        <v>0</v>
      </c>
      <c r="K32" s="4"/>
    </row>
    <row r="33" spans="1:11" ht="18" customHeight="1">
      <c r="A33" s="134"/>
      <c r="B33" s="130"/>
      <c r="C33" s="64"/>
      <c r="D33" s="64"/>
      <c r="E33" s="68"/>
      <c r="F33" s="68"/>
      <c r="G33" s="110"/>
      <c r="H33" s="68"/>
      <c r="I33" s="68"/>
      <c r="J33" s="25">
        <f t="shared" si="2"/>
        <v>0</v>
      </c>
      <c r="K33" s="4"/>
    </row>
    <row r="34" spans="1:11" ht="18" customHeight="1">
      <c r="A34" s="134"/>
      <c r="B34" s="130"/>
      <c r="C34" s="64"/>
      <c r="D34" s="64"/>
      <c r="E34" s="68"/>
      <c r="F34" s="68"/>
      <c r="G34" s="110"/>
      <c r="H34" s="244"/>
      <c r="I34" s="68"/>
      <c r="J34" s="4">
        <f t="shared" si="2"/>
        <v>0</v>
      </c>
      <c r="K34" s="4"/>
    </row>
    <row r="35" spans="1:11" ht="18" customHeight="1">
      <c r="A35" s="134"/>
      <c r="B35" s="130"/>
      <c r="C35" s="64"/>
      <c r="D35" s="64"/>
      <c r="E35" s="68"/>
      <c r="F35" s="68"/>
      <c r="G35" s="110"/>
      <c r="H35" s="68"/>
      <c r="I35" s="68"/>
      <c r="J35" s="4">
        <f t="shared" si="2"/>
        <v>0</v>
      </c>
      <c r="K35" s="4"/>
    </row>
    <row r="36" spans="1:11" ht="18" customHeight="1">
      <c r="A36" s="134"/>
      <c r="B36" s="130"/>
      <c r="C36" s="64"/>
      <c r="D36" s="64"/>
      <c r="E36" s="68"/>
      <c r="F36" s="68"/>
      <c r="G36" s="110"/>
      <c r="H36" s="68"/>
      <c r="I36" s="68"/>
      <c r="J36" s="4">
        <f t="shared" si="2"/>
        <v>0</v>
      </c>
      <c r="K36" s="4"/>
    </row>
    <row r="37" spans="1:11" ht="18" customHeight="1">
      <c r="A37" s="134"/>
      <c r="B37" s="130"/>
      <c r="C37" s="64"/>
      <c r="D37" s="64"/>
      <c r="E37" s="68"/>
      <c r="F37" s="68"/>
      <c r="G37" s="110"/>
      <c r="H37" s="68"/>
      <c r="I37" s="68"/>
      <c r="J37" s="4">
        <f t="shared" si="2"/>
        <v>0</v>
      </c>
      <c r="K37" s="4"/>
    </row>
    <row r="38" spans="1:11" ht="18" customHeight="1">
      <c r="A38" s="134"/>
      <c r="B38" s="130"/>
      <c r="C38" s="64"/>
      <c r="D38" s="64"/>
      <c r="E38" s="68"/>
      <c r="F38" s="68"/>
      <c r="G38" s="110"/>
      <c r="H38" s="68"/>
      <c r="I38" s="68"/>
      <c r="J38" s="4">
        <f t="shared" si="2"/>
        <v>0</v>
      </c>
      <c r="K38" s="4"/>
    </row>
    <row r="39" spans="1:11" ht="18" customHeight="1">
      <c r="A39" s="134"/>
      <c r="B39" s="130"/>
      <c r="C39" s="64"/>
      <c r="D39" s="64"/>
      <c r="E39" s="68"/>
      <c r="F39" s="68"/>
      <c r="G39" s="110"/>
      <c r="H39" s="68"/>
      <c r="I39" s="68"/>
      <c r="J39" s="4">
        <f t="shared" si="2"/>
        <v>0</v>
      </c>
      <c r="K39" s="4"/>
    </row>
    <row r="40" spans="1:11" ht="18" customHeight="1">
      <c r="A40" s="134"/>
      <c r="B40" s="130"/>
      <c r="C40" s="64"/>
      <c r="D40" s="64"/>
      <c r="E40" s="68"/>
      <c r="F40" s="68"/>
      <c r="G40" s="110"/>
      <c r="H40" s="68"/>
      <c r="I40" s="68"/>
      <c r="J40" s="4">
        <f t="shared" si="2"/>
        <v>0</v>
      </c>
      <c r="K40" s="4"/>
    </row>
    <row r="41" spans="1:11" ht="18" customHeight="1">
      <c r="A41" s="134"/>
      <c r="B41" s="130"/>
      <c r="C41" s="64"/>
      <c r="D41" s="64"/>
      <c r="E41" s="68"/>
      <c r="F41" s="68"/>
      <c r="G41" s="110"/>
      <c r="H41" s="68"/>
      <c r="I41" s="68"/>
      <c r="J41" s="4">
        <f t="shared" si="2"/>
        <v>0</v>
      </c>
      <c r="K41" s="4"/>
    </row>
    <row r="42" spans="1:11" ht="18" customHeight="1">
      <c r="A42" s="134"/>
      <c r="B42" s="130"/>
      <c r="C42" s="64"/>
      <c r="D42" s="64"/>
      <c r="E42" s="68"/>
      <c r="F42" s="68"/>
      <c r="G42" s="110"/>
      <c r="H42" s="68"/>
      <c r="I42" s="68"/>
      <c r="J42" s="4">
        <f t="shared" si="2"/>
        <v>0</v>
      </c>
      <c r="K42" s="4"/>
    </row>
    <row r="43" spans="1:11" ht="18" customHeight="1">
      <c r="A43" s="134"/>
      <c r="B43" s="130"/>
      <c r="C43" s="64"/>
      <c r="D43" s="64"/>
      <c r="E43" s="68"/>
      <c r="F43" s="68"/>
      <c r="G43" s="110"/>
      <c r="H43" s="68"/>
      <c r="I43" s="68"/>
      <c r="J43" s="4">
        <f t="shared" si="2"/>
        <v>0</v>
      </c>
      <c r="K43" s="4"/>
    </row>
    <row r="44" spans="1:11" ht="18" customHeight="1">
      <c r="A44" s="134"/>
      <c r="B44" s="130"/>
      <c r="C44" s="64"/>
      <c r="D44" s="64"/>
      <c r="E44" s="68"/>
      <c r="F44" s="68"/>
      <c r="G44" s="110"/>
      <c r="H44" s="68"/>
      <c r="I44" s="68"/>
      <c r="J44" s="4">
        <f t="shared" si="2"/>
        <v>0</v>
      </c>
      <c r="K44" s="4"/>
    </row>
    <row r="45" spans="1:11" ht="18" customHeight="1">
      <c r="A45" s="134"/>
      <c r="B45" s="130"/>
      <c r="C45" s="64"/>
      <c r="D45" s="64"/>
      <c r="E45" s="68"/>
      <c r="F45" s="68"/>
      <c r="G45" s="110"/>
      <c r="H45" s="68"/>
      <c r="I45" s="68"/>
      <c r="J45" s="4">
        <f t="shared" si="2"/>
        <v>0</v>
      </c>
      <c r="K45" s="4"/>
    </row>
    <row r="46" spans="1:11" ht="18" customHeight="1">
      <c r="A46" s="134"/>
      <c r="B46" s="130"/>
      <c r="C46" s="64"/>
      <c r="D46" s="64"/>
      <c r="E46" s="68"/>
      <c r="F46" s="68"/>
      <c r="G46" s="110"/>
      <c r="H46" s="68"/>
      <c r="I46" s="68"/>
      <c r="J46" s="4">
        <f t="shared" si="2"/>
        <v>0</v>
      </c>
      <c r="K46" s="4"/>
    </row>
    <row r="47" spans="1:11" ht="18" customHeight="1">
      <c r="A47" s="134"/>
      <c r="B47" s="130"/>
      <c r="C47" s="64"/>
      <c r="D47" s="64"/>
      <c r="E47" s="68"/>
      <c r="F47" s="68"/>
      <c r="G47" s="110"/>
      <c r="H47" s="68"/>
      <c r="I47" s="68"/>
      <c r="J47" s="4">
        <f t="shared" si="2"/>
        <v>0</v>
      </c>
      <c r="K47" s="4"/>
    </row>
    <row r="48" spans="1:11" ht="18" customHeight="1">
      <c r="A48" s="134"/>
      <c r="B48" s="130"/>
      <c r="C48" s="64"/>
      <c r="D48" s="64"/>
      <c r="E48" s="68"/>
      <c r="F48" s="68"/>
      <c r="G48" s="110"/>
      <c r="H48" s="68"/>
      <c r="I48" s="68"/>
      <c r="J48" s="68">
        <f t="shared" si="2"/>
        <v>0</v>
      </c>
      <c r="K48" s="4"/>
    </row>
    <row r="49" spans="1:11" ht="18" customHeight="1">
      <c r="A49" s="134"/>
      <c r="B49" s="130"/>
      <c r="C49" s="64"/>
      <c r="D49" s="64"/>
      <c r="E49" s="68"/>
      <c r="F49" s="68"/>
      <c r="G49" s="110"/>
      <c r="H49" s="68"/>
      <c r="I49" s="68"/>
      <c r="J49" s="4">
        <f t="shared" si="2"/>
        <v>0</v>
      </c>
      <c r="K49" s="4"/>
    </row>
    <row r="50" spans="1:11" ht="18" customHeight="1">
      <c r="A50" s="134"/>
      <c r="B50" s="130"/>
      <c r="C50" s="64"/>
      <c r="D50" s="64"/>
      <c r="E50" s="68"/>
      <c r="F50" s="68"/>
      <c r="G50" s="110"/>
      <c r="H50" s="68"/>
      <c r="I50" s="68"/>
      <c r="J50" s="4">
        <f t="shared" si="2"/>
        <v>0</v>
      </c>
      <c r="K50" s="4"/>
    </row>
    <row r="51" spans="1:11" ht="18" customHeight="1">
      <c r="A51" s="134"/>
      <c r="B51" s="130"/>
      <c r="C51" s="64"/>
      <c r="D51" s="64"/>
      <c r="E51" s="68"/>
      <c r="F51" s="68"/>
      <c r="G51" s="110"/>
      <c r="H51" s="68"/>
      <c r="I51" s="68"/>
      <c r="J51" s="4">
        <f t="shared" si="2"/>
        <v>0</v>
      </c>
      <c r="K51" s="4"/>
    </row>
    <row r="52" spans="1:11" ht="18" customHeight="1">
      <c r="A52" s="134"/>
      <c r="B52" s="130"/>
      <c r="C52" s="64"/>
      <c r="D52" s="64"/>
      <c r="E52" s="68"/>
      <c r="F52" s="68"/>
      <c r="G52" s="110"/>
      <c r="H52" s="68"/>
      <c r="I52" s="68"/>
      <c r="J52" s="4">
        <f t="shared" si="2"/>
        <v>0</v>
      </c>
      <c r="K52" s="4"/>
    </row>
    <row r="53" spans="1:11" s="15" customFormat="1" ht="18" customHeight="1">
      <c r="A53" s="319"/>
      <c r="B53" s="320"/>
      <c r="C53" s="64"/>
      <c r="D53" s="64"/>
      <c r="E53" s="65"/>
      <c r="F53" s="65"/>
      <c r="G53" s="135"/>
      <c r="H53" s="65"/>
      <c r="I53" s="65"/>
      <c r="J53" s="14">
        <f t="shared" ref="J53" si="4">SUM(J11:J52)</f>
        <v>3970</v>
      </c>
      <c r="K53" s="14"/>
    </row>
    <row r="54" spans="1:11" ht="18" customHeight="1">
      <c r="A54" s="134"/>
      <c r="B54" s="64"/>
      <c r="C54" s="64"/>
      <c r="D54" s="64"/>
      <c r="E54" s="65"/>
      <c r="F54" s="65"/>
      <c r="G54" s="135"/>
      <c r="H54" s="65"/>
      <c r="I54" s="65"/>
      <c r="J54" s="49"/>
      <c r="K54" s="4"/>
    </row>
    <row r="55" spans="1:11" ht="18" customHeight="1">
      <c r="A55" s="134"/>
      <c r="B55" s="130"/>
      <c r="C55" s="130"/>
      <c r="D55" s="130"/>
      <c r="E55" s="68"/>
      <c r="F55" s="68"/>
      <c r="G55" s="67"/>
      <c r="H55" s="68"/>
      <c r="I55" s="68"/>
      <c r="J55" s="49">
        <f>+E54-H55</f>
        <v>0</v>
      </c>
      <c r="K55" s="4"/>
    </row>
    <row r="56" spans="1:11" ht="18" customHeight="1">
      <c r="A56" s="134"/>
      <c r="B56" s="130"/>
      <c r="C56" s="130"/>
      <c r="D56" s="130"/>
      <c r="E56" s="68"/>
      <c r="F56" s="68"/>
      <c r="G56" s="67"/>
      <c r="H56" s="68"/>
      <c r="I56" s="68"/>
      <c r="J56" s="49">
        <f>J55-H56</f>
        <v>0</v>
      </c>
      <c r="K56" s="4"/>
    </row>
    <row r="57" spans="1:11" ht="18" customHeight="1">
      <c r="A57" s="134"/>
      <c r="B57" s="130"/>
      <c r="C57" s="130"/>
      <c r="D57" s="130"/>
      <c r="E57" s="68"/>
      <c r="F57" s="68"/>
      <c r="G57" s="67"/>
      <c r="H57" s="68"/>
      <c r="I57" s="68"/>
      <c r="J57" s="49">
        <f t="shared" ref="J57:J58" si="5">J56-H57</f>
        <v>0</v>
      </c>
      <c r="K57" s="4"/>
    </row>
    <row r="58" spans="1:11" ht="18" customHeight="1">
      <c r="A58" s="134"/>
      <c r="B58" s="130"/>
      <c r="C58" s="130"/>
      <c r="D58" s="130"/>
      <c r="E58" s="68"/>
      <c r="F58" s="68"/>
      <c r="G58" s="67"/>
      <c r="H58" s="68"/>
      <c r="I58" s="68"/>
      <c r="J58" s="49">
        <f t="shared" si="5"/>
        <v>0</v>
      </c>
      <c r="K58" s="4"/>
    </row>
    <row r="59" spans="1:11" ht="18" customHeight="1">
      <c r="A59" s="245"/>
      <c r="B59" s="130"/>
      <c r="C59" s="130"/>
      <c r="D59" s="130"/>
      <c r="E59" s="68"/>
      <c r="F59" s="68"/>
      <c r="G59" s="110"/>
      <c r="H59" s="68"/>
      <c r="I59" s="68"/>
      <c r="J59" s="4"/>
      <c r="K59" s="4"/>
    </row>
    <row r="60" spans="1:11" ht="18" customHeight="1">
      <c r="A60" s="134"/>
      <c r="B60" s="130"/>
      <c r="C60" s="130"/>
      <c r="D60" s="130"/>
      <c r="E60" s="68"/>
      <c r="F60" s="68"/>
      <c r="G60" s="135"/>
      <c r="H60" s="65"/>
      <c r="I60" s="65"/>
      <c r="J60" s="49"/>
      <c r="K60" s="49"/>
    </row>
    <row r="61" spans="1:11" ht="18" customHeight="1">
      <c r="A61" s="134"/>
      <c r="B61" s="130"/>
      <c r="C61" s="130"/>
      <c r="D61" s="130"/>
      <c r="E61" s="68"/>
      <c r="F61" s="68"/>
      <c r="G61" s="110"/>
      <c r="H61" s="68"/>
      <c r="I61" s="68"/>
      <c r="J61" s="49"/>
      <c r="K61" s="4"/>
    </row>
    <row r="62" spans="1:11" ht="18" customHeight="1">
      <c r="A62" s="134"/>
      <c r="B62" s="130"/>
      <c r="C62" s="130"/>
      <c r="D62" s="130"/>
      <c r="E62" s="68"/>
      <c r="F62" s="68"/>
      <c r="G62" s="110"/>
      <c r="H62" s="68"/>
      <c r="I62" s="68"/>
      <c r="J62" s="49"/>
      <c r="K62" s="4"/>
    </row>
    <row r="63" spans="1:11" ht="18" customHeight="1">
      <c r="A63" s="134"/>
      <c r="B63" s="130"/>
      <c r="C63" s="130"/>
      <c r="D63" s="130"/>
      <c r="E63" s="68"/>
      <c r="F63" s="68"/>
      <c r="G63" s="110"/>
      <c r="H63" s="68"/>
      <c r="I63" s="68"/>
      <c r="J63" s="49"/>
      <c r="K63" s="4"/>
    </row>
    <row r="64" spans="1:11" ht="18" customHeight="1">
      <c r="A64" s="134"/>
      <c r="B64" s="130"/>
      <c r="C64" s="130"/>
      <c r="D64" s="130"/>
      <c r="E64" s="68"/>
      <c r="F64" s="68"/>
      <c r="G64" s="110"/>
      <c r="H64" s="68"/>
      <c r="I64" s="68"/>
      <c r="J64" s="4"/>
      <c r="K64" s="4"/>
    </row>
    <row r="65" spans="1:11" ht="18" customHeight="1">
      <c r="A65" s="134"/>
      <c r="B65" s="130"/>
      <c r="C65" s="130"/>
      <c r="D65" s="130"/>
      <c r="E65" s="68"/>
      <c r="F65" s="68"/>
      <c r="G65" s="110"/>
      <c r="H65" s="68"/>
      <c r="I65" s="68"/>
      <c r="J65" s="4"/>
      <c r="K65" s="4"/>
    </row>
    <row r="66" spans="1:11" ht="18" customHeight="1">
      <c r="A66" s="134"/>
      <c r="B66" s="64"/>
      <c r="C66" s="64"/>
      <c r="D66" s="64"/>
      <c r="E66" s="65"/>
      <c r="F66" s="65"/>
      <c r="G66" s="135"/>
      <c r="H66" s="65"/>
      <c r="I66" s="65"/>
      <c r="J66" s="57"/>
      <c r="K66" s="57"/>
    </row>
    <row r="67" spans="1:11" ht="18" customHeight="1">
      <c r="A67" s="134"/>
      <c r="B67" s="130"/>
      <c r="C67" s="130"/>
      <c r="D67" s="130"/>
      <c r="E67" s="68"/>
      <c r="F67" s="68"/>
      <c r="G67" s="110"/>
      <c r="H67" s="68"/>
      <c r="I67" s="68"/>
      <c r="J67" s="4"/>
      <c r="K67" s="4"/>
    </row>
    <row r="68" spans="1:11" ht="18" customHeight="1">
      <c r="A68" s="134"/>
      <c r="B68" s="130"/>
      <c r="C68" s="130"/>
      <c r="D68" s="130"/>
      <c r="E68" s="68"/>
      <c r="F68" s="68"/>
      <c r="G68" s="110"/>
      <c r="H68" s="68"/>
      <c r="I68" s="68"/>
      <c r="J68" s="4"/>
      <c r="K68" s="4"/>
    </row>
    <row r="69" spans="1:11" ht="18" customHeight="1">
      <c r="A69" s="134"/>
      <c r="B69" s="130"/>
      <c r="C69" s="130"/>
      <c r="D69" s="130"/>
      <c r="E69" s="68"/>
      <c r="F69" s="68"/>
      <c r="G69" s="110"/>
      <c r="H69" s="68"/>
      <c r="I69" s="68"/>
      <c r="J69" s="4"/>
      <c r="K69" s="4"/>
    </row>
    <row r="70" spans="1:11" ht="18" customHeight="1">
      <c r="A70" s="134"/>
      <c r="B70" s="130"/>
      <c r="C70" s="130"/>
      <c r="D70" s="130"/>
      <c r="E70" s="68"/>
      <c r="F70" s="68"/>
      <c r="G70" s="110"/>
      <c r="H70" s="68"/>
      <c r="I70" s="68"/>
      <c r="J70" s="4"/>
      <c r="K70" s="4"/>
    </row>
    <row r="71" spans="1:11" ht="18" customHeight="1">
      <c r="A71" s="134"/>
      <c r="B71" s="130"/>
      <c r="C71" s="130"/>
      <c r="D71" s="130"/>
      <c r="E71" s="68"/>
      <c r="F71" s="68"/>
      <c r="G71" s="110"/>
      <c r="H71" s="68"/>
      <c r="I71" s="68"/>
      <c r="J71" s="4"/>
      <c r="K71" s="4"/>
    </row>
    <row r="72" spans="1:11" ht="18" customHeight="1">
      <c r="A72" s="134"/>
      <c r="B72" s="130"/>
      <c r="C72" s="130"/>
      <c r="D72" s="130"/>
      <c r="E72" s="68"/>
      <c r="F72" s="68"/>
      <c r="G72" s="110"/>
      <c r="H72" s="68"/>
      <c r="I72" s="68"/>
      <c r="J72" s="4"/>
      <c r="K72" s="4"/>
    </row>
    <row r="73" spans="1:11" ht="18" customHeight="1">
      <c r="A73" s="134"/>
      <c r="B73" s="130"/>
      <c r="C73" s="130"/>
      <c r="D73" s="130"/>
      <c r="E73" s="68"/>
      <c r="F73" s="68"/>
      <c r="G73" s="110"/>
      <c r="H73" s="68"/>
      <c r="I73" s="68"/>
      <c r="J73" s="4"/>
      <c r="K73" s="4"/>
    </row>
    <row r="74" spans="1:11" ht="18" customHeight="1">
      <c r="A74" s="134"/>
      <c r="B74" s="130"/>
      <c r="C74" s="130"/>
      <c r="D74" s="130"/>
      <c r="E74" s="68"/>
      <c r="F74" s="68"/>
      <c r="G74" s="110"/>
      <c r="H74" s="68"/>
      <c r="I74" s="68"/>
      <c r="J74" s="4"/>
      <c r="K74" s="4"/>
    </row>
    <row r="75" spans="1:11" ht="18" customHeight="1">
      <c r="A75" s="134"/>
      <c r="B75" s="130"/>
      <c r="C75" s="130"/>
      <c r="D75" s="130"/>
      <c r="E75" s="68"/>
      <c r="F75" s="68"/>
      <c r="G75" s="110"/>
      <c r="H75" s="68"/>
      <c r="I75" s="68"/>
      <c r="J75" s="4"/>
      <c r="K75" s="4"/>
    </row>
    <row r="76" spans="1:11" ht="18" customHeight="1">
      <c r="A76" s="134"/>
      <c r="B76" s="130"/>
      <c r="C76" s="130"/>
      <c r="D76" s="130"/>
      <c r="E76" s="68"/>
      <c r="F76" s="68"/>
      <c r="G76" s="110"/>
      <c r="H76" s="68"/>
      <c r="I76" s="68"/>
      <c r="J76" s="4"/>
      <c r="K76" s="4"/>
    </row>
    <row r="77" spans="1:11" ht="18" customHeight="1">
      <c r="A77" s="134"/>
      <c r="B77" s="130"/>
      <c r="C77" s="130"/>
      <c r="D77" s="130"/>
      <c r="E77" s="68"/>
      <c r="F77" s="68"/>
      <c r="G77" s="110"/>
      <c r="H77" s="68"/>
      <c r="I77" s="68"/>
      <c r="J77" s="4"/>
      <c r="K77" s="4"/>
    </row>
    <row r="78" spans="1:11" ht="18" customHeight="1">
      <c r="A78" s="134"/>
      <c r="B78" s="130"/>
      <c r="C78" s="130"/>
      <c r="D78" s="130"/>
      <c r="E78" s="68"/>
      <c r="F78" s="68"/>
      <c r="G78" s="110"/>
      <c r="H78" s="68"/>
      <c r="I78" s="68"/>
      <c r="J78" s="4"/>
      <c r="K78" s="4"/>
    </row>
    <row r="79" spans="1:11" ht="18" customHeight="1">
      <c r="A79" s="134"/>
      <c r="B79" s="130"/>
      <c r="C79" s="130"/>
      <c r="D79" s="130"/>
      <c r="E79" s="68"/>
      <c r="F79" s="68"/>
      <c r="G79" s="110"/>
      <c r="H79" s="68"/>
      <c r="I79" s="68"/>
      <c r="J79" s="4"/>
      <c r="K79" s="4"/>
    </row>
    <row r="80" spans="1:11" ht="18" customHeight="1">
      <c r="A80" s="134"/>
      <c r="B80" s="130"/>
      <c r="C80" s="130"/>
      <c r="D80" s="130"/>
      <c r="E80" s="68"/>
      <c r="F80" s="68"/>
      <c r="G80" s="110"/>
      <c r="H80" s="68"/>
      <c r="I80" s="68"/>
      <c r="J80" s="4"/>
      <c r="K80" s="4"/>
    </row>
    <row r="81" spans="1:11" ht="18" customHeight="1">
      <c r="A81" s="134"/>
      <c r="B81" s="130"/>
      <c r="C81" s="130"/>
      <c r="D81" s="130"/>
      <c r="E81" s="68"/>
      <c r="F81" s="68"/>
      <c r="G81" s="110"/>
      <c r="H81" s="68"/>
      <c r="I81" s="68"/>
      <c r="J81" s="4"/>
      <c r="K81" s="4"/>
    </row>
    <row r="82" spans="1:11" ht="18" customHeight="1">
      <c r="A82" s="134"/>
      <c r="B82" s="130"/>
      <c r="C82" s="130"/>
      <c r="D82" s="130"/>
      <c r="E82" s="68"/>
      <c r="F82" s="68"/>
      <c r="G82" s="110"/>
      <c r="H82" s="68"/>
      <c r="I82" s="68"/>
      <c r="J82" s="4"/>
      <c r="K82" s="4"/>
    </row>
    <row r="83" spans="1:11" ht="18" customHeight="1">
      <c r="A83" s="134"/>
      <c r="B83" s="130"/>
      <c r="C83" s="130"/>
      <c r="D83" s="130"/>
      <c r="E83" s="68"/>
      <c r="F83" s="68"/>
      <c r="G83" s="110"/>
      <c r="H83" s="68"/>
      <c r="I83" s="68"/>
      <c r="J83" s="4"/>
      <c r="K83" s="4"/>
    </row>
    <row r="84" spans="1:11" ht="18" customHeight="1">
      <c r="A84" s="134"/>
      <c r="B84" s="130"/>
      <c r="C84" s="130"/>
      <c r="D84" s="130"/>
      <c r="E84" s="68"/>
      <c r="F84" s="68"/>
      <c r="G84" s="110"/>
      <c r="H84" s="68"/>
      <c r="I84" s="68"/>
      <c r="J84" s="4"/>
      <c r="K84" s="4"/>
    </row>
    <row r="85" spans="1:11" ht="18" customHeight="1">
      <c r="A85" s="134"/>
      <c r="B85" s="130"/>
      <c r="C85" s="130"/>
      <c r="D85" s="130"/>
      <c r="E85" s="68"/>
      <c r="F85" s="68"/>
      <c r="G85" s="110"/>
      <c r="H85" s="68"/>
      <c r="I85" s="68"/>
      <c r="J85" s="4"/>
      <c r="K85" s="4"/>
    </row>
    <row r="86" spans="1:11" ht="18" customHeight="1">
      <c r="A86" s="134"/>
      <c r="B86" s="130"/>
      <c r="C86" s="130"/>
      <c r="D86" s="130"/>
      <c r="E86" s="68"/>
      <c r="F86" s="68"/>
      <c r="G86" s="110"/>
      <c r="H86" s="68"/>
      <c r="I86" s="68"/>
      <c r="J86" s="4"/>
      <c r="K86" s="4"/>
    </row>
    <row r="87" spans="1:11" ht="18" customHeight="1">
      <c r="A87" s="134"/>
      <c r="B87" s="130"/>
      <c r="C87" s="130"/>
      <c r="D87" s="130"/>
      <c r="E87" s="68"/>
      <c r="F87" s="68"/>
      <c r="G87" s="110"/>
      <c r="H87" s="68"/>
      <c r="I87" s="68"/>
      <c r="J87" s="4"/>
      <c r="K87" s="4"/>
    </row>
    <row r="88" spans="1:11" ht="18" customHeight="1">
      <c r="A88" s="134"/>
      <c r="B88" s="130"/>
      <c r="C88" s="130"/>
      <c r="D88" s="130"/>
      <c r="E88" s="68"/>
      <c r="F88" s="68"/>
      <c r="G88" s="110"/>
      <c r="H88" s="68"/>
      <c r="I88" s="68"/>
      <c r="J88" s="4"/>
      <c r="K88" s="4"/>
    </row>
    <row r="89" spans="1:11" ht="18" customHeight="1">
      <c r="A89" s="134"/>
      <c r="B89" s="130"/>
      <c r="C89" s="130"/>
      <c r="D89" s="130"/>
      <c r="E89" s="68"/>
      <c r="F89" s="68"/>
      <c r="G89" s="110"/>
      <c r="H89" s="68"/>
      <c r="I89" s="68"/>
      <c r="J89" s="4"/>
      <c r="K89" s="4"/>
    </row>
    <row r="90" spans="1:11" ht="18" customHeight="1">
      <c r="A90" s="134"/>
      <c r="B90" s="130"/>
      <c r="C90" s="130"/>
      <c r="D90" s="130"/>
      <c r="E90" s="68"/>
      <c r="F90" s="68"/>
      <c r="G90" s="110"/>
      <c r="H90" s="68"/>
      <c r="I90" s="68"/>
      <c r="J90" s="4"/>
      <c r="K90" s="4"/>
    </row>
    <row r="91" spans="1:11" ht="18" customHeight="1">
      <c r="A91" s="134"/>
      <c r="B91" s="130"/>
      <c r="C91" s="130"/>
      <c r="D91" s="130"/>
      <c r="E91" s="68"/>
      <c r="F91" s="68"/>
      <c r="G91" s="110"/>
      <c r="H91" s="68"/>
      <c r="I91" s="68"/>
      <c r="J91" s="4"/>
      <c r="K91" s="4"/>
    </row>
    <row r="92" spans="1:11" ht="18" customHeight="1">
      <c r="A92" s="134"/>
      <c r="B92" s="130"/>
      <c r="C92" s="130"/>
      <c r="D92" s="130"/>
      <c r="E92" s="68"/>
      <c r="F92" s="68"/>
      <c r="G92" s="110"/>
      <c r="H92" s="68"/>
      <c r="I92" s="68"/>
      <c r="J92" s="4"/>
      <c r="K92" s="4"/>
    </row>
    <row r="93" spans="1:11" ht="18" customHeight="1">
      <c r="A93" s="134"/>
      <c r="B93" s="130"/>
      <c r="C93" s="130"/>
      <c r="D93" s="130"/>
      <c r="E93" s="68"/>
      <c r="F93" s="68"/>
      <c r="G93" s="110"/>
      <c r="H93" s="68"/>
      <c r="I93" s="68"/>
      <c r="J93" s="4"/>
      <c r="K93" s="4"/>
    </row>
    <row r="94" spans="1:11" ht="18" customHeight="1">
      <c r="A94" s="18"/>
      <c r="B94" s="2"/>
      <c r="C94" s="2"/>
      <c r="D94" s="2"/>
      <c r="E94" s="4"/>
      <c r="F94" s="4"/>
      <c r="G94" s="21"/>
      <c r="H94" s="4"/>
      <c r="I94" s="4"/>
      <c r="J94" s="4"/>
      <c r="K94" s="4"/>
    </row>
    <row r="95" spans="1:11" ht="18" customHeight="1">
      <c r="A95" s="18"/>
      <c r="B95" s="2"/>
      <c r="C95" s="2"/>
      <c r="D95" s="2"/>
      <c r="E95" s="4"/>
      <c r="F95" s="4"/>
      <c r="G95" s="21"/>
      <c r="H95" s="4"/>
      <c r="I95" s="4"/>
      <c r="J95" s="4"/>
      <c r="K95" s="4"/>
    </row>
    <row r="96" spans="1:11" ht="18" customHeight="1">
      <c r="A96" s="18"/>
      <c r="B96" s="2"/>
      <c r="C96" s="2"/>
      <c r="D96" s="2"/>
      <c r="E96" s="4"/>
      <c r="F96" s="4"/>
      <c r="G96" s="21"/>
      <c r="H96" s="4"/>
      <c r="I96" s="4"/>
      <c r="J96" s="4"/>
      <c r="K96" s="4"/>
    </row>
    <row r="97" spans="1:11" ht="18" customHeight="1">
      <c r="A97" s="18"/>
      <c r="B97" s="2"/>
      <c r="C97" s="2"/>
      <c r="D97" s="2"/>
      <c r="E97" s="4"/>
      <c r="F97" s="4"/>
      <c r="G97" s="21"/>
      <c r="H97" s="4"/>
      <c r="I97" s="4"/>
      <c r="J97" s="4"/>
      <c r="K97" s="4"/>
    </row>
    <row r="98" spans="1:11" ht="18" customHeight="1">
      <c r="A98" s="281" t="s">
        <v>0</v>
      </c>
      <c r="B98" s="282"/>
      <c r="C98" s="242"/>
      <c r="D98" s="242"/>
      <c r="E98" s="5">
        <f>SUM(E6:E97)</f>
        <v>8000</v>
      </c>
      <c r="F98" s="5">
        <f>SUM(F6:F97)</f>
        <v>412000</v>
      </c>
      <c r="G98" s="23"/>
      <c r="H98" s="5">
        <f>SUM(H6:H97)</f>
        <v>4030</v>
      </c>
      <c r="I98" s="5">
        <f>SUM(I6:I97)</f>
        <v>0</v>
      </c>
      <c r="J98" s="5"/>
      <c r="K98" s="5"/>
    </row>
    <row r="99" spans="1:11" s="6" customFormat="1" ht="24.75" customHeight="1">
      <c r="A99" s="16"/>
      <c r="B99" s="1"/>
      <c r="C99" s="1"/>
      <c r="D99" s="1"/>
      <c r="E99" s="3"/>
      <c r="F99" s="3"/>
      <c r="G99" s="19"/>
      <c r="H99" s="3"/>
      <c r="I99" s="3"/>
      <c r="J99" s="3"/>
      <c r="K99" s="3"/>
    </row>
    <row r="100" spans="1:11">
      <c r="F100" s="270" t="s">
        <v>1</v>
      </c>
      <c r="G100" s="270"/>
      <c r="H100" s="270"/>
      <c r="I100" s="270"/>
      <c r="J100" s="1"/>
      <c r="K100" s="8"/>
    </row>
    <row r="103" spans="1:11">
      <c r="F103" s="271"/>
      <c r="G103" s="271"/>
      <c r="H103" s="271"/>
      <c r="I103" s="271"/>
      <c r="J103" s="1"/>
      <c r="K103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53:B53"/>
    <mergeCell ref="A98:B98"/>
    <mergeCell ref="F100:I100"/>
    <mergeCell ref="F103:I103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7"/>
  <sheetViews>
    <sheetView workbookViewId="0">
      <pane ySplit="5" topLeftCell="A18" activePane="bottomLeft" state="frozen"/>
      <selection pane="bottomLeft" activeCell="K27" sqref="K27"/>
    </sheetView>
  </sheetViews>
  <sheetFormatPr defaultRowHeight="15"/>
  <cols>
    <col min="1" max="1" width="11.85546875" style="16" customWidth="1"/>
    <col min="2" max="2" width="17.28515625" style="1" customWidth="1"/>
    <col min="3" max="3" width="17.7109375" style="1" customWidth="1"/>
    <col min="4" max="4" width="23.570312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179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122" t="s">
        <v>9</v>
      </c>
      <c r="F5" s="122" t="s">
        <v>5</v>
      </c>
      <c r="G5" s="20" t="s">
        <v>14</v>
      </c>
      <c r="H5" s="122" t="s">
        <v>9</v>
      </c>
      <c r="I5" s="122" t="s">
        <v>5</v>
      </c>
      <c r="J5" s="122" t="s">
        <v>9</v>
      </c>
      <c r="K5" s="12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29</v>
      </c>
      <c r="B11" s="60" t="s">
        <v>283</v>
      </c>
      <c r="C11" s="60"/>
      <c r="D11" s="60" t="s">
        <v>284</v>
      </c>
      <c r="E11" s="4">
        <v>50000</v>
      </c>
      <c r="F11" s="4">
        <v>2000</v>
      </c>
      <c r="G11" s="40" t="s">
        <v>253</v>
      </c>
      <c r="H11" s="4">
        <v>7810</v>
      </c>
      <c r="I11" s="4"/>
      <c r="J11" s="4">
        <f>+E11-H11</f>
        <v>42190</v>
      </c>
      <c r="K11" s="4"/>
    </row>
    <row r="12" spans="1:11" ht="18" customHeight="1">
      <c r="A12" s="18"/>
      <c r="B12" s="60"/>
      <c r="C12" s="60"/>
      <c r="D12" s="60"/>
      <c r="E12" s="4"/>
      <c r="F12" s="4"/>
      <c r="G12" s="40" t="s">
        <v>265</v>
      </c>
      <c r="H12" s="4">
        <v>3758</v>
      </c>
      <c r="I12" s="4"/>
      <c r="J12" s="4">
        <f>J11-H12</f>
        <v>38432</v>
      </c>
      <c r="K12" s="4"/>
    </row>
    <row r="13" spans="1:11" ht="18" customHeight="1">
      <c r="A13" s="18"/>
      <c r="B13" s="2"/>
      <c r="C13" s="60"/>
      <c r="D13" s="60"/>
      <c r="E13" s="4"/>
      <c r="F13" s="4"/>
      <c r="G13" s="40" t="s">
        <v>266</v>
      </c>
      <c r="H13" s="4">
        <v>7176</v>
      </c>
      <c r="I13" s="4"/>
      <c r="J13" s="4">
        <f t="shared" ref="J13:J26" si="2">J12-H13</f>
        <v>31256</v>
      </c>
      <c r="K13" s="4"/>
    </row>
    <row r="14" spans="1:11" ht="18" customHeight="1">
      <c r="A14" s="18"/>
      <c r="B14" s="60"/>
      <c r="C14" s="60"/>
      <c r="D14" s="60"/>
      <c r="E14" s="4"/>
      <c r="F14" s="4"/>
      <c r="G14" s="40" t="s">
        <v>281</v>
      </c>
      <c r="H14" s="4">
        <v>7085</v>
      </c>
      <c r="I14" s="4"/>
      <c r="J14" s="4">
        <f t="shared" si="2"/>
        <v>24171</v>
      </c>
      <c r="K14" s="4"/>
    </row>
    <row r="15" spans="1:11" ht="18" customHeight="1">
      <c r="A15" s="18"/>
      <c r="B15" s="2"/>
      <c r="C15" s="60"/>
      <c r="D15" s="60"/>
      <c r="E15" s="4"/>
      <c r="F15" s="4"/>
      <c r="G15" s="21"/>
      <c r="H15" s="4"/>
      <c r="I15" s="4"/>
      <c r="J15" s="4">
        <f t="shared" si="2"/>
        <v>24171</v>
      </c>
      <c r="K15" s="4">
        <f t="shared" ref="K15:K19" si="3">F15</f>
        <v>0</v>
      </c>
    </row>
    <row r="16" spans="1:11" ht="18" customHeight="1">
      <c r="A16" s="18"/>
      <c r="B16" s="2"/>
      <c r="C16" s="60"/>
      <c r="D16" s="60"/>
      <c r="E16" s="4"/>
      <c r="F16" s="4"/>
      <c r="G16" s="40" t="s">
        <v>307</v>
      </c>
      <c r="H16" s="4">
        <v>6875</v>
      </c>
      <c r="I16" s="4"/>
      <c r="J16" s="4">
        <f t="shared" si="2"/>
        <v>17296</v>
      </c>
      <c r="K16" s="4">
        <f t="shared" si="3"/>
        <v>0</v>
      </c>
    </row>
    <row r="17" spans="1:12" ht="18" customHeight="1">
      <c r="A17" s="18"/>
      <c r="B17" s="2"/>
      <c r="C17" s="60"/>
      <c r="D17" s="60"/>
      <c r="E17" s="4"/>
      <c r="F17" s="4"/>
      <c r="G17" s="40" t="s">
        <v>318</v>
      </c>
      <c r="H17" s="4">
        <v>7055</v>
      </c>
      <c r="I17" s="4"/>
      <c r="J17" s="4">
        <f t="shared" si="2"/>
        <v>10241</v>
      </c>
      <c r="K17" s="4"/>
    </row>
    <row r="18" spans="1:12" ht="18" customHeight="1">
      <c r="A18" s="18"/>
      <c r="B18" s="2"/>
      <c r="C18" s="60"/>
      <c r="D18" s="60"/>
      <c r="E18" s="4"/>
      <c r="F18" s="4"/>
      <c r="G18" s="40" t="s">
        <v>328</v>
      </c>
      <c r="H18" s="4">
        <v>7375</v>
      </c>
      <c r="I18" s="4"/>
      <c r="J18" s="4">
        <f t="shared" si="2"/>
        <v>2866</v>
      </c>
      <c r="K18" s="4"/>
    </row>
    <row r="19" spans="1:12" ht="18" customHeight="1">
      <c r="A19" s="18"/>
      <c r="B19" s="2"/>
      <c r="C19" s="60"/>
      <c r="D19" s="60"/>
      <c r="E19" s="4"/>
      <c r="F19" s="4"/>
      <c r="G19" s="40" t="s">
        <v>338</v>
      </c>
      <c r="H19" s="4">
        <v>7145</v>
      </c>
      <c r="I19" s="4"/>
      <c r="J19" s="4">
        <f t="shared" si="2"/>
        <v>-4279</v>
      </c>
      <c r="K19" s="4">
        <f t="shared" si="3"/>
        <v>0</v>
      </c>
    </row>
    <row r="20" spans="1:12" ht="18" customHeight="1">
      <c r="A20" s="123"/>
      <c r="B20" s="39"/>
      <c r="C20" s="60"/>
      <c r="D20" s="60"/>
      <c r="E20" s="4"/>
      <c r="F20" s="4"/>
      <c r="G20" s="40" t="s">
        <v>345</v>
      </c>
      <c r="H20" s="4">
        <v>7465</v>
      </c>
      <c r="I20" s="4"/>
      <c r="J20" s="4">
        <f t="shared" si="2"/>
        <v>-11744</v>
      </c>
      <c r="K20" s="4"/>
    </row>
    <row r="21" spans="1:12" ht="18" customHeight="1">
      <c r="A21" s="143"/>
      <c r="B21" s="39"/>
      <c r="C21" s="60"/>
      <c r="D21" s="60"/>
      <c r="E21" s="4"/>
      <c r="F21" s="4"/>
      <c r="G21" s="40" t="s">
        <v>351</v>
      </c>
      <c r="H21" s="4">
        <v>7065</v>
      </c>
      <c r="I21" s="4"/>
      <c r="J21" s="4">
        <f t="shared" si="2"/>
        <v>-18809</v>
      </c>
      <c r="K21" s="4"/>
    </row>
    <row r="22" spans="1:12" ht="18" customHeight="1">
      <c r="A22" s="143"/>
      <c r="B22" s="39"/>
      <c r="C22" s="60"/>
      <c r="D22" s="60"/>
      <c r="E22" s="4"/>
      <c r="F22" s="4"/>
      <c r="G22" s="40"/>
      <c r="H22" s="4"/>
      <c r="I22" s="4"/>
      <c r="J22" s="4">
        <f t="shared" si="2"/>
        <v>-18809</v>
      </c>
      <c r="K22" s="4"/>
    </row>
    <row r="23" spans="1:12" ht="18" customHeight="1">
      <c r="A23" s="143"/>
      <c r="B23" s="39"/>
      <c r="C23" s="60"/>
      <c r="D23" s="60"/>
      <c r="E23" s="4"/>
      <c r="F23" s="4"/>
      <c r="G23" s="40"/>
      <c r="H23" s="4"/>
      <c r="I23" s="4"/>
      <c r="J23" s="4">
        <f t="shared" si="2"/>
        <v>-18809</v>
      </c>
      <c r="K23" s="4"/>
    </row>
    <row r="24" spans="1:12" ht="18" customHeight="1">
      <c r="A24" s="143"/>
      <c r="B24" s="39"/>
      <c r="C24" s="60"/>
      <c r="D24" s="60"/>
      <c r="E24" s="4"/>
      <c r="F24" s="4"/>
      <c r="G24" s="40"/>
      <c r="H24" s="4"/>
      <c r="I24" s="4"/>
      <c r="J24" s="4">
        <f t="shared" si="2"/>
        <v>-18809</v>
      </c>
      <c r="K24" s="4"/>
    </row>
    <row r="25" spans="1:12" ht="18" customHeight="1">
      <c r="A25" s="143"/>
      <c r="B25" s="39"/>
      <c r="C25" s="60"/>
      <c r="D25" s="60"/>
      <c r="E25" s="4"/>
      <c r="F25" s="4"/>
      <c r="G25" s="40"/>
      <c r="H25" s="4"/>
      <c r="I25" s="4"/>
      <c r="J25" s="4">
        <f t="shared" si="2"/>
        <v>-18809</v>
      </c>
      <c r="K25" s="4"/>
    </row>
    <row r="26" spans="1:12" ht="18" customHeight="1">
      <c r="A26" s="123"/>
      <c r="B26" s="39"/>
      <c r="C26" s="60"/>
      <c r="D26" s="60"/>
      <c r="E26" s="4"/>
      <c r="F26" s="4"/>
      <c r="G26" s="21"/>
      <c r="H26" s="4"/>
      <c r="I26" s="4"/>
      <c r="J26" s="4">
        <f t="shared" si="2"/>
        <v>-18809</v>
      </c>
      <c r="K26" s="4"/>
    </row>
    <row r="27" spans="1:12" s="15" customFormat="1" ht="18" customHeight="1">
      <c r="A27" s="291" t="s">
        <v>15</v>
      </c>
      <c r="B27" s="292"/>
      <c r="C27" s="13"/>
      <c r="D27" s="13"/>
      <c r="E27" s="14"/>
      <c r="F27" s="14"/>
      <c r="G27" s="22"/>
      <c r="H27" s="14">
        <f>SUM(H11:H26)</f>
        <v>68809</v>
      </c>
      <c r="I27" s="14"/>
      <c r="J27" s="14">
        <f>E27-H27</f>
        <v>-68809</v>
      </c>
      <c r="K27" s="14" t="s">
        <v>524</v>
      </c>
      <c r="L27" s="120"/>
    </row>
    <row r="28" spans="1:12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</row>
    <row r="29" spans="1:12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</row>
    <row r="30" spans="1:12" ht="18" customHeight="1">
      <c r="A30" s="18"/>
      <c r="B30" s="2"/>
      <c r="C30" s="2"/>
      <c r="D30" s="2"/>
      <c r="E30" s="4"/>
      <c r="F30" s="4"/>
      <c r="G30" s="21"/>
      <c r="H30" s="4"/>
      <c r="I30" s="4"/>
      <c r="J30" s="4"/>
      <c r="K30" s="4"/>
    </row>
    <row r="31" spans="1:12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</row>
    <row r="32" spans="1:12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21"/>
      <c r="H58" s="4"/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21"/>
      <c r="H60" s="4"/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1" ht="18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customHeight="1">
      <c r="A65" s="18"/>
      <c r="B65" s="2"/>
      <c r="C65" s="2"/>
      <c r="D65" s="2"/>
      <c r="E65" s="4"/>
      <c r="F65" s="4"/>
      <c r="G65" s="21"/>
      <c r="H65" s="4"/>
      <c r="I65" s="4"/>
      <c r="J65" s="4"/>
      <c r="K65" s="4"/>
    </row>
    <row r="66" spans="1:11" ht="18" customHeight="1">
      <c r="A66" s="18"/>
      <c r="B66" s="2"/>
      <c r="C66" s="2"/>
      <c r="D66" s="2"/>
      <c r="E66" s="4"/>
      <c r="F66" s="4"/>
      <c r="G66" s="21"/>
      <c r="H66" s="4"/>
      <c r="I66" s="4"/>
      <c r="J66" s="4"/>
      <c r="K66" s="4"/>
    </row>
    <row r="67" spans="1:11" ht="18" customHeight="1">
      <c r="A67" s="18"/>
      <c r="B67" s="2"/>
      <c r="C67" s="2"/>
      <c r="D67" s="2"/>
      <c r="E67" s="4"/>
      <c r="F67" s="4"/>
      <c r="G67" s="21"/>
      <c r="H67" s="4"/>
      <c r="I67" s="4"/>
      <c r="J67" s="4"/>
      <c r="K67" s="4"/>
    </row>
    <row r="68" spans="1:11" ht="18" customHeight="1">
      <c r="A68" s="18"/>
      <c r="B68" s="2"/>
      <c r="C68" s="2"/>
      <c r="D68" s="2"/>
      <c r="E68" s="4"/>
      <c r="F68" s="4"/>
      <c r="G68" s="21"/>
      <c r="H68" s="4"/>
      <c r="I68" s="4"/>
      <c r="J68" s="4"/>
      <c r="K68" s="4"/>
    </row>
    <row r="69" spans="1:11" ht="18" customHeight="1">
      <c r="A69" s="18"/>
      <c r="B69" s="2"/>
      <c r="C69" s="2"/>
      <c r="D69" s="2"/>
      <c r="E69" s="4"/>
      <c r="F69" s="4"/>
      <c r="G69" s="21"/>
      <c r="H69" s="4"/>
      <c r="I69" s="4"/>
      <c r="J69" s="4"/>
      <c r="K69" s="4"/>
    </row>
    <row r="70" spans="1:11" ht="18" customHeight="1">
      <c r="A70" s="18"/>
      <c r="B70" s="2"/>
      <c r="C70" s="2"/>
      <c r="D70" s="2"/>
      <c r="E70" s="4"/>
      <c r="F70" s="4"/>
      <c r="G70" s="21"/>
      <c r="H70" s="4"/>
      <c r="I70" s="4"/>
      <c r="J70" s="4"/>
      <c r="K70" s="4"/>
    </row>
    <row r="71" spans="1:11" ht="18" customHeight="1">
      <c r="A71" s="18"/>
      <c r="B71" s="2"/>
      <c r="C71" s="2"/>
      <c r="D71" s="2"/>
      <c r="E71" s="4"/>
      <c r="F71" s="4"/>
      <c r="G71" s="21"/>
      <c r="H71" s="4"/>
      <c r="I71" s="4"/>
      <c r="J71" s="4"/>
      <c r="K71" s="4"/>
    </row>
    <row r="72" spans="1:11" ht="18" customHeight="1">
      <c r="A72" s="281" t="s">
        <v>0</v>
      </c>
      <c r="B72" s="282"/>
      <c r="C72" s="121"/>
      <c r="D72" s="121"/>
      <c r="E72" s="5">
        <f>SUM(E6:E71)</f>
        <v>50000</v>
      </c>
      <c r="F72" s="5">
        <f>SUM(F6:F71)</f>
        <v>2000</v>
      </c>
      <c r="G72" s="23"/>
      <c r="H72" s="5">
        <f>SUM(H6:H71)</f>
        <v>137618</v>
      </c>
      <c r="I72" s="5">
        <f>SUM(I6:I71)</f>
        <v>0</v>
      </c>
      <c r="J72" s="5"/>
      <c r="K72" s="5"/>
    </row>
    <row r="73" spans="1:11" s="6" customFormat="1" ht="24.75" customHeight="1">
      <c r="A73" s="16"/>
      <c r="B73" s="1"/>
      <c r="C73" s="1"/>
      <c r="D73" s="1"/>
      <c r="E73" s="3"/>
      <c r="F73" s="3"/>
      <c r="G73" s="19"/>
      <c r="H73" s="3"/>
      <c r="I73" s="3"/>
      <c r="J73" s="3"/>
      <c r="K73" s="3"/>
    </row>
    <row r="74" spans="1:11">
      <c r="F74" s="270" t="s">
        <v>1</v>
      </c>
      <c r="G74" s="270"/>
      <c r="H74" s="270"/>
      <c r="I74" s="270"/>
      <c r="J74" s="1"/>
      <c r="K74" s="8"/>
    </row>
    <row r="77" spans="1:11">
      <c r="F77" s="271"/>
      <c r="G77" s="271"/>
      <c r="H77" s="271"/>
      <c r="I77" s="271"/>
      <c r="J77" s="1"/>
      <c r="K77" s="1"/>
    </row>
  </sheetData>
  <mergeCells count="14">
    <mergeCell ref="A10:B10"/>
    <mergeCell ref="A27:B27"/>
    <mergeCell ref="A72:B72"/>
    <mergeCell ref="F74:I74"/>
    <mergeCell ref="F77:I77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6"/>
  <sheetViews>
    <sheetView workbookViewId="0">
      <pane ySplit="5" topLeftCell="A58" activePane="bottomLeft" state="frozen"/>
      <selection pane="bottomLeft" activeCell="H63" sqref="H63"/>
    </sheetView>
  </sheetViews>
  <sheetFormatPr defaultRowHeight="15"/>
  <cols>
    <col min="1" max="1" width="11.5703125" style="16" customWidth="1"/>
    <col min="2" max="2" width="34.2851562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9" width="14.28515625" style="3" customWidth="1"/>
    <col min="10" max="10" width="16.42578125" style="3" customWidth="1"/>
    <col min="11" max="11" width="14.28515625" style="3" customWidth="1"/>
    <col min="12" max="12" width="20.7109375" style="1" customWidth="1"/>
    <col min="13" max="13" width="20.28515625" style="1" customWidth="1"/>
    <col min="14" max="14" width="15.7109375" style="1" bestFit="1" customWidth="1"/>
    <col min="15" max="15" width="16.42578125" style="1" bestFit="1" customWidth="1"/>
    <col min="16" max="16384" width="9.140625" style="1"/>
  </cols>
  <sheetData>
    <row r="1" spans="1:15" ht="34.5" customHeight="1">
      <c r="A1" s="274" t="s">
        <v>288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126" t="s">
        <v>9</v>
      </c>
      <c r="F5" s="126" t="s">
        <v>5</v>
      </c>
      <c r="G5" s="20" t="s">
        <v>14</v>
      </c>
      <c r="H5" s="126" t="s">
        <v>9</v>
      </c>
      <c r="I5" s="126" t="s">
        <v>5</v>
      </c>
      <c r="J5" s="126" t="s">
        <v>9</v>
      </c>
      <c r="K5" s="126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13</v>
      </c>
      <c r="B11" s="60" t="s">
        <v>289</v>
      </c>
      <c r="C11" s="98" t="s">
        <v>214</v>
      </c>
      <c r="D11" s="60" t="s">
        <v>290</v>
      </c>
      <c r="E11" s="49">
        <v>300000</v>
      </c>
      <c r="F11" s="49">
        <v>6750</v>
      </c>
      <c r="G11" s="40"/>
      <c r="H11" s="4"/>
      <c r="I11" s="4"/>
      <c r="J11" s="4"/>
      <c r="K11" s="4"/>
      <c r="L11" s="4"/>
      <c r="M11" s="49">
        <f>5425000000*0.05</f>
        <v>271250000</v>
      </c>
      <c r="N11" s="4" t="s">
        <v>291</v>
      </c>
    </row>
    <row r="12" spans="1:15" ht="18" customHeight="1">
      <c r="A12" s="18"/>
      <c r="B12" s="2"/>
      <c r="C12" s="2"/>
      <c r="D12" s="2"/>
      <c r="E12" s="4"/>
      <c r="F12" s="4"/>
      <c r="G12" s="40" t="s">
        <v>308</v>
      </c>
      <c r="H12" s="4">
        <v>32250</v>
      </c>
      <c r="I12" s="4"/>
      <c r="J12" s="4">
        <f>+E11-H12</f>
        <v>267750</v>
      </c>
      <c r="K12" s="4"/>
      <c r="L12" s="4">
        <f t="shared" ref="L12:L20" si="2">+H12*I12</f>
        <v>0</v>
      </c>
      <c r="M12" s="4">
        <v>2025000000</v>
      </c>
      <c r="N12" s="4" t="s">
        <v>292</v>
      </c>
    </row>
    <row r="13" spans="1:15" ht="18" customHeight="1">
      <c r="A13" s="18"/>
      <c r="B13" s="60"/>
      <c r="C13" s="60"/>
      <c r="D13" s="60"/>
      <c r="E13" s="49"/>
      <c r="F13" s="49"/>
      <c r="G13" s="21"/>
      <c r="H13" s="4">
        <v>32710</v>
      </c>
      <c r="I13" s="4"/>
      <c r="J13" s="4">
        <f>+J12-H13</f>
        <v>235040</v>
      </c>
      <c r="K13" s="4"/>
      <c r="L13" s="4">
        <f t="shared" si="2"/>
        <v>0</v>
      </c>
      <c r="M13" s="4"/>
      <c r="N13" s="4"/>
    </row>
    <row r="14" spans="1:15" ht="18" customHeight="1">
      <c r="A14" s="18"/>
      <c r="B14" s="2"/>
      <c r="C14" s="2"/>
      <c r="D14" s="2"/>
      <c r="E14" s="4"/>
      <c r="F14" s="4"/>
      <c r="G14" s="40"/>
      <c r="H14" s="4">
        <v>34050</v>
      </c>
      <c r="I14" s="4"/>
      <c r="J14" s="4">
        <f t="shared" ref="J14:J20" si="3">+J13-H14</f>
        <v>200990</v>
      </c>
      <c r="K14" s="4"/>
      <c r="L14" s="4">
        <f t="shared" si="2"/>
        <v>0</v>
      </c>
      <c r="M14" s="4"/>
      <c r="N14" s="4"/>
    </row>
    <row r="15" spans="1:15" ht="18" customHeight="1">
      <c r="A15" s="18"/>
      <c r="B15" s="2"/>
      <c r="C15" s="2"/>
      <c r="D15" s="2"/>
      <c r="E15" s="4"/>
      <c r="F15" s="4"/>
      <c r="G15" s="40" t="s">
        <v>310</v>
      </c>
      <c r="H15" s="4">
        <v>35970</v>
      </c>
      <c r="I15" s="4"/>
      <c r="J15" s="4">
        <f t="shared" si="3"/>
        <v>165020</v>
      </c>
      <c r="K15" s="4"/>
      <c r="L15" s="4">
        <f t="shared" si="2"/>
        <v>0</v>
      </c>
      <c r="M15" s="4"/>
      <c r="N15" s="4"/>
    </row>
    <row r="16" spans="1:15" ht="18" customHeight="1">
      <c r="A16" s="18"/>
      <c r="B16" s="2"/>
      <c r="C16" s="2"/>
      <c r="D16" s="2"/>
      <c r="E16" s="4"/>
      <c r="F16" s="4"/>
      <c r="G16" s="40"/>
      <c r="H16" s="4">
        <v>32070</v>
      </c>
      <c r="I16" s="4"/>
      <c r="J16" s="4">
        <f t="shared" si="3"/>
        <v>132950</v>
      </c>
      <c r="K16" s="4"/>
      <c r="L16" s="4">
        <f t="shared" si="2"/>
        <v>0</v>
      </c>
      <c r="M16" s="4"/>
      <c r="N16" s="4"/>
      <c r="O16" s="50"/>
    </row>
    <row r="17" spans="1:15" ht="18" customHeight="1">
      <c r="A17" s="18"/>
      <c r="B17" s="2"/>
      <c r="C17" s="2"/>
      <c r="D17" s="2"/>
      <c r="E17" s="4"/>
      <c r="F17" s="4"/>
      <c r="G17" s="21"/>
      <c r="H17" s="4">
        <v>33170</v>
      </c>
      <c r="I17" s="4"/>
      <c r="J17" s="4">
        <f t="shared" si="3"/>
        <v>99780</v>
      </c>
      <c r="K17" s="4"/>
      <c r="L17" s="4">
        <f t="shared" si="2"/>
        <v>0</v>
      </c>
      <c r="M17" s="4"/>
      <c r="N17" s="4"/>
      <c r="O17" s="50"/>
    </row>
    <row r="18" spans="1:15" ht="18" customHeight="1">
      <c r="A18" s="18"/>
      <c r="B18" s="2"/>
      <c r="C18" s="2"/>
      <c r="D18" s="2"/>
      <c r="E18" s="4"/>
      <c r="F18" s="4"/>
      <c r="G18" s="40" t="s">
        <v>312</v>
      </c>
      <c r="H18" s="4">
        <v>32100</v>
      </c>
      <c r="I18" s="4"/>
      <c r="J18" s="4">
        <f t="shared" si="3"/>
        <v>67680</v>
      </c>
      <c r="K18" s="4"/>
      <c r="L18" s="4">
        <f t="shared" si="2"/>
        <v>0</v>
      </c>
      <c r="M18" s="4"/>
      <c r="N18" s="4"/>
      <c r="O18" s="50"/>
    </row>
    <row r="19" spans="1:15" ht="18" customHeight="1">
      <c r="A19" s="18"/>
      <c r="B19" s="2"/>
      <c r="C19" s="2"/>
      <c r="D19" s="2"/>
      <c r="E19" s="4"/>
      <c r="F19" s="4"/>
      <c r="G19" s="21"/>
      <c r="H19" s="4">
        <v>32240</v>
      </c>
      <c r="I19" s="4"/>
      <c r="J19" s="4">
        <f t="shared" si="3"/>
        <v>35440</v>
      </c>
      <c r="K19" s="4"/>
      <c r="L19" s="4">
        <f t="shared" si="2"/>
        <v>0</v>
      </c>
      <c r="M19" s="4"/>
      <c r="N19" s="4"/>
    </row>
    <row r="20" spans="1:15" ht="18" customHeight="1">
      <c r="A20" s="137"/>
      <c r="B20" s="39"/>
      <c r="C20" s="2"/>
      <c r="D20" s="2"/>
      <c r="E20" s="4"/>
      <c r="F20" s="4"/>
      <c r="G20" s="40" t="s">
        <v>316</v>
      </c>
      <c r="H20" s="4">
        <v>34260</v>
      </c>
      <c r="I20" s="4"/>
      <c r="J20" s="4">
        <f t="shared" si="3"/>
        <v>1180</v>
      </c>
      <c r="K20" s="4"/>
      <c r="L20" s="4">
        <f t="shared" si="2"/>
        <v>0</v>
      </c>
      <c r="M20" s="4"/>
      <c r="N20" s="4"/>
    </row>
    <row r="21" spans="1:15" s="15" customFormat="1" ht="18" customHeight="1">
      <c r="A21" s="291" t="s">
        <v>15</v>
      </c>
      <c r="B21" s="292"/>
      <c r="C21" s="13"/>
      <c r="D21" s="13"/>
      <c r="E21" s="14">
        <v>300000</v>
      </c>
      <c r="F21" s="14"/>
      <c r="G21" s="22"/>
      <c r="H21" s="14">
        <f>SUM(H11:H20)</f>
        <v>298820</v>
      </c>
      <c r="I21" s="14">
        <v>6750</v>
      </c>
      <c r="J21" s="14"/>
      <c r="K21" s="14"/>
      <c r="L21" s="14">
        <f>+H21*I21</f>
        <v>2017035000</v>
      </c>
      <c r="M21" s="57">
        <v>2025000000</v>
      </c>
      <c r="N21" s="14">
        <f>+M21-L21</f>
        <v>7965000</v>
      </c>
      <c r="O21" s="120"/>
    </row>
    <row r="22" spans="1:15" ht="18" customHeight="1">
      <c r="A22" s="18" t="s">
        <v>13</v>
      </c>
      <c r="B22" s="60" t="s">
        <v>289</v>
      </c>
      <c r="C22" s="60" t="s">
        <v>293</v>
      </c>
      <c r="D22" s="60" t="s">
        <v>85</v>
      </c>
      <c r="E22" s="49">
        <v>500000</v>
      </c>
      <c r="F22" s="49">
        <v>6800</v>
      </c>
      <c r="G22" s="61"/>
      <c r="H22" s="49"/>
      <c r="I22" s="49"/>
      <c r="J22" s="49"/>
      <c r="K22" s="49"/>
      <c r="L22" s="49"/>
      <c r="M22" s="49">
        <v>247000000</v>
      </c>
      <c r="N22" s="102" t="s">
        <v>215</v>
      </c>
      <c r="O22" s="50"/>
    </row>
    <row r="23" spans="1:15" ht="18" customHeight="1">
      <c r="A23" s="18"/>
      <c r="B23" s="2"/>
      <c r="C23" s="2"/>
      <c r="D23" s="2"/>
      <c r="E23" s="4"/>
      <c r="F23" s="4"/>
      <c r="G23" s="40" t="s">
        <v>346</v>
      </c>
      <c r="H23" s="4">
        <v>29210</v>
      </c>
      <c r="I23" s="4"/>
      <c r="J23" s="4">
        <f>+E22-H23</f>
        <v>470790</v>
      </c>
      <c r="K23" s="4"/>
      <c r="L23" s="4"/>
      <c r="M23" s="4">
        <v>1360000000</v>
      </c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21"/>
      <c r="H24" s="4">
        <v>30300</v>
      </c>
      <c r="I24" s="4"/>
      <c r="J24" s="4">
        <f>+J23-H24</f>
        <v>440490</v>
      </c>
      <c r="K24" s="4"/>
      <c r="L24" s="4"/>
      <c r="M24" s="4">
        <v>1700000000</v>
      </c>
      <c r="N24" s="4"/>
    </row>
    <row r="25" spans="1:15" ht="18" customHeight="1">
      <c r="A25" s="18"/>
      <c r="B25" s="2"/>
      <c r="C25" s="2"/>
      <c r="D25" s="2"/>
      <c r="E25" s="4"/>
      <c r="F25" s="4"/>
      <c r="G25" s="40"/>
      <c r="H25" s="4">
        <v>31460</v>
      </c>
      <c r="I25" s="4"/>
      <c r="J25" s="4">
        <f t="shared" ref="J25:J38" si="4">+J24-H25</f>
        <v>409030</v>
      </c>
      <c r="K25" s="4"/>
      <c r="L25" s="4"/>
      <c r="M25" s="4">
        <f t="shared" ref="M25:M38" si="5">+H25*I25</f>
        <v>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 t="s">
        <v>348</v>
      </c>
      <c r="H26" s="4">
        <v>32840</v>
      </c>
      <c r="I26" s="4"/>
      <c r="J26" s="4">
        <f t="shared" si="4"/>
        <v>376190</v>
      </c>
      <c r="K26" s="4"/>
      <c r="L26" s="4"/>
      <c r="M26" s="4">
        <f t="shared" si="5"/>
        <v>0</v>
      </c>
      <c r="N26" s="4"/>
    </row>
    <row r="27" spans="1:15" ht="18" customHeight="1">
      <c r="A27" s="18"/>
      <c r="B27" s="2"/>
      <c r="C27" s="2"/>
      <c r="D27" s="2"/>
      <c r="E27" s="4"/>
      <c r="F27" s="4"/>
      <c r="G27" s="40"/>
      <c r="H27" s="4">
        <v>32800</v>
      </c>
      <c r="I27" s="4"/>
      <c r="J27" s="4">
        <f t="shared" si="4"/>
        <v>343390</v>
      </c>
      <c r="K27" s="4"/>
      <c r="L27" s="4"/>
      <c r="M27" s="4">
        <f t="shared" si="5"/>
        <v>0</v>
      </c>
      <c r="N27" s="4"/>
    </row>
    <row r="28" spans="1:15" ht="18" customHeight="1">
      <c r="A28" s="18"/>
      <c r="B28" s="2"/>
      <c r="C28" s="2"/>
      <c r="D28" s="2"/>
      <c r="E28" s="4"/>
      <c r="F28" s="4"/>
      <c r="G28" s="21"/>
      <c r="H28" s="4">
        <v>33070</v>
      </c>
      <c r="I28" s="4"/>
      <c r="J28" s="4">
        <f t="shared" si="4"/>
        <v>310320</v>
      </c>
      <c r="K28" s="4"/>
      <c r="L28" s="4"/>
      <c r="M28" s="4">
        <f t="shared" si="5"/>
        <v>0</v>
      </c>
      <c r="N28" s="4"/>
    </row>
    <row r="29" spans="1:15" ht="18" customHeight="1">
      <c r="A29" s="18"/>
      <c r="B29" s="2"/>
      <c r="C29" s="2"/>
      <c r="D29" s="2"/>
      <c r="E29" s="4"/>
      <c r="F29" s="4"/>
      <c r="G29" s="40" t="s">
        <v>351</v>
      </c>
      <c r="H29" s="4">
        <v>31380</v>
      </c>
      <c r="I29" s="4"/>
      <c r="J29" s="4">
        <f t="shared" si="4"/>
        <v>278940</v>
      </c>
      <c r="K29" s="4"/>
      <c r="L29" s="4"/>
      <c r="M29" s="4">
        <f t="shared" si="5"/>
        <v>0</v>
      </c>
      <c r="N29" s="4"/>
    </row>
    <row r="30" spans="1:15" ht="18" customHeight="1">
      <c r="A30" s="18"/>
      <c r="B30" s="2"/>
      <c r="C30" s="2"/>
      <c r="D30" s="2"/>
      <c r="E30" s="4"/>
      <c r="F30" s="4"/>
      <c r="G30" s="21"/>
      <c r="H30" s="4">
        <v>30670</v>
      </c>
      <c r="I30" s="4"/>
      <c r="J30" s="4">
        <f t="shared" si="4"/>
        <v>248270</v>
      </c>
      <c r="K30" s="4"/>
      <c r="L30" s="4"/>
      <c r="M30" s="4">
        <f t="shared" si="5"/>
        <v>0</v>
      </c>
      <c r="N30" s="4"/>
    </row>
    <row r="31" spans="1:15" ht="18" customHeight="1">
      <c r="A31" s="18"/>
      <c r="B31" s="2"/>
      <c r="C31" s="2"/>
      <c r="D31" s="2"/>
      <c r="E31" s="4"/>
      <c r="F31" s="4"/>
      <c r="G31" s="21"/>
      <c r="H31" s="4">
        <v>31510</v>
      </c>
      <c r="I31" s="4"/>
      <c r="J31" s="4">
        <f t="shared" si="4"/>
        <v>216760</v>
      </c>
      <c r="K31" s="4"/>
      <c r="L31" s="4"/>
      <c r="M31" s="4">
        <f t="shared" si="5"/>
        <v>0</v>
      </c>
      <c r="N31" s="4"/>
      <c r="O31" s="90">
        <v>3400000000</v>
      </c>
    </row>
    <row r="32" spans="1:15" ht="18" customHeight="1">
      <c r="A32" s="18"/>
      <c r="B32" s="2"/>
      <c r="C32" s="2"/>
      <c r="D32" s="2"/>
      <c r="E32" s="4"/>
      <c r="F32" s="4"/>
      <c r="G32" s="40" t="s">
        <v>354</v>
      </c>
      <c r="H32" s="4">
        <v>30840</v>
      </c>
      <c r="I32" s="4"/>
      <c r="J32" s="4">
        <f t="shared" si="4"/>
        <v>185920</v>
      </c>
      <c r="K32" s="4"/>
      <c r="L32" s="4"/>
      <c r="M32" s="4">
        <f t="shared" si="5"/>
        <v>0</v>
      </c>
      <c r="N32" s="4"/>
      <c r="O32" s="90"/>
    </row>
    <row r="33" spans="1:15" ht="18" customHeight="1">
      <c r="A33" s="18"/>
      <c r="B33" s="2"/>
      <c r="C33" s="2"/>
      <c r="D33" s="2"/>
      <c r="E33" s="4"/>
      <c r="F33" s="4"/>
      <c r="G33" s="21"/>
      <c r="H33" s="4">
        <v>30970</v>
      </c>
      <c r="I33" s="4"/>
      <c r="J33" s="4">
        <f t="shared" si="4"/>
        <v>154950</v>
      </c>
      <c r="K33" s="4"/>
      <c r="L33" s="4"/>
      <c r="M33" s="4">
        <f t="shared" si="5"/>
        <v>0</v>
      </c>
      <c r="N33" s="4"/>
      <c r="O33" s="90"/>
    </row>
    <row r="34" spans="1:15" ht="18" customHeight="1">
      <c r="A34" s="18"/>
      <c r="B34" s="2"/>
      <c r="C34" s="2"/>
      <c r="D34" s="2"/>
      <c r="E34" s="4"/>
      <c r="F34" s="4"/>
      <c r="G34" s="21"/>
      <c r="H34" s="4">
        <v>30660</v>
      </c>
      <c r="I34" s="4"/>
      <c r="J34" s="4">
        <f t="shared" si="4"/>
        <v>124290</v>
      </c>
      <c r="K34" s="4"/>
      <c r="L34" s="4"/>
      <c r="M34" s="4">
        <f t="shared" si="5"/>
        <v>0</v>
      </c>
      <c r="N34" s="4"/>
      <c r="O34" s="90"/>
    </row>
    <row r="35" spans="1:15" ht="18" customHeight="1">
      <c r="A35" s="18"/>
      <c r="B35" s="2"/>
      <c r="C35" s="2"/>
      <c r="D35" s="2"/>
      <c r="E35" s="4"/>
      <c r="F35" s="4"/>
      <c r="G35" s="40" t="s">
        <v>352</v>
      </c>
      <c r="H35" s="4">
        <v>32180</v>
      </c>
      <c r="I35" s="4"/>
      <c r="J35" s="4">
        <f t="shared" si="4"/>
        <v>92110</v>
      </c>
      <c r="K35" s="4"/>
      <c r="L35" s="4"/>
      <c r="M35" s="4">
        <f t="shared" si="5"/>
        <v>0</v>
      </c>
      <c r="N35" s="4"/>
      <c r="O35" s="90"/>
    </row>
    <row r="36" spans="1:15" ht="18" customHeight="1">
      <c r="A36" s="18"/>
      <c r="B36" s="2"/>
      <c r="C36" s="2"/>
      <c r="D36" s="2"/>
      <c r="E36" s="4"/>
      <c r="F36" s="4"/>
      <c r="G36" s="40" t="s">
        <v>355</v>
      </c>
      <c r="H36" s="4">
        <v>30460</v>
      </c>
      <c r="I36" s="4"/>
      <c r="J36" s="4">
        <f t="shared" si="4"/>
        <v>61650</v>
      </c>
      <c r="K36" s="4"/>
      <c r="L36" s="4"/>
      <c r="M36" s="4">
        <f t="shared" si="5"/>
        <v>0</v>
      </c>
      <c r="N36" s="4"/>
      <c r="O36" s="90"/>
    </row>
    <row r="37" spans="1:15" ht="18" customHeight="1">
      <c r="A37" s="18"/>
      <c r="B37" s="2"/>
      <c r="C37" s="2"/>
      <c r="D37" s="2"/>
      <c r="E37" s="4"/>
      <c r="F37" s="4"/>
      <c r="G37" s="21"/>
      <c r="H37" s="4">
        <v>31080</v>
      </c>
      <c r="I37" s="4"/>
      <c r="J37" s="4">
        <f t="shared" si="4"/>
        <v>30570</v>
      </c>
      <c r="K37" s="4"/>
      <c r="L37" s="4"/>
      <c r="M37" s="4">
        <f t="shared" si="5"/>
        <v>0</v>
      </c>
      <c r="N37" s="4"/>
      <c r="O37" s="90"/>
    </row>
    <row r="38" spans="1:15" ht="18" customHeight="1">
      <c r="A38" s="18"/>
      <c r="B38" s="2"/>
      <c r="C38" s="2"/>
      <c r="D38" s="2"/>
      <c r="E38" s="4"/>
      <c r="F38" s="4"/>
      <c r="G38" s="21"/>
      <c r="H38" s="4">
        <v>32180</v>
      </c>
      <c r="I38" s="4"/>
      <c r="J38" s="4">
        <f t="shared" si="4"/>
        <v>-1610</v>
      </c>
      <c r="K38" s="4"/>
      <c r="L38" s="4"/>
      <c r="M38" s="4">
        <f t="shared" si="5"/>
        <v>0</v>
      </c>
      <c r="N38" s="4"/>
      <c r="O38" s="90">
        <v>1024369000</v>
      </c>
    </row>
    <row r="39" spans="1:15" ht="18" customHeight="1">
      <c r="A39" s="55"/>
      <c r="B39" s="24"/>
      <c r="C39" s="56"/>
      <c r="D39" s="56"/>
      <c r="E39" s="57"/>
      <c r="F39" s="57"/>
      <c r="G39" s="58"/>
      <c r="H39" s="57">
        <f>SUM(H23:H38)</f>
        <v>501610</v>
      </c>
      <c r="I39" s="57">
        <v>6800</v>
      </c>
      <c r="J39" s="57">
        <f>+I39*H39</f>
        <v>3410948000</v>
      </c>
      <c r="K39" s="57">
        <f t="shared" ref="K39:L39" si="6">SUM(K23:K38)</f>
        <v>0</v>
      </c>
      <c r="L39" s="57">
        <f t="shared" si="6"/>
        <v>0</v>
      </c>
      <c r="M39" s="57">
        <f>SUM(M23:M38)</f>
        <v>3060000000</v>
      </c>
      <c r="N39" s="57"/>
      <c r="O39" s="119">
        <f>M39-J39</f>
        <v>-350948000</v>
      </c>
    </row>
    <row r="40" spans="1:15" ht="18" customHeight="1">
      <c r="A40" s="18" t="s">
        <v>13</v>
      </c>
      <c r="B40" s="60" t="s">
        <v>447</v>
      </c>
      <c r="C40" s="64"/>
      <c r="D40" s="64" t="s">
        <v>442</v>
      </c>
      <c r="E40" s="65">
        <v>200000</v>
      </c>
      <c r="F40" s="65">
        <v>7950</v>
      </c>
      <c r="G40" s="135"/>
      <c r="H40" s="65"/>
      <c r="I40" s="65"/>
      <c r="J40" s="65"/>
      <c r="K40" s="65"/>
      <c r="L40" s="65"/>
      <c r="M40" s="65"/>
      <c r="N40" s="65"/>
      <c r="O40" s="129"/>
    </row>
    <row r="41" spans="1:15" ht="18" customHeight="1">
      <c r="A41" s="18"/>
      <c r="B41" s="2" t="s">
        <v>468</v>
      </c>
      <c r="C41" s="64"/>
      <c r="D41" s="64"/>
      <c r="E41" s="65"/>
      <c r="F41" s="65"/>
      <c r="G41" s="67">
        <v>44315</v>
      </c>
      <c r="H41" s="155">
        <v>32140</v>
      </c>
      <c r="I41" s="65">
        <v>7950</v>
      </c>
      <c r="J41" s="65">
        <f>E40-H41</f>
        <v>167860</v>
      </c>
      <c r="K41" s="65"/>
      <c r="L41" s="65"/>
      <c r="M41" s="65"/>
      <c r="N41" s="65"/>
      <c r="O41" s="129"/>
    </row>
    <row r="42" spans="1:15" ht="18" customHeight="1">
      <c r="A42" s="18"/>
      <c r="B42" s="2"/>
      <c r="C42" s="64"/>
      <c r="D42" s="64"/>
      <c r="E42" s="65"/>
      <c r="F42" s="65"/>
      <c r="G42" s="110">
        <v>44315</v>
      </c>
      <c r="H42" s="155">
        <v>31850</v>
      </c>
      <c r="I42" s="65">
        <v>7950</v>
      </c>
      <c r="J42" s="65">
        <f>J41-H42</f>
        <v>136010</v>
      </c>
      <c r="K42" s="65"/>
      <c r="L42" s="65"/>
      <c r="M42" s="65"/>
      <c r="N42" s="65"/>
      <c r="O42" s="129"/>
    </row>
    <row r="43" spans="1:15" ht="18" customHeight="1">
      <c r="A43" s="18"/>
      <c r="B43" s="2"/>
      <c r="C43" s="64"/>
      <c r="D43" s="64"/>
      <c r="E43" s="65"/>
      <c r="F43" s="65"/>
      <c r="G43" s="110">
        <v>44319</v>
      </c>
      <c r="H43" s="155">
        <v>31850</v>
      </c>
      <c r="I43" s="65">
        <v>7950</v>
      </c>
      <c r="J43" s="65">
        <f t="shared" ref="J43:J46" si="7">J42-H43</f>
        <v>104160</v>
      </c>
      <c r="K43" s="65"/>
      <c r="L43" s="65"/>
      <c r="M43" s="65"/>
      <c r="N43" s="65"/>
      <c r="O43" s="129"/>
    </row>
    <row r="44" spans="1:15" ht="18" customHeight="1">
      <c r="A44" s="18"/>
      <c r="B44" s="2"/>
      <c r="C44" s="64"/>
      <c r="D44" s="64"/>
      <c r="E44" s="65"/>
      <c r="F44" s="65"/>
      <c r="G44" s="110">
        <v>44319</v>
      </c>
      <c r="H44" s="155">
        <v>33350</v>
      </c>
      <c r="I44" s="65">
        <v>7950</v>
      </c>
      <c r="J44" s="65">
        <f t="shared" si="7"/>
        <v>70810</v>
      </c>
      <c r="K44" s="65"/>
      <c r="L44" s="65"/>
      <c r="M44" s="65"/>
      <c r="N44" s="65"/>
      <c r="O44" s="129"/>
    </row>
    <row r="45" spans="1:15" ht="18" customHeight="1">
      <c r="A45" s="18"/>
      <c r="B45" s="2"/>
      <c r="C45" s="64"/>
      <c r="D45" s="64"/>
      <c r="E45" s="65"/>
      <c r="F45" s="65"/>
      <c r="G45" s="110">
        <v>44320</v>
      </c>
      <c r="H45" s="155">
        <v>31980</v>
      </c>
      <c r="I45" s="65">
        <v>7950</v>
      </c>
      <c r="J45" s="65">
        <f t="shared" si="7"/>
        <v>38830</v>
      </c>
      <c r="K45" s="65"/>
      <c r="L45" s="65"/>
      <c r="M45" s="65"/>
      <c r="N45" s="65"/>
      <c r="O45" s="129"/>
    </row>
    <row r="46" spans="1:15" ht="18" customHeight="1">
      <c r="A46" s="18"/>
      <c r="B46" s="2"/>
      <c r="C46" s="64"/>
      <c r="D46" s="64"/>
      <c r="E46" s="65"/>
      <c r="F46" s="65"/>
      <c r="G46" s="110">
        <v>44321</v>
      </c>
      <c r="H46" s="155">
        <v>31410</v>
      </c>
      <c r="I46" s="65">
        <v>7950</v>
      </c>
      <c r="J46" s="65">
        <f t="shared" si="7"/>
        <v>7420</v>
      </c>
      <c r="K46" s="65"/>
      <c r="L46" s="65"/>
      <c r="M46" s="65"/>
      <c r="N46" s="65"/>
      <c r="O46" s="129"/>
    </row>
    <row r="47" spans="1:15" ht="18" customHeight="1">
      <c r="A47" s="156"/>
      <c r="B47" s="111" t="s">
        <v>235</v>
      </c>
      <c r="C47" s="111"/>
      <c r="D47" s="111"/>
      <c r="E47" s="103"/>
      <c r="F47" s="103"/>
      <c r="G47" s="112"/>
      <c r="H47" s="103">
        <f>SUM(H41:H46)</f>
        <v>192580</v>
      </c>
      <c r="I47" s="103">
        <v>7950</v>
      </c>
      <c r="J47" s="103"/>
      <c r="K47" s="103"/>
      <c r="L47" s="103">
        <f>H47*I47</f>
        <v>1531011000</v>
      </c>
      <c r="M47" s="65" t="s">
        <v>524</v>
      </c>
      <c r="N47" s="65"/>
      <c r="O47" s="129"/>
    </row>
    <row r="48" spans="1:15" s="136" customFormat="1" ht="18" customHeight="1">
      <c r="A48" s="134" t="s">
        <v>13</v>
      </c>
      <c r="B48" s="64" t="s">
        <v>464</v>
      </c>
      <c r="C48" s="165" t="s">
        <v>461</v>
      </c>
      <c r="D48" s="64" t="s">
        <v>627</v>
      </c>
      <c r="E48" s="65">
        <v>300000</v>
      </c>
      <c r="F48" s="65">
        <v>7550</v>
      </c>
      <c r="G48" s="135"/>
      <c r="H48" s="65"/>
      <c r="I48" s="65"/>
      <c r="J48" s="65"/>
      <c r="K48" s="65"/>
      <c r="L48" s="65"/>
      <c r="M48" s="65"/>
      <c r="N48" s="65"/>
      <c r="O48" s="129"/>
    </row>
    <row r="49" spans="1:15" s="136" customFormat="1" ht="18" customHeight="1">
      <c r="A49" s="134"/>
      <c r="B49" s="64" t="s">
        <v>463</v>
      </c>
      <c r="C49" s="64" t="s">
        <v>462</v>
      </c>
      <c r="D49" s="64"/>
      <c r="E49" s="65"/>
      <c r="F49" s="65"/>
      <c r="G49" s="67" t="s">
        <v>625</v>
      </c>
      <c r="H49" s="68">
        <v>32600</v>
      </c>
      <c r="I49" s="65"/>
      <c r="J49" s="65">
        <f>+E48-H49</f>
        <v>267400</v>
      </c>
      <c r="K49" s="65"/>
      <c r="L49" s="321" t="s">
        <v>628</v>
      </c>
      <c r="M49" s="65"/>
      <c r="N49" s="65"/>
      <c r="O49" s="129"/>
    </row>
    <row r="50" spans="1:15" s="136" customFormat="1" ht="18" customHeight="1">
      <c r="A50" s="134"/>
      <c r="B50" s="64"/>
      <c r="C50" s="64"/>
      <c r="D50" s="64"/>
      <c r="E50" s="65"/>
      <c r="F50" s="65"/>
      <c r="G50" s="67" t="s">
        <v>626</v>
      </c>
      <c r="H50" s="68">
        <v>33590</v>
      </c>
      <c r="I50" s="65"/>
      <c r="J50" s="65">
        <f>+J49-H50</f>
        <v>233810</v>
      </c>
      <c r="K50" s="65"/>
      <c r="L50" s="322"/>
      <c r="M50" s="65"/>
      <c r="N50" s="65"/>
      <c r="O50" s="129"/>
    </row>
    <row r="51" spans="1:15" s="136" customFormat="1" ht="18" customHeight="1">
      <c r="A51" s="134"/>
      <c r="B51" s="64"/>
      <c r="C51" s="64"/>
      <c r="D51" s="64"/>
      <c r="E51" s="65"/>
      <c r="F51" s="65"/>
      <c r="G51" s="110"/>
      <c r="H51" s="68">
        <v>33430</v>
      </c>
      <c r="I51" s="65"/>
      <c r="J51" s="65">
        <f t="shared" ref="J51:J57" si="8">+J50-H51</f>
        <v>200380</v>
      </c>
      <c r="K51" s="65"/>
      <c r="L51" s="323"/>
      <c r="M51" s="65"/>
      <c r="N51" s="65"/>
      <c r="O51" s="129"/>
    </row>
    <row r="52" spans="1:15" s="136" customFormat="1" ht="18" customHeight="1">
      <c r="A52" s="134"/>
      <c r="B52" s="64"/>
      <c r="C52" s="64"/>
      <c r="D52" s="64"/>
      <c r="E52" s="65"/>
      <c r="F52" s="65"/>
      <c r="G52" s="67" t="s">
        <v>629</v>
      </c>
      <c r="H52" s="68">
        <v>30590</v>
      </c>
      <c r="I52" s="65"/>
      <c r="J52" s="65">
        <f t="shared" si="8"/>
        <v>169790</v>
      </c>
      <c r="K52" s="65"/>
      <c r="L52" s="65"/>
      <c r="M52" s="65"/>
      <c r="N52" s="65"/>
      <c r="O52" s="129"/>
    </row>
    <row r="53" spans="1:15" s="136" customFormat="1" ht="18" customHeight="1">
      <c r="A53" s="134"/>
      <c r="B53" s="64"/>
      <c r="C53" s="64"/>
      <c r="D53" s="64"/>
      <c r="E53" s="65"/>
      <c r="F53" s="65"/>
      <c r="G53" s="110"/>
      <c r="H53" s="68">
        <v>31280</v>
      </c>
      <c r="I53" s="65"/>
      <c r="J53" s="65">
        <f t="shared" si="8"/>
        <v>138510</v>
      </c>
      <c r="K53" s="65"/>
      <c r="L53" s="65"/>
      <c r="M53" s="65"/>
      <c r="N53" s="65"/>
      <c r="O53" s="129"/>
    </row>
    <row r="54" spans="1:15" s="136" customFormat="1" ht="18" customHeight="1">
      <c r="A54" s="134"/>
      <c r="B54" s="64"/>
      <c r="C54" s="64"/>
      <c r="D54" s="64"/>
      <c r="E54" s="65"/>
      <c r="F54" s="65"/>
      <c r="G54" s="110"/>
      <c r="H54" s="68">
        <v>30940</v>
      </c>
      <c r="I54" s="65"/>
      <c r="J54" s="65">
        <f t="shared" si="8"/>
        <v>107570</v>
      </c>
      <c r="K54" s="65"/>
      <c r="L54" s="65"/>
      <c r="M54" s="65"/>
      <c r="N54" s="65"/>
      <c r="O54" s="129"/>
    </row>
    <row r="55" spans="1:15" s="136" customFormat="1" ht="18" customHeight="1">
      <c r="A55" s="134"/>
      <c r="B55" s="64"/>
      <c r="C55" s="64"/>
      <c r="D55" s="64"/>
      <c r="E55" s="65"/>
      <c r="F55" s="65"/>
      <c r="G55" s="67" t="s">
        <v>633</v>
      </c>
      <c r="H55" s="68">
        <v>31630</v>
      </c>
      <c r="I55" s="65"/>
      <c r="J55" s="65">
        <f t="shared" si="8"/>
        <v>75940</v>
      </c>
      <c r="K55" s="65"/>
      <c r="L55" s="65"/>
      <c r="M55" s="65"/>
      <c r="N55" s="65"/>
      <c r="O55" s="129"/>
    </row>
    <row r="56" spans="1:15" s="136" customFormat="1" ht="18" customHeight="1">
      <c r="A56" s="134"/>
      <c r="B56" s="64"/>
      <c r="C56" s="64"/>
      <c r="D56" s="64"/>
      <c r="E56" s="65"/>
      <c r="F56" s="65"/>
      <c r="G56" s="110"/>
      <c r="H56" s="68">
        <v>31800</v>
      </c>
      <c r="I56" s="65"/>
      <c r="J56" s="65">
        <f t="shared" si="8"/>
        <v>44140</v>
      </c>
      <c r="K56" s="65"/>
      <c r="L56" s="65"/>
      <c r="M56" s="65"/>
      <c r="N56" s="65"/>
      <c r="O56" s="129"/>
    </row>
    <row r="57" spans="1:15" s="136" customFormat="1" ht="18" customHeight="1">
      <c r="A57" s="134"/>
      <c r="B57" s="64"/>
      <c r="C57" s="64"/>
      <c r="D57" s="64"/>
      <c r="E57" s="65"/>
      <c r="F57" s="65"/>
      <c r="G57" s="67" t="s">
        <v>637</v>
      </c>
      <c r="H57" s="68">
        <v>23550</v>
      </c>
      <c r="I57" s="65"/>
      <c r="J57" s="65">
        <f t="shared" si="8"/>
        <v>20590</v>
      </c>
      <c r="K57" s="65"/>
      <c r="L57" s="65"/>
      <c r="M57" s="65"/>
      <c r="N57" s="65"/>
      <c r="O57" s="129"/>
    </row>
    <row r="58" spans="1:15" s="136" customFormat="1" ht="18" customHeight="1">
      <c r="A58" s="202"/>
      <c r="B58" s="203"/>
      <c r="C58" s="203"/>
      <c r="D58" s="203"/>
      <c r="E58" s="204"/>
      <c r="F58" s="204"/>
      <c r="G58" s="205"/>
      <c r="H58" s="204">
        <f>SUM(H49:H57)</f>
        <v>279410</v>
      </c>
      <c r="I58" s="204"/>
      <c r="J58" s="204"/>
      <c r="K58" s="204"/>
      <c r="L58" s="65"/>
      <c r="M58" s="65"/>
      <c r="N58" s="65"/>
      <c r="O58" s="129"/>
    </row>
    <row r="59" spans="1:15" s="136" customFormat="1" ht="18" customHeight="1">
      <c r="A59" s="134" t="s">
        <v>29</v>
      </c>
      <c r="B59" s="64" t="s">
        <v>654</v>
      </c>
      <c r="C59" s="64"/>
      <c r="D59" s="64" t="s">
        <v>703</v>
      </c>
      <c r="E59" s="65">
        <v>200000</v>
      </c>
      <c r="F59" s="65">
        <v>7500</v>
      </c>
      <c r="G59" s="110"/>
      <c r="H59" s="68"/>
      <c r="I59" s="65"/>
      <c r="J59" s="65"/>
      <c r="K59" s="65"/>
      <c r="L59" s="65"/>
      <c r="M59" s="65"/>
      <c r="N59" s="65"/>
      <c r="O59" s="129"/>
    </row>
    <row r="60" spans="1:15" s="136" customFormat="1" ht="18" customHeight="1">
      <c r="A60" s="134"/>
      <c r="B60" s="64" t="s">
        <v>675</v>
      </c>
      <c r="C60" s="64"/>
      <c r="D60" s="64"/>
      <c r="E60" s="65"/>
      <c r="F60" s="65"/>
      <c r="G60" s="67" t="s">
        <v>704</v>
      </c>
      <c r="H60" s="68">
        <v>39620</v>
      </c>
      <c r="I60" s="65"/>
      <c r="J60" s="65"/>
      <c r="K60" s="65"/>
      <c r="L60" s="65"/>
      <c r="M60" s="65"/>
      <c r="N60" s="65"/>
      <c r="O60" s="129"/>
    </row>
    <row r="61" spans="1:15" s="136" customFormat="1" ht="18" customHeight="1">
      <c r="A61" s="134"/>
      <c r="B61" s="64"/>
      <c r="C61" s="64"/>
      <c r="D61" s="64"/>
      <c r="E61" s="65"/>
      <c r="F61" s="65"/>
      <c r="G61" s="110"/>
      <c r="H61" s="68">
        <v>40430</v>
      </c>
      <c r="I61" s="65"/>
      <c r="J61" s="65"/>
      <c r="K61" s="65"/>
      <c r="L61" s="65"/>
      <c r="M61" s="65"/>
      <c r="N61" s="65"/>
      <c r="O61" s="129"/>
    </row>
    <row r="62" spans="1:15" s="136" customFormat="1" ht="18" customHeight="1">
      <c r="A62" s="134"/>
      <c r="B62" s="64"/>
      <c r="C62" s="64"/>
      <c r="D62" s="64"/>
      <c r="E62" s="65"/>
      <c r="F62" s="65"/>
      <c r="G62" s="110"/>
      <c r="H62" s="68">
        <v>34150</v>
      </c>
      <c r="I62" s="65"/>
      <c r="J62" s="65"/>
      <c r="K62" s="65"/>
      <c r="L62" s="65"/>
      <c r="M62" s="65"/>
      <c r="N62" s="65"/>
      <c r="O62" s="129"/>
    </row>
    <row r="63" spans="1:15" s="136" customFormat="1" ht="18" customHeight="1">
      <c r="A63" s="134"/>
      <c r="B63" s="64"/>
      <c r="C63" s="64"/>
      <c r="D63" s="64"/>
      <c r="E63" s="65"/>
      <c r="F63" s="65"/>
      <c r="G63" s="67" t="s">
        <v>707</v>
      </c>
      <c r="H63" s="68">
        <v>42330</v>
      </c>
      <c r="I63" s="65"/>
      <c r="J63" s="65"/>
      <c r="K63" s="65"/>
      <c r="L63" s="65"/>
      <c r="M63" s="65"/>
      <c r="N63" s="65"/>
      <c r="O63" s="129"/>
    </row>
    <row r="64" spans="1:15" s="136" customFormat="1" ht="18" customHeight="1">
      <c r="A64" s="134"/>
      <c r="B64" s="64"/>
      <c r="C64" s="64"/>
      <c r="D64" s="64"/>
      <c r="E64" s="65"/>
      <c r="F64" s="65"/>
      <c r="G64" s="110"/>
      <c r="H64" s="68">
        <v>39840</v>
      </c>
      <c r="I64" s="65"/>
      <c r="J64" s="65"/>
      <c r="K64" s="65"/>
      <c r="L64" s="65"/>
      <c r="M64" s="65"/>
      <c r="N64" s="65"/>
      <c r="O64" s="129"/>
    </row>
    <row r="65" spans="1:15" s="136" customFormat="1" ht="18" customHeight="1">
      <c r="A65" s="134"/>
      <c r="B65" s="64"/>
      <c r="C65" s="64"/>
      <c r="D65" s="64"/>
      <c r="E65" s="65"/>
      <c r="F65" s="65"/>
      <c r="G65" s="110"/>
      <c r="H65" s="68"/>
      <c r="I65" s="65"/>
      <c r="J65" s="65"/>
      <c r="K65" s="65"/>
      <c r="L65" s="65"/>
      <c r="M65" s="65"/>
      <c r="N65" s="65"/>
      <c r="O65" s="129"/>
    </row>
    <row r="66" spans="1:15" ht="18" customHeight="1">
      <c r="A66" s="51"/>
      <c r="B66" s="52" t="s">
        <v>15</v>
      </c>
      <c r="C66" s="52"/>
      <c r="D66" s="52"/>
      <c r="E66" s="53"/>
      <c r="F66" s="53"/>
      <c r="G66" s="54"/>
      <c r="H66" s="53">
        <f>SUM(H60:H65)</f>
        <v>196370</v>
      </c>
      <c r="I66" s="53">
        <v>7500</v>
      </c>
      <c r="J66" s="53"/>
      <c r="K66" s="53"/>
      <c r="L66" s="53">
        <f>+H66*I66</f>
        <v>1472775000</v>
      </c>
      <c r="M66" s="65"/>
      <c r="N66" s="65"/>
      <c r="O66" s="129"/>
    </row>
    <row r="67" spans="1:15" ht="18" customHeight="1">
      <c r="A67" s="18" t="s">
        <v>29</v>
      </c>
      <c r="B67" s="60" t="s">
        <v>654</v>
      </c>
      <c r="C67" s="64" t="s">
        <v>655</v>
      </c>
      <c r="D67" s="64" t="s">
        <v>656</v>
      </c>
      <c r="E67" s="65">
        <v>120000</v>
      </c>
      <c r="F67" s="65">
        <v>6450</v>
      </c>
      <c r="G67" s="135"/>
      <c r="H67" s="65"/>
      <c r="I67" s="65"/>
      <c r="J67" s="65"/>
      <c r="K67" s="65"/>
      <c r="L67" s="65"/>
      <c r="M67" s="65"/>
      <c r="N67" s="65"/>
      <c r="O67" s="129"/>
    </row>
    <row r="68" spans="1:15" ht="18" customHeight="1">
      <c r="A68" s="18"/>
      <c r="B68" s="2" t="s">
        <v>676</v>
      </c>
      <c r="C68" s="2"/>
      <c r="D68" s="2"/>
      <c r="E68" s="4"/>
      <c r="F68" s="4"/>
      <c r="G68" s="40" t="s">
        <v>680</v>
      </c>
      <c r="H68" s="4">
        <v>39020</v>
      </c>
      <c r="I68" s="4">
        <f>+E67-H68</f>
        <v>80980</v>
      </c>
      <c r="J68" s="4"/>
      <c r="K68" s="4"/>
      <c r="L68" s="4"/>
      <c r="M68" s="4"/>
      <c r="N68" s="4"/>
      <c r="O68" s="90"/>
    </row>
    <row r="69" spans="1:15" ht="18" customHeight="1">
      <c r="A69" s="18"/>
      <c r="B69" s="2"/>
      <c r="C69" s="2"/>
      <c r="D69" s="2"/>
      <c r="E69" s="4"/>
      <c r="F69" s="4"/>
      <c r="G69" s="40" t="s">
        <v>684</v>
      </c>
      <c r="H69" s="4">
        <v>38810</v>
      </c>
      <c r="I69" s="4">
        <f>+I68-H69</f>
        <v>42170</v>
      </c>
      <c r="J69" s="4"/>
      <c r="K69" s="4"/>
      <c r="L69" s="4"/>
      <c r="M69" s="4"/>
      <c r="N69" s="4"/>
    </row>
    <row r="70" spans="1:15" ht="18" customHeight="1">
      <c r="A70" s="18"/>
      <c r="B70" s="2"/>
      <c r="C70" s="2"/>
      <c r="D70" s="2"/>
      <c r="E70" s="4"/>
      <c r="F70" s="4"/>
      <c r="G70" s="40" t="s">
        <v>724</v>
      </c>
      <c r="H70" s="4">
        <v>40000</v>
      </c>
      <c r="I70" s="4">
        <f t="shared" ref="I70" si="9">+I69-H70</f>
        <v>2170</v>
      </c>
      <c r="J70" s="4"/>
      <c r="K70" s="4"/>
      <c r="L70" s="4"/>
      <c r="M70" s="4"/>
      <c r="N70" s="4"/>
    </row>
    <row r="71" spans="1:15" ht="18" customHeight="1">
      <c r="A71" s="281" t="s">
        <v>0</v>
      </c>
      <c r="B71" s="282"/>
      <c r="C71" s="127"/>
      <c r="D71" s="127"/>
      <c r="E71" s="5"/>
      <c r="F71" s="5"/>
      <c r="G71" s="23"/>
      <c r="H71" s="5">
        <f>SUM(H68:H70)</f>
        <v>117830</v>
      </c>
      <c r="I71" s="5"/>
      <c r="J71" s="5"/>
      <c r="K71" s="99"/>
      <c r="L71" s="100"/>
      <c r="M71" s="14"/>
      <c r="N71" s="100"/>
    </row>
    <row r="72" spans="1:15" s="6" customFormat="1" ht="24.75" customHeight="1">
      <c r="A72" s="18" t="s">
        <v>13</v>
      </c>
      <c r="B72" s="60" t="s">
        <v>654</v>
      </c>
      <c r="C72" s="64"/>
      <c r="D72" s="64" t="s">
        <v>28</v>
      </c>
      <c r="E72" s="65">
        <v>35000</v>
      </c>
      <c r="F72" s="65">
        <v>12150</v>
      </c>
      <c r="G72" s="135"/>
      <c r="H72" s="65"/>
      <c r="I72" s="65"/>
      <c r="J72" s="65"/>
      <c r="K72" s="65"/>
      <c r="L72" s="65"/>
    </row>
    <row r="73" spans="1:15">
      <c r="A73" s="18"/>
      <c r="B73" s="2" t="s">
        <v>728</v>
      </c>
      <c r="C73" s="2"/>
      <c r="D73" s="2"/>
      <c r="E73" s="4"/>
      <c r="F73" s="4"/>
      <c r="G73" s="40" t="s">
        <v>727</v>
      </c>
      <c r="H73" s="4">
        <v>36180</v>
      </c>
      <c r="I73" s="4"/>
      <c r="J73" s="4"/>
      <c r="K73" s="4"/>
      <c r="L73" s="4"/>
    </row>
    <row r="74" spans="1:15">
      <c r="A74" s="18"/>
      <c r="B74" s="2"/>
      <c r="C74" s="2"/>
      <c r="D74" s="2"/>
      <c r="E74" s="4"/>
      <c r="F74" s="4"/>
      <c r="G74" s="40"/>
      <c r="H74" s="4"/>
      <c r="I74" s="4"/>
      <c r="J74" s="4"/>
      <c r="K74" s="4"/>
      <c r="L74" s="4"/>
    </row>
    <row r="75" spans="1:15">
      <c r="A75" s="18"/>
      <c r="B75" s="2"/>
      <c r="C75" s="2"/>
      <c r="D75" s="2"/>
      <c r="E75" s="4"/>
      <c r="F75" s="4"/>
      <c r="G75" s="40"/>
      <c r="H75" s="4"/>
      <c r="I75" s="4"/>
      <c r="J75" s="4"/>
      <c r="K75" s="4"/>
      <c r="L75" s="4"/>
    </row>
    <row r="76" spans="1:15">
      <c r="F76" s="271"/>
      <c r="G76" s="271"/>
      <c r="H76" s="271"/>
      <c r="I76" s="271"/>
      <c r="J76" s="1"/>
      <c r="K76" s="1"/>
    </row>
  </sheetData>
  <mergeCells count="17">
    <mergeCell ref="A10:B10"/>
    <mergeCell ref="A21:B21"/>
    <mergeCell ref="A71:B71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76:I76"/>
    <mergeCell ref="L4:L5"/>
    <mergeCell ref="M4:M5"/>
    <mergeCell ref="N4:N5"/>
    <mergeCell ref="L49:L51"/>
  </mergeCells>
  <pageMargins left="0.28999999999999998" right="0.28999999999999998" top="0.32" bottom="0.27" header="0.23" footer="0.21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56"/>
  <sheetViews>
    <sheetView workbookViewId="0">
      <pane ySplit="5" topLeftCell="A21" activePane="bottomLeft" state="frozen"/>
      <selection pane="bottomLeft" activeCell="H23" sqref="H23"/>
    </sheetView>
  </sheetViews>
  <sheetFormatPr defaultRowHeight="15"/>
  <cols>
    <col min="1" max="1" width="9.140625" style="16" customWidth="1"/>
    <col min="2" max="2" width="22.4257812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8.7109375" style="19" customWidth="1"/>
    <col min="8" max="11" width="14.28515625" style="3" customWidth="1"/>
    <col min="12" max="12" width="20.7109375" style="1" customWidth="1"/>
    <col min="13" max="13" width="20.28515625" style="1" customWidth="1"/>
    <col min="14" max="14" width="18.85546875" style="1" customWidth="1"/>
    <col min="15" max="15" width="15.7109375" style="1" bestFit="1" customWidth="1"/>
    <col min="16" max="16384" width="9.140625" style="1"/>
  </cols>
  <sheetData>
    <row r="1" spans="1:14" ht="34.5" customHeight="1">
      <c r="A1" s="274" t="s">
        <v>294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26" t="s">
        <v>9</v>
      </c>
      <c r="F5" s="126" t="s">
        <v>5</v>
      </c>
      <c r="G5" s="20" t="s">
        <v>14</v>
      </c>
      <c r="H5" s="126" t="s">
        <v>9</v>
      </c>
      <c r="I5" s="126" t="s">
        <v>5</v>
      </c>
      <c r="J5" s="126" t="s">
        <v>9</v>
      </c>
      <c r="K5" s="126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29</v>
      </c>
      <c r="B11" s="60" t="s">
        <v>295</v>
      </c>
      <c r="C11" s="98" t="s">
        <v>296</v>
      </c>
      <c r="D11" s="60" t="s">
        <v>297</v>
      </c>
      <c r="E11" s="49">
        <v>400000</v>
      </c>
      <c r="F11" s="49">
        <v>6280</v>
      </c>
      <c r="G11" s="101">
        <f>+F11*E11</f>
        <v>2512000000</v>
      </c>
      <c r="H11" s="4"/>
      <c r="I11" s="4"/>
      <c r="J11" s="4"/>
      <c r="K11" s="4"/>
      <c r="L11" s="4"/>
      <c r="M11" s="49">
        <f>2512000000*0.05</f>
        <v>125600000</v>
      </c>
      <c r="N11" s="101" t="s">
        <v>300</v>
      </c>
    </row>
    <row r="12" spans="1:14" ht="18" customHeight="1">
      <c r="A12" s="18"/>
      <c r="B12" s="2"/>
      <c r="C12" s="2"/>
      <c r="D12" s="2"/>
      <c r="E12" s="4"/>
      <c r="F12" s="4"/>
      <c r="G12" s="40" t="s">
        <v>392</v>
      </c>
      <c r="H12" s="4">
        <v>33400</v>
      </c>
      <c r="I12" s="4">
        <v>6280</v>
      </c>
      <c r="J12" s="4">
        <f>+E11-H12</f>
        <v>366600</v>
      </c>
      <c r="K12" s="4"/>
      <c r="L12" s="4">
        <f t="shared" ref="L12:L24" si="2">+H12*I12</f>
        <v>209752000</v>
      </c>
      <c r="M12" s="4">
        <f>200000*6280</f>
        <v>1256000000</v>
      </c>
      <c r="N12" s="101" t="s">
        <v>390</v>
      </c>
    </row>
    <row r="13" spans="1:14" ht="18" customHeight="1">
      <c r="A13" s="18"/>
      <c r="B13" s="60"/>
      <c r="C13" s="60"/>
      <c r="D13" s="60"/>
      <c r="E13" s="49"/>
      <c r="F13" s="49"/>
      <c r="G13" s="40" t="s">
        <v>392</v>
      </c>
      <c r="H13" s="36">
        <v>33240</v>
      </c>
      <c r="I13" s="4">
        <v>6280</v>
      </c>
      <c r="J13" s="4">
        <f>+J12-H13</f>
        <v>333360</v>
      </c>
      <c r="K13" s="4"/>
      <c r="L13" s="4">
        <f t="shared" si="2"/>
        <v>208747200</v>
      </c>
      <c r="M13" s="4"/>
      <c r="N13" s="4"/>
    </row>
    <row r="14" spans="1:14" ht="18" customHeight="1">
      <c r="A14" s="18"/>
      <c r="B14" s="60"/>
      <c r="C14" s="60"/>
      <c r="D14" s="60"/>
      <c r="E14" s="49"/>
      <c r="F14" s="49"/>
      <c r="G14" s="40" t="s">
        <v>392</v>
      </c>
      <c r="H14" s="36">
        <v>34860</v>
      </c>
      <c r="I14" s="4">
        <v>6280</v>
      </c>
      <c r="J14" s="4">
        <f t="shared" ref="J14:J24" si="3">+J13-H14</f>
        <v>298500</v>
      </c>
      <c r="K14" s="4"/>
      <c r="L14" s="4">
        <f t="shared" si="2"/>
        <v>218920800</v>
      </c>
      <c r="M14" s="4"/>
      <c r="N14" s="4"/>
    </row>
    <row r="15" spans="1:14" ht="18" customHeight="1">
      <c r="A15" s="18"/>
      <c r="B15" s="60"/>
      <c r="C15" s="60"/>
      <c r="D15" s="60"/>
      <c r="E15" s="49"/>
      <c r="F15" s="49"/>
      <c r="G15" s="40" t="s">
        <v>393</v>
      </c>
      <c r="H15" s="36">
        <v>35120</v>
      </c>
      <c r="I15" s="4">
        <v>6280</v>
      </c>
      <c r="J15" s="4">
        <f t="shared" si="3"/>
        <v>263380</v>
      </c>
      <c r="K15" s="4"/>
      <c r="L15" s="4">
        <f t="shared" si="2"/>
        <v>220553600</v>
      </c>
      <c r="M15" s="4"/>
      <c r="N15" s="4"/>
    </row>
    <row r="16" spans="1:14" ht="18" customHeight="1">
      <c r="A16" s="18"/>
      <c r="B16" s="60"/>
      <c r="C16" s="60"/>
      <c r="D16" s="60"/>
      <c r="E16" s="49"/>
      <c r="F16" s="49"/>
      <c r="G16" s="40" t="s">
        <v>392</v>
      </c>
      <c r="H16" s="36">
        <v>31400</v>
      </c>
      <c r="I16" s="4">
        <v>6280</v>
      </c>
      <c r="J16" s="4">
        <f t="shared" si="3"/>
        <v>231980</v>
      </c>
      <c r="K16" s="4"/>
      <c r="L16" s="4">
        <f t="shared" si="2"/>
        <v>197192000</v>
      </c>
      <c r="M16" s="4"/>
      <c r="N16" s="4"/>
    </row>
    <row r="17" spans="1:15" ht="18" customHeight="1">
      <c r="A17" s="18"/>
      <c r="B17" s="2"/>
      <c r="C17" s="2"/>
      <c r="D17" s="2"/>
      <c r="E17" s="4"/>
      <c r="F17" s="4"/>
      <c r="G17" s="40" t="s">
        <v>393</v>
      </c>
      <c r="H17" s="57">
        <v>33120</v>
      </c>
      <c r="I17" s="4">
        <v>6280</v>
      </c>
      <c r="J17" s="4">
        <f t="shared" si="3"/>
        <v>198860</v>
      </c>
      <c r="K17" s="4"/>
      <c r="L17" s="4">
        <f t="shared" si="2"/>
        <v>207993600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66" t="s">
        <v>534</v>
      </c>
      <c r="H18" s="65">
        <v>31430</v>
      </c>
      <c r="I18" s="4">
        <v>6280</v>
      </c>
      <c r="J18" s="4">
        <f t="shared" si="3"/>
        <v>167430</v>
      </c>
      <c r="K18" s="4"/>
      <c r="L18" s="4">
        <f t="shared" si="2"/>
        <v>197380400</v>
      </c>
      <c r="M18" s="4">
        <v>1000000000</v>
      </c>
      <c r="N18" s="101" t="s">
        <v>532</v>
      </c>
    </row>
    <row r="19" spans="1:15" ht="18" customHeight="1">
      <c r="A19" s="18"/>
      <c r="B19" s="2"/>
      <c r="C19" s="2"/>
      <c r="D19" s="2"/>
      <c r="E19" s="4"/>
      <c r="F19" s="4"/>
      <c r="G19" s="40"/>
      <c r="H19" s="68">
        <v>31640</v>
      </c>
      <c r="I19" s="4">
        <v>6280</v>
      </c>
      <c r="J19" s="4">
        <f t="shared" si="3"/>
        <v>135790</v>
      </c>
      <c r="K19" s="4"/>
      <c r="L19" s="4">
        <f t="shared" si="2"/>
        <v>198699200</v>
      </c>
      <c r="M19" s="4"/>
      <c r="N19" s="4"/>
    </row>
    <row r="20" spans="1:15" ht="18" customHeight="1">
      <c r="A20" s="18"/>
      <c r="B20" s="2"/>
      <c r="C20" s="2"/>
      <c r="D20" s="2"/>
      <c r="E20" s="4"/>
      <c r="F20" s="4"/>
      <c r="G20" s="40"/>
      <c r="H20" s="68">
        <v>30580</v>
      </c>
      <c r="I20" s="4">
        <v>6280</v>
      </c>
      <c r="J20" s="4">
        <f t="shared" si="3"/>
        <v>105210</v>
      </c>
      <c r="K20" s="4"/>
      <c r="L20" s="4">
        <f t="shared" si="2"/>
        <v>192042400</v>
      </c>
      <c r="M20" s="4"/>
      <c r="N20" s="4"/>
    </row>
    <row r="21" spans="1:15" ht="18" customHeight="1">
      <c r="A21" s="18"/>
      <c r="B21" s="2"/>
      <c r="C21" s="2"/>
      <c r="D21" s="2"/>
      <c r="E21" s="4"/>
      <c r="F21" s="4"/>
      <c r="G21" s="21"/>
      <c r="H21" s="68">
        <v>31880</v>
      </c>
      <c r="I21" s="4">
        <v>6280</v>
      </c>
      <c r="J21" s="4">
        <f t="shared" si="3"/>
        <v>73330</v>
      </c>
      <c r="K21" s="4"/>
      <c r="L21" s="4">
        <f t="shared" si="2"/>
        <v>200206400</v>
      </c>
      <c r="M21" s="4"/>
      <c r="N21" s="4"/>
    </row>
    <row r="22" spans="1:15" ht="18" customHeight="1">
      <c r="A22" s="18"/>
      <c r="B22" s="2"/>
      <c r="C22" s="2"/>
      <c r="D22" s="2"/>
      <c r="E22" s="4"/>
      <c r="F22" s="4"/>
      <c r="G22" s="40"/>
      <c r="H22" s="68">
        <v>31330</v>
      </c>
      <c r="I22" s="4">
        <v>6280</v>
      </c>
      <c r="J22" s="4">
        <f t="shared" si="3"/>
        <v>42000</v>
      </c>
      <c r="K22" s="4"/>
      <c r="L22" s="4">
        <f t="shared" si="2"/>
        <v>196752400</v>
      </c>
      <c r="M22" s="4"/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21"/>
      <c r="H23" s="4"/>
      <c r="I23" s="4"/>
      <c r="J23" s="4">
        <f t="shared" si="3"/>
        <v>42000</v>
      </c>
      <c r="K23" s="4"/>
      <c r="L23" s="4">
        <f t="shared" si="2"/>
        <v>0</v>
      </c>
      <c r="M23" s="4"/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21"/>
      <c r="H24" s="4"/>
      <c r="I24" s="4"/>
      <c r="J24" s="4">
        <f t="shared" si="3"/>
        <v>42000</v>
      </c>
      <c r="K24" s="4"/>
      <c r="L24" s="4">
        <f t="shared" si="2"/>
        <v>0</v>
      </c>
      <c r="M24" s="4"/>
      <c r="N24" s="4"/>
    </row>
    <row r="25" spans="1:15" s="15" customFormat="1" ht="18" customHeight="1">
      <c r="A25" s="291"/>
      <c r="B25" s="292"/>
      <c r="C25" s="13"/>
      <c r="D25" s="13"/>
      <c r="E25" s="14"/>
      <c r="F25" s="14"/>
      <c r="G25" s="22"/>
      <c r="H25" s="14">
        <f>SUM(H12:H24)</f>
        <v>358000</v>
      </c>
      <c r="I25" s="14">
        <v>6280</v>
      </c>
      <c r="J25" s="14"/>
      <c r="K25" s="14"/>
      <c r="L25" s="14">
        <f>+H25*I25</f>
        <v>2248240000</v>
      </c>
      <c r="M25" s="57">
        <f>SUM(M11:M24)</f>
        <v>2381600000</v>
      </c>
      <c r="N25" s="14">
        <f>+M25-L25</f>
        <v>133360000</v>
      </c>
      <c r="O25" s="120" t="s">
        <v>543</v>
      </c>
    </row>
    <row r="26" spans="1:15" ht="18" customHeight="1">
      <c r="A26" s="18" t="s">
        <v>298</v>
      </c>
      <c r="B26" s="60" t="s">
        <v>295</v>
      </c>
      <c r="C26" s="98" t="s">
        <v>296</v>
      </c>
      <c r="D26" s="60" t="s">
        <v>297</v>
      </c>
      <c r="E26" s="49">
        <v>300000</v>
      </c>
      <c r="F26" s="49">
        <v>6280</v>
      </c>
      <c r="G26" s="49">
        <f>+F26*E26</f>
        <v>1884000000</v>
      </c>
      <c r="H26" s="49"/>
      <c r="I26" s="49"/>
      <c r="J26" s="49"/>
      <c r="K26" s="49"/>
      <c r="L26" s="49"/>
      <c r="M26" s="49">
        <f>1884000000*0.05</f>
        <v>94200000</v>
      </c>
      <c r="N26" s="102" t="s">
        <v>300</v>
      </c>
      <c r="O26" s="50"/>
    </row>
    <row r="27" spans="1:15" ht="18" customHeight="1">
      <c r="A27" s="18"/>
      <c r="B27" s="60"/>
      <c r="C27" s="98"/>
      <c r="D27" s="60"/>
      <c r="E27" s="49"/>
      <c r="F27" s="49"/>
      <c r="G27" s="40" t="s">
        <v>395</v>
      </c>
      <c r="H27" s="36">
        <v>30860</v>
      </c>
      <c r="I27" s="4"/>
      <c r="J27" s="4">
        <f>+E26-H27</f>
        <v>269140</v>
      </c>
      <c r="K27" s="49"/>
      <c r="L27" s="49"/>
      <c r="M27" s="49"/>
      <c r="N27" s="102"/>
      <c r="O27" s="50"/>
    </row>
    <row r="28" spans="1:15" ht="18" customHeight="1">
      <c r="A28" s="18"/>
      <c r="B28" s="2"/>
      <c r="C28" s="2"/>
      <c r="D28" s="2"/>
      <c r="E28" s="4"/>
      <c r="F28" s="4"/>
      <c r="G28" s="40" t="s">
        <v>392</v>
      </c>
      <c r="H28" s="36">
        <v>29000</v>
      </c>
      <c r="I28" s="4"/>
      <c r="J28" s="4">
        <f>+J27-H28</f>
        <v>240140</v>
      </c>
      <c r="K28" s="4"/>
      <c r="L28" s="4"/>
      <c r="M28" s="4">
        <v>628000000</v>
      </c>
      <c r="N28" s="101" t="s">
        <v>390</v>
      </c>
      <c r="O28" s="50"/>
    </row>
    <row r="29" spans="1:15" ht="18" customHeight="1">
      <c r="A29" s="18"/>
      <c r="B29" s="2"/>
      <c r="C29" s="2"/>
      <c r="D29" s="2"/>
      <c r="E29" s="4"/>
      <c r="F29" s="4"/>
      <c r="G29" s="40" t="s">
        <v>392</v>
      </c>
      <c r="H29" s="36">
        <v>31060</v>
      </c>
      <c r="I29" s="4"/>
      <c r="J29" s="4">
        <f t="shared" ref="J29:J37" si="4">+J28-H29</f>
        <v>209080</v>
      </c>
      <c r="K29" s="4"/>
      <c r="L29" s="4"/>
      <c r="M29" s="4">
        <f t="shared" ref="M29:M37" si="5">+H29*I29</f>
        <v>0</v>
      </c>
      <c r="N29" s="4"/>
    </row>
    <row r="30" spans="1:15" ht="18" customHeight="1">
      <c r="A30" s="18"/>
      <c r="B30" s="2"/>
      <c r="C30" s="2"/>
      <c r="D30" s="2"/>
      <c r="E30" s="4"/>
      <c r="F30" s="4"/>
      <c r="G30" s="40" t="s">
        <v>537</v>
      </c>
      <c r="H30" s="180">
        <v>31310</v>
      </c>
      <c r="I30" s="4"/>
      <c r="J30" s="4">
        <f t="shared" si="4"/>
        <v>177770</v>
      </c>
      <c r="K30" s="4"/>
      <c r="L30" s="4"/>
      <c r="M30" s="4">
        <v>1100000000</v>
      </c>
      <c r="N30" s="101" t="s">
        <v>533</v>
      </c>
    </row>
    <row r="31" spans="1:15" ht="18" customHeight="1">
      <c r="A31" s="18"/>
      <c r="B31" s="2"/>
      <c r="C31" s="2"/>
      <c r="D31" s="2"/>
      <c r="E31" s="4"/>
      <c r="F31" s="4"/>
      <c r="G31" s="40"/>
      <c r="H31" s="180">
        <v>31030</v>
      </c>
      <c r="I31" s="4"/>
      <c r="J31" s="4">
        <f t="shared" si="4"/>
        <v>146740</v>
      </c>
      <c r="K31" s="4"/>
      <c r="L31" s="4"/>
      <c r="M31" s="4"/>
      <c r="N31" s="101"/>
    </row>
    <row r="32" spans="1:15" ht="18" customHeight="1">
      <c r="A32" s="18"/>
      <c r="B32" s="2"/>
      <c r="C32" s="2"/>
      <c r="D32" s="2"/>
      <c r="E32" s="4"/>
      <c r="F32" s="4"/>
      <c r="G32" s="40"/>
      <c r="H32" s="180">
        <v>32030</v>
      </c>
      <c r="I32" s="4"/>
      <c r="J32" s="4">
        <f t="shared" si="4"/>
        <v>114710</v>
      </c>
      <c r="K32" s="4"/>
      <c r="L32" s="4"/>
      <c r="M32" s="4"/>
      <c r="N32" s="101"/>
    </row>
    <row r="33" spans="1:15" ht="18" customHeight="1">
      <c r="A33" s="18"/>
      <c r="B33" s="2"/>
      <c r="C33" s="2"/>
      <c r="D33" s="2"/>
      <c r="E33" s="4"/>
      <c r="F33" s="4"/>
      <c r="G33" s="40"/>
      <c r="H33" s="180">
        <v>32680</v>
      </c>
      <c r="I33" s="4"/>
      <c r="J33" s="4">
        <f t="shared" si="4"/>
        <v>82030</v>
      </c>
      <c r="K33" s="4"/>
      <c r="L33" s="4"/>
      <c r="M33" s="4"/>
      <c r="N33" s="101"/>
    </row>
    <row r="34" spans="1:15" ht="18" customHeight="1">
      <c r="A34" s="18"/>
      <c r="B34" s="2"/>
      <c r="C34" s="2"/>
      <c r="D34" s="2"/>
      <c r="E34" s="4"/>
      <c r="F34" s="4"/>
      <c r="G34" s="40"/>
      <c r="H34" s="180">
        <v>32140</v>
      </c>
      <c r="I34" s="4"/>
      <c r="J34" s="4">
        <f t="shared" si="4"/>
        <v>49890</v>
      </c>
      <c r="K34" s="4"/>
      <c r="L34" s="4"/>
      <c r="M34" s="4"/>
      <c r="N34" s="101"/>
    </row>
    <row r="35" spans="1:15" ht="18" customHeight="1">
      <c r="A35" s="18"/>
      <c r="B35" s="2"/>
      <c r="C35" s="2"/>
      <c r="D35" s="2"/>
      <c r="E35" s="4"/>
      <c r="F35" s="4"/>
      <c r="G35" s="21"/>
      <c r="H35" s="180">
        <v>32680</v>
      </c>
      <c r="I35" s="4"/>
      <c r="J35" s="4">
        <f t="shared" si="4"/>
        <v>17210</v>
      </c>
      <c r="K35" s="4"/>
      <c r="L35" s="4"/>
      <c r="M35" s="4">
        <f t="shared" si="5"/>
        <v>0</v>
      </c>
      <c r="N35" s="4"/>
    </row>
    <row r="36" spans="1:15" ht="18" customHeight="1">
      <c r="A36" s="18"/>
      <c r="B36" s="2"/>
      <c r="C36" s="2"/>
      <c r="D36" s="2"/>
      <c r="E36" s="4"/>
      <c r="F36" s="4"/>
      <c r="G36" s="40"/>
      <c r="H36" s="4"/>
      <c r="I36" s="4"/>
      <c r="J36" s="4">
        <f t="shared" si="4"/>
        <v>17210</v>
      </c>
      <c r="K36" s="4"/>
      <c r="L36" s="4"/>
      <c r="M36" s="4">
        <f t="shared" si="5"/>
        <v>0</v>
      </c>
      <c r="N36" s="4"/>
    </row>
    <row r="37" spans="1:15" ht="18" customHeight="1">
      <c r="A37" s="18"/>
      <c r="B37" s="2"/>
      <c r="C37" s="2"/>
      <c r="D37" s="2"/>
      <c r="E37" s="4"/>
      <c r="F37" s="4"/>
      <c r="G37" s="21"/>
      <c r="H37" s="4"/>
      <c r="I37" s="4"/>
      <c r="J37" s="4">
        <f t="shared" si="4"/>
        <v>17210</v>
      </c>
      <c r="K37" s="4"/>
      <c r="L37" s="4"/>
      <c r="M37" s="4">
        <f t="shared" si="5"/>
        <v>0</v>
      </c>
      <c r="N37" s="4"/>
    </row>
    <row r="38" spans="1:15" ht="18" customHeight="1">
      <c r="A38" s="128"/>
      <c r="B38" s="24"/>
      <c r="C38" s="24"/>
      <c r="D38" s="24"/>
      <c r="E38" s="25"/>
      <c r="F38" s="25"/>
      <c r="G38" s="26"/>
      <c r="H38" s="57">
        <f>SUM(H27:H37)</f>
        <v>282790</v>
      </c>
      <c r="I38" s="57">
        <v>6280</v>
      </c>
      <c r="J38" s="25"/>
      <c r="K38" s="25"/>
      <c r="L38" s="57">
        <f>+H38*I38</f>
        <v>1775921200</v>
      </c>
      <c r="M38" s="57">
        <f>SUM(M26:M37)</f>
        <v>1822200000</v>
      </c>
      <c r="N38" s="57">
        <f>+M38-L38</f>
        <v>46278800</v>
      </c>
      <c r="O38" s="1" t="s">
        <v>542</v>
      </c>
    </row>
    <row r="39" spans="1:15" ht="18" customHeight="1">
      <c r="A39" s="18" t="s">
        <v>13</v>
      </c>
      <c r="B39" s="60" t="s">
        <v>299</v>
      </c>
      <c r="C39" s="98" t="s">
        <v>296</v>
      </c>
      <c r="D39" s="60" t="s">
        <v>297</v>
      </c>
      <c r="E39" s="49">
        <v>300000</v>
      </c>
      <c r="F39" s="49">
        <v>6285</v>
      </c>
      <c r="G39" s="49">
        <f>+F39*E39</f>
        <v>1885500000</v>
      </c>
      <c r="H39" s="49"/>
      <c r="I39" s="49"/>
      <c r="J39" s="49"/>
      <c r="K39" s="49"/>
      <c r="L39" s="4"/>
      <c r="M39" s="4">
        <v>628000000</v>
      </c>
      <c r="N39" s="101" t="s">
        <v>391</v>
      </c>
    </row>
    <row r="40" spans="1:15" ht="18" customHeight="1">
      <c r="A40" s="18"/>
      <c r="B40" s="2"/>
      <c r="C40" s="2"/>
      <c r="D40" s="2"/>
      <c r="E40" s="4"/>
      <c r="F40" s="4"/>
      <c r="G40" s="40" t="s">
        <v>393</v>
      </c>
      <c r="H40" s="180">
        <v>28480</v>
      </c>
      <c r="I40" s="4"/>
      <c r="J40" s="4">
        <f>+E39-H40</f>
        <v>271520</v>
      </c>
      <c r="K40" s="4"/>
      <c r="L40" s="4"/>
      <c r="M40" s="4"/>
      <c r="N40" s="4"/>
    </row>
    <row r="41" spans="1:15" ht="18" customHeight="1">
      <c r="A41" s="18"/>
      <c r="B41" s="2"/>
      <c r="C41" s="2"/>
      <c r="D41" s="2"/>
      <c r="E41" s="4"/>
      <c r="F41" s="4"/>
      <c r="G41" s="40" t="s">
        <v>393</v>
      </c>
      <c r="H41" s="180">
        <v>28380</v>
      </c>
      <c r="I41" s="4"/>
      <c r="J41" s="4">
        <f>+J40-H41</f>
        <v>243140</v>
      </c>
      <c r="K41" s="4"/>
      <c r="L41" s="4"/>
      <c r="M41" s="4"/>
      <c r="N41" s="4"/>
    </row>
    <row r="42" spans="1:15" ht="18" customHeight="1">
      <c r="A42" s="18"/>
      <c r="B42" s="2"/>
      <c r="C42" s="2"/>
      <c r="D42" s="2"/>
      <c r="E42" s="4"/>
      <c r="F42" s="4"/>
      <c r="G42" s="40" t="s">
        <v>393</v>
      </c>
      <c r="H42" s="181">
        <v>30520</v>
      </c>
      <c r="I42" s="4"/>
      <c r="J42" s="4">
        <f t="shared" ref="J42:J46" si="6">+J41-H42</f>
        <v>212620</v>
      </c>
      <c r="K42" s="4"/>
      <c r="L42" s="4"/>
      <c r="M42" s="4"/>
      <c r="N42" s="4"/>
    </row>
    <row r="43" spans="1:15" ht="18" customHeight="1">
      <c r="A43" s="18"/>
      <c r="B43" s="2"/>
      <c r="C43" s="2"/>
      <c r="D43" s="2"/>
      <c r="E43" s="4"/>
      <c r="F43" s="4"/>
      <c r="G43" s="40" t="s">
        <v>537</v>
      </c>
      <c r="H43" s="79">
        <v>28970</v>
      </c>
      <c r="I43" s="4"/>
      <c r="J43" s="4">
        <f t="shared" si="6"/>
        <v>183650</v>
      </c>
      <c r="K43" s="4"/>
      <c r="L43" s="4"/>
      <c r="M43" s="4">
        <v>1257500000</v>
      </c>
      <c r="N43" s="101" t="s">
        <v>533</v>
      </c>
    </row>
    <row r="44" spans="1:15" ht="18" customHeight="1">
      <c r="A44" s="18"/>
      <c r="B44" s="2"/>
      <c r="C44" s="2"/>
      <c r="D44" s="2"/>
      <c r="E44" s="4"/>
      <c r="F44" s="4"/>
      <c r="G44" s="40" t="s">
        <v>539</v>
      </c>
      <c r="H44" s="4">
        <v>31250</v>
      </c>
      <c r="I44" s="4"/>
      <c r="J44" s="4">
        <f t="shared" si="6"/>
        <v>152400</v>
      </c>
      <c r="K44" s="4"/>
      <c r="L44" s="4"/>
      <c r="M44" s="4"/>
      <c r="N44" s="4"/>
    </row>
    <row r="45" spans="1:15" ht="18" customHeight="1">
      <c r="A45" s="18"/>
      <c r="B45" s="2"/>
      <c r="C45" s="56"/>
      <c r="D45" s="130"/>
      <c r="E45" s="68"/>
      <c r="F45" s="68"/>
      <c r="G45" s="110"/>
      <c r="H45" s="68">
        <v>34760</v>
      </c>
      <c r="I45" s="68"/>
      <c r="J45" s="4">
        <f>+J44-H45</f>
        <v>117640</v>
      </c>
      <c r="K45" s="68"/>
      <c r="L45" s="68"/>
      <c r="M45" s="68"/>
      <c r="N45" s="68"/>
      <c r="O45" s="129">
        <f>+N45-M45</f>
        <v>0</v>
      </c>
    </row>
    <row r="46" spans="1:15" ht="18" customHeight="1">
      <c r="A46" s="18"/>
      <c r="B46" s="2"/>
      <c r="C46" s="2"/>
      <c r="D46" s="2"/>
      <c r="E46" s="4"/>
      <c r="F46" s="4"/>
      <c r="G46" s="21"/>
      <c r="H46" s="4">
        <v>33290</v>
      </c>
      <c r="I46" s="4"/>
      <c r="J46" s="4">
        <f t="shared" si="6"/>
        <v>84350</v>
      </c>
      <c r="K46" s="4"/>
      <c r="L46" s="4"/>
      <c r="M46" s="4"/>
      <c r="N46" s="4"/>
    </row>
    <row r="47" spans="1:15" ht="18" customHeight="1">
      <c r="A47" s="18"/>
      <c r="B47" s="2"/>
      <c r="C47" s="2"/>
      <c r="D47" s="2"/>
      <c r="E47" s="4"/>
      <c r="F47" s="4"/>
      <c r="G47" s="21"/>
      <c r="H47" s="4">
        <v>31830</v>
      </c>
      <c r="I47" s="4"/>
      <c r="J47" s="4"/>
      <c r="K47" s="4"/>
      <c r="L47" s="4"/>
      <c r="M47" s="4"/>
      <c r="N47" s="4"/>
    </row>
    <row r="48" spans="1:15" ht="18" customHeight="1">
      <c r="A48" s="18"/>
      <c r="B48" s="2"/>
      <c r="C48" s="2"/>
      <c r="D48" s="2"/>
      <c r="E48" s="4"/>
      <c r="F48" s="4"/>
      <c r="G48" s="21"/>
      <c r="H48" s="4">
        <v>34160</v>
      </c>
      <c r="I48" s="4"/>
      <c r="J48" s="4"/>
      <c r="K48" s="4"/>
      <c r="L48" s="4"/>
      <c r="M48" s="4"/>
      <c r="N48" s="4"/>
    </row>
    <row r="49" spans="1:15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  <c r="L49" s="4"/>
      <c r="M49" s="4"/>
      <c r="N49" s="4"/>
    </row>
    <row r="50" spans="1:15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  <c r="L50" s="4"/>
      <c r="M50" s="4"/>
      <c r="N50" s="4"/>
    </row>
    <row r="51" spans="1:15" ht="18" customHeight="1">
      <c r="A51" s="281" t="s">
        <v>0</v>
      </c>
      <c r="B51" s="282"/>
      <c r="C51" s="127"/>
      <c r="D51" s="127"/>
      <c r="E51" s="5">
        <f>SUM(E28:E50)</f>
        <v>300000</v>
      </c>
      <c r="F51" s="5">
        <v>6285</v>
      </c>
      <c r="G51" s="23"/>
      <c r="H51" s="5">
        <f>SUM(H40:H50)</f>
        <v>281640</v>
      </c>
      <c r="I51" s="5">
        <v>6285</v>
      </c>
      <c r="J51" s="5"/>
      <c r="K51" s="99"/>
      <c r="L51" s="14">
        <f>H51*I51</f>
        <v>1770107400</v>
      </c>
      <c r="M51" s="14">
        <f>SUM(M39:M50)</f>
        <v>1885500000</v>
      </c>
      <c r="N51" s="14">
        <f>+M51-L51</f>
        <v>115392600</v>
      </c>
      <c r="O51" s="1" t="s">
        <v>573</v>
      </c>
    </row>
    <row r="52" spans="1:15" s="6" customFormat="1" ht="24.75" customHeight="1">
      <c r="A52" s="16"/>
      <c r="B52" s="1"/>
      <c r="C52" s="1"/>
      <c r="D52" s="1"/>
      <c r="E52" s="3"/>
      <c r="F52" s="3"/>
      <c r="G52" s="19"/>
      <c r="H52" s="3"/>
      <c r="I52" s="3"/>
      <c r="J52" s="3"/>
      <c r="K52" s="3"/>
    </row>
    <row r="53" spans="1:15">
      <c r="F53" s="270" t="s">
        <v>1</v>
      </c>
      <c r="G53" s="270"/>
      <c r="H53" s="270"/>
      <c r="I53" s="270"/>
      <c r="J53" s="90"/>
      <c r="K53" s="8"/>
    </row>
    <row r="56" spans="1:15">
      <c r="F56" s="271"/>
      <c r="G56" s="271"/>
      <c r="H56" s="271"/>
      <c r="I56" s="271"/>
      <c r="J56" s="1"/>
      <c r="K56" s="1"/>
    </row>
  </sheetData>
  <mergeCells count="17">
    <mergeCell ref="A10:B10"/>
    <mergeCell ref="A25:B25"/>
    <mergeCell ref="A51:B51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53:I53"/>
    <mergeCell ref="F56:I56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"/>
  <sheetViews>
    <sheetView topLeftCell="D1" workbookViewId="0">
      <pane ySplit="5" topLeftCell="A20" activePane="bottomLeft" state="frozen"/>
      <selection pane="bottomLeft" activeCell="M28" sqref="M28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301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126" t="s">
        <v>9</v>
      </c>
      <c r="F5" s="126" t="s">
        <v>5</v>
      </c>
      <c r="G5" s="20" t="s">
        <v>14</v>
      </c>
      <c r="H5" s="126" t="s">
        <v>9</v>
      </c>
      <c r="I5" s="126" t="s">
        <v>5</v>
      </c>
      <c r="J5" s="126" t="s">
        <v>9</v>
      </c>
      <c r="K5" s="126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13</v>
      </c>
      <c r="B11" s="60" t="s">
        <v>302</v>
      </c>
      <c r="C11" s="98" t="s">
        <v>214</v>
      </c>
      <c r="D11" s="60" t="s">
        <v>290</v>
      </c>
      <c r="E11" s="49">
        <v>150000</v>
      </c>
      <c r="F11" s="49">
        <v>6700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2"/>
      <c r="C12" s="2"/>
      <c r="D12" s="2"/>
      <c r="E12" s="4"/>
      <c r="F12" s="4"/>
      <c r="G12" s="40" t="s">
        <v>327</v>
      </c>
      <c r="H12" s="4">
        <v>31230</v>
      </c>
      <c r="I12" s="4"/>
      <c r="J12" s="4">
        <f>+E11-H12</f>
        <v>118770</v>
      </c>
      <c r="K12" s="4"/>
      <c r="L12" s="4">
        <f t="shared" ref="L12:L18" si="2">+H12*I12</f>
        <v>0</v>
      </c>
      <c r="M12" s="4"/>
      <c r="N12" s="4"/>
    </row>
    <row r="13" spans="1:15" ht="18" customHeight="1">
      <c r="A13" s="18"/>
      <c r="B13" s="60"/>
      <c r="C13" s="60"/>
      <c r="D13" s="60"/>
      <c r="E13" s="49"/>
      <c r="F13" s="49"/>
      <c r="G13" s="40" t="s">
        <v>329</v>
      </c>
      <c r="H13" s="4">
        <v>27590</v>
      </c>
      <c r="I13" s="4"/>
      <c r="J13" s="4">
        <f>+J12-H12</f>
        <v>87540</v>
      </c>
      <c r="K13" s="4"/>
      <c r="L13" s="4">
        <f t="shared" si="2"/>
        <v>0</v>
      </c>
      <c r="M13" s="4"/>
      <c r="N13" s="4"/>
    </row>
    <row r="14" spans="1:15" ht="18" customHeight="1">
      <c r="A14" s="18"/>
      <c r="B14" s="2"/>
      <c r="C14" s="2"/>
      <c r="D14" s="2"/>
      <c r="E14" s="4"/>
      <c r="F14" s="4"/>
      <c r="G14" s="40" t="s">
        <v>329</v>
      </c>
      <c r="H14" s="4">
        <v>29050</v>
      </c>
      <c r="I14" s="4"/>
      <c r="J14" s="4">
        <f t="shared" ref="J14:J17" si="3">+J13-H14</f>
        <v>58490</v>
      </c>
      <c r="K14" s="4"/>
      <c r="L14" s="4">
        <f t="shared" si="2"/>
        <v>0</v>
      </c>
      <c r="M14" s="4"/>
      <c r="N14" s="4"/>
    </row>
    <row r="15" spans="1:15" ht="18" customHeight="1">
      <c r="A15" s="18"/>
      <c r="B15" s="2"/>
      <c r="C15" s="2"/>
      <c r="D15" s="2"/>
      <c r="E15" s="4"/>
      <c r="F15" s="4"/>
      <c r="G15" s="40" t="s">
        <v>332</v>
      </c>
      <c r="H15" s="4">
        <v>23780</v>
      </c>
      <c r="I15" s="4"/>
      <c r="J15" s="4">
        <f t="shared" si="3"/>
        <v>34710</v>
      </c>
      <c r="K15" s="4"/>
      <c r="L15" s="4">
        <f t="shared" si="2"/>
        <v>0</v>
      </c>
      <c r="M15" s="4"/>
      <c r="N15" s="4"/>
    </row>
    <row r="16" spans="1:15" ht="18" customHeight="1">
      <c r="A16" s="18"/>
      <c r="B16" s="2"/>
      <c r="C16" s="2"/>
      <c r="D16" s="2"/>
      <c r="E16" s="4"/>
      <c r="F16" s="4"/>
      <c r="G16" s="40"/>
      <c r="H16" s="4">
        <v>25180</v>
      </c>
      <c r="I16" s="4"/>
      <c r="J16" s="4">
        <f t="shared" si="3"/>
        <v>9530</v>
      </c>
      <c r="K16" s="4"/>
      <c r="L16" s="4">
        <f t="shared" si="2"/>
        <v>0</v>
      </c>
      <c r="M16" s="4"/>
      <c r="N16" s="4"/>
      <c r="O16" s="50"/>
    </row>
    <row r="17" spans="1:15" ht="18" customHeight="1">
      <c r="A17" s="18"/>
      <c r="B17" s="2"/>
      <c r="C17" s="2"/>
      <c r="D17" s="2"/>
      <c r="E17" s="4"/>
      <c r="F17" s="4"/>
      <c r="G17" s="21"/>
      <c r="H17" s="4"/>
      <c r="I17" s="4"/>
      <c r="J17" s="4">
        <f t="shared" si="3"/>
        <v>9530</v>
      </c>
      <c r="K17" s="4"/>
      <c r="L17" s="4">
        <f t="shared" si="2"/>
        <v>0</v>
      </c>
      <c r="M17" s="4"/>
      <c r="N17" s="4"/>
      <c r="O17" s="50"/>
    </row>
    <row r="18" spans="1:15" ht="18" customHeight="1">
      <c r="A18" s="18"/>
      <c r="B18" s="2"/>
      <c r="C18" s="2"/>
      <c r="D18" s="2"/>
      <c r="E18" s="4"/>
      <c r="F18" s="4"/>
      <c r="G18" s="21"/>
      <c r="H18" s="4"/>
      <c r="I18" s="4"/>
      <c r="J18" s="4"/>
      <c r="K18" s="4"/>
      <c r="L18" s="4">
        <f t="shared" si="2"/>
        <v>0</v>
      </c>
      <c r="M18" s="4"/>
      <c r="N18" s="4"/>
    </row>
    <row r="19" spans="1:15" s="15" customFormat="1" ht="18" customHeight="1">
      <c r="A19" s="291" t="s">
        <v>15</v>
      </c>
      <c r="B19" s="292"/>
      <c r="C19" s="13"/>
      <c r="D19" s="13"/>
      <c r="E19" s="14">
        <v>150000</v>
      </c>
      <c r="F19" s="14"/>
      <c r="G19" s="22"/>
      <c r="H19" s="14">
        <f>SUM(H11:H18)</f>
        <v>136830</v>
      </c>
      <c r="I19" s="14">
        <v>6700</v>
      </c>
      <c r="J19" s="14"/>
      <c r="K19" s="14"/>
      <c r="L19" s="14">
        <f>+H19*I19</f>
        <v>916761000</v>
      </c>
      <c r="M19" s="57"/>
      <c r="N19" s="14"/>
      <c r="O19" s="120"/>
    </row>
    <row r="20" spans="1:15" ht="18" customHeight="1">
      <c r="A20" s="18" t="s">
        <v>13</v>
      </c>
      <c r="B20" s="60" t="s">
        <v>445</v>
      </c>
      <c r="C20" s="154" t="s">
        <v>446</v>
      </c>
      <c r="D20" s="60" t="s">
        <v>442</v>
      </c>
      <c r="E20" s="49">
        <f>200000-20000</f>
        <v>180000</v>
      </c>
      <c r="F20" s="49">
        <v>7900</v>
      </c>
      <c r="G20" s="61"/>
      <c r="H20" s="49"/>
      <c r="I20" s="49"/>
      <c r="J20" s="49"/>
      <c r="K20" s="49"/>
      <c r="L20" s="49"/>
      <c r="M20" s="49"/>
      <c r="N20" s="102"/>
      <c r="O20" s="50" t="s">
        <v>443</v>
      </c>
    </row>
    <row r="21" spans="1:15" ht="18" customHeight="1">
      <c r="A21" s="18"/>
      <c r="B21" s="2"/>
      <c r="C21" s="2"/>
      <c r="D21" s="2"/>
      <c r="E21" s="4"/>
      <c r="F21" s="4"/>
      <c r="G21" s="40" t="s">
        <v>454</v>
      </c>
      <c r="H21" s="4">
        <v>29660</v>
      </c>
      <c r="I21" s="4">
        <f>+E20-H21</f>
        <v>150340</v>
      </c>
      <c r="J21" s="4"/>
      <c r="K21" s="4"/>
      <c r="L21" s="4"/>
      <c r="M21" s="4">
        <v>470000000</v>
      </c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21"/>
      <c r="H22" s="4">
        <v>29780</v>
      </c>
      <c r="I22" s="4">
        <f>+I21-H22</f>
        <v>120560</v>
      </c>
      <c r="J22" s="4"/>
      <c r="K22" s="4"/>
      <c r="L22" s="4"/>
      <c r="M22" s="4">
        <v>305000000</v>
      </c>
      <c r="N22" s="4"/>
    </row>
    <row r="23" spans="1:15" ht="18" customHeight="1">
      <c r="A23" s="18"/>
      <c r="B23" s="2"/>
      <c r="C23" s="2"/>
      <c r="D23" s="2"/>
      <c r="E23" s="4"/>
      <c r="F23" s="4"/>
      <c r="G23" s="40" t="s">
        <v>455</v>
      </c>
      <c r="H23" s="4">
        <v>34430</v>
      </c>
      <c r="I23" s="4">
        <f t="shared" ref="I23:I26" si="4">+I22-H23</f>
        <v>86130</v>
      </c>
      <c r="J23" s="4"/>
      <c r="K23" s="4"/>
      <c r="L23" s="4"/>
      <c r="M23" s="4">
        <v>550000000</v>
      </c>
      <c r="N23" s="4"/>
    </row>
    <row r="24" spans="1:15" ht="18" customHeight="1">
      <c r="A24" s="18"/>
      <c r="B24" s="2"/>
      <c r="C24" s="2"/>
      <c r="D24" s="2"/>
      <c r="E24" s="4"/>
      <c r="F24" s="4"/>
      <c r="G24" s="21"/>
      <c r="H24" s="4">
        <v>29080</v>
      </c>
      <c r="I24" s="4">
        <f t="shared" si="4"/>
        <v>57050</v>
      </c>
      <c r="J24" s="4"/>
      <c r="K24" s="4"/>
      <c r="L24" s="4"/>
      <c r="M24" s="4"/>
      <c r="N24" s="4"/>
    </row>
    <row r="25" spans="1:15" ht="18" customHeight="1">
      <c r="A25" s="18"/>
      <c r="B25" s="2"/>
      <c r="C25" s="2"/>
      <c r="D25" s="2"/>
      <c r="E25" s="4"/>
      <c r="F25" s="4"/>
      <c r="G25" s="40" t="s">
        <v>456</v>
      </c>
      <c r="H25" s="4">
        <v>25230</v>
      </c>
      <c r="I25" s="4">
        <f t="shared" si="4"/>
        <v>31820</v>
      </c>
      <c r="J25" s="4"/>
      <c r="K25" s="4"/>
      <c r="L25" s="4"/>
      <c r="M25" s="4"/>
      <c r="N25" s="4"/>
    </row>
    <row r="26" spans="1:15" ht="18" customHeight="1">
      <c r="A26" s="18"/>
      <c r="B26" s="2"/>
      <c r="C26" s="2"/>
      <c r="D26" s="2"/>
      <c r="E26" s="4"/>
      <c r="F26" s="4"/>
      <c r="G26" s="21"/>
      <c r="H26" s="4">
        <v>30360</v>
      </c>
      <c r="I26" s="4">
        <f t="shared" si="4"/>
        <v>1460</v>
      </c>
      <c r="J26" s="4"/>
      <c r="K26" s="4"/>
      <c r="L26" s="4"/>
      <c r="M26" s="4"/>
      <c r="N26" s="4"/>
    </row>
    <row r="27" spans="1:15" ht="18" customHeight="1">
      <c r="A27" s="18"/>
      <c r="B27" s="2"/>
      <c r="C27" s="2"/>
      <c r="D27" s="2"/>
      <c r="E27" s="4"/>
      <c r="F27" s="4"/>
      <c r="G27" s="21"/>
      <c r="H27" s="4"/>
      <c r="I27" s="4"/>
      <c r="J27" s="4"/>
      <c r="K27" s="4"/>
      <c r="L27" s="4"/>
      <c r="M27" s="4">
        <v>85466000</v>
      </c>
      <c r="N27" s="4"/>
    </row>
    <row r="28" spans="1:15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  <c r="L28" s="4"/>
      <c r="M28" s="4"/>
      <c r="N28" s="4"/>
    </row>
    <row r="29" spans="1:15" ht="18" customHeight="1">
      <c r="A29" s="18"/>
      <c r="B29" s="2"/>
      <c r="C29" s="56"/>
      <c r="D29" s="56"/>
      <c r="E29" s="57"/>
      <c r="F29" s="57"/>
      <c r="G29" s="58"/>
      <c r="H29" s="57">
        <f>SUM(H21:H28)</f>
        <v>178540</v>
      </c>
      <c r="I29" s="57">
        <v>7900</v>
      </c>
      <c r="J29" s="57">
        <f t="shared" ref="J29:K29" si="5">SUM(J21:J28)</f>
        <v>0</v>
      </c>
      <c r="K29" s="57">
        <f t="shared" si="5"/>
        <v>0</v>
      </c>
      <c r="L29" s="57">
        <f>+H29*I29</f>
        <v>1410466000</v>
      </c>
      <c r="M29" s="57">
        <f>SUM(M21:M28)</f>
        <v>1410466000</v>
      </c>
      <c r="N29" s="57">
        <f>L29-M29</f>
        <v>0</v>
      </c>
      <c r="O29" s="119" t="s">
        <v>524</v>
      </c>
    </row>
    <row r="30" spans="1:15" ht="18" customHeight="1">
      <c r="A30" s="18"/>
      <c r="B30" s="2"/>
      <c r="C30" s="2"/>
      <c r="D30" s="2"/>
      <c r="E30" s="4"/>
      <c r="F30" s="4"/>
      <c r="G30" s="21"/>
      <c r="H30" s="4"/>
      <c r="I30" s="4"/>
      <c r="J30" s="4"/>
      <c r="K30" s="4"/>
      <c r="L30" s="4"/>
      <c r="M30" s="4"/>
      <c r="N30" s="4"/>
    </row>
    <row r="31" spans="1:15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  <c r="L32" s="4"/>
      <c r="M32" s="4"/>
      <c r="N32" s="4"/>
    </row>
    <row r="33" spans="1:14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  <c r="L34" s="4"/>
      <c r="M34" s="4"/>
      <c r="N34" s="4"/>
    </row>
    <row r="35" spans="1:14" ht="18" customHeight="1">
      <c r="A35" s="281" t="s">
        <v>0</v>
      </c>
      <c r="B35" s="282"/>
      <c r="C35" s="127"/>
      <c r="D35" s="127"/>
      <c r="E35" s="5">
        <f>SUM(E21:E34)</f>
        <v>0</v>
      </c>
      <c r="F35" s="5">
        <v>12350</v>
      </c>
      <c r="G35" s="23"/>
      <c r="H35" s="5">
        <f>SUM(H21:H34)</f>
        <v>357080</v>
      </c>
      <c r="I35" s="5">
        <v>12350</v>
      </c>
      <c r="J35" s="5"/>
      <c r="K35" s="99"/>
      <c r="L35" s="100">
        <f>H35*I35</f>
        <v>4409938000</v>
      </c>
      <c r="M35" s="14"/>
      <c r="N35" s="100"/>
    </row>
    <row r="36" spans="1:14" s="6" customFormat="1" ht="24.75" customHeight="1">
      <c r="A36" s="16"/>
      <c r="B36" s="1"/>
      <c r="C36" s="1"/>
      <c r="D36" s="1"/>
      <c r="E36" s="3"/>
      <c r="F36" s="3"/>
      <c r="G36" s="19"/>
      <c r="H36" s="3"/>
      <c r="I36" s="3"/>
      <c r="J36" s="3"/>
      <c r="K36" s="3"/>
    </row>
    <row r="37" spans="1:14">
      <c r="F37" s="270" t="s">
        <v>1</v>
      </c>
      <c r="G37" s="270"/>
      <c r="H37" s="270"/>
      <c r="I37" s="270"/>
      <c r="J37" s="1"/>
      <c r="K37" s="8"/>
    </row>
    <row r="40" spans="1:14">
      <c r="F40" s="271"/>
      <c r="G40" s="271"/>
      <c r="H40" s="271"/>
      <c r="I40" s="271"/>
      <c r="J40" s="1"/>
      <c r="K40" s="1"/>
    </row>
  </sheetData>
  <mergeCells count="17">
    <mergeCell ref="A10:B10"/>
    <mergeCell ref="A19:B19"/>
    <mergeCell ref="A35:B35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37:I37"/>
    <mergeCell ref="F40:I40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17"/>
  <sheetViews>
    <sheetView workbookViewId="0">
      <pane ySplit="5" topLeftCell="A101" activePane="bottomLeft" state="frozen"/>
      <selection pane="bottomLeft" activeCell="H110" sqref="H110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320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38" t="s">
        <v>9</v>
      </c>
      <c r="F5" s="138" t="s">
        <v>5</v>
      </c>
      <c r="G5" s="20" t="s">
        <v>14</v>
      </c>
      <c r="H5" s="138" t="s">
        <v>9</v>
      </c>
      <c r="I5" s="138" t="s">
        <v>5</v>
      </c>
      <c r="J5" s="138" t="s">
        <v>9</v>
      </c>
      <c r="K5" s="138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13</v>
      </c>
      <c r="B11" s="60" t="s">
        <v>317</v>
      </c>
      <c r="C11" s="98" t="s">
        <v>214</v>
      </c>
      <c r="D11" s="60" t="s">
        <v>290</v>
      </c>
      <c r="E11" s="49">
        <v>300000</v>
      </c>
      <c r="F11" s="49">
        <v>6750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/>
      <c r="C12" s="2"/>
      <c r="D12" s="2"/>
      <c r="E12" s="4"/>
      <c r="F12" s="4"/>
      <c r="G12" s="40" t="s">
        <v>319</v>
      </c>
      <c r="H12" s="4">
        <v>30980</v>
      </c>
      <c r="I12" s="4"/>
      <c r="J12" s="4">
        <f>+E11-H12</f>
        <v>269020</v>
      </c>
      <c r="K12" s="4"/>
      <c r="L12" s="4">
        <f t="shared" ref="L12:L21" si="2">+H12*I12</f>
        <v>0</v>
      </c>
      <c r="M12" s="4"/>
      <c r="N12" s="4"/>
    </row>
    <row r="13" spans="1:14" ht="18" customHeight="1">
      <c r="A13" s="18"/>
      <c r="B13" s="60"/>
      <c r="C13" s="60"/>
      <c r="D13" s="60"/>
      <c r="E13" s="49"/>
      <c r="F13" s="49"/>
      <c r="G13" s="21"/>
      <c r="H13" s="4">
        <v>31420</v>
      </c>
      <c r="I13" s="4"/>
      <c r="J13" s="4">
        <f>+J12-H13</f>
        <v>237600</v>
      </c>
      <c r="K13" s="4"/>
      <c r="L13" s="4">
        <f t="shared" si="2"/>
        <v>0</v>
      </c>
      <c r="M13" s="4"/>
      <c r="N13" s="4"/>
    </row>
    <row r="14" spans="1:14" ht="18" customHeight="1">
      <c r="A14" s="18"/>
      <c r="B14" s="2"/>
      <c r="C14" s="2"/>
      <c r="D14" s="2"/>
      <c r="E14" s="4"/>
      <c r="F14" s="4"/>
      <c r="G14" s="40"/>
      <c r="H14" s="4">
        <v>32890</v>
      </c>
      <c r="I14" s="4"/>
      <c r="J14" s="4">
        <f t="shared" ref="J14:J21" si="3">+J13-H14</f>
        <v>204710</v>
      </c>
      <c r="K14" s="4"/>
      <c r="L14" s="4">
        <f t="shared" si="2"/>
        <v>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/>
      <c r="G15" s="21"/>
      <c r="H15" s="4">
        <v>32770</v>
      </c>
      <c r="I15" s="4"/>
      <c r="J15" s="4">
        <f t="shared" si="3"/>
        <v>171940</v>
      </c>
      <c r="K15" s="4"/>
      <c r="L15" s="4">
        <f t="shared" si="2"/>
        <v>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/>
      <c r="G16" s="40" t="s">
        <v>321</v>
      </c>
      <c r="H16" s="4">
        <v>32380</v>
      </c>
      <c r="I16" s="4"/>
      <c r="J16" s="4">
        <f t="shared" si="3"/>
        <v>139560</v>
      </c>
      <c r="K16" s="4"/>
      <c r="L16" s="4">
        <f t="shared" si="2"/>
        <v>0</v>
      </c>
      <c r="M16" s="4"/>
      <c r="N16" s="4"/>
    </row>
    <row r="17" spans="1:15" ht="18" customHeight="1">
      <c r="A17" s="18"/>
      <c r="B17" s="2"/>
      <c r="C17" s="2"/>
      <c r="D17" s="2"/>
      <c r="E17" s="4"/>
      <c r="F17" s="4"/>
      <c r="G17" s="40" t="s">
        <v>327</v>
      </c>
      <c r="H17" s="4">
        <v>31820</v>
      </c>
      <c r="I17" s="4"/>
      <c r="J17" s="4">
        <f t="shared" si="3"/>
        <v>107740</v>
      </c>
      <c r="K17" s="4"/>
      <c r="L17" s="4">
        <f t="shared" si="2"/>
        <v>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40" t="s">
        <v>329</v>
      </c>
      <c r="H18" s="4">
        <v>46840</v>
      </c>
      <c r="I18" s="4"/>
      <c r="J18" s="4">
        <f t="shared" si="3"/>
        <v>60900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>
        <v>32390</v>
      </c>
      <c r="I19" s="4"/>
      <c r="J19" s="4">
        <f t="shared" si="3"/>
        <v>28510</v>
      </c>
      <c r="K19" s="4"/>
      <c r="L19" s="4">
        <f t="shared" si="2"/>
        <v>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/>
      <c r="I20" s="4"/>
      <c r="J20" s="4">
        <f t="shared" si="3"/>
        <v>28510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/>
      <c r="J21" s="4">
        <f t="shared" si="3"/>
        <v>28510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300000</v>
      </c>
      <c r="F22" s="14"/>
      <c r="G22" s="22"/>
      <c r="H22" s="14">
        <f>SUM(H11:H21)</f>
        <v>271490</v>
      </c>
      <c r="I22" s="14">
        <v>6750</v>
      </c>
      <c r="J22" s="14"/>
      <c r="K22" s="14"/>
      <c r="L22" s="14">
        <f>+H22*I22</f>
        <v>1832557500</v>
      </c>
      <c r="M22" s="57"/>
      <c r="N22" s="14"/>
      <c r="O22" s="120"/>
    </row>
    <row r="23" spans="1:15" ht="18" customHeight="1">
      <c r="A23" s="18" t="s">
        <v>13</v>
      </c>
      <c r="B23" s="60" t="s">
        <v>317</v>
      </c>
      <c r="C23" s="60" t="s">
        <v>365</v>
      </c>
      <c r="D23" s="60" t="s">
        <v>85</v>
      </c>
      <c r="E23" s="49">
        <v>170000</v>
      </c>
      <c r="F23" s="49">
        <v>7230</v>
      </c>
      <c r="G23" s="61"/>
      <c r="H23" s="49"/>
      <c r="I23" s="49"/>
      <c r="J23" s="49"/>
      <c r="K23" s="49"/>
      <c r="L23" s="49"/>
      <c r="M23" s="49"/>
      <c r="N23" s="102"/>
      <c r="O23" s="50"/>
    </row>
    <row r="24" spans="1:15" ht="18" customHeight="1">
      <c r="A24" s="18"/>
      <c r="B24" s="2"/>
      <c r="C24" s="2"/>
      <c r="D24" s="2"/>
      <c r="E24" s="4"/>
      <c r="F24" s="4"/>
      <c r="G24" s="40" t="s">
        <v>364</v>
      </c>
      <c r="H24" s="4">
        <v>54270</v>
      </c>
      <c r="I24" s="4">
        <v>7230</v>
      </c>
      <c r="J24" s="4">
        <f>+E23-H24</f>
        <v>115730</v>
      </c>
      <c r="K24" s="4"/>
      <c r="L24" s="4"/>
      <c r="M24" s="4">
        <f>+H24*I24</f>
        <v>392372100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 t="s">
        <v>371</v>
      </c>
      <c r="H25" s="4">
        <v>52990</v>
      </c>
      <c r="I25" s="4">
        <v>7230</v>
      </c>
      <c r="J25" s="4">
        <f>+J24-H25</f>
        <v>62740</v>
      </c>
      <c r="K25" s="4"/>
      <c r="L25" s="4"/>
      <c r="M25" s="4">
        <f t="shared" ref="M25:M26" si="4">+H25*I25</f>
        <v>383117700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 t="s">
        <v>375</v>
      </c>
      <c r="H26" s="4">
        <v>54870</v>
      </c>
      <c r="I26" s="4">
        <v>7230</v>
      </c>
      <c r="J26" s="4">
        <f>+J25-H26</f>
        <v>7870</v>
      </c>
      <c r="K26" s="4"/>
      <c r="L26" s="4"/>
      <c r="M26" s="4">
        <f t="shared" si="4"/>
        <v>396710100</v>
      </c>
      <c r="N26" s="4"/>
    </row>
    <row r="27" spans="1:15" ht="18" customHeight="1">
      <c r="A27" s="18"/>
      <c r="B27" s="2"/>
      <c r="C27" s="56"/>
      <c r="D27" s="56"/>
      <c r="E27" s="57"/>
      <c r="F27" s="57"/>
      <c r="G27" s="58"/>
      <c r="H27" s="57">
        <f>SUM(H24:H26)</f>
        <v>162130</v>
      </c>
      <c r="I27" s="57">
        <v>12350</v>
      </c>
      <c r="J27" s="57">
        <f>SUM(J24:J26)</f>
        <v>186340</v>
      </c>
      <c r="K27" s="57">
        <f>SUM(K24:K26)</f>
        <v>0</v>
      </c>
      <c r="L27" s="57">
        <f>SUM(L24:L26)</f>
        <v>0</v>
      </c>
      <c r="M27" s="57">
        <f>SUM(M24:M26)</f>
        <v>1172199900</v>
      </c>
      <c r="N27" s="57">
        <f>741000000*3</f>
        <v>2223000000</v>
      </c>
      <c r="O27" s="119">
        <f>+N27-M27</f>
        <v>1050800100</v>
      </c>
    </row>
    <row r="28" spans="1:15" ht="18" customHeight="1">
      <c r="A28" s="18"/>
      <c r="B28" s="2"/>
      <c r="C28" s="2"/>
      <c r="D28" s="2"/>
      <c r="E28" s="49">
        <v>110000</v>
      </c>
      <c r="F28" s="49">
        <v>7100</v>
      </c>
      <c r="G28" s="61"/>
      <c r="H28" s="49"/>
      <c r="I28" s="4"/>
      <c r="J28" s="4"/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 t="s">
        <v>377</v>
      </c>
      <c r="H29" s="4">
        <v>53850</v>
      </c>
      <c r="I29" s="4">
        <v>7100</v>
      </c>
      <c r="J29" s="4">
        <f>+E28-H29</f>
        <v>56150</v>
      </c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 t="s">
        <v>379</v>
      </c>
      <c r="H30" s="4">
        <v>53330</v>
      </c>
      <c r="I30" s="4"/>
      <c r="J30" s="4">
        <f>+J29-H30</f>
        <v>2820</v>
      </c>
      <c r="K30" s="4"/>
      <c r="L30" s="4"/>
      <c r="M30" s="4"/>
      <c r="N30" s="4"/>
    </row>
    <row r="31" spans="1:15" ht="18" customHeight="1">
      <c r="A31" s="148"/>
      <c r="B31" s="2"/>
      <c r="C31" s="60"/>
      <c r="D31" s="60"/>
      <c r="E31" s="49">
        <v>110000</v>
      </c>
      <c r="F31" s="49">
        <v>7000</v>
      </c>
      <c r="G31" s="66"/>
      <c r="H31" s="49"/>
      <c r="I31" s="49"/>
      <c r="J31" s="49"/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 t="s">
        <v>380</v>
      </c>
      <c r="H32" s="4">
        <v>32160</v>
      </c>
      <c r="I32" s="4"/>
      <c r="J32" s="4">
        <f>+E31-H32</f>
        <v>77840</v>
      </c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/>
      <c r="H33" s="4">
        <v>31500</v>
      </c>
      <c r="I33" s="4"/>
      <c r="J33" s="4">
        <f>J32-H33</f>
        <v>46340</v>
      </c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 t="s">
        <v>382</v>
      </c>
      <c r="H34" s="4">
        <v>58330</v>
      </c>
      <c r="I34" s="4"/>
      <c r="J34" s="4">
        <f>J33-H34</f>
        <v>-11990</v>
      </c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40"/>
      <c r="H35" s="4"/>
      <c r="I35" s="4"/>
      <c r="J35" s="4"/>
      <c r="K35" s="4"/>
      <c r="L35" s="4"/>
      <c r="M35" s="4"/>
      <c r="N35" s="4"/>
    </row>
    <row r="36" spans="1:14" ht="18" customHeight="1">
      <c r="A36" s="166" t="s">
        <v>13</v>
      </c>
      <c r="B36" s="167" t="s">
        <v>470</v>
      </c>
      <c r="C36" s="167"/>
      <c r="D36" s="167" t="s">
        <v>290</v>
      </c>
      <c r="E36" s="168">
        <v>66000</v>
      </c>
      <c r="F36" s="168">
        <v>7800</v>
      </c>
      <c r="G36" s="169"/>
      <c r="H36" s="168"/>
      <c r="I36" s="168"/>
      <c r="J36" s="168"/>
      <c r="K36" s="168"/>
      <c r="L36" s="168" t="s">
        <v>524</v>
      </c>
      <c r="M36" s="168"/>
      <c r="N36" s="168"/>
    </row>
    <row r="37" spans="1:14" ht="18" customHeight="1">
      <c r="A37" s="18"/>
      <c r="B37" s="2"/>
      <c r="C37" s="2"/>
      <c r="D37" s="2"/>
      <c r="E37" s="4"/>
      <c r="F37" s="4"/>
      <c r="G37" s="40" t="s">
        <v>469</v>
      </c>
      <c r="H37" s="4">
        <v>33070</v>
      </c>
      <c r="I37" s="4">
        <f>E36-H37</f>
        <v>32930</v>
      </c>
      <c r="J37" s="4"/>
      <c r="K37" s="4"/>
      <c r="L37" s="4"/>
      <c r="M37" s="4"/>
      <c r="N37" s="4"/>
    </row>
    <row r="38" spans="1:14" ht="18" customHeight="1">
      <c r="A38" s="18"/>
      <c r="B38" s="2"/>
      <c r="C38" s="2"/>
      <c r="D38" s="2"/>
      <c r="E38" s="4"/>
      <c r="F38" s="4"/>
      <c r="G38" s="40" t="s">
        <v>476</v>
      </c>
      <c r="H38" s="4">
        <v>32670</v>
      </c>
      <c r="I38" s="4">
        <f>I37-H38</f>
        <v>260</v>
      </c>
      <c r="J38" s="4"/>
      <c r="K38" s="4"/>
      <c r="L38" s="4"/>
      <c r="M38" s="4"/>
      <c r="N38" s="4"/>
    </row>
    <row r="39" spans="1:14" ht="18" customHeight="1">
      <c r="A39" s="18"/>
      <c r="B39" s="2"/>
      <c r="C39" s="2"/>
      <c r="D39" s="2"/>
      <c r="E39" s="4"/>
      <c r="F39" s="4"/>
      <c r="G39" s="61" t="s">
        <v>235</v>
      </c>
      <c r="H39" s="49">
        <f>SUM(H37:H38)</f>
        <v>65740</v>
      </c>
      <c r="I39" s="49"/>
      <c r="J39" s="4"/>
      <c r="K39" s="4"/>
      <c r="L39" s="4"/>
      <c r="M39" s="4"/>
      <c r="N39" s="4"/>
    </row>
    <row r="40" spans="1:14" ht="18" customHeight="1">
      <c r="A40" s="18" t="s">
        <v>29</v>
      </c>
      <c r="B40" s="2" t="s">
        <v>701</v>
      </c>
      <c r="C40" s="2"/>
      <c r="D40" s="2" t="s">
        <v>85</v>
      </c>
      <c r="E40" s="4">
        <v>55000</v>
      </c>
      <c r="F40" s="4">
        <v>7500</v>
      </c>
      <c r="G40" s="40"/>
      <c r="H40" s="4"/>
      <c r="I40" s="4"/>
      <c r="J40" s="4"/>
      <c r="K40" s="4"/>
      <c r="L40" s="4"/>
      <c r="M40" s="4"/>
      <c r="N40" s="4"/>
    </row>
    <row r="41" spans="1:14" ht="18" customHeight="1">
      <c r="A41" s="18"/>
      <c r="B41" s="2"/>
      <c r="C41" s="2"/>
      <c r="D41" s="2"/>
      <c r="E41" s="4"/>
      <c r="F41" s="4"/>
      <c r="G41" s="40" t="s">
        <v>702</v>
      </c>
      <c r="H41" s="4">
        <v>54720</v>
      </c>
      <c r="I41" s="4">
        <v>7500</v>
      </c>
      <c r="J41" s="4"/>
      <c r="K41" s="4"/>
      <c r="L41" s="4" t="s">
        <v>524</v>
      </c>
      <c r="M41" s="4"/>
      <c r="N41" s="4"/>
    </row>
    <row r="42" spans="1:14" ht="18" customHeight="1">
      <c r="A42" s="18"/>
      <c r="B42" s="2"/>
      <c r="C42" s="2"/>
      <c r="D42" s="2"/>
      <c r="E42" s="4"/>
      <c r="F42" s="4"/>
      <c r="G42" s="40"/>
      <c r="H42" s="4"/>
      <c r="I42" s="4"/>
      <c r="J42" s="4"/>
      <c r="K42" s="4"/>
      <c r="L42" s="4"/>
      <c r="M42" s="4"/>
      <c r="N42" s="4"/>
    </row>
    <row r="43" spans="1:14" ht="18" customHeight="1">
      <c r="A43" s="18" t="s">
        <v>13</v>
      </c>
      <c r="B43" s="60" t="s">
        <v>470</v>
      </c>
      <c r="C43" s="60"/>
      <c r="D43" s="60" t="s">
        <v>85</v>
      </c>
      <c r="E43" s="49">
        <v>100000</v>
      </c>
      <c r="F43" s="49">
        <v>7500</v>
      </c>
      <c r="G43" s="66"/>
      <c r="H43" s="49"/>
      <c r="I43" s="49"/>
      <c r="J43" s="49"/>
      <c r="K43" s="49"/>
      <c r="L43" s="49"/>
      <c r="M43" s="4"/>
      <c r="N43" s="4"/>
    </row>
    <row r="44" spans="1:14" ht="18" customHeight="1">
      <c r="A44" s="18"/>
      <c r="B44" s="2"/>
      <c r="C44" s="2"/>
      <c r="D44" s="2"/>
      <c r="E44" s="4"/>
      <c r="F44" s="4"/>
      <c r="G44" s="40" t="s">
        <v>737</v>
      </c>
      <c r="H44" s="4">
        <v>53290</v>
      </c>
      <c r="I44" s="4">
        <f>+E43-H44</f>
        <v>46710</v>
      </c>
      <c r="J44" s="4"/>
      <c r="K44" s="4"/>
      <c r="L44" s="4"/>
      <c r="M44" s="4"/>
      <c r="N44" s="4"/>
    </row>
    <row r="45" spans="1:14" ht="18" customHeight="1">
      <c r="A45" s="18"/>
      <c r="B45" s="2"/>
      <c r="C45" s="2"/>
      <c r="D45" s="2"/>
      <c r="E45" s="4"/>
      <c r="F45" s="4"/>
      <c r="G45" s="40"/>
      <c r="H45" s="4"/>
      <c r="I45" s="4">
        <f>I44-H45</f>
        <v>46710</v>
      </c>
      <c r="J45" s="4"/>
      <c r="K45" s="4"/>
      <c r="L45" s="4"/>
      <c r="M45" s="4"/>
      <c r="N45" s="4"/>
    </row>
    <row r="46" spans="1:14" ht="18" customHeight="1">
      <c r="A46" s="18"/>
      <c r="B46" s="2"/>
      <c r="C46" s="2"/>
      <c r="D46" s="2"/>
      <c r="E46" s="4"/>
      <c r="F46" s="4"/>
      <c r="G46" s="40"/>
      <c r="H46" s="4"/>
      <c r="I46" s="4"/>
      <c r="J46" s="4"/>
      <c r="K46" s="4"/>
      <c r="L46" s="4"/>
      <c r="M46" s="4"/>
      <c r="N46" s="4"/>
    </row>
    <row r="47" spans="1:14" ht="18" customHeight="1">
      <c r="A47" s="18" t="s">
        <v>13</v>
      </c>
      <c r="B47" s="60" t="s">
        <v>470</v>
      </c>
      <c r="C47" s="60"/>
      <c r="D47" s="60" t="s">
        <v>85</v>
      </c>
      <c r="E47" s="49">
        <v>100000</v>
      </c>
      <c r="F47" s="49">
        <v>7800</v>
      </c>
      <c r="G47" s="40"/>
      <c r="H47" s="4"/>
      <c r="I47" s="4"/>
      <c r="J47" s="4"/>
      <c r="K47" s="4"/>
      <c r="L47" s="4"/>
      <c r="M47" s="4"/>
      <c r="N47" s="4"/>
    </row>
    <row r="48" spans="1:14" ht="18" customHeight="1">
      <c r="A48" s="18"/>
      <c r="B48" s="2"/>
      <c r="C48" s="2"/>
      <c r="D48" s="2"/>
      <c r="E48" s="4"/>
      <c r="F48" s="4"/>
      <c r="G48" s="40" t="s">
        <v>769</v>
      </c>
      <c r="H48" s="4">
        <v>51730</v>
      </c>
      <c r="I48" s="4">
        <v>7800</v>
      </c>
      <c r="J48" s="4">
        <f>+E47-H48</f>
        <v>48270</v>
      </c>
      <c r="K48" s="4"/>
      <c r="L48" s="4"/>
      <c r="M48" s="4"/>
      <c r="N48" s="4"/>
    </row>
    <row r="49" spans="1:14" ht="18" customHeight="1">
      <c r="A49" s="18"/>
      <c r="B49" s="2"/>
      <c r="C49" s="2"/>
      <c r="D49" s="2"/>
      <c r="E49" s="4"/>
      <c r="F49" s="4"/>
      <c r="G49" s="40" t="s">
        <v>770</v>
      </c>
      <c r="H49" s="4">
        <v>53110</v>
      </c>
      <c r="I49" s="4">
        <v>7800</v>
      </c>
      <c r="J49" s="4">
        <f>+J48-H49</f>
        <v>-4840</v>
      </c>
      <c r="K49" s="4"/>
      <c r="L49" s="4"/>
      <c r="M49" s="4"/>
      <c r="N49" s="4"/>
    </row>
    <row r="50" spans="1:14" ht="18" customHeight="1">
      <c r="A50" s="18" t="s">
        <v>13</v>
      </c>
      <c r="B50" s="60" t="s">
        <v>470</v>
      </c>
      <c r="C50" s="2"/>
      <c r="D50" s="60" t="s">
        <v>85</v>
      </c>
      <c r="E50" s="49">
        <v>200000</v>
      </c>
      <c r="F50" s="49">
        <v>7900</v>
      </c>
      <c r="G50" s="40"/>
      <c r="H50" s="4"/>
      <c r="I50" s="4"/>
      <c r="J50" s="4"/>
      <c r="K50" s="4"/>
      <c r="L50" s="4"/>
      <c r="M50" s="4"/>
      <c r="N50" s="4"/>
    </row>
    <row r="51" spans="1:14" ht="18" customHeight="1">
      <c r="A51" s="18"/>
      <c r="B51" s="2"/>
      <c r="C51" s="2"/>
      <c r="D51" s="2"/>
      <c r="E51" s="4"/>
      <c r="F51" s="4"/>
      <c r="G51" s="40">
        <v>44433</v>
      </c>
      <c r="H51" s="4">
        <v>58030</v>
      </c>
      <c r="I51" s="4">
        <v>7900</v>
      </c>
      <c r="J51" s="4">
        <f>E50-H51</f>
        <v>141970</v>
      </c>
      <c r="K51" s="4"/>
      <c r="L51" s="4"/>
      <c r="M51" s="4"/>
      <c r="N51" s="4"/>
    </row>
    <row r="52" spans="1:14" ht="18" customHeight="1">
      <c r="A52" s="18"/>
      <c r="B52" s="2"/>
      <c r="C52" s="2"/>
      <c r="D52" s="2"/>
      <c r="E52" s="4"/>
      <c r="F52" s="4"/>
      <c r="G52" s="40" t="s">
        <v>772</v>
      </c>
      <c r="H52" s="4">
        <v>51510</v>
      </c>
      <c r="I52" s="4">
        <v>7900</v>
      </c>
      <c r="J52" s="4">
        <f>J51-H52</f>
        <v>90460</v>
      </c>
      <c r="K52" s="4"/>
      <c r="L52" s="4"/>
      <c r="M52" s="4"/>
      <c r="N52" s="4"/>
    </row>
    <row r="53" spans="1:14" ht="18" customHeight="1">
      <c r="A53" s="18"/>
      <c r="B53" s="2"/>
      <c r="C53" s="2"/>
      <c r="D53" s="2"/>
      <c r="E53" s="4"/>
      <c r="F53" s="4"/>
      <c r="G53" s="40" t="s">
        <v>773</v>
      </c>
      <c r="H53" s="4">
        <v>52390</v>
      </c>
      <c r="I53" s="4">
        <v>7900</v>
      </c>
      <c r="J53" s="4">
        <f t="shared" ref="J53:J54" si="5">J52-H53</f>
        <v>38070</v>
      </c>
      <c r="K53" s="4"/>
      <c r="L53" s="4"/>
      <c r="M53" s="4"/>
      <c r="N53" s="4"/>
    </row>
    <row r="54" spans="1:14" ht="18" customHeight="1">
      <c r="A54" s="18"/>
      <c r="B54" s="2"/>
      <c r="C54" s="2"/>
      <c r="D54" s="2"/>
      <c r="E54" s="4"/>
      <c r="F54" s="4"/>
      <c r="G54" s="40" t="s">
        <v>774</v>
      </c>
      <c r="H54" s="4">
        <v>52120</v>
      </c>
      <c r="I54" s="4">
        <v>7900</v>
      </c>
      <c r="J54" s="4">
        <f t="shared" si="5"/>
        <v>-14050</v>
      </c>
      <c r="K54" s="4"/>
      <c r="L54" s="4"/>
      <c r="M54" s="4"/>
      <c r="N54" s="4"/>
    </row>
    <row r="55" spans="1:14" ht="18" customHeight="1">
      <c r="A55" s="18" t="s">
        <v>13</v>
      </c>
      <c r="B55" s="60" t="s">
        <v>470</v>
      </c>
      <c r="C55" s="2"/>
      <c r="D55" s="2" t="s">
        <v>85</v>
      </c>
      <c r="E55" s="4">
        <v>160000</v>
      </c>
      <c r="F55" s="4">
        <v>7750</v>
      </c>
      <c r="G55" s="40"/>
      <c r="H55" s="4"/>
      <c r="I55" s="4"/>
      <c r="J55" s="4"/>
      <c r="K55" s="4"/>
      <c r="L55" s="4"/>
      <c r="M55" s="4"/>
      <c r="N55" s="4"/>
    </row>
    <row r="56" spans="1:14" ht="18" customHeight="1">
      <c r="A56" s="18"/>
      <c r="B56" s="2"/>
      <c r="C56" s="2"/>
      <c r="D56" s="2"/>
      <c r="E56" s="4"/>
      <c r="F56" s="4"/>
      <c r="G56" s="40" t="s">
        <v>792</v>
      </c>
      <c r="H56" s="4">
        <v>50680</v>
      </c>
      <c r="I56" s="4">
        <v>7750</v>
      </c>
      <c r="J56" s="4">
        <f>+E55-H56</f>
        <v>109320</v>
      </c>
      <c r="K56" s="4"/>
      <c r="L56" s="4"/>
      <c r="M56" s="4"/>
      <c r="N56" s="4"/>
    </row>
    <row r="57" spans="1:14" ht="18" customHeight="1">
      <c r="A57" s="18"/>
      <c r="B57" s="2"/>
      <c r="C57" s="2"/>
      <c r="D57" s="2"/>
      <c r="E57" s="4"/>
      <c r="F57" s="4"/>
      <c r="G57" s="40" t="s">
        <v>108</v>
      </c>
      <c r="H57" s="4">
        <v>51520</v>
      </c>
      <c r="I57" s="4">
        <v>7750</v>
      </c>
      <c r="J57" s="4">
        <f>J56-H57</f>
        <v>57800</v>
      </c>
      <c r="K57" s="4"/>
      <c r="L57" s="4"/>
      <c r="M57" s="4"/>
      <c r="N57" s="4"/>
    </row>
    <row r="58" spans="1:14" ht="18" customHeight="1">
      <c r="A58" s="18"/>
      <c r="B58" s="2"/>
      <c r="C58" s="2"/>
      <c r="D58" s="2"/>
      <c r="E58" s="4"/>
      <c r="F58" s="4"/>
      <c r="G58" s="40" t="s">
        <v>794</v>
      </c>
      <c r="H58" s="4">
        <v>50990</v>
      </c>
      <c r="I58" s="4">
        <v>7750</v>
      </c>
      <c r="J58" s="4">
        <f>+J57-H58</f>
        <v>6810</v>
      </c>
      <c r="K58" s="4"/>
      <c r="L58" s="4"/>
      <c r="M58" s="4"/>
      <c r="N58" s="4"/>
    </row>
    <row r="59" spans="1:14" ht="18" customHeight="1">
      <c r="A59" s="148"/>
      <c r="B59" s="2"/>
      <c r="C59" s="2"/>
      <c r="D59" s="2"/>
      <c r="E59" s="4"/>
      <c r="F59" s="4"/>
      <c r="G59" s="40"/>
      <c r="H59" s="4"/>
      <c r="I59" s="4"/>
      <c r="J59" s="4"/>
      <c r="K59" s="4"/>
      <c r="L59" s="4"/>
      <c r="M59" s="4"/>
      <c r="N59" s="4"/>
    </row>
    <row r="60" spans="1:14" ht="18" customHeight="1">
      <c r="A60" s="18" t="s">
        <v>13</v>
      </c>
      <c r="B60" s="60" t="s">
        <v>701</v>
      </c>
      <c r="C60" s="60" t="s">
        <v>788</v>
      </c>
      <c r="D60" s="60" t="s">
        <v>290</v>
      </c>
      <c r="E60" s="49">
        <v>400000</v>
      </c>
      <c r="F60" s="49">
        <v>7750</v>
      </c>
      <c r="G60" s="66"/>
      <c r="H60" s="49"/>
      <c r="I60" s="49"/>
      <c r="J60" s="49"/>
      <c r="K60" s="49"/>
      <c r="L60" s="4"/>
      <c r="M60" s="4"/>
      <c r="N60" s="4"/>
    </row>
    <row r="61" spans="1:14" ht="18" customHeight="1">
      <c r="A61" s="18"/>
      <c r="B61" s="2"/>
      <c r="C61" s="2"/>
      <c r="D61" s="2"/>
      <c r="E61" s="4"/>
      <c r="F61" s="4"/>
      <c r="G61" s="40" t="s">
        <v>805</v>
      </c>
      <c r="H61" s="4">
        <v>55370</v>
      </c>
      <c r="I61" s="4">
        <v>7750</v>
      </c>
      <c r="J61" s="4">
        <f>+E60-H61</f>
        <v>344630</v>
      </c>
      <c r="K61" s="4"/>
      <c r="L61" s="4"/>
      <c r="M61" s="4"/>
      <c r="N61" s="4"/>
    </row>
    <row r="62" spans="1:14" ht="18" customHeight="1">
      <c r="A62" s="18"/>
      <c r="B62" s="2"/>
      <c r="C62" s="2"/>
      <c r="D62" s="2"/>
      <c r="E62" s="4"/>
      <c r="F62" s="4"/>
      <c r="G62" s="40" t="s">
        <v>117</v>
      </c>
      <c r="H62" s="4">
        <v>51550</v>
      </c>
      <c r="I62" s="4">
        <v>7750</v>
      </c>
      <c r="J62" s="4">
        <f>+J61-H62</f>
        <v>293080</v>
      </c>
      <c r="K62" s="4"/>
      <c r="L62" s="4"/>
      <c r="M62" s="4"/>
      <c r="N62" s="4"/>
    </row>
    <row r="63" spans="1:14" ht="18" customHeight="1">
      <c r="A63" s="18"/>
      <c r="B63" s="2"/>
      <c r="C63" s="2"/>
      <c r="D63" s="2"/>
      <c r="E63" s="4"/>
      <c r="F63" s="4"/>
      <c r="G63" s="40" t="s">
        <v>808</v>
      </c>
      <c r="H63" s="4">
        <v>51810</v>
      </c>
      <c r="I63" s="4">
        <v>7750</v>
      </c>
      <c r="J63" s="4">
        <f t="shared" ref="J63:J68" si="6">+J62-H63</f>
        <v>241270</v>
      </c>
      <c r="K63" s="4"/>
      <c r="L63" s="4"/>
      <c r="M63" s="4"/>
      <c r="N63" s="4"/>
    </row>
    <row r="64" spans="1:14" ht="18" customHeight="1">
      <c r="A64" s="18"/>
      <c r="B64" s="2"/>
      <c r="C64" s="2"/>
      <c r="D64" s="2"/>
      <c r="E64" s="4"/>
      <c r="F64" s="4"/>
      <c r="G64" s="40" t="s">
        <v>809</v>
      </c>
      <c r="H64" s="4">
        <v>52160</v>
      </c>
      <c r="I64" s="4">
        <v>7750</v>
      </c>
      <c r="J64" s="4">
        <f t="shared" si="6"/>
        <v>189110</v>
      </c>
      <c r="K64" s="4"/>
      <c r="L64" s="4"/>
      <c r="M64" s="4"/>
      <c r="N64" s="4"/>
    </row>
    <row r="65" spans="1:14" ht="18" customHeight="1">
      <c r="A65" s="18"/>
      <c r="B65" s="2"/>
      <c r="C65" s="2"/>
      <c r="D65" s="2"/>
      <c r="E65" s="4"/>
      <c r="F65" s="4"/>
      <c r="G65" s="40" t="s">
        <v>118</v>
      </c>
      <c r="H65" s="4">
        <v>51010</v>
      </c>
      <c r="I65" s="4">
        <v>7750</v>
      </c>
      <c r="J65" s="4">
        <f t="shared" si="6"/>
        <v>138100</v>
      </c>
      <c r="K65" s="4"/>
      <c r="L65" s="4"/>
      <c r="M65" s="4"/>
      <c r="N65" s="4"/>
    </row>
    <row r="66" spans="1:14" ht="18" customHeight="1">
      <c r="A66" s="18"/>
      <c r="B66" s="2"/>
      <c r="C66" s="2"/>
      <c r="D66" s="2"/>
      <c r="E66" s="4"/>
      <c r="F66" s="4"/>
      <c r="G66" s="40" t="s">
        <v>123</v>
      </c>
      <c r="H66" s="4">
        <v>57470</v>
      </c>
      <c r="I66" s="4">
        <v>7750</v>
      </c>
      <c r="J66" s="4">
        <f t="shared" si="6"/>
        <v>80630</v>
      </c>
      <c r="K66" s="4"/>
      <c r="L66" s="4"/>
      <c r="M66" s="4"/>
      <c r="N66" s="4"/>
    </row>
    <row r="67" spans="1:14" ht="18" customHeight="1">
      <c r="A67" s="18"/>
      <c r="B67" s="2"/>
      <c r="C67" s="2"/>
      <c r="D67" s="2"/>
      <c r="E67" s="4"/>
      <c r="F67" s="4"/>
      <c r="G67" s="40" t="s">
        <v>813</v>
      </c>
      <c r="H67" s="4">
        <v>54250</v>
      </c>
      <c r="I67" s="4">
        <v>7750</v>
      </c>
      <c r="J67" s="4">
        <f t="shared" si="6"/>
        <v>26380</v>
      </c>
      <c r="K67" s="4"/>
      <c r="L67" s="4"/>
      <c r="M67" s="4"/>
      <c r="N67" s="4"/>
    </row>
    <row r="68" spans="1:14" ht="18" customHeight="1">
      <c r="A68" s="18"/>
      <c r="B68" s="2"/>
      <c r="C68" s="2"/>
      <c r="D68" s="2"/>
      <c r="E68" s="4"/>
      <c r="F68" s="4"/>
      <c r="G68" s="40" t="s">
        <v>814</v>
      </c>
      <c r="H68" s="4">
        <f>51670-25290</f>
        <v>26380</v>
      </c>
      <c r="I68" s="4">
        <v>7750</v>
      </c>
      <c r="J68" s="4">
        <f t="shared" si="6"/>
        <v>0</v>
      </c>
      <c r="K68" s="4"/>
      <c r="L68" s="4"/>
      <c r="M68" s="4"/>
      <c r="N68" s="4"/>
    </row>
    <row r="69" spans="1:14" ht="18" customHeight="1">
      <c r="A69" s="55"/>
      <c r="B69" s="56"/>
      <c r="C69" s="56"/>
      <c r="D69" s="56"/>
      <c r="E69" s="57"/>
      <c r="F69" s="57"/>
      <c r="G69" s="118"/>
      <c r="H69" s="57">
        <f>SUM(H61:H68)</f>
        <v>400000</v>
      </c>
      <c r="I69" s="57"/>
      <c r="J69" s="57"/>
      <c r="K69" s="57"/>
      <c r="L69" s="57"/>
      <c r="M69" s="4"/>
      <c r="N69" s="4"/>
    </row>
    <row r="70" spans="1:14" ht="18" customHeight="1">
      <c r="A70" s="18" t="s">
        <v>13</v>
      </c>
      <c r="B70" s="60" t="s">
        <v>815</v>
      </c>
      <c r="C70" s="60"/>
      <c r="D70" s="60" t="s">
        <v>85</v>
      </c>
      <c r="E70" s="49">
        <v>200000</v>
      </c>
      <c r="F70" s="49">
        <v>7900</v>
      </c>
      <c r="G70" s="40" t="s">
        <v>814</v>
      </c>
      <c r="H70" s="4">
        <f>51670-26380</f>
        <v>25290</v>
      </c>
      <c r="I70" s="4">
        <v>7900</v>
      </c>
      <c r="J70" s="4">
        <f>+E70-H70</f>
        <v>174710</v>
      </c>
      <c r="K70" s="4"/>
      <c r="L70" s="4"/>
      <c r="M70" s="4"/>
      <c r="N70" s="4"/>
    </row>
    <row r="71" spans="1:14" ht="18" customHeight="1">
      <c r="A71" s="18"/>
      <c r="B71" s="2" t="s">
        <v>819</v>
      </c>
      <c r="C71" s="2"/>
      <c r="D71" s="2"/>
      <c r="E71" s="4"/>
      <c r="F71" s="4"/>
      <c r="G71" s="40" t="s">
        <v>818</v>
      </c>
      <c r="H71" s="4">
        <v>51780</v>
      </c>
      <c r="I71" s="4">
        <v>7900</v>
      </c>
      <c r="J71" s="4">
        <f>+J70-H71</f>
        <v>122930</v>
      </c>
      <c r="K71" s="4"/>
      <c r="L71" s="4"/>
      <c r="M71" s="4"/>
      <c r="N71" s="4"/>
    </row>
    <row r="72" spans="1:14" ht="18" customHeight="1">
      <c r="A72" s="18"/>
      <c r="B72" s="2"/>
      <c r="C72" s="2"/>
      <c r="D72" s="2"/>
      <c r="E72" s="4"/>
      <c r="F72" s="4"/>
      <c r="G72" s="40" t="s">
        <v>130</v>
      </c>
      <c r="H72" s="4">
        <v>52020</v>
      </c>
      <c r="I72" s="4">
        <v>7900</v>
      </c>
      <c r="J72" s="4">
        <f t="shared" ref="J72:J76" si="7">+J71-H72</f>
        <v>70910</v>
      </c>
      <c r="K72" s="4"/>
      <c r="L72" s="4"/>
      <c r="M72" s="4"/>
      <c r="N72" s="4"/>
    </row>
    <row r="73" spans="1:14" ht="18" customHeight="1">
      <c r="A73" s="18"/>
      <c r="B73" s="2"/>
      <c r="C73" s="2"/>
      <c r="D73" s="2"/>
      <c r="E73" s="4"/>
      <c r="F73" s="4"/>
      <c r="G73" s="40" t="s">
        <v>153</v>
      </c>
      <c r="H73" s="4">
        <v>54090</v>
      </c>
      <c r="I73" s="4">
        <v>7900</v>
      </c>
      <c r="J73" s="4">
        <f t="shared" si="7"/>
        <v>16820</v>
      </c>
      <c r="K73" s="4"/>
      <c r="L73" s="4"/>
      <c r="M73" s="4"/>
      <c r="N73" s="4"/>
    </row>
    <row r="74" spans="1:14" ht="18" customHeight="1">
      <c r="A74" s="18"/>
      <c r="B74" s="2"/>
      <c r="C74" s="2"/>
      <c r="D74" s="2"/>
      <c r="E74" s="4"/>
      <c r="F74" s="4"/>
      <c r="G74" s="40" t="s">
        <v>131</v>
      </c>
      <c r="H74" s="4">
        <v>51650</v>
      </c>
      <c r="I74" s="4">
        <v>7900</v>
      </c>
      <c r="J74" s="4">
        <f t="shared" si="7"/>
        <v>-34830</v>
      </c>
      <c r="K74" s="4"/>
      <c r="L74" s="4"/>
      <c r="M74" s="4"/>
      <c r="N74" s="4"/>
    </row>
    <row r="75" spans="1:14" ht="18" customHeight="1">
      <c r="A75" s="18"/>
      <c r="B75" s="2"/>
      <c r="C75" s="2"/>
      <c r="D75" s="2"/>
      <c r="E75" s="4"/>
      <c r="F75" s="4"/>
      <c r="G75" s="40"/>
      <c r="H75" s="4"/>
      <c r="I75" s="4">
        <v>7900</v>
      </c>
      <c r="J75" s="4">
        <f t="shared" si="7"/>
        <v>-34830</v>
      </c>
      <c r="K75" s="4"/>
      <c r="L75" s="4"/>
      <c r="M75" s="4"/>
      <c r="N75" s="4"/>
    </row>
    <row r="76" spans="1:14" ht="18" customHeight="1">
      <c r="A76" s="18"/>
      <c r="B76" s="2"/>
      <c r="C76" s="2"/>
      <c r="D76" s="2"/>
      <c r="E76" s="4"/>
      <c r="F76" s="4"/>
      <c r="G76" s="40"/>
      <c r="H76" s="4"/>
      <c r="I76" s="4">
        <v>7900</v>
      </c>
      <c r="J76" s="4">
        <f t="shared" si="7"/>
        <v>-34830</v>
      </c>
      <c r="K76" s="4"/>
      <c r="L76" s="4"/>
      <c r="M76" s="4"/>
      <c r="N76" s="4"/>
    </row>
    <row r="77" spans="1:14" ht="18" customHeight="1">
      <c r="A77" s="156"/>
      <c r="B77" s="111" t="s">
        <v>816</v>
      </c>
      <c r="C77" s="111"/>
      <c r="D77" s="111"/>
      <c r="E77" s="103"/>
      <c r="F77" s="103"/>
      <c r="G77" s="112"/>
      <c r="H77" s="103">
        <f>SUM(H70:H76)</f>
        <v>234830</v>
      </c>
      <c r="I77" s="103"/>
      <c r="J77" s="103"/>
      <c r="K77" s="103"/>
      <c r="L77" s="103"/>
      <c r="M77" s="4"/>
      <c r="N77" s="4"/>
    </row>
    <row r="78" spans="1:14" ht="18" customHeight="1">
      <c r="A78" s="18" t="s">
        <v>13</v>
      </c>
      <c r="B78" s="60" t="s">
        <v>470</v>
      </c>
      <c r="C78" s="60"/>
      <c r="D78" s="60" t="s">
        <v>556</v>
      </c>
      <c r="E78" s="49">
        <v>800000</v>
      </c>
      <c r="F78" s="49">
        <v>7950</v>
      </c>
      <c r="G78" s="40"/>
      <c r="H78" s="4"/>
      <c r="I78" s="4"/>
      <c r="J78" s="4"/>
      <c r="K78" s="4"/>
      <c r="L78" s="4"/>
      <c r="M78" s="4"/>
      <c r="N78" s="4"/>
    </row>
    <row r="79" spans="1:14" ht="18" customHeight="1">
      <c r="A79" s="18"/>
      <c r="B79" s="2" t="s">
        <v>820</v>
      </c>
      <c r="C79" s="2"/>
      <c r="D79" s="2"/>
      <c r="E79" s="4"/>
      <c r="F79" s="4"/>
      <c r="G79" s="40" t="s">
        <v>134</v>
      </c>
      <c r="H79" s="4">
        <v>52140</v>
      </c>
      <c r="I79" s="4">
        <v>7950</v>
      </c>
      <c r="J79" s="4">
        <f>+E78-H79</f>
        <v>747860</v>
      </c>
      <c r="K79" s="4"/>
      <c r="L79" s="4"/>
      <c r="M79" s="4"/>
      <c r="N79" s="4"/>
    </row>
    <row r="80" spans="1:14" ht="18" customHeight="1">
      <c r="A80" s="18"/>
      <c r="B80" s="2"/>
      <c r="C80" s="2"/>
      <c r="D80" s="2"/>
      <c r="E80" s="4"/>
      <c r="F80" s="4"/>
      <c r="G80" s="40" t="s">
        <v>824</v>
      </c>
      <c r="H80" s="4">
        <v>54240</v>
      </c>
      <c r="I80" s="4">
        <v>7950</v>
      </c>
      <c r="J80" s="4">
        <f>+J79-H80</f>
        <v>693620</v>
      </c>
      <c r="K80" s="4"/>
      <c r="L80" s="4"/>
      <c r="M80" s="4"/>
      <c r="N80" s="4"/>
    </row>
    <row r="81" spans="1:14" ht="18" customHeight="1">
      <c r="A81" s="18"/>
      <c r="B81" s="2"/>
      <c r="C81" s="2"/>
      <c r="D81" s="2"/>
      <c r="E81" s="4"/>
      <c r="F81" s="4"/>
      <c r="G81" s="40" t="s">
        <v>140</v>
      </c>
      <c r="H81" s="4">
        <v>53710</v>
      </c>
      <c r="I81" s="4">
        <v>7950</v>
      </c>
      <c r="J81" s="4">
        <f t="shared" ref="J81:J94" si="8">+J80-H81</f>
        <v>639910</v>
      </c>
      <c r="K81" s="4"/>
      <c r="L81" s="4"/>
      <c r="M81" s="4"/>
      <c r="N81" s="4"/>
    </row>
    <row r="82" spans="1:14" ht="18" customHeight="1">
      <c r="A82" s="18"/>
      <c r="B82" s="2"/>
      <c r="C82" s="2"/>
      <c r="D82" s="2"/>
      <c r="E82" s="4"/>
      <c r="F82" s="4"/>
      <c r="G82" s="40" t="s">
        <v>142</v>
      </c>
      <c r="H82" s="4">
        <v>53610</v>
      </c>
      <c r="I82" s="4">
        <v>7950</v>
      </c>
      <c r="J82" s="4">
        <f t="shared" si="8"/>
        <v>586300</v>
      </c>
      <c r="K82" s="4"/>
      <c r="L82" s="4"/>
      <c r="M82" s="4"/>
      <c r="N82" s="4"/>
    </row>
    <row r="83" spans="1:14" ht="18" customHeight="1">
      <c r="A83" s="18"/>
      <c r="B83" s="2"/>
      <c r="C83" s="2"/>
      <c r="D83" s="2"/>
      <c r="E83" s="4"/>
      <c r="F83" s="4"/>
      <c r="G83" s="40"/>
      <c r="H83" s="4">
        <v>53190</v>
      </c>
      <c r="I83" s="4">
        <v>7950</v>
      </c>
      <c r="J83" s="4">
        <f t="shared" si="8"/>
        <v>533110</v>
      </c>
      <c r="K83" s="4"/>
      <c r="L83" s="4"/>
      <c r="M83" s="4"/>
      <c r="N83" s="4"/>
    </row>
    <row r="84" spans="1:14" ht="18" customHeight="1">
      <c r="A84" s="18"/>
      <c r="B84" s="2"/>
      <c r="C84" s="2"/>
      <c r="D84" s="2"/>
      <c r="E84" s="4"/>
      <c r="F84" s="4"/>
      <c r="G84" s="40" t="s">
        <v>830</v>
      </c>
      <c r="H84" s="4">
        <v>54600</v>
      </c>
      <c r="I84" s="4">
        <v>7950</v>
      </c>
      <c r="J84" s="4">
        <f t="shared" si="8"/>
        <v>478510</v>
      </c>
      <c r="K84" s="4"/>
      <c r="L84" s="4"/>
      <c r="M84" s="4"/>
      <c r="N84" s="4"/>
    </row>
    <row r="85" spans="1:14" ht="18" customHeight="1">
      <c r="A85" s="18"/>
      <c r="B85" s="2"/>
      <c r="C85" s="2"/>
      <c r="D85" s="2"/>
      <c r="E85" s="4"/>
      <c r="F85" s="4"/>
      <c r="G85" s="40" t="s">
        <v>834</v>
      </c>
      <c r="H85" s="4">
        <v>53900</v>
      </c>
      <c r="I85" s="4">
        <v>7950</v>
      </c>
      <c r="J85" s="4">
        <f t="shared" si="8"/>
        <v>424610</v>
      </c>
      <c r="K85" s="4"/>
      <c r="L85" s="4"/>
      <c r="M85" s="4"/>
      <c r="N85" s="4"/>
    </row>
    <row r="86" spans="1:14" ht="18" customHeight="1">
      <c r="A86" s="18"/>
      <c r="B86" s="2"/>
      <c r="C86" s="2"/>
      <c r="D86" s="2"/>
      <c r="E86" s="4"/>
      <c r="F86" s="4"/>
      <c r="G86" s="40" t="s">
        <v>146</v>
      </c>
      <c r="H86" s="4">
        <v>59590</v>
      </c>
      <c r="I86" s="4">
        <v>7950</v>
      </c>
      <c r="J86" s="4">
        <f t="shared" si="8"/>
        <v>365020</v>
      </c>
      <c r="K86" s="4"/>
      <c r="L86" s="4"/>
      <c r="M86" s="4"/>
      <c r="N86" s="4"/>
    </row>
    <row r="87" spans="1:14" ht="18" customHeight="1">
      <c r="A87" s="18"/>
      <c r="B87" s="2"/>
      <c r="C87" s="2"/>
      <c r="D87" s="2"/>
      <c r="E87" s="4"/>
      <c r="F87" s="4"/>
      <c r="G87" s="40" t="s">
        <v>835</v>
      </c>
      <c r="H87" s="4">
        <v>58730</v>
      </c>
      <c r="I87" s="4">
        <v>7950</v>
      </c>
      <c r="J87" s="4">
        <f t="shared" si="8"/>
        <v>306290</v>
      </c>
      <c r="K87" s="4"/>
      <c r="L87" s="4"/>
      <c r="M87" s="4"/>
      <c r="N87" s="4"/>
    </row>
    <row r="88" spans="1:14" ht="18" customHeight="1">
      <c r="A88" s="18"/>
      <c r="B88" s="2"/>
      <c r="C88" s="2"/>
      <c r="D88" s="2"/>
      <c r="E88" s="4"/>
      <c r="F88" s="4"/>
      <c r="G88" s="40" t="s">
        <v>147</v>
      </c>
      <c r="H88" s="4">
        <v>53660</v>
      </c>
      <c r="I88" s="4">
        <v>7950</v>
      </c>
      <c r="J88" s="4">
        <f t="shared" si="8"/>
        <v>252630</v>
      </c>
      <c r="K88" s="4"/>
      <c r="L88" s="4"/>
      <c r="M88" s="4"/>
      <c r="N88" s="4"/>
    </row>
    <row r="89" spans="1:14" ht="18" customHeight="1">
      <c r="A89" s="18"/>
      <c r="B89" s="2"/>
      <c r="C89" s="2"/>
      <c r="D89" s="2"/>
      <c r="E89" s="4"/>
      <c r="F89" s="4"/>
      <c r="G89" s="40" t="s">
        <v>852</v>
      </c>
      <c r="H89" s="4">
        <v>54060</v>
      </c>
      <c r="I89" s="4">
        <v>7950</v>
      </c>
      <c r="J89" s="4">
        <f t="shared" si="8"/>
        <v>198570</v>
      </c>
      <c r="K89" s="4"/>
      <c r="L89" s="4"/>
      <c r="M89" s="4"/>
      <c r="N89" s="4"/>
    </row>
    <row r="90" spans="1:14" ht="18" customHeight="1">
      <c r="A90" s="18"/>
      <c r="B90" s="2"/>
      <c r="C90" s="2"/>
      <c r="D90" s="2"/>
      <c r="E90" s="4"/>
      <c r="F90" s="4"/>
      <c r="G90" s="40" t="s">
        <v>156</v>
      </c>
      <c r="H90" s="4">
        <v>52730</v>
      </c>
      <c r="I90" s="4">
        <v>7950</v>
      </c>
      <c r="J90" s="4">
        <f t="shared" si="8"/>
        <v>145840</v>
      </c>
      <c r="K90" s="4"/>
      <c r="L90" s="4"/>
      <c r="M90" s="4"/>
      <c r="N90" s="4"/>
    </row>
    <row r="91" spans="1:14" ht="18" customHeight="1">
      <c r="A91" s="18"/>
      <c r="B91" s="2"/>
      <c r="C91" s="2"/>
      <c r="D91" s="2"/>
      <c r="E91" s="4"/>
      <c r="F91" s="4"/>
      <c r="G91" s="40" t="s">
        <v>158</v>
      </c>
      <c r="H91" s="4">
        <v>53720</v>
      </c>
      <c r="I91" s="4">
        <v>7950</v>
      </c>
      <c r="J91" s="4">
        <f t="shared" si="8"/>
        <v>92120</v>
      </c>
      <c r="K91" s="4"/>
      <c r="L91" s="4"/>
      <c r="M91" s="4"/>
      <c r="N91" s="4"/>
    </row>
    <row r="92" spans="1:14" ht="18" customHeight="1">
      <c r="A92" s="18"/>
      <c r="B92" s="2"/>
      <c r="C92" s="2"/>
      <c r="D92" s="2"/>
      <c r="E92" s="4"/>
      <c r="F92" s="4"/>
      <c r="G92" s="40" t="s">
        <v>855</v>
      </c>
      <c r="H92" s="4">
        <v>54070</v>
      </c>
      <c r="I92" s="4">
        <v>7950</v>
      </c>
      <c r="J92" s="4">
        <f t="shared" si="8"/>
        <v>38050</v>
      </c>
      <c r="K92" s="4"/>
      <c r="L92" s="4"/>
      <c r="M92" s="4"/>
      <c r="N92" s="4"/>
    </row>
    <row r="93" spans="1:14" ht="18" customHeight="1">
      <c r="A93" s="18"/>
      <c r="B93" s="2"/>
      <c r="C93" s="2"/>
      <c r="D93" s="2"/>
      <c r="E93" s="4"/>
      <c r="F93" s="4"/>
      <c r="G93" s="40" t="s">
        <v>167</v>
      </c>
      <c r="H93" s="4">
        <v>51290</v>
      </c>
      <c r="I93" s="4">
        <v>7950</v>
      </c>
      <c r="J93" s="4">
        <f t="shared" si="8"/>
        <v>-13240</v>
      </c>
      <c r="K93" s="4"/>
      <c r="L93" s="4"/>
      <c r="M93" s="4"/>
      <c r="N93" s="4"/>
    </row>
    <row r="94" spans="1:14" ht="18" customHeight="1">
      <c r="A94" s="18"/>
      <c r="B94" s="2"/>
      <c r="C94" s="2"/>
      <c r="D94" s="2"/>
      <c r="E94" s="4"/>
      <c r="F94" s="4"/>
      <c r="G94" s="21"/>
      <c r="H94" s="4"/>
      <c r="I94" s="4">
        <v>7950</v>
      </c>
      <c r="J94" s="4">
        <f t="shared" si="8"/>
        <v>-13240</v>
      </c>
      <c r="K94" s="4"/>
      <c r="L94" s="4"/>
      <c r="M94" s="4"/>
      <c r="N94" s="4"/>
    </row>
    <row r="95" spans="1:14" ht="18" customHeight="1">
      <c r="A95" s="281" t="s">
        <v>816</v>
      </c>
      <c r="B95" s="282"/>
      <c r="C95" s="139"/>
      <c r="D95" s="139"/>
      <c r="E95" s="5"/>
      <c r="F95" s="5"/>
      <c r="G95" s="23"/>
      <c r="H95" s="5">
        <f>SUM(H79:H94)</f>
        <v>813240</v>
      </c>
      <c r="I95" s="5"/>
      <c r="J95" s="5"/>
      <c r="K95" s="99"/>
      <c r="L95" s="100">
        <f>H95*I95</f>
        <v>0</v>
      </c>
      <c r="M95" s="14"/>
      <c r="N95" s="100"/>
    </row>
    <row r="96" spans="1:14" ht="18" customHeight="1">
      <c r="A96" s="18" t="s">
        <v>13</v>
      </c>
      <c r="B96" s="60" t="s">
        <v>470</v>
      </c>
      <c r="C96" s="60"/>
      <c r="D96" s="60" t="s">
        <v>556</v>
      </c>
      <c r="E96" s="49">
        <v>2000000</v>
      </c>
      <c r="F96" s="49">
        <v>7850</v>
      </c>
      <c r="G96" s="40"/>
      <c r="H96" s="4"/>
      <c r="I96" s="4"/>
      <c r="J96" s="4"/>
      <c r="K96" s="4"/>
      <c r="L96" s="4"/>
      <c r="M96" s="4"/>
      <c r="N96" s="4"/>
    </row>
    <row r="97" spans="1:15" ht="18" customHeight="1">
      <c r="A97" s="18"/>
      <c r="B97" s="2" t="s">
        <v>857</v>
      </c>
      <c r="C97" s="2"/>
      <c r="D97" s="2" t="s">
        <v>859</v>
      </c>
      <c r="E97" s="4"/>
      <c r="F97" s="4"/>
      <c r="G97" s="40" t="s">
        <v>170</v>
      </c>
      <c r="H97" s="176">
        <f>51180-768</f>
        <v>50412</v>
      </c>
      <c r="I97" s="4"/>
      <c r="J97" s="4">
        <f>+E96-H97</f>
        <v>1949588</v>
      </c>
      <c r="K97" s="4"/>
      <c r="L97" s="4"/>
      <c r="M97" s="4"/>
      <c r="N97" s="4"/>
    </row>
    <row r="98" spans="1:15" ht="18" customHeight="1">
      <c r="A98" s="18"/>
      <c r="B98" s="2" t="s">
        <v>858</v>
      </c>
      <c r="C98" s="2"/>
      <c r="D98" s="2"/>
      <c r="E98" s="4"/>
      <c r="F98" s="4"/>
      <c r="G98" s="40" t="s">
        <v>195</v>
      </c>
      <c r="H98" s="4">
        <v>53980</v>
      </c>
      <c r="I98" s="4"/>
      <c r="J98" s="4">
        <f>+J97-H98</f>
        <v>1895608</v>
      </c>
      <c r="K98" s="4"/>
      <c r="L98" s="4"/>
      <c r="M98" s="4"/>
      <c r="N98" s="4"/>
    </row>
    <row r="99" spans="1:15" ht="18" customHeight="1">
      <c r="A99" s="18"/>
      <c r="B99" s="2"/>
      <c r="C99" s="2"/>
      <c r="D99" s="2"/>
      <c r="E99" s="4"/>
      <c r="F99" s="4"/>
      <c r="G99" s="40" t="s">
        <v>171</v>
      </c>
      <c r="H99" s="4">
        <v>52090</v>
      </c>
      <c r="I99" s="4"/>
      <c r="J99" s="4">
        <f t="shared" ref="J99:J116" si="9">+J98-H99</f>
        <v>1843518</v>
      </c>
      <c r="K99" s="4"/>
      <c r="L99" s="4"/>
      <c r="M99" s="4"/>
      <c r="N99" s="4"/>
    </row>
    <row r="100" spans="1:15" ht="18" customHeight="1">
      <c r="A100" s="18"/>
      <c r="B100" s="2"/>
      <c r="C100" s="2"/>
      <c r="D100" s="2"/>
      <c r="E100" s="4"/>
      <c r="F100" s="4"/>
      <c r="G100" s="40" t="s">
        <v>861</v>
      </c>
      <c r="H100" s="4">
        <v>57190</v>
      </c>
      <c r="I100" s="4"/>
      <c r="J100" s="4">
        <f t="shared" si="9"/>
        <v>1786328</v>
      </c>
      <c r="K100" s="4"/>
      <c r="L100" s="4"/>
      <c r="M100" s="4"/>
      <c r="N100" s="4"/>
      <c r="O100" s="250"/>
    </row>
    <row r="101" spans="1:15" ht="18" customHeight="1">
      <c r="A101" s="18"/>
      <c r="B101" s="2"/>
      <c r="C101" s="2"/>
      <c r="D101" s="2"/>
      <c r="E101" s="4"/>
      <c r="F101" s="4"/>
      <c r="G101" s="40" t="s">
        <v>206</v>
      </c>
      <c r="H101" s="4">
        <v>55720</v>
      </c>
      <c r="I101" s="4"/>
      <c r="J101" s="4">
        <f t="shared" si="9"/>
        <v>1730608</v>
      </c>
      <c r="K101" s="4"/>
      <c r="L101" s="257"/>
      <c r="M101" s="4"/>
      <c r="N101" s="4"/>
      <c r="O101" s="251"/>
    </row>
    <row r="102" spans="1:15" ht="18" customHeight="1">
      <c r="A102" s="18"/>
      <c r="B102" s="2"/>
      <c r="C102" s="2"/>
      <c r="D102" s="2"/>
      <c r="E102" s="4"/>
      <c r="F102" s="4"/>
      <c r="G102" s="40" t="s">
        <v>870</v>
      </c>
      <c r="H102" s="176">
        <f>43680-350</f>
        <v>43330</v>
      </c>
      <c r="I102" s="4"/>
      <c r="J102" s="4">
        <f t="shared" si="9"/>
        <v>1687278</v>
      </c>
      <c r="K102" s="4"/>
      <c r="L102" s="4"/>
      <c r="M102" s="4"/>
      <c r="N102" s="4"/>
    </row>
    <row r="103" spans="1:15" ht="18" customHeight="1">
      <c r="A103" s="18"/>
      <c r="B103" s="2"/>
      <c r="C103" s="2"/>
      <c r="D103" s="2"/>
      <c r="E103" s="4"/>
      <c r="F103" s="4"/>
      <c r="G103" s="40" t="s">
        <v>871</v>
      </c>
      <c r="H103" s="25">
        <f>5570+42360</f>
        <v>47930</v>
      </c>
      <c r="I103" s="4"/>
      <c r="J103" s="4">
        <f t="shared" si="9"/>
        <v>1639348</v>
      </c>
      <c r="K103" s="4"/>
      <c r="L103" s="4"/>
      <c r="M103" s="4"/>
      <c r="N103" s="4"/>
    </row>
    <row r="104" spans="1:15" ht="18" customHeight="1">
      <c r="A104" s="18"/>
      <c r="B104" s="2"/>
      <c r="C104" s="2"/>
      <c r="D104" s="2"/>
      <c r="E104" s="4"/>
      <c r="F104" s="4"/>
      <c r="G104" s="40" t="s">
        <v>234</v>
      </c>
      <c r="H104" s="25">
        <v>57150</v>
      </c>
      <c r="I104" s="4"/>
      <c r="J104" s="4">
        <f t="shared" si="9"/>
        <v>1582198</v>
      </c>
      <c r="K104" s="4"/>
      <c r="L104" s="4"/>
      <c r="M104" s="4"/>
      <c r="N104" s="4"/>
    </row>
    <row r="105" spans="1:15" ht="18" customHeight="1">
      <c r="A105" s="18"/>
      <c r="B105" s="2"/>
      <c r="C105" s="2"/>
      <c r="D105" s="2"/>
      <c r="E105" s="4"/>
      <c r="F105" s="4"/>
      <c r="G105" s="40" t="s">
        <v>238</v>
      </c>
      <c r="H105" s="4">
        <v>51890</v>
      </c>
      <c r="I105" s="4"/>
      <c r="J105" s="4">
        <f t="shared" si="9"/>
        <v>1530308</v>
      </c>
      <c r="K105" s="4"/>
      <c r="L105" s="4"/>
      <c r="M105" s="4"/>
      <c r="N105" s="4"/>
    </row>
    <row r="106" spans="1:15" ht="18" customHeight="1">
      <c r="A106" s="18"/>
      <c r="B106" s="2"/>
      <c r="C106" s="2"/>
      <c r="D106" s="2"/>
      <c r="E106" s="4"/>
      <c r="F106" s="4"/>
      <c r="G106" s="40" t="s">
        <v>243</v>
      </c>
      <c r="H106" s="4">
        <v>62480</v>
      </c>
      <c r="I106" s="4"/>
      <c r="J106" s="4">
        <f t="shared" si="9"/>
        <v>1467828</v>
      </c>
      <c r="K106" s="4"/>
      <c r="L106" s="4"/>
      <c r="M106" s="4"/>
      <c r="N106" s="4"/>
    </row>
    <row r="107" spans="1:15" ht="18" customHeight="1">
      <c r="A107" s="18"/>
      <c r="B107" s="2"/>
      <c r="C107" s="2"/>
      <c r="D107" s="2"/>
      <c r="E107" s="4"/>
      <c r="F107" s="4"/>
      <c r="G107" s="40" t="s">
        <v>885</v>
      </c>
      <c r="H107" s="4">
        <f>8780+8410-120</f>
        <v>17070</v>
      </c>
      <c r="I107" s="4"/>
      <c r="J107" s="4">
        <f t="shared" si="9"/>
        <v>1450758</v>
      </c>
      <c r="K107" s="4"/>
      <c r="L107" s="4"/>
      <c r="M107" s="4"/>
      <c r="N107" s="4"/>
    </row>
    <row r="108" spans="1:15" ht="18" customHeight="1">
      <c r="A108" s="18"/>
      <c r="B108" s="2"/>
      <c r="C108" s="2"/>
      <c r="D108" s="2"/>
      <c r="E108" s="4"/>
      <c r="F108" s="4"/>
      <c r="G108" s="40" t="s">
        <v>245</v>
      </c>
      <c r="H108" s="4">
        <v>51500</v>
      </c>
      <c r="I108" s="4"/>
      <c r="J108" s="4">
        <f t="shared" si="9"/>
        <v>1399258</v>
      </c>
      <c r="K108" s="4"/>
      <c r="L108" s="4"/>
      <c r="M108" s="4"/>
      <c r="N108" s="4"/>
    </row>
    <row r="109" spans="1:15" ht="18" customHeight="1">
      <c r="A109" s="18"/>
      <c r="B109" s="2"/>
      <c r="C109" s="2"/>
      <c r="D109" s="2"/>
      <c r="E109" s="4"/>
      <c r="F109" s="4"/>
      <c r="G109" s="40" t="s">
        <v>250</v>
      </c>
      <c r="H109" s="4">
        <f>58750-235</f>
        <v>58515</v>
      </c>
      <c r="I109" s="4"/>
      <c r="J109" s="4">
        <f t="shared" si="9"/>
        <v>1340743</v>
      </c>
      <c r="K109" s="4"/>
      <c r="L109" s="4"/>
      <c r="M109" s="4"/>
      <c r="N109" s="4"/>
    </row>
    <row r="110" spans="1:15" ht="18" customHeight="1">
      <c r="A110" s="18"/>
      <c r="B110" s="2"/>
      <c r="C110" s="2"/>
      <c r="D110" s="2"/>
      <c r="E110" s="4"/>
      <c r="F110" s="4"/>
      <c r="G110" s="40" t="s">
        <v>251</v>
      </c>
      <c r="H110" s="4">
        <f>56600-623</f>
        <v>55977</v>
      </c>
      <c r="I110" s="4"/>
      <c r="J110" s="4">
        <f t="shared" si="9"/>
        <v>1284766</v>
      </c>
      <c r="K110" s="257"/>
      <c r="L110" s="4"/>
      <c r="M110" s="4"/>
      <c r="N110" s="4"/>
    </row>
    <row r="111" spans="1:15" ht="18" customHeight="1">
      <c r="A111" s="18"/>
      <c r="B111" s="2"/>
      <c r="C111" s="2"/>
      <c r="D111" s="2"/>
      <c r="E111" s="4"/>
      <c r="F111" s="4"/>
      <c r="G111" s="40"/>
      <c r="H111" s="4"/>
      <c r="I111" s="4"/>
      <c r="J111" s="4">
        <f t="shared" si="9"/>
        <v>1284766</v>
      </c>
      <c r="K111" s="4"/>
      <c r="L111" s="4"/>
      <c r="M111" s="4"/>
      <c r="N111" s="4"/>
    </row>
    <row r="112" spans="1:15" ht="18" customHeight="1">
      <c r="A112" s="18"/>
      <c r="B112" s="2"/>
      <c r="C112" s="2"/>
      <c r="D112" s="2"/>
      <c r="E112" s="4"/>
      <c r="F112" s="4"/>
      <c r="G112" s="40"/>
      <c r="H112" s="4"/>
      <c r="I112" s="4"/>
      <c r="J112" s="4">
        <f t="shared" si="9"/>
        <v>1284766</v>
      </c>
      <c r="K112" s="4"/>
      <c r="L112" s="4"/>
      <c r="M112" s="4"/>
      <c r="N112" s="4"/>
    </row>
    <row r="113" spans="1:14" ht="18" customHeight="1">
      <c r="A113" s="18"/>
      <c r="B113" s="2"/>
      <c r="C113" s="2"/>
      <c r="D113" s="2"/>
      <c r="E113" s="4"/>
      <c r="F113" s="4"/>
      <c r="G113" s="40"/>
      <c r="H113" s="4"/>
      <c r="I113" s="4"/>
      <c r="J113" s="4">
        <f t="shared" si="9"/>
        <v>1284766</v>
      </c>
      <c r="K113" s="4"/>
      <c r="L113" s="4"/>
      <c r="M113" s="4"/>
      <c r="N113" s="4"/>
    </row>
    <row r="114" spans="1:14" ht="18" customHeight="1">
      <c r="A114" s="18"/>
      <c r="B114" s="2"/>
      <c r="C114" s="2"/>
      <c r="D114" s="2"/>
      <c r="E114" s="4"/>
      <c r="F114" s="4"/>
      <c r="G114" s="40"/>
      <c r="H114" s="4"/>
      <c r="I114" s="4"/>
      <c r="J114" s="4">
        <f t="shared" si="9"/>
        <v>1284766</v>
      </c>
      <c r="K114" s="4"/>
      <c r="L114" s="4"/>
      <c r="M114" s="4"/>
      <c r="N114" s="4"/>
    </row>
    <row r="115" spans="1:14" ht="18" customHeight="1">
      <c r="A115" s="18"/>
      <c r="B115" s="2"/>
      <c r="C115" s="2"/>
      <c r="D115" s="2"/>
      <c r="E115" s="4"/>
      <c r="F115" s="4"/>
      <c r="G115" s="40"/>
      <c r="H115" s="4"/>
      <c r="I115" s="4"/>
      <c r="J115" s="4">
        <f t="shared" si="9"/>
        <v>1284766</v>
      </c>
      <c r="K115" s="4"/>
      <c r="L115" s="4"/>
      <c r="M115" s="4"/>
      <c r="N115" s="4"/>
    </row>
    <row r="116" spans="1:14" ht="18" customHeight="1">
      <c r="A116" s="18"/>
      <c r="B116" s="2"/>
      <c r="C116" s="2"/>
      <c r="D116" s="2"/>
      <c r="E116" s="4"/>
      <c r="F116" s="4"/>
      <c r="G116" s="21"/>
      <c r="H116" s="4"/>
      <c r="I116" s="4"/>
      <c r="J116" s="4">
        <f t="shared" si="9"/>
        <v>1284766</v>
      </c>
      <c r="K116" s="4"/>
      <c r="L116" s="4"/>
      <c r="M116" s="4"/>
      <c r="N116" s="4"/>
    </row>
    <row r="117" spans="1:14" ht="18" customHeight="1">
      <c r="A117" s="281" t="s">
        <v>0</v>
      </c>
      <c r="B117" s="282"/>
      <c r="C117" s="233"/>
      <c r="D117" s="233"/>
      <c r="E117" s="5"/>
      <c r="F117" s="5"/>
      <c r="G117" s="23"/>
      <c r="H117" s="5">
        <f>SUM(H97:H116)</f>
        <v>715234</v>
      </c>
      <c r="I117" s="5"/>
      <c r="J117" s="5"/>
      <c r="K117" s="99"/>
      <c r="L117" s="100">
        <f>H117*I117</f>
        <v>0</v>
      </c>
      <c r="M117" s="14"/>
      <c r="N117" s="100"/>
    </row>
  </sheetData>
  <mergeCells count="16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L4:L5"/>
    <mergeCell ref="M4:M5"/>
    <mergeCell ref="N4:N5"/>
    <mergeCell ref="A117:B117"/>
    <mergeCell ref="A10:B10"/>
    <mergeCell ref="A22:B22"/>
    <mergeCell ref="A95:B95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6"/>
  <sheetViews>
    <sheetView topLeftCell="C1" workbookViewId="0">
      <pane ySplit="5" topLeftCell="A35" activePane="bottomLeft" state="frozen"/>
      <selection pane="bottomLeft" activeCell="N40" sqref="N40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358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40" t="s">
        <v>9</v>
      </c>
      <c r="F5" s="140" t="s">
        <v>5</v>
      </c>
      <c r="G5" s="20" t="s">
        <v>14</v>
      </c>
      <c r="H5" s="140" t="s">
        <v>9</v>
      </c>
      <c r="I5" s="140" t="s">
        <v>5</v>
      </c>
      <c r="J5" s="140" t="s">
        <v>9</v>
      </c>
      <c r="K5" s="140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13</v>
      </c>
      <c r="B11" s="60" t="s">
        <v>330</v>
      </c>
      <c r="C11" s="98" t="s">
        <v>214</v>
      </c>
      <c r="D11" s="60" t="s">
        <v>331</v>
      </c>
      <c r="E11" s="49">
        <v>100000</v>
      </c>
      <c r="F11" s="49">
        <v>11000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/>
      <c r="C12" s="2"/>
      <c r="D12" s="2"/>
      <c r="E12" s="4"/>
      <c r="F12" s="4"/>
      <c r="G12" s="40" t="s">
        <v>417</v>
      </c>
      <c r="H12" s="4">
        <v>17840</v>
      </c>
      <c r="I12" s="4"/>
      <c r="J12" s="4">
        <f>+E11-H12</f>
        <v>82160</v>
      </c>
      <c r="K12" s="4"/>
      <c r="L12" s="4">
        <f t="shared" ref="L12:L21" si="2">+H12*I12</f>
        <v>0</v>
      </c>
      <c r="M12" s="4"/>
      <c r="N12" s="4"/>
    </row>
    <row r="13" spans="1:14" ht="18" customHeight="1">
      <c r="A13" s="18"/>
      <c r="B13" s="60"/>
      <c r="C13" s="60"/>
      <c r="D13" s="60"/>
      <c r="E13" s="49"/>
      <c r="F13" s="49"/>
      <c r="G13" s="40" t="s">
        <v>437</v>
      </c>
      <c r="H13" s="4">
        <v>19590</v>
      </c>
      <c r="I13" s="4"/>
      <c r="J13" s="4">
        <f>+J12-H13</f>
        <v>62570</v>
      </c>
      <c r="K13" s="4"/>
      <c r="L13" s="4">
        <f t="shared" si="2"/>
        <v>0</v>
      </c>
      <c r="M13" s="4"/>
      <c r="N13" s="4"/>
    </row>
    <row r="14" spans="1:14" ht="18" customHeight="1">
      <c r="A14" s="18"/>
      <c r="B14" s="2"/>
      <c r="C14" s="2"/>
      <c r="D14" s="2"/>
      <c r="E14" s="4"/>
      <c r="F14" s="4"/>
      <c r="G14" s="40" t="s">
        <v>592</v>
      </c>
      <c r="H14" s="4">
        <v>19030</v>
      </c>
      <c r="I14" s="4"/>
      <c r="J14" s="4">
        <f t="shared" ref="J14:J21" si="3">+J13-H14</f>
        <v>43540</v>
      </c>
      <c r="K14" s="4"/>
      <c r="L14" s="4">
        <f t="shared" si="2"/>
        <v>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/>
      <c r="G15" s="21"/>
      <c r="H15" s="4"/>
      <c r="I15" s="4"/>
      <c r="J15" s="4">
        <f t="shared" si="3"/>
        <v>43540</v>
      </c>
      <c r="K15" s="4"/>
      <c r="L15" s="4">
        <f t="shared" si="2"/>
        <v>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/>
      <c r="G16" s="40"/>
      <c r="H16" s="4"/>
      <c r="I16" s="4"/>
      <c r="J16" s="4">
        <f t="shared" si="3"/>
        <v>43540</v>
      </c>
      <c r="K16" s="4"/>
      <c r="L16" s="4">
        <f t="shared" si="2"/>
        <v>0</v>
      </c>
      <c r="M16" s="4"/>
      <c r="N16" s="4"/>
    </row>
    <row r="17" spans="1:15" ht="18" customHeight="1">
      <c r="A17" s="18"/>
      <c r="B17" s="2"/>
      <c r="C17" s="2"/>
      <c r="D17" s="2"/>
      <c r="E17" s="4"/>
      <c r="F17" s="4"/>
      <c r="G17" s="40"/>
      <c r="H17" s="4"/>
      <c r="I17" s="4"/>
      <c r="J17" s="4">
        <f t="shared" si="3"/>
        <v>43540</v>
      </c>
      <c r="K17" s="4"/>
      <c r="L17" s="4">
        <f t="shared" si="2"/>
        <v>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>
        <f t="shared" si="3"/>
        <v>43540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>
        <f t="shared" si="3"/>
        <v>43540</v>
      </c>
      <c r="K19" s="4"/>
      <c r="L19" s="4">
        <f t="shared" si="2"/>
        <v>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/>
      <c r="I20" s="4"/>
      <c r="J20" s="4">
        <f t="shared" si="3"/>
        <v>43540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/>
      <c r="J21" s="4">
        <f t="shared" si="3"/>
        <v>43540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100000</v>
      </c>
      <c r="F22" s="14"/>
      <c r="G22" s="22"/>
      <c r="H22" s="14">
        <f>SUM(H11:H21)</f>
        <v>56460</v>
      </c>
      <c r="I22" s="14">
        <v>6750</v>
      </c>
      <c r="J22" s="14"/>
      <c r="K22" s="14"/>
      <c r="L22" s="14">
        <f>+H22*I22</f>
        <v>381105000</v>
      </c>
      <c r="M22" s="57"/>
      <c r="N22" s="14"/>
      <c r="O22" s="120"/>
    </row>
    <row r="23" spans="1:15" ht="18" customHeight="1">
      <c r="A23" s="18" t="s">
        <v>13</v>
      </c>
      <c r="B23" s="60" t="s">
        <v>330</v>
      </c>
      <c r="C23" s="60" t="s">
        <v>412</v>
      </c>
      <c r="D23" s="60" t="s">
        <v>413</v>
      </c>
      <c r="E23" s="49">
        <v>15000</v>
      </c>
      <c r="F23" s="49">
        <v>22200</v>
      </c>
      <c r="G23" s="66" t="s">
        <v>414</v>
      </c>
      <c r="H23" s="49">
        <v>7740</v>
      </c>
      <c r="I23" s="49">
        <f>+E23-H23</f>
        <v>7260</v>
      </c>
      <c r="J23" s="49"/>
      <c r="K23" s="49"/>
      <c r="L23" s="49"/>
      <c r="M23" s="49"/>
      <c r="N23" s="102"/>
      <c r="O23" s="50"/>
    </row>
    <row r="24" spans="1:15" ht="18" customHeight="1">
      <c r="A24" s="18"/>
      <c r="B24" s="2"/>
      <c r="C24" s="2"/>
      <c r="D24" s="2"/>
      <c r="E24" s="4"/>
      <c r="F24" s="4"/>
      <c r="G24" s="40" t="s">
        <v>434</v>
      </c>
      <c r="H24" s="4">
        <v>8040</v>
      </c>
      <c r="I24" s="4">
        <f>+I23-H24</f>
        <v>-780</v>
      </c>
      <c r="J24" s="4"/>
      <c r="K24" s="4"/>
      <c r="L24" s="4"/>
      <c r="M24" s="4">
        <f>+H24*I24</f>
        <v>-6271200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>
        <f t="shared" ref="M25:M29" si="4">+H25*I25</f>
        <v>0</v>
      </c>
      <c r="N25" s="4"/>
    </row>
    <row r="26" spans="1:15" ht="18" customHeight="1">
      <c r="A26" s="18"/>
      <c r="B26" s="2"/>
      <c r="C26" s="60" t="s">
        <v>415</v>
      </c>
      <c r="D26" s="60" t="s">
        <v>413</v>
      </c>
      <c r="E26" s="49">
        <v>15000</v>
      </c>
      <c r="F26" s="49">
        <v>22200</v>
      </c>
      <c r="G26" s="40"/>
      <c r="H26" s="4"/>
      <c r="I26" s="4"/>
      <c r="J26" s="4"/>
      <c r="K26" s="4"/>
      <c r="L26" s="4"/>
      <c r="M26" s="4">
        <f t="shared" si="4"/>
        <v>0</v>
      </c>
      <c r="N26" s="4"/>
    </row>
    <row r="27" spans="1:15" ht="18" customHeight="1">
      <c r="A27" s="18"/>
      <c r="B27" s="2"/>
      <c r="C27" s="2"/>
      <c r="D27" s="2"/>
      <c r="E27" s="4"/>
      <c r="F27" s="4"/>
      <c r="G27" s="40" t="s">
        <v>537</v>
      </c>
      <c r="H27" s="4">
        <v>8580</v>
      </c>
      <c r="I27" s="4">
        <f>+E26-H27</f>
        <v>6420</v>
      </c>
      <c r="J27" s="4"/>
      <c r="K27" s="4"/>
      <c r="L27" s="4"/>
      <c r="M27" s="4">
        <f t="shared" si="4"/>
        <v>55083600</v>
      </c>
      <c r="N27" s="4"/>
    </row>
    <row r="28" spans="1:15" ht="18" customHeight="1">
      <c r="A28" s="18"/>
      <c r="B28" s="2"/>
      <c r="C28" s="2"/>
      <c r="D28" s="2"/>
      <c r="E28" s="4"/>
      <c r="F28" s="4"/>
      <c r="G28" s="40" t="s">
        <v>603</v>
      </c>
      <c r="H28" s="4">
        <v>6519</v>
      </c>
      <c r="I28" s="4">
        <f>+I27-H28</f>
        <v>-99</v>
      </c>
      <c r="J28" s="4"/>
      <c r="K28" s="4"/>
      <c r="L28" s="4"/>
      <c r="M28" s="4">
        <f t="shared" si="4"/>
        <v>-645381</v>
      </c>
      <c r="N28" s="4"/>
    </row>
    <row r="29" spans="1:15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  <c r="L29" s="4"/>
      <c r="M29" s="4">
        <f t="shared" si="4"/>
        <v>0</v>
      </c>
      <c r="N29" s="4"/>
    </row>
    <row r="30" spans="1:15" ht="18" customHeight="1">
      <c r="A30" s="18"/>
      <c r="B30" s="2"/>
      <c r="C30" s="60" t="s">
        <v>416</v>
      </c>
      <c r="D30" s="60" t="s">
        <v>413</v>
      </c>
      <c r="E30" s="49">
        <v>15000</v>
      </c>
      <c r="F30" s="49">
        <v>22200</v>
      </c>
      <c r="G30" s="61"/>
      <c r="H30" s="49"/>
      <c r="I30" s="49"/>
      <c r="J30" s="4"/>
      <c r="K30" s="4"/>
      <c r="L30" s="4"/>
      <c r="M30" s="4"/>
      <c r="N30" s="4"/>
    </row>
    <row r="31" spans="1:15" ht="18" customHeight="1">
      <c r="A31" s="18"/>
      <c r="B31" s="2"/>
      <c r="C31" s="2"/>
      <c r="D31" s="2"/>
      <c r="E31" s="4"/>
      <c r="F31" s="4"/>
      <c r="G31" s="40" t="s">
        <v>603</v>
      </c>
      <c r="H31" s="4">
        <v>7089</v>
      </c>
      <c r="I31" s="4">
        <f>+E30-H31</f>
        <v>7911</v>
      </c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40" t="s">
        <v>705</v>
      </c>
      <c r="H32" s="4">
        <v>5238</v>
      </c>
      <c r="I32" s="4">
        <f>+I31-H32</f>
        <v>2673</v>
      </c>
      <c r="J32" s="4"/>
      <c r="K32" s="4"/>
      <c r="L32" s="4"/>
      <c r="M32" s="4"/>
      <c r="N32" s="4"/>
    </row>
    <row r="33" spans="1:15" ht="18" customHeight="1">
      <c r="A33" s="18"/>
      <c r="B33" s="2"/>
      <c r="C33" s="56"/>
      <c r="D33" s="56"/>
      <c r="E33" s="57">
        <f>SUM(E23:E32)</f>
        <v>45000</v>
      </c>
      <c r="F33" s="57"/>
      <c r="G33" s="58"/>
      <c r="H33" s="57">
        <f>SUM(H23:H32)</f>
        <v>43206</v>
      </c>
      <c r="I33" s="57"/>
      <c r="J33" s="57">
        <f t="shared" ref="J33:L33" si="5">SUM(J24:J32)</f>
        <v>0</v>
      </c>
      <c r="K33" s="57">
        <f t="shared" si="5"/>
        <v>0</v>
      </c>
      <c r="L33" s="57">
        <f t="shared" si="5"/>
        <v>0</v>
      </c>
      <c r="M33" s="57">
        <f>SUM(M24:M32)</f>
        <v>48167019</v>
      </c>
      <c r="N33" s="57">
        <f>741000000*3</f>
        <v>2223000000</v>
      </c>
      <c r="O33" s="119">
        <f>+N33-M33</f>
        <v>2174832981</v>
      </c>
    </row>
    <row r="34" spans="1:15" ht="18" customHeight="1">
      <c r="A34" s="18" t="s">
        <v>13</v>
      </c>
      <c r="B34" s="60" t="s">
        <v>504</v>
      </c>
      <c r="C34" s="60" t="s">
        <v>657</v>
      </c>
      <c r="D34" s="60" t="s">
        <v>488</v>
      </c>
      <c r="E34" s="49">
        <v>20000</v>
      </c>
      <c r="F34" s="49">
        <v>12200</v>
      </c>
      <c r="G34" s="61"/>
      <c r="H34" s="49"/>
      <c r="I34" s="49"/>
      <c r="J34" s="49"/>
      <c r="K34" s="49"/>
      <c r="L34" s="49"/>
      <c r="M34" s="4"/>
      <c r="N34" s="4"/>
    </row>
    <row r="35" spans="1:15" ht="18" customHeight="1">
      <c r="A35" s="18"/>
      <c r="B35" s="2" t="s">
        <v>658</v>
      </c>
      <c r="C35" s="2"/>
      <c r="D35" s="2"/>
      <c r="E35" s="4"/>
      <c r="F35" s="4"/>
      <c r="G35" s="40" t="s">
        <v>727</v>
      </c>
      <c r="H35" s="4">
        <v>20360</v>
      </c>
      <c r="I35" s="4"/>
      <c r="J35" s="4"/>
      <c r="K35" s="4"/>
      <c r="L35" s="4"/>
      <c r="M35" s="4"/>
      <c r="N35" s="4"/>
    </row>
    <row r="36" spans="1:15" ht="18" customHeight="1">
      <c r="A36" s="18"/>
      <c r="B36" s="2"/>
      <c r="C36" s="2"/>
      <c r="D36" s="2"/>
      <c r="E36" s="4"/>
      <c r="F36" s="4"/>
      <c r="G36" s="40"/>
      <c r="H36" s="4"/>
      <c r="I36" s="4"/>
      <c r="J36" s="4"/>
      <c r="K36" s="4"/>
      <c r="L36" s="4"/>
      <c r="M36" s="4"/>
      <c r="N36" s="4"/>
    </row>
    <row r="37" spans="1:15" ht="18" customHeight="1">
      <c r="A37" s="18" t="s">
        <v>13</v>
      </c>
      <c r="B37" s="60" t="s">
        <v>504</v>
      </c>
      <c r="C37" s="60" t="s">
        <v>862</v>
      </c>
      <c r="D37" s="60" t="s">
        <v>413</v>
      </c>
      <c r="E37" s="49">
        <v>45000</v>
      </c>
      <c r="F37" s="49">
        <v>29500</v>
      </c>
      <c r="G37" s="40"/>
      <c r="H37" s="4"/>
      <c r="I37" s="4"/>
      <c r="J37" s="4"/>
      <c r="K37" s="4"/>
      <c r="L37" s="4"/>
      <c r="M37" s="4"/>
      <c r="N37" s="4"/>
    </row>
    <row r="38" spans="1:15" ht="18" customHeight="1">
      <c r="A38" s="18"/>
      <c r="B38" s="2" t="s">
        <v>863</v>
      </c>
      <c r="C38" s="2"/>
      <c r="D38" s="2"/>
      <c r="E38" s="4"/>
      <c r="F38" s="4"/>
      <c r="G38" s="40" t="s">
        <v>245</v>
      </c>
      <c r="H38" s="4">
        <v>9768</v>
      </c>
      <c r="I38" s="4"/>
      <c r="J38" s="4"/>
      <c r="K38" s="4"/>
      <c r="L38" s="4"/>
      <c r="M38" s="4"/>
      <c r="N38" s="4"/>
    </row>
    <row r="39" spans="1:15" ht="18" customHeight="1">
      <c r="A39" s="18"/>
      <c r="B39" s="2"/>
      <c r="C39" s="2"/>
      <c r="D39" s="2"/>
      <c r="E39" s="4"/>
      <c r="F39" s="4"/>
      <c r="G39" s="40"/>
      <c r="H39" s="4"/>
      <c r="I39" s="4"/>
      <c r="J39" s="4"/>
      <c r="K39" s="4"/>
      <c r="L39" s="4"/>
      <c r="M39" s="4"/>
      <c r="N39" s="4"/>
    </row>
    <row r="40" spans="1:15" ht="18" customHeight="1">
      <c r="A40" s="18"/>
      <c r="B40" s="2"/>
      <c r="C40" s="2"/>
      <c r="D40" s="2"/>
      <c r="E40" s="4"/>
      <c r="F40" s="4"/>
      <c r="G40" s="40"/>
      <c r="H40" s="4"/>
      <c r="I40" s="4"/>
      <c r="J40" s="4"/>
      <c r="K40" s="4"/>
      <c r="L40" s="4">
        <f>12500*48.78/50</f>
        <v>12195</v>
      </c>
      <c r="M40" s="4">
        <f>+L40-12500</f>
        <v>-305</v>
      </c>
      <c r="N40" s="4">
        <f>+M40*20750</f>
        <v>-6328750</v>
      </c>
    </row>
    <row r="41" spans="1:15" s="254" customFormat="1" ht="18" customHeight="1">
      <c r="A41" s="55"/>
      <c r="B41" s="56"/>
      <c r="C41" s="56"/>
      <c r="D41" s="56"/>
      <c r="E41" s="57"/>
      <c r="F41" s="57"/>
      <c r="G41" s="118"/>
      <c r="H41" s="57">
        <f>SUM(H38:H40)</f>
        <v>9768</v>
      </c>
      <c r="I41" s="57"/>
      <c r="J41" s="57"/>
      <c r="K41" s="57"/>
      <c r="L41" s="57"/>
      <c r="M41" s="57"/>
      <c r="N41" s="57"/>
    </row>
    <row r="42" spans="1:15" ht="18" customHeight="1">
      <c r="A42" s="18"/>
      <c r="B42" s="2"/>
      <c r="C42" s="2"/>
      <c r="D42" s="2"/>
      <c r="E42" s="4"/>
      <c r="F42" s="4"/>
      <c r="G42" s="40"/>
      <c r="H42" s="4"/>
      <c r="I42" s="4"/>
      <c r="J42" s="4"/>
      <c r="K42" s="4"/>
      <c r="L42" s="4"/>
      <c r="M42" s="4"/>
      <c r="N42" s="4"/>
    </row>
    <row r="43" spans="1:15" ht="18" customHeight="1">
      <c r="A43" s="18"/>
      <c r="B43" s="2"/>
      <c r="C43" s="2"/>
      <c r="D43" s="2"/>
      <c r="E43" s="4"/>
      <c r="F43" s="4"/>
      <c r="G43" s="40"/>
      <c r="H43" s="4"/>
      <c r="I43" s="4"/>
      <c r="J43" s="4"/>
      <c r="K43" s="4"/>
      <c r="L43" s="4"/>
      <c r="M43" s="4"/>
      <c r="N43" s="4"/>
    </row>
    <row r="44" spans="1:15" ht="18" customHeight="1">
      <c r="A44" s="18"/>
      <c r="B44" s="2"/>
      <c r="C44" s="2"/>
      <c r="D44" s="2"/>
      <c r="E44" s="4"/>
      <c r="F44" s="4"/>
      <c r="G44" s="40"/>
      <c r="H44" s="4"/>
      <c r="I44" s="4"/>
      <c r="J44" s="4"/>
      <c r="K44" s="4"/>
      <c r="L44" s="4"/>
      <c r="M44" s="4"/>
      <c r="N44" s="4"/>
    </row>
    <row r="45" spans="1:15" ht="18" customHeight="1">
      <c r="A45" s="18"/>
      <c r="B45" s="2"/>
      <c r="C45" s="2"/>
      <c r="D45" s="2"/>
      <c r="E45" s="4"/>
      <c r="F45" s="4"/>
      <c r="G45" s="40"/>
      <c r="H45" s="4"/>
      <c r="I45" s="4"/>
      <c r="J45" s="4"/>
      <c r="K45" s="4"/>
      <c r="L45" s="4"/>
      <c r="M45" s="4"/>
      <c r="N45" s="4"/>
    </row>
    <row r="46" spans="1:15" ht="18" customHeight="1">
      <c r="A46" s="18"/>
      <c r="B46" s="2"/>
      <c r="C46" s="2"/>
      <c r="D46" s="2"/>
      <c r="E46" s="4"/>
      <c r="F46" s="4"/>
      <c r="G46" s="40"/>
      <c r="H46" s="4"/>
      <c r="I46" s="4"/>
      <c r="J46" s="4"/>
      <c r="K46" s="4"/>
      <c r="L46" s="4"/>
      <c r="M46" s="4"/>
      <c r="N46" s="4"/>
    </row>
    <row r="47" spans="1:15" ht="18" customHeight="1">
      <c r="A47" s="18"/>
      <c r="B47" s="2"/>
      <c r="C47" s="2"/>
      <c r="D47" s="2"/>
      <c r="E47" s="4"/>
      <c r="F47" s="4"/>
      <c r="G47" s="40"/>
      <c r="H47" s="4"/>
      <c r="I47" s="4"/>
      <c r="J47" s="4"/>
      <c r="K47" s="4"/>
      <c r="L47" s="4"/>
      <c r="M47" s="4"/>
      <c r="N47" s="4"/>
    </row>
    <row r="48" spans="1:15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  <c r="L48" s="4"/>
      <c r="M48" s="4"/>
      <c r="N48" s="4"/>
    </row>
    <row r="49" spans="1:14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  <c r="L49" s="4"/>
      <c r="M49" s="4"/>
      <c r="N49" s="4"/>
    </row>
    <row r="50" spans="1:14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  <c r="L50" s="4"/>
      <c r="M50" s="4"/>
      <c r="N50" s="4"/>
    </row>
    <row r="51" spans="1:14" ht="18" customHeight="1">
      <c r="A51" s="281" t="s">
        <v>0</v>
      </c>
      <c r="B51" s="282"/>
      <c r="C51" s="141"/>
      <c r="D51" s="141"/>
      <c r="E51" s="5">
        <f>SUM(E24:E50)</f>
        <v>140000</v>
      </c>
      <c r="F51" s="5">
        <v>12350</v>
      </c>
      <c r="G51" s="23"/>
      <c r="H51" s="5">
        <f>SUM(H24:H50)</f>
        <v>118568</v>
      </c>
      <c r="I51" s="5">
        <v>12350</v>
      </c>
      <c r="J51" s="5"/>
      <c r="K51" s="99"/>
      <c r="L51" s="100">
        <f>H51*I51</f>
        <v>1464314800</v>
      </c>
      <c r="M51" s="14"/>
      <c r="N51" s="100"/>
    </row>
    <row r="52" spans="1:14" s="6" customFormat="1" ht="24.75" customHeight="1">
      <c r="A52" s="16"/>
      <c r="B52" s="1"/>
      <c r="C52" s="1"/>
      <c r="D52" s="1"/>
      <c r="E52" s="3"/>
      <c r="F52" s="3"/>
      <c r="G52" s="19"/>
      <c r="H52" s="3"/>
      <c r="I52" s="3"/>
      <c r="J52" s="3"/>
      <c r="K52" s="3"/>
    </row>
    <row r="53" spans="1:14">
      <c r="F53" s="270" t="s">
        <v>1</v>
      </c>
      <c r="G53" s="270"/>
      <c r="H53" s="270"/>
      <c r="I53" s="270"/>
      <c r="J53" s="1"/>
      <c r="K53" s="8"/>
    </row>
    <row r="56" spans="1:14">
      <c r="F56" s="271"/>
      <c r="G56" s="271"/>
      <c r="H56" s="271"/>
      <c r="I56" s="271"/>
      <c r="J56" s="1"/>
      <c r="K56" s="1"/>
    </row>
  </sheetData>
  <mergeCells count="17">
    <mergeCell ref="A10:B10"/>
    <mergeCell ref="A22:B22"/>
    <mergeCell ref="A51:B51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53:I53"/>
    <mergeCell ref="F56:I56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9"/>
  <sheetViews>
    <sheetView workbookViewId="0">
      <pane ySplit="5" topLeftCell="A15" activePane="bottomLeft" state="frozen"/>
      <selection pane="bottomLeft" activeCell="H35" sqref="H35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4" width="19.85546875" style="1" bestFit="1" customWidth="1"/>
    <col min="15" max="15" width="15.7109375" style="1" bestFit="1" customWidth="1"/>
    <col min="16" max="16384" width="9.140625" style="1"/>
  </cols>
  <sheetData>
    <row r="1" spans="1:14" ht="34.5" customHeight="1">
      <c r="A1" s="274" t="s">
        <v>359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45" t="s">
        <v>9</v>
      </c>
      <c r="F5" s="145" t="s">
        <v>5</v>
      </c>
      <c r="G5" s="20" t="s">
        <v>14</v>
      </c>
      <c r="H5" s="145" t="s">
        <v>9</v>
      </c>
      <c r="I5" s="145" t="s">
        <v>5</v>
      </c>
      <c r="J5" s="145" t="s">
        <v>9</v>
      </c>
      <c r="K5" s="145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13</v>
      </c>
      <c r="B11" s="60" t="s">
        <v>360</v>
      </c>
      <c r="C11" s="98" t="s">
        <v>293</v>
      </c>
      <c r="D11" s="60" t="s">
        <v>28</v>
      </c>
      <c r="E11" s="49">
        <v>300000</v>
      </c>
      <c r="F11" s="49">
        <v>12300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/>
      <c r="C12" s="2"/>
      <c r="D12" s="2"/>
      <c r="E12" s="4"/>
      <c r="F12" s="4" t="s">
        <v>367</v>
      </c>
      <c r="G12" s="40" t="s">
        <v>362</v>
      </c>
      <c r="H12" s="36">
        <v>31520</v>
      </c>
      <c r="I12" s="4">
        <v>12300</v>
      </c>
      <c r="J12" s="4">
        <f>+E11-H12</f>
        <v>268480</v>
      </c>
      <c r="K12" s="4"/>
      <c r="L12" s="4">
        <f t="shared" ref="L12:L21" si="2">+H12*I12</f>
        <v>387696000</v>
      </c>
      <c r="M12" s="49">
        <f>270000*12300</f>
        <v>3321000000</v>
      </c>
      <c r="N12" s="4"/>
    </row>
    <row r="13" spans="1:14" ht="18" customHeight="1">
      <c r="A13" s="18"/>
      <c r="B13" s="60"/>
      <c r="C13" s="60"/>
      <c r="D13" s="60"/>
      <c r="E13" s="49"/>
      <c r="F13" s="4" t="s">
        <v>368</v>
      </c>
      <c r="G13" s="21"/>
      <c r="H13" s="36">
        <v>34200</v>
      </c>
      <c r="I13" s="4">
        <v>12300</v>
      </c>
      <c r="J13" s="4">
        <f>+J12-H13</f>
        <v>234280</v>
      </c>
      <c r="K13" s="4"/>
      <c r="L13" s="4">
        <f t="shared" si="2"/>
        <v>420660000</v>
      </c>
      <c r="M13" s="4"/>
      <c r="N13" s="4"/>
    </row>
    <row r="14" spans="1:14" ht="18" customHeight="1">
      <c r="A14" s="18"/>
      <c r="B14" s="2"/>
      <c r="C14" s="2"/>
      <c r="D14" s="2"/>
      <c r="E14" s="4"/>
      <c r="F14" s="101" t="s">
        <v>368</v>
      </c>
      <c r="G14" s="40" t="s">
        <v>363</v>
      </c>
      <c r="H14" s="4">
        <v>34060</v>
      </c>
      <c r="I14" s="4">
        <v>12300</v>
      </c>
      <c r="J14" s="4">
        <f t="shared" ref="J14:J21" si="3">+J13-H14</f>
        <v>200220</v>
      </c>
      <c r="K14" s="4"/>
      <c r="L14" s="4">
        <f t="shared" si="2"/>
        <v>418938000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 t="s">
        <v>373</v>
      </c>
      <c r="G15" s="21"/>
      <c r="H15" s="4">
        <v>32260</v>
      </c>
      <c r="I15" s="4">
        <v>12300</v>
      </c>
      <c r="J15" s="4">
        <f t="shared" si="3"/>
        <v>167960</v>
      </c>
      <c r="K15" s="4"/>
      <c r="L15" s="4">
        <f t="shared" si="2"/>
        <v>396798000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 t="s">
        <v>370</v>
      </c>
      <c r="G16" s="40" t="s">
        <v>364</v>
      </c>
      <c r="H16" s="4">
        <v>32610</v>
      </c>
      <c r="I16" s="4">
        <v>12300</v>
      </c>
      <c r="J16" s="4">
        <f t="shared" si="3"/>
        <v>135350</v>
      </c>
      <c r="K16" s="4"/>
      <c r="L16" s="4">
        <f t="shared" si="2"/>
        <v>401103000</v>
      </c>
      <c r="M16" s="4"/>
      <c r="N16" s="4"/>
    </row>
    <row r="17" spans="1:15" ht="18" customHeight="1">
      <c r="A17" s="18"/>
      <c r="B17" s="2"/>
      <c r="C17" s="2"/>
      <c r="D17" s="2"/>
      <c r="E17" s="4"/>
      <c r="F17" s="101" t="s">
        <v>374</v>
      </c>
      <c r="G17" s="40"/>
      <c r="H17" s="4">
        <v>33860</v>
      </c>
      <c r="I17" s="4">
        <v>12300</v>
      </c>
      <c r="J17" s="4">
        <f t="shared" si="3"/>
        <v>101490</v>
      </c>
      <c r="K17" s="4"/>
      <c r="L17" s="4">
        <f t="shared" si="2"/>
        <v>416478000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 t="s">
        <v>369</v>
      </c>
      <c r="G18" s="40" t="s">
        <v>366</v>
      </c>
      <c r="H18" s="4">
        <v>32710</v>
      </c>
      <c r="I18" s="4">
        <v>12300</v>
      </c>
      <c r="J18" s="4">
        <f t="shared" si="3"/>
        <v>68780</v>
      </c>
      <c r="K18" s="4"/>
      <c r="L18" s="4">
        <f t="shared" si="2"/>
        <v>402333000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 t="s">
        <v>372</v>
      </c>
      <c r="G19" s="40" t="s">
        <v>371</v>
      </c>
      <c r="H19" s="4">
        <v>30270</v>
      </c>
      <c r="I19" s="4">
        <v>12300</v>
      </c>
      <c r="J19" s="4">
        <f t="shared" si="3"/>
        <v>38510</v>
      </c>
      <c r="K19" s="4"/>
      <c r="L19" s="4">
        <f t="shared" si="2"/>
        <v>372321000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/>
      <c r="I20" s="4">
        <v>12300</v>
      </c>
      <c r="J20" s="4">
        <f t="shared" si="3"/>
        <v>38510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>
        <v>12300</v>
      </c>
      <c r="J21" s="4">
        <f t="shared" si="3"/>
        <v>38510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300000</v>
      </c>
      <c r="F22" s="14"/>
      <c r="G22" s="22"/>
      <c r="H22" s="14">
        <f>SUM(H11:H21)</f>
        <v>261490</v>
      </c>
      <c r="I22" s="14">
        <v>12300</v>
      </c>
      <c r="J22" s="14"/>
      <c r="K22" s="14"/>
      <c r="L22" s="14">
        <f>+H22*I22</f>
        <v>3216327000</v>
      </c>
      <c r="M22" s="57">
        <f>SUM(M12:M21)</f>
        <v>3321000000</v>
      </c>
      <c r="N22" s="14">
        <f>+M22-L22</f>
        <v>104673000</v>
      </c>
      <c r="O22" s="120"/>
    </row>
    <row r="23" spans="1:15" ht="18" customHeight="1">
      <c r="A23" s="18"/>
      <c r="B23" s="60"/>
      <c r="C23" s="60" t="s">
        <v>13</v>
      </c>
      <c r="D23" s="60" t="s">
        <v>444</v>
      </c>
      <c r="E23" s="49">
        <v>400000</v>
      </c>
      <c r="F23" s="49">
        <v>12647</v>
      </c>
      <c r="G23" s="61"/>
      <c r="H23" s="49"/>
      <c r="I23" s="49"/>
      <c r="J23" s="49"/>
      <c r="K23" s="49"/>
      <c r="L23" s="49"/>
      <c r="M23" s="49"/>
      <c r="N23" s="102"/>
      <c r="O23" s="50"/>
    </row>
    <row r="24" spans="1:15" ht="18" customHeight="1">
      <c r="A24" s="18"/>
      <c r="B24" s="60" t="s">
        <v>536</v>
      </c>
      <c r="C24" s="2" t="s">
        <v>567</v>
      </c>
      <c r="D24" s="60"/>
      <c r="E24" s="49">
        <v>160000</v>
      </c>
      <c r="F24" s="160">
        <v>12899.29</v>
      </c>
      <c r="G24" s="40" t="s">
        <v>455</v>
      </c>
      <c r="H24" s="25">
        <v>32140</v>
      </c>
      <c r="I24" s="4">
        <f>+E24-H24</f>
        <v>127860</v>
      </c>
      <c r="J24" s="4"/>
      <c r="K24" s="4"/>
      <c r="L24" s="4">
        <f>H24*F24</f>
        <v>414583180.60000002</v>
      </c>
      <c r="M24" s="49">
        <v>2063886400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21"/>
      <c r="H25" s="25">
        <v>31910</v>
      </c>
      <c r="I25" s="4">
        <f>+I24-H25</f>
        <v>95950</v>
      </c>
      <c r="J25" s="4"/>
      <c r="K25" s="4"/>
      <c r="L25" s="4">
        <f>H25*F24</f>
        <v>411616343.90000004</v>
      </c>
      <c r="M25" s="4"/>
      <c r="N25" s="4"/>
    </row>
    <row r="26" spans="1:15" ht="18" customHeight="1">
      <c r="A26" s="18"/>
      <c r="B26" s="2"/>
      <c r="C26" s="2"/>
      <c r="D26" s="2"/>
      <c r="E26" s="4"/>
      <c r="F26" s="4"/>
      <c r="G26" s="40" t="s">
        <v>456</v>
      </c>
      <c r="H26" s="25">
        <v>32690</v>
      </c>
      <c r="I26" s="4">
        <f>+I25-H26</f>
        <v>63260</v>
      </c>
      <c r="J26" s="4"/>
      <c r="K26" s="4"/>
      <c r="L26" s="4">
        <f>H26*F24</f>
        <v>421677790.10000002</v>
      </c>
      <c r="M26" s="4"/>
      <c r="N26" s="4"/>
    </row>
    <row r="27" spans="1:15" ht="18" customHeight="1">
      <c r="A27" s="18"/>
      <c r="B27" s="2"/>
      <c r="C27" s="2"/>
      <c r="D27" s="2"/>
      <c r="E27" s="4"/>
      <c r="F27" s="4"/>
      <c r="G27" s="40" t="s">
        <v>471</v>
      </c>
      <c r="H27" s="25">
        <v>31020</v>
      </c>
      <c r="I27" s="4">
        <f t="shared" ref="I27:I28" si="4">+I26-H27</f>
        <v>32240</v>
      </c>
      <c r="J27" s="4"/>
      <c r="K27" s="4"/>
      <c r="L27" s="4">
        <f>H27*F24</f>
        <v>400135975.80000001</v>
      </c>
      <c r="M27" s="4"/>
      <c r="N27" s="4"/>
    </row>
    <row r="28" spans="1:15" ht="18" customHeight="1">
      <c r="A28" s="18"/>
      <c r="B28" s="2"/>
      <c r="C28" s="2" t="s">
        <v>567</v>
      </c>
      <c r="D28" s="2"/>
      <c r="E28" s="49">
        <v>280000</v>
      </c>
      <c r="F28" s="160">
        <v>12899.29</v>
      </c>
      <c r="G28" s="40" t="s">
        <v>544</v>
      </c>
      <c r="H28" s="4">
        <v>31650</v>
      </c>
      <c r="I28" s="4">
        <f t="shared" si="4"/>
        <v>590</v>
      </c>
      <c r="J28" s="4"/>
      <c r="K28" s="4"/>
      <c r="L28" s="4">
        <f>H28*F24</f>
        <v>408262528.5</v>
      </c>
      <c r="M28" s="4">
        <v>3448308300</v>
      </c>
      <c r="N28" s="4"/>
    </row>
    <row r="29" spans="1:15" ht="18" customHeight="1">
      <c r="A29" s="18"/>
      <c r="B29" s="2"/>
      <c r="C29" s="2"/>
      <c r="D29" s="2"/>
      <c r="E29" s="4"/>
      <c r="F29" s="160">
        <f>+F28-230</f>
        <v>12669.29</v>
      </c>
      <c r="G29" s="40" t="s">
        <v>545</v>
      </c>
      <c r="H29" s="4">
        <v>30740</v>
      </c>
      <c r="I29" s="4">
        <f>I28+E28</f>
        <v>280590</v>
      </c>
      <c r="J29" s="4"/>
      <c r="K29" s="4"/>
      <c r="L29" s="4">
        <f>H29*F28</f>
        <v>396524174.60000002</v>
      </c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>
        <v>32820</v>
      </c>
      <c r="I30" s="4">
        <f>+I29-H30</f>
        <v>247770</v>
      </c>
      <c r="J30" s="4"/>
      <c r="K30" s="4"/>
      <c r="L30" s="4">
        <f>H30*F28</f>
        <v>423354697.80000001</v>
      </c>
      <c r="M30" s="4"/>
      <c r="N30" s="4"/>
    </row>
    <row r="31" spans="1:15" ht="18" customHeight="1">
      <c r="A31" s="18"/>
      <c r="B31" s="2"/>
      <c r="C31" s="2"/>
      <c r="D31" s="2"/>
      <c r="E31" s="4"/>
      <c r="F31" s="324" t="s">
        <v>548</v>
      </c>
      <c r="G31" s="40" t="s">
        <v>546</v>
      </c>
      <c r="H31" s="4">
        <v>33190</v>
      </c>
      <c r="I31" s="4">
        <f t="shared" ref="I31:I37" si="5">+I30-H31</f>
        <v>214580</v>
      </c>
      <c r="J31" s="4"/>
      <c r="K31" s="4"/>
      <c r="L31" s="4">
        <f>H31*F29</f>
        <v>420493735.10000002</v>
      </c>
      <c r="M31" s="4"/>
      <c r="N31" s="4"/>
    </row>
    <row r="32" spans="1:15" ht="18" customHeight="1">
      <c r="A32" s="18"/>
      <c r="B32" s="2"/>
      <c r="C32" s="2"/>
      <c r="D32" s="2"/>
      <c r="E32" s="4"/>
      <c r="F32" s="325"/>
      <c r="G32" s="40" t="s">
        <v>545</v>
      </c>
      <c r="H32" s="36">
        <v>31740</v>
      </c>
      <c r="I32" s="4">
        <f t="shared" si="5"/>
        <v>182840</v>
      </c>
      <c r="J32" s="4"/>
      <c r="K32" s="4"/>
      <c r="L32" s="4">
        <f>+H32*F29</f>
        <v>402123264.60000002</v>
      </c>
      <c r="M32" s="4"/>
      <c r="N32" s="4"/>
    </row>
    <row r="33" spans="1:15" ht="18" customHeight="1">
      <c r="A33" s="18"/>
      <c r="B33" s="2"/>
      <c r="C33" s="2"/>
      <c r="D33" s="2"/>
      <c r="E33" s="4"/>
      <c r="F33" s="325"/>
      <c r="G33" s="40"/>
      <c r="H33" s="4">
        <v>32900</v>
      </c>
      <c r="I33" s="4">
        <f t="shared" si="5"/>
        <v>149940</v>
      </c>
      <c r="J33" s="4"/>
      <c r="K33" s="4"/>
      <c r="L33" s="4">
        <f>H33*F29</f>
        <v>416819641</v>
      </c>
      <c r="M33" s="4"/>
      <c r="N33" s="4"/>
    </row>
    <row r="34" spans="1:15" ht="18" customHeight="1">
      <c r="A34" s="18"/>
      <c r="B34" s="2"/>
      <c r="C34" s="2"/>
      <c r="D34" s="2"/>
      <c r="E34" s="4"/>
      <c r="F34" s="325"/>
      <c r="G34" s="40"/>
      <c r="H34" s="36">
        <v>32560</v>
      </c>
      <c r="I34" s="4">
        <f t="shared" si="5"/>
        <v>117380</v>
      </c>
      <c r="J34" s="4"/>
      <c r="K34" s="4"/>
      <c r="L34" s="4">
        <f>H34*F29</f>
        <v>412512082.40000004</v>
      </c>
      <c r="M34" s="4"/>
      <c r="N34" s="4"/>
    </row>
    <row r="35" spans="1:15" ht="18" customHeight="1">
      <c r="A35" s="18"/>
      <c r="B35" s="2"/>
      <c r="C35" s="2"/>
      <c r="D35" s="2"/>
      <c r="E35" s="4"/>
      <c r="F35" s="287"/>
      <c r="G35" s="40" t="s">
        <v>547</v>
      </c>
      <c r="H35" s="36">
        <v>31640</v>
      </c>
      <c r="I35" s="4">
        <f t="shared" si="5"/>
        <v>85740</v>
      </c>
      <c r="J35" s="4"/>
      <c r="K35" s="4"/>
      <c r="L35" s="4">
        <f>H35*F29</f>
        <v>400856335.60000002</v>
      </c>
      <c r="M35" s="4"/>
      <c r="N35" s="4"/>
    </row>
    <row r="36" spans="1:15" ht="18" customHeight="1">
      <c r="A36" s="18"/>
      <c r="B36" s="2"/>
      <c r="C36" s="2"/>
      <c r="D36" s="2"/>
      <c r="E36" s="4"/>
      <c r="F36" s="4"/>
      <c r="G36" s="40" t="s">
        <v>547</v>
      </c>
      <c r="H36" s="4">
        <v>30930</v>
      </c>
      <c r="I36" s="4">
        <f t="shared" si="5"/>
        <v>54810</v>
      </c>
      <c r="J36" s="4"/>
      <c r="K36" s="4"/>
      <c r="L36" s="4">
        <f>H36*F28</f>
        <v>398975039.70000005</v>
      </c>
      <c r="M36" s="4"/>
      <c r="N36" s="4"/>
    </row>
    <row r="37" spans="1:15" ht="18" customHeight="1">
      <c r="A37" s="18"/>
      <c r="B37" s="2"/>
      <c r="C37" s="2"/>
      <c r="D37" s="2"/>
      <c r="E37" s="4"/>
      <c r="F37" s="4"/>
      <c r="G37" s="40" t="s">
        <v>547</v>
      </c>
      <c r="H37" s="4">
        <v>29900</v>
      </c>
      <c r="I37" s="4">
        <f t="shared" si="5"/>
        <v>24910</v>
      </c>
      <c r="J37" s="4"/>
      <c r="K37" s="4"/>
      <c r="L37" s="4">
        <f>H37*F28</f>
        <v>385688771</v>
      </c>
      <c r="M37" s="4"/>
      <c r="N37" s="4"/>
    </row>
    <row r="38" spans="1:15" ht="18" customHeight="1">
      <c r="A38" s="18"/>
      <c r="B38" s="2"/>
      <c r="C38" s="56"/>
      <c r="D38" s="56"/>
      <c r="E38" s="57"/>
      <c r="F38" s="57"/>
      <c r="G38" s="58"/>
      <c r="H38" s="57">
        <f>SUM(H24:H37)</f>
        <v>445830</v>
      </c>
      <c r="I38" s="57">
        <v>12350</v>
      </c>
      <c r="J38" s="57">
        <f>SUM(J24:J37)</f>
        <v>0</v>
      </c>
      <c r="K38" s="57">
        <f t="shared" ref="K38:M38" si="6">SUM(K24:K37)</f>
        <v>0</v>
      </c>
      <c r="L38" s="57">
        <f t="shared" si="6"/>
        <v>5713623560.6999998</v>
      </c>
      <c r="M38" s="57">
        <f t="shared" si="6"/>
        <v>5512194700</v>
      </c>
      <c r="N38" s="57">
        <f>M38-L38</f>
        <v>-201428860.69999981</v>
      </c>
      <c r="O38" s="119"/>
    </row>
    <row r="39" spans="1:15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  <c r="L39" s="4"/>
      <c r="M39" s="4"/>
      <c r="N39" s="4"/>
    </row>
    <row r="40" spans="1:15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  <c r="L40" s="4"/>
      <c r="M40" s="4"/>
      <c r="N40" s="4"/>
    </row>
    <row r="41" spans="1:15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  <c r="L41" s="4"/>
      <c r="M41" s="4"/>
      <c r="N41" s="4"/>
    </row>
    <row r="42" spans="1:15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  <c r="L42" s="4"/>
      <c r="M42" s="4"/>
      <c r="N42" s="4"/>
    </row>
    <row r="43" spans="1:15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  <c r="L43" s="4"/>
      <c r="M43" s="4"/>
      <c r="N43" s="4"/>
    </row>
    <row r="44" spans="1:15" ht="18" customHeight="1">
      <c r="A44" s="281" t="s">
        <v>0</v>
      </c>
      <c r="B44" s="282"/>
      <c r="C44" s="144"/>
      <c r="D44" s="144"/>
      <c r="E44" s="5">
        <f>SUM(E24:E43)</f>
        <v>440000</v>
      </c>
      <c r="F44" s="5">
        <v>12350</v>
      </c>
      <c r="G44" s="23"/>
      <c r="H44" s="5">
        <f>SUM(H24:H43)</f>
        <v>891660</v>
      </c>
      <c r="I44" s="5">
        <v>12350</v>
      </c>
      <c r="J44" s="5"/>
      <c r="K44" s="99"/>
      <c r="L44" s="100">
        <f>H44*I44</f>
        <v>11012001000</v>
      </c>
      <c r="M44" s="14"/>
      <c r="N44" s="100"/>
    </row>
    <row r="45" spans="1:15" s="6" customFormat="1" ht="24.75" customHeight="1">
      <c r="A45" s="16"/>
      <c r="B45" s="1"/>
      <c r="C45" s="1"/>
      <c r="D45" s="1"/>
      <c r="E45" s="3"/>
      <c r="F45" s="3"/>
      <c r="G45" s="19"/>
      <c r="H45" s="3"/>
      <c r="I45" s="3"/>
      <c r="J45" s="3"/>
      <c r="K45" s="3"/>
    </row>
    <row r="46" spans="1:15">
      <c r="F46" s="270" t="s">
        <v>1</v>
      </c>
      <c r="G46" s="270"/>
      <c r="H46" s="270"/>
      <c r="I46" s="270"/>
      <c r="J46" s="1"/>
      <c r="K46" s="8"/>
    </row>
    <row r="49" spans="6:11">
      <c r="F49" s="271"/>
      <c r="G49" s="271"/>
      <c r="H49" s="271"/>
      <c r="I49" s="271"/>
      <c r="J49" s="1"/>
      <c r="K49" s="1"/>
    </row>
  </sheetData>
  <mergeCells count="18">
    <mergeCell ref="F46:I46"/>
    <mergeCell ref="F49:I49"/>
    <mergeCell ref="L4:L5"/>
    <mergeCell ref="M4:M5"/>
    <mergeCell ref="N4:N5"/>
    <mergeCell ref="F31:F35"/>
    <mergeCell ref="A10:B10"/>
    <mergeCell ref="A22:B22"/>
    <mergeCell ref="A44:B44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"/>
  <sheetViews>
    <sheetView workbookViewId="0">
      <pane ySplit="5" topLeftCell="A23" activePane="bottomLeft" state="frozen"/>
      <selection pane="bottomLeft" activeCell="I29" sqref="I29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450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57" t="s">
        <v>9</v>
      </c>
      <c r="F5" s="157" t="s">
        <v>5</v>
      </c>
      <c r="G5" s="20" t="s">
        <v>14</v>
      </c>
      <c r="H5" s="157" t="s">
        <v>9</v>
      </c>
      <c r="I5" s="157" t="s">
        <v>5</v>
      </c>
      <c r="J5" s="157" t="s">
        <v>9</v>
      </c>
      <c r="K5" s="157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13</v>
      </c>
      <c r="B11" s="60" t="s">
        <v>451</v>
      </c>
      <c r="C11" s="154" t="s">
        <v>452</v>
      </c>
      <c r="D11" s="60" t="s">
        <v>85</v>
      </c>
      <c r="E11" s="49">
        <v>200000</v>
      </c>
      <c r="F11" s="49">
        <v>7600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 t="s">
        <v>460</v>
      </c>
      <c r="C12" s="2" t="s">
        <v>453</v>
      </c>
      <c r="D12" s="2"/>
      <c r="E12" s="4"/>
      <c r="F12" s="4"/>
      <c r="G12" s="40" t="s">
        <v>529</v>
      </c>
      <c r="H12" s="4">
        <v>31580</v>
      </c>
      <c r="I12" s="4"/>
      <c r="J12" s="4">
        <f>+E11-H12</f>
        <v>168420</v>
      </c>
      <c r="K12" s="4"/>
      <c r="L12" s="4">
        <f t="shared" ref="L12:L21" si="2">+H12*I12</f>
        <v>0</v>
      </c>
      <c r="M12" s="4">
        <v>1520000000</v>
      </c>
      <c r="N12" s="4">
        <v>2.6</v>
      </c>
    </row>
    <row r="13" spans="1:14" ht="18" customHeight="1">
      <c r="A13" s="18"/>
      <c r="B13" s="60"/>
      <c r="C13" s="60"/>
      <c r="D13" s="60"/>
      <c r="E13" s="49"/>
      <c r="F13" s="49"/>
      <c r="G13" s="21"/>
      <c r="H13" s="4">
        <v>31350</v>
      </c>
      <c r="I13" s="4"/>
      <c r="J13" s="4">
        <f>+J12-H13</f>
        <v>137070</v>
      </c>
      <c r="K13" s="4"/>
      <c r="L13" s="4">
        <f t="shared" si="2"/>
        <v>0</v>
      </c>
      <c r="M13" s="4"/>
      <c r="N13" s="4"/>
    </row>
    <row r="14" spans="1:14" ht="18" customHeight="1">
      <c r="A14" s="18"/>
      <c r="B14" s="2"/>
      <c r="C14" s="2"/>
      <c r="D14" s="2"/>
      <c r="E14" s="4"/>
      <c r="F14" s="4"/>
      <c r="G14" s="40"/>
      <c r="H14" s="4">
        <v>30840</v>
      </c>
      <c r="I14" s="4"/>
      <c r="J14" s="4">
        <f t="shared" ref="J14:J21" si="3">+J13-H14</f>
        <v>106230</v>
      </c>
      <c r="K14" s="4"/>
      <c r="L14" s="4">
        <f t="shared" si="2"/>
        <v>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/>
      <c r="G15" s="21"/>
      <c r="H15" s="4">
        <v>31370</v>
      </c>
      <c r="I15" s="4"/>
      <c r="J15" s="4">
        <f t="shared" si="3"/>
        <v>74860</v>
      </c>
      <c r="K15" s="4"/>
      <c r="L15" s="4">
        <f t="shared" si="2"/>
        <v>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/>
      <c r="G16" s="40"/>
      <c r="H16" s="4">
        <v>31360</v>
      </c>
      <c r="I16" s="4"/>
      <c r="J16" s="4">
        <f t="shared" si="3"/>
        <v>43500</v>
      </c>
      <c r="K16" s="4"/>
      <c r="L16" s="4">
        <f t="shared" si="2"/>
        <v>0</v>
      </c>
      <c r="M16" s="4"/>
      <c r="N16" s="4"/>
    </row>
    <row r="17" spans="1:15" ht="18" customHeight="1">
      <c r="A17" s="18"/>
      <c r="B17" s="2"/>
      <c r="C17" s="2"/>
      <c r="D17" s="2"/>
      <c r="E17" s="4"/>
      <c r="F17" s="4"/>
      <c r="G17" s="40" t="s">
        <v>530</v>
      </c>
      <c r="H17" s="4">
        <v>30890</v>
      </c>
      <c r="I17" s="4"/>
      <c r="J17" s="4">
        <f t="shared" si="3"/>
        <v>12610</v>
      </c>
      <c r="K17" s="4"/>
      <c r="L17" s="4">
        <f t="shared" si="2"/>
        <v>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>
        <f t="shared" si="3"/>
        <v>12610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>
        <f t="shared" si="3"/>
        <v>12610</v>
      </c>
      <c r="K19" s="4"/>
      <c r="L19" s="4">
        <f t="shared" si="2"/>
        <v>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/>
      <c r="I20" s="4"/>
      <c r="J20" s="4">
        <f t="shared" si="3"/>
        <v>12610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/>
      <c r="J21" s="4">
        <f t="shared" si="3"/>
        <v>12610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300000</v>
      </c>
      <c r="F22" s="14"/>
      <c r="G22" s="22"/>
      <c r="H22" s="14">
        <f>SUM(H11:H21)</f>
        <v>187390</v>
      </c>
      <c r="I22" s="14">
        <v>7600</v>
      </c>
      <c r="J22" s="14"/>
      <c r="K22" s="14"/>
      <c r="L22" s="14">
        <f>+H22*I22</f>
        <v>1424164000</v>
      </c>
      <c r="M22" s="14">
        <f>SUM(M12:M21)</f>
        <v>1520000000</v>
      </c>
      <c r="N22" s="14">
        <f>+M22-L22</f>
        <v>95836000</v>
      </c>
      <c r="O22" s="120" t="s">
        <v>538</v>
      </c>
    </row>
    <row r="23" spans="1:15" ht="18" customHeight="1">
      <c r="A23" s="18" t="s">
        <v>13</v>
      </c>
      <c r="B23" s="60" t="s">
        <v>451</v>
      </c>
      <c r="C23" s="108" t="s">
        <v>458</v>
      </c>
      <c r="D23" s="60" t="s">
        <v>132</v>
      </c>
      <c r="E23" s="49">
        <v>30000</v>
      </c>
      <c r="F23" s="49">
        <v>6200</v>
      </c>
      <c r="G23" s="61"/>
      <c r="H23" s="49"/>
      <c r="I23" s="49"/>
      <c r="J23" s="49"/>
      <c r="K23" s="49"/>
      <c r="L23" s="49"/>
      <c r="M23" s="49"/>
      <c r="N23" s="102"/>
      <c r="O23" s="50"/>
    </row>
    <row r="24" spans="1:15" ht="18" customHeight="1">
      <c r="A24" s="18"/>
      <c r="B24" s="2" t="s">
        <v>460</v>
      </c>
      <c r="C24" s="2" t="s">
        <v>459</v>
      </c>
      <c r="D24" s="2"/>
      <c r="E24" s="4"/>
      <c r="F24" s="4"/>
      <c r="G24" s="40" t="s">
        <v>554</v>
      </c>
      <c r="H24" s="4">
        <v>30050</v>
      </c>
      <c r="I24" s="4"/>
      <c r="J24" s="4"/>
      <c r="K24" s="4"/>
      <c r="L24" s="4"/>
      <c r="M24" s="4">
        <f>+H24*I24</f>
        <v>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>
        <f t="shared" ref="M25:M26" si="4">+H25*I25</f>
        <v>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>
        <f t="shared" si="4"/>
        <v>0</v>
      </c>
      <c r="N26" s="4"/>
    </row>
    <row r="27" spans="1:15" ht="18" customHeight="1">
      <c r="A27" s="55" t="s">
        <v>13</v>
      </c>
      <c r="B27" s="56" t="s">
        <v>451</v>
      </c>
      <c r="C27" s="159" t="s">
        <v>630</v>
      </c>
      <c r="D27" s="56" t="s">
        <v>37</v>
      </c>
      <c r="E27" s="57">
        <v>30000</v>
      </c>
      <c r="F27" s="57">
        <v>8400</v>
      </c>
      <c r="G27" s="58"/>
      <c r="H27" s="57"/>
      <c r="I27" s="57"/>
      <c r="J27" s="57"/>
      <c r="K27" s="57">
        <f>SUM(K24:K26)</f>
        <v>0</v>
      </c>
      <c r="L27" s="57">
        <f>SUM(L24:L26)</f>
        <v>0</v>
      </c>
      <c r="M27" s="57">
        <f>SUM(M24:M26)</f>
        <v>0</v>
      </c>
      <c r="N27" s="57"/>
      <c r="O27" s="119">
        <f>+N27-M27</f>
        <v>0</v>
      </c>
    </row>
    <row r="28" spans="1:15" ht="18" customHeight="1">
      <c r="A28" s="18"/>
      <c r="B28" s="2" t="s">
        <v>495</v>
      </c>
      <c r="C28" s="7"/>
      <c r="D28" s="2"/>
      <c r="E28" s="49"/>
      <c r="F28" s="49"/>
      <c r="G28" s="66" t="s">
        <v>636</v>
      </c>
      <c r="H28" s="4">
        <v>34595</v>
      </c>
      <c r="I28" s="4">
        <f>E27-H28</f>
        <v>-4595</v>
      </c>
      <c r="J28" s="4"/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/>
      <c r="H29" s="4"/>
      <c r="I29" s="4"/>
      <c r="J29" s="4"/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/>
      <c r="I30" s="4"/>
      <c r="J30" s="4"/>
      <c r="K30" s="4"/>
      <c r="L30" s="4"/>
      <c r="M30" s="4"/>
      <c r="N30" s="4"/>
    </row>
    <row r="31" spans="1:15" ht="18" customHeight="1">
      <c r="A31" s="148"/>
      <c r="B31" s="2"/>
      <c r="C31" s="60"/>
      <c r="D31" s="60"/>
      <c r="E31" s="49"/>
      <c r="F31" s="49"/>
      <c r="G31" s="66"/>
      <c r="H31" s="49"/>
      <c r="I31" s="49"/>
      <c r="J31" s="49"/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  <c r="L35" s="4"/>
      <c r="M35" s="4"/>
      <c r="N35" s="4"/>
    </row>
    <row r="36" spans="1:14" ht="18" customHeight="1">
      <c r="A36" s="281" t="s">
        <v>0</v>
      </c>
      <c r="B36" s="282"/>
      <c r="C36" s="158"/>
      <c r="D36" s="158"/>
      <c r="E36" s="5">
        <f>SUM(E24:E35)</f>
        <v>30000</v>
      </c>
      <c r="F36" s="5">
        <v>12350</v>
      </c>
      <c r="G36" s="23"/>
      <c r="H36" s="5">
        <f>SUM(H24:H35)</f>
        <v>64645</v>
      </c>
      <c r="I36" s="5">
        <v>12350</v>
      </c>
      <c r="J36" s="5"/>
      <c r="K36" s="99"/>
      <c r="L36" s="100">
        <f>H36*I36</f>
        <v>798365750</v>
      </c>
      <c r="M36" s="14"/>
      <c r="N36" s="100"/>
    </row>
    <row r="37" spans="1:14" s="6" customFormat="1" ht="24.75" customHeight="1">
      <c r="A37" s="16"/>
      <c r="B37" s="1"/>
      <c r="C37" s="1"/>
      <c r="D37" s="1"/>
      <c r="E37" s="3"/>
      <c r="F37" s="3"/>
      <c r="G37" s="19"/>
      <c r="H37" s="3"/>
      <c r="I37" s="3"/>
      <c r="J37" s="3"/>
      <c r="K37" s="3"/>
    </row>
    <row r="38" spans="1:14">
      <c r="F38" s="270" t="s">
        <v>1</v>
      </c>
      <c r="G38" s="270"/>
      <c r="H38" s="270"/>
      <c r="I38" s="270"/>
      <c r="J38" s="1"/>
      <c r="K38" s="8"/>
    </row>
    <row r="41" spans="1:14">
      <c r="F41" s="271"/>
      <c r="G41" s="271"/>
      <c r="H41" s="271"/>
      <c r="I41" s="271"/>
      <c r="J41" s="1"/>
      <c r="K41" s="1"/>
    </row>
  </sheetData>
  <mergeCells count="17">
    <mergeCell ref="A10:B10"/>
    <mergeCell ref="A22:B22"/>
    <mergeCell ref="A36:B36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38:I38"/>
    <mergeCell ref="F41:I41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175"/>
  <sheetViews>
    <sheetView topLeftCell="B122" workbookViewId="0">
      <pane ySplit="10" topLeftCell="A158" activePane="bottomLeft" state="frozen"/>
      <selection activeCell="A122" sqref="A122"/>
      <selection pane="bottomLeft" activeCell="H166" sqref="H166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9" width="14.28515625" style="3" customWidth="1"/>
    <col min="10" max="10" width="19.7109375" style="3" customWidth="1"/>
    <col min="11" max="11" width="14.28515625" style="3" customWidth="1"/>
    <col min="12" max="12" width="15.5703125" style="1" customWidth="1"/>
    <col min="13" max="13" width="23.140625" style="1" customWidth="1"/>
    <col min="14" max="14" width="14.7109375" style="1" customWidth="1"/>
    <col min="15" max="16384" width="9.140625" style="1"/>
  </cols>
  <sheetData>
    <row r="1" spans="1:11" ht="34.5" hidden="1" customHeight="1">
      <c r="A1" s="274" t="s">
        <v>17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hidden="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hidden="1" customHeight="1"/>
    <row r="4" spans="1:11" s="11" customFormat="1" ht="15" hidden="1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hidden="1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hidden="1" customHeight="1">
      <c r="A11" s="18" t="s">
        <v>13</v>
      </c>
      <c r="B11" s="2" t="s">
        <v>18</v>
      </c>
      <c r="C11" s="2" t="s">
        <v>19</v>
      </c>
      <c r="D11" s="2" t="s">
        <v>20</v>
      </c>
      <c r="E11" s="4">
        <v>1400000</v>
      </c>
      <c r="F11" s="4">
        <v>5700</v>
      </c>
      <c r="G11" s="21">
        <v>43922</v>
      </c>
      <c r="H11" s="4">
        <v>992600</v>
      </c>
      <c r="I11" s="4">
        <v>5700</v>
      </c>
      <c r="J11" s="4">
        <f>E11-H11</f>
        <v>407400</v>
      </c>
      <c r="K11" s="4">
        <v>5700</v>
      </c>
    </row>
    <row r="12" spans="1:11" ht="18" hidden="1" customHeight="1">
      <c r="A12" s="18" t="s">
        <v>13</v>
      </c>
      <c r="B12" s="2" t="s">
        <v>18</v>
      </c>
      <c r="C12" s="2" t="s">
        <v>19</v>
      </c>
      <c r="D12" s="2" t="s">
        <v>20</v>
      </c>
      <c r="E12" s="4">
        <v>1400000</v>
      </c>
      <c r="F12" s="4">
        <v>5700</v>
      </c>
      <c r="G12" s="21">
        <v>43932</v>
      </c>
      <c r="H12" s="4">
        <v>29410</v>
      </c>
      <c r="I12" s="4">
        <v>5500</v>
      </c>
      <c r="J12" s="4">
        <f t="shared" ref="J12:J17" si="2">J11-H12</f>
        <v>377990</v>
      </c>
      <c r="K12" s="4">
        <v>5500</v>
      </c>
    </row>
    <row r="13" spans="1:11" ht="18" hidden="1" customHeight="1">
      <c r="A13" s="18" t="s">
        <v>13</v>
      </c>
      <c r="B13" s="2" t="s">
        <v>18</v>
      </c>
      <c r="C13" s="2" t="s">
        <v>19</v>
      </c>
      <c r="D13" s="2" t="s">
        <v>20</v>
      </c>
      <c r="E13" s="4">
        <v>1400000</v>
      </c>
      <c r="F13" s="4">
        <v>5700</v>
      </c>
      <c r="G13" s="21">
        <v>43935</v>
      </c>
      <c r="H13" s="4">
        <v>32670</v>
      </c>
      <c r="I13" s="4">
        <v>5700</v>
      </c>
      <c r="J13" s="4">
        <f t="shared" si="2"/>
        <v>345320</v>
      </c>
      <c r="K13" s="4">
        <v>5700</v>
      </c>
    </row>
    <row r="14" spans="1:11" ht="18" hidden="1" customHeight="1">
      <c r="A14" s="18" t="s">
        <v>13</v>
      </c>
      <c r="B14" s="2" t="s">
        <v>18</v>
      </c>
      <c r="C14" s="2" t="s">
        <v>19</v>
      </c>
      <c r="D14" s="2" t="s">
        <v>20</v>
      </c>
      <c r="E14" s="4">
        <v>1400000</v>
      </c>
      <c r="F14" s="4">
        <v>5700</v>
      </c>
      <c r="G14" s="21">
        <v>43938</v>
      </c>
      <c r="H14" s="4">
        <v>68000</v>
      </c>
      <c r="I14" s="4">
        <v>5700</v>
      </c>
      <c r="J14" s="4">
        <f t="shared" si="2"/>
        <v>277320</v>
      </c>
      <c r="K14" s="4">
        <v>5700</v>
      </c>
    </row>
    <row r="15" spans="1:11" ht="18" hidden="1" customHeight="1">
      <c r="A15" s="18" t="s">
        <v>13</v>
      </c>
      <c r="B15" s="2" t="s">
        <v>18</v>
      </c>
      <c r="C15" s="2" t="s">
        <v>19</v>
      </c>
      <c r="D15" s="2" t="s">
        <v>20</v>
      </c>
      <c r="E15" s="4">
        <v>1400000</v>
      </c>
      <c r="F15" s="4">
        <v>5700</v>
      </c>
      <c r="G15" s="21">
        <v>43939</v>
      </c>
      <c r="H15" s="4">
        <v>32690</v>
      </c>
      <c r="I15" s="4">
        <v>5700</v>
      </c>
      <c r="J15" s="4">
        <f t="shared" si="2"/>
        <v>244630</v>
      </c>
      <c r="K15" s="4">
        <v>5700</v>
      </c>
    </row>
    <row r="16" spans="1:11" ht="18" hidden="1" customHeight="1">
      <c r="A16" s="18" t="s">
        <v>13</v>
      </c>
      <c r="B16" s="2" t="s">
        <v>18</v>
      </c>
      <c r="C16" s="2" t="s">
        <v>19</v>
      </c>
      <c r="D16" s="2" t="s">
        <v>20</v>
      </c>
      <c r="E16" s="4">
        <v>1400000</v>
      </c>
      <c r="F16" s="4">
        <v>5700</v>
      </c>
      <c r="G16" s="21">
        <v>43941</v>
      </c>
      <c r="H16" s="4">
        <v>32380</v>
      </c>
      <c r="I16" s="4">
        <v>5700</v>
      </c>
      <c r="J16" s="4">
        <f t="shared" si="2"/>
        <v>212250</v>
      </c>
      <c r="K16" s="4">
        <v>5700</v>
      </c>
    </row>
    <row r="17" spans="1:12" ht="18" hidden="1" customHeight="1">
      <c r="A17" s="18" t="s">
        <v>13</v>
      </c>
      <c r="B17" s="2" t="s">
        <v>18</v>
      </c>
      <c r="C17" s="2" t="s">
        <v>19</v>
      </c>
      <c r="D17" s="2" t="s">
        <v>20</v>
      </c>
      <c r="E17" s="4">
        <v>1400000</v>
      </c>
      <c r="F17" s="4">
        <v>5700</v>
      </c>
      <c r="G17" s="21">
        <v>43943</v>
      </c>
      <c r="H17" s="4">
        <v>65240</v>
      </c>
      <c r="I17" s="4">
        <v>5700</v>
      </c>
      <c r="J17" s="4">
        <f t="shared" si="2"/>
        <v>147010</v>
      </c>
      <c r="K17" s="4">
        <v>5700</v>
      </c>
    </row>
    <row r="18" spans="1:12" ht="18" hidden="1" customHeight="1">
      <c r="A18" s="18" t="s">
        <v>13</v>
      </c>
      <c r="B18" s="2" t="s">
        <v>18</v>
      </c>
      <c r="C18" s="2" t="s">
        <v>19</v>
      </c>
      <c r="D18" s="2" t="s">
        <v>20</v>
      </c>
      <c r="E18" s="4">
        <v>1400000</v>
      </c>
      <c r="F18" s="4">
        <v>5700</v>
      </c>
      <c r="G18" s="21">
        <v>43944</v>
      </c>
      <c r="H18" s="4">
        <v>32290</v>
      </c>
      <c r="I18" s="4">
        <v>5500</v>
      </c>
      <c r="J18" s="4">
        <f>J17-H18</f>
        <v>114720</v>
      </c>
      <c r="K18" s="4">
        <v>5500</v>
      </c>
    </row>
    <row r="19" spans="1:12" ht="18" hidden="1" customHeight="1">
      <c r="A19" s="18" t="s">
        <v>13</v>
      </c>
      <c r="B19" s="2" t="s">
        <v>18</v>
      </c>
      <c r="C19" s="2" t="s">
        <v>19</v>
      </c>
      <c r="D19" s="2" t="s">
        <v>20</v>
      </c>
      <c r="E19" s="4">
        <v>1400000</v>
      </c>
      <c r="F19" s="4">
        <v>5700</v>
      </c>
      <c r="G19" s="21">
        <v>43944</v>
      </c>
      <c r="H19" s="4">
        <v>31540</v>
      </c>
      <c r="I19" s="4">
        <v>5500</v>
      </c>
      <c r="J19" s="4">
        <f>J18-H19</f>
        <v>83180</v>
      </c>
      <c r="K19" s="4">
        <v>5500</v>
      </c>
    </row>
    <row r="20" spans="1:12" ht="18" hidden="1" customHeight="1">
      <c r="A20" s="18" t="s">
        <v>13</v>
      </c>
      <c r="B20" s="2" t="s">
        <v>18</v>
      </c>
      <c r="C20" s="2" t="s">
        <v>19</v>
      </c>
      <c r="D20" s="2" t="s">
        <v>20</v>
      </c>
      <c r="E20" s="4">
        <v>1400000</v>
      </c>
      <c r="F20" s="4">
        <v>5700</v>
      </c>
      <c r="G20" s="21">
        <v>43945</v>
      </c>
      <c r="H20" s="4">
        <v>31477</v>
      </c>
      <c r="I20" s="4">
        <v>5700</v>
      </c>
      <c r="J20" s="4">
        <f>J19-H20</f>
        <v>51703</v>
      </c>
      <c r="K20" s="4">
        <v>5700</v>
      </c>
    </row>
    <row r="21" spans="1:12" ht="18" hidden="1" customHeight="1">
      <c r="A21" s="18" t="s">
        <v>13</v>
      </c>
      <c r="B21" s="2" t="s">
        <v>18</v>
      </c>
      <c r="C21" s="2" t="s">
        <v>19</v>
      </c>
      <c r="D21" s="2" t="s">
        <v>20</v>
      </c>
      <c r="E21" s="4">
        <v>1400000</v>
      </c>
      <c r="F21" s="4">
        <v>5700</v>
      </c>
      <c r="G21" s="21">
        <v>43950</v>
      </c>
      <c r="H21" s="4">
        <v>64490</v>
      </c>
      <c r="I21" s="4">
        <v>5500</v>
      </c>
      <c r="J21" s="4">
        <f>J20-H21</f>
        <v>-12787</v>
      </c>
      <c r="K21" s="4">
        <v>5500</v>
      </c>
    </row>
    <row r="22" spans="1:12" s="27" customFormat="1" ht="18" hidden="1" customHeight="1">
      <c r="A22" s="18" t="s">
        <v>13</v>
      </c>
      <c r="B22" s="24"/>
      <c r="C22" s="24"/>
      <c r="D22" s="24"/>
      <c r="E22" s="25">
        <v>1400000</v>
      </c>
      <c r="F22" s="25"/>
      <c r="G22" s="26"/>
      <c r="H22" s="25">
        <f>SUM(H11:H21)</f>
        <v>1412787</v>
      </c>
      <c r="I22" s="25"/>
      <c r="J22" s="25">
        <f>E22-H22</f>
        <v>-12787</v>
      </c>
      <c r="K22" s="25"/>
    </row>
    <row r="23" spans="1:12" ht="18" hidden="1" customHeight="1">
      <c r="A23" s="18" t="s">
        <v>13</v>
      </c>
      <c r="B23" s="2" t="s">
        <v>18</v>
      </c>
      <c r="C23" s="2" t="s">
        <v>21</v>
      </c>
      <c r="D23" s="2" t="s">
        <v>20</v>
      </c>
      <c r="E23" s="4">
        <v>400000</v>
      </c>
      <c r="F23" s="4">
        <v>6100</v>
      </c>
      <c r="G23" s="21">
        <v>43930</v>
      </c>
      <c r="H23" s="4">
        <v>289360</v>
      </c>
      <c r="I23" s="4">
        <v>6100</v>
      </c>
      <c r="J23" s="4">
        <f>E23-H23</f>
        <v>110640</v>
      </c>
      <c r="K23" s="4">
        <v>6100</v>
      </c>
    </row>
    <row r="24" spans="1:12" ht="18" hidden="1" customHeight="1">
      <c r="A24" s="18" t="s">
        <v>13</v>
      </c>
      <c r="B24" s="2" t="s">
        <v>18</v>
      </c>
      <c r="C24" s="2" t="s">
        <v>21</v>
      </c>
      <c r="D24" s="2" t="s">
        <v>20</v>
      </c>
      <c r="E24" s="4">
        <v>400000</v>
      </c>
      <c r="F24" s="4">
        <v>6100</v>
      </c>
      <c r="G24" s="21">
        <v>43931</v>
      </c>
      <c r="H24" s="4">
        <v>74120</v>
      </c>
      <c r="I24" s="4">
        <v>6100</v>
      </c>
      <c r="J24" s="4">
        <f>J23-H24</f>
        <v>36520</v>
      </c>
      <c r="K24" s="4">
        <v>6100</v>
      </c>
    </row>
    <row r="25" spans="1:12" ht="18" hidden="1" customHeight="1">
      <c r="A25" s="18" t="s">
        <v>13</v>
      </c>
      <c r="B25" s="2" t="s">
        <v>18</v>
      </c>
      <c r="C25" s="2" t="s">
        <v>21</v>
      </c>
      <c r="D25" s="2" t="s">
        <v>20</v>
      </c>
      <c r="E25" s="4">
        <v>400000</v>
      </c>
      <c r="F25" s="4">
        <v>6100</v>
      </c>
      <c r="G25" s="21">
        <v>43932</v>
      </c>
      <c r="H25" s="4">
        <v>36520</v>
      </c>
      <c r="I25" s="4">
        <v>6100</v>
      </c>
      <c r="J25" s="4">
        <f>J24-H25</f>
        <v>0</v>
      </c>
      <c r="K25" s="4">
        <v>6100</v>
      </c>
    </row>
    <row r="26" spans="1:12" ht="18" hidden="1" customHeight="1">
      <c r="A26" s="18" t="s">
        <v>13</v>
      </c>
      <c r="B26" s="2"/>
      <c r="C26" s="2"/>
      <c r="D26" s="2"/>
      <c r="E26" s="4"/>
      <c r="F26" s="4"/>
      <c r="G26" s="21"/>
      <c r="H26" s="4"/>
      <c r="I26" s="4"/>
      <c r="J26" s="4"/>
      <c r="K26" s="4"/>
    </row>
    <row r="27" spans="1:12" ht="18" hidden="1" customHeight="1">
      <c r="A27" s="18" t="s">
        <v>13</v>
      </c>
      <c r="B27" s="2"/>
      <c r="C27" s="2"/>
      <c r="D27" s="2"/>
      <c r="E27" s="4"/>
      <c r="F27" s="4"/>
      <c r="G27" s="21"/>
      <c r="H27" s="4"/>
      <c r="I27" s="4"/>
      <c r="J27" s="4"/>
      <c r="K27" s="4"/>
    </row>
    <row r="28" spans="1:12" s="31" customFormat="1" ht="18" hidden="1" customHeight="1">
      <c r="A28" s="18" t="s">
        <v>13</v>
      </c>
      <c r="B28" s="28"/>
      <c r="C28" s="28"/>
      <c r="D28" s="28"/>
      <c r="E28" s="29">
        <v>400000</v>
      </c>
      <c r="F28" s="29"/>
      <c r="G28" s="30"/>
      <c r="H28" s="29">
        <f>SUM(H23:H25)</f>
        <v>400000</v>
      </c>
      <c r="I28" s="29"/>
      <c r="J28" s="29">
        <f>E28-H28</f>
        <v>0</v>
      </c>
      <c r="K28" s="29"/>
    </row>
    <row r="29" spans="1:12" ht="18" hidden="1" customHeight="1">
      <c r="A29" s="18" t="s">
        <v>13</v>
      </c>
      <c r="B29" s="2" t="s">
        <v>18</v>
      </c>
      <c r="C29" s="2"/>
      <c r="D29" s="2" t="s">
        <v>20</v>
      </c>
      <c r="E29" s="37">
        <v>1000000</v>
      </c>
      <c r="F29" s="4">
        <v>5620</v>
      </c>
      <c r="G29" s="21">
        <v>43958</v>
      </c>
      <c r="H29" s="4">
        <v>65560</v>
      </c>
      <c r="I29" s="4">
        <v>5620</v>
      </c>
      <c r="J29" s="4">
        <f>E29-H29</f>
        <v>934440</v>
      </c>
      <c r="K29" s="4">
        <v>5620</v>
      </c>
      <c r="L29" s="1" t="s">
        <v>22</v>
      </c>
    </row>
    <row r="30" spans="1:12" ht="18" hidden="1" customHeight="1">
      <c r="A30" s="18" t="s">
        <v>13</v>
      </c>
      <c r="B30" s="2" t="s">
        <v>18</v>
      </c>
      <c r="C30" s="2"/>
      <c r="D30" s="2" t="s">
        <v>20</v>
      </c>
      <c r="E30" s="37">
        <v>1000000</v>
      </c>
      <c r="F30" s="4">
        <v>5620</v>
      </c>
      <c r="G30" s="21">
        <v>43959</v>
      </c>
      <c r="H30" s="4">
        <v>34910</v>
      </c>
      <c r="I30" s="4">
        <v>5620</v>
      </c>
      <c r="J30" s="4">
        <f>J29-H30</f>
        <v>899530</v>
      </c>
      <c r="K30" s="4">
        <v>5620</v>
      </c>
      <c r="L30" s="1" t="s">
        <v>22</v>
      </c>
    </row>
    <row r="31" spans="1:12" ht="18" hidden="1" customHeight="1">
      <c r="A31" s="18" t="s">
        <v>13</v>
      </c>
      <c r="B31" s="2" t="s">
        <v>18</v>
      </c>
      <c r="C31" s="2"/>
      <c r="D31" s="2" t="s">
        <v>20</v>
      </c>
      <c r="E31" s="37">
        <v>1000000</v>
      </c>
      <c r="F31" s="4">
        <v>5620</v>
      </c>
      <c r="G31" s="21">
        <v>43960</v>
      </c>
      <c r="H31" s="4">
        <v>33440</v>
      </c>
      <c r="I31" s="4">
        <v>5620</v>
      </c>
      <c r="J31" s="4">
        <f t="shared" ref="J31:J39" si="3">J30-H31</f>
        <v>866090</v>
      </c>
      <c r="K31" s="4">
        <v>5620</v>
      </c>
      <c r="L31" s="1" t="s">
        <v>22</v>
      </c>
    </row>
    <row r="32" spans="1:12" ht="18" hidden="1" customHeight="1">
      <c r="A32" s="18" t="s">
        <v>13</v>
      </c>
      <c r="B32" s="2" t="s">
        <v>18</v>
      </c>
      <c r="C32" s="2"/>
      <c r="D32" s="2" t="s">
        <v>20</v>
      </c>
      <c r="E32" s="37">
        <v>1000000</v>
      </c>
      <c r="F32" s="4">
        <v>5620</v>
      </c>
      <c r="G32" s="21">
        <v>43962</v>
      </c>
      <c r="H32" s="4">
        <v>34490</v>
      </c>
      <c r="I32" s="4">
        <v>5620</v>
      </c>
      <c r="J32" s="4">
        <f t="shared" si="3"/>
        <v>831600</v>
      </c>
      <c r="K32" s="4">
        <v>5620</v>
      </c>
      <c r="L32" s="1" t="s">
        <v>22</v>
      </c>
    </row>
    <row r="33" spans="1:12" ht="18" hidden="1" customHeight="1">
      <c r="A33" s="18" t="s">
        <v>13</v>
      </c>
      <c r="B33" s="2" t="s">
        <v>18</v>
      </c>
      <c r="C33" s="2"/>
      <c r="D33" s="2" t="s">
        <v>20</v>
      </c>
      <c r="E33" s="37">
        <v>1000000</v>
      </c>
      <c r="F33" s="4">
        <v>5620</v>
      </c>
      <c r="G33" s="21">
        <v>43963</v>
      </c>
      <c r="H33" s="4">
        <v>33950</v>
      </c>
      <c r="I33" s="4">
        <v>5620</v>
      </c>
      <c r="J33" s="4">
        <f t="shared" si="3"/>
        <v>797650</v>
      </c>
      <c r="K33" s="4">
        <v>5620</v>
      </c>
      <c r="L33" s="1" t="s">
        <v>22</v>
      </c>
    </row>
    <row r="34" spans="1:12" ht="18" hidden="1" customHeight="1">
      <c r="A34" s="18" t="s">
        <v>13</v>
      </c>
      <c r="B34" s="2" t="s">
        <v>18</v>
      </c>
      <c r="C34" s="2"/>
      <c r="D34" s="2" t="s">
        <v>20</v>
      </c>
      <c r="E34" s="37">
        <v>1000000</v>
      </c>
      <c r="F34" s="4">
        <v>5620</v>
      </c>
      <c r="G34" s="21">
        <v>43964</v>
      </c>
      <c r="H34" s="4">
        <v>65030</v>
      </c>
      <c r="I34" s="4">
        <v>5620</v>
      </c>
      <c r="J34" s="4">
        <f t="shared" si="3"/>
        <v>732620</v>
      </c>
      <c r="K34" s="4">
        <v>5620</v>
      </c>
      <c r="L34" s="1" t="s">
        <v>22</v>
      </c>
    </row>
    <row r="35" spans="1:12" ht="18" hidden="1" customHeight="1">
      <c r="A35" s="18" t="s">
        <v>13</v>
      </c>
      <c r="B35" s="2" t="s">
        <v>18</v>
      </c>
      <c r="C35" s="2"/>
      <c r="D35" s="2" t="s">
        <v>20</v>
      </c>
      <c r="E35" s="37">
        <v>1000000</v>
      </c>
      <c r="F35" s="4">
        <v>5620</v>
      </c>
      <c r="G35" s="21">
        <v>43965</v>
      </c>
      <c r="H35" s="4">
        <v>31370</v>
      </c>
      <c r="I35" s="4">
        <v>5620</v>
      </c>
      <c r="J35" s="4">
        <f t="shared" si="3"/>
        <v>701250</v>
      </c>
      <c r="K35" s="4">
        <v>5620</v>
      </c>
      <c r="L35" s="1" t="s">
        <v>22</v>
      </c>
    </row>
    <row r="36" spans="1:12" ht="18" hidden="1" customHeight="1">
      <c r="A36" s="18" t="s">
        <v>13</v>
      </c>
      <c r="B36" s="2" t="s">
        <v>18</v>
      </c>
      <c r="C36" s="2"/>
      <c r="D36" s="2" t="s">
        <v>20</v>
      </c>
      <c r="E36" s="37">
        <v>1000000</v>
      </c>
      <c r="F36" s="4">
        <v>5620</v>
      </c>
      <c r="G36" s="21">
        <v>43966</v>
      </c>
      <c r="H36" s="4">
        <v>61230</v>
      </c>
      <c r="I36" s="4">
        <v>5620</v>
      </c>
      <c r="J36" s="4">
        <f t="shared" si="3"/>
        <v>640020</v>
      </c>
      <c r="K36" s="4">
        <v>5620</v>
      </c>
      <c r="L36" s="1" t="s">
        <v>22</v>
      </c>
    </row>
    <row r="37" spans="1:12" ht="18" hidden="1" customHeight="1">
      <c r="A37" s="18" t="s">
        <v>13</v>
      </c>
      <c r="B37" s="2" t="s">
        <v>18</v>
      </c>
      <c r="C37" s="2"/>
      <c r="D37" s="2" t="s">
        <v>20</v>
      </c>
      <c r="E37" s="37">
        <v>1000000</v>
      </c>
      <c r="F37" s="4">
        <v>5620</v>
      </c>
      <c r="G37" s="21">
        <v>43970</v>
      </c>
      <c r="H37" s="4">
        <v>32310</v>
      </c>
      <c r="I37" s="4">
        <v>5620</v>
      </c>
      <c r="J37" s="4">
        <f t="shared" si="3"/>
        <v>607710</v>
      </c>
      <c r="K37" s="4">
        <v>5620</v>
      </c>
      <c r="L37" s="1" t="s">
        <v>22</v>
      </c>
    </row>
    <row r="38" spans="1:12" ht="18" hidden="1" customHeight="1">
      <c r="A38" s="18" t="s">
        <v>13</v>
      </c>
      <c r="B38" s="2" t="s">
        <v>18</v>
      </c>
      <c r="C38" s="2"/>
      <c r="D38" s="2" t="s">
        <v>20</v>
      </c>
      <c r="E38" s="37">
        <v>1000000</v>
      </c>
      <c r="F38" s="4">
        <v>5620</v>
      </c>
      <c r="G38" s="21">
        <v>43971</v>
      </c>
      <c r="H38" s="4">
        <v>34070</v>
      </c>
      <c r="I38" s="4">
        <v>5620</v>
      </c>
      <c r="J38" s="4">
        <f t="shared" si="3"/>
        <v>573640</v>
      </c>
      <c r="K38" s="4">
        <v>5620</v>
      </c>
      <c r="L38" s="1" t="s">
        <v>22</v>
      </c>
    </row>
    <row r="39" spans="1:12" ht="18" hidden="1" customHeight="1">
      <c r="A39" s="18" t="s">
        <v>13</v>
      </c>
      <c r="B39" s="2" t="s">
        <v>18</v>
      </c>
      <c r="C39" s="2"/>
      <c r="D39" s="2" t="s">
        <v>20</v>
      </c>
      <c r="E39" s="37">
        <v>1000000</v>
      </c>
      <c r="F39" s="4">
        <v>5620</v>
      </c>
      <c r="G39" s="21">
        <v>43981</v>
      </c>
      <c r="H39" s="4">
        <v>60670</v>
      </c>
      <c r="I39" s="4">
        <v>5620</v>
      </c>
      <c r="J39" s="4">
        <f t="shared" si="3"/>
        <v>512970</v>
      </c>
      <c r="K39" s="4">
        <v>5620</v>
      </c>
      <c r="L39" s="1" t="s">
        <v>22</v>
      </c>
    </row>
    <row r="40" spans="1:12" ht="18" hidden="1" customHeight="1">
      <c r="A40" s="18" t="s">
        <v>13</v>
      </c>
      <c r="B40" s="2" t="s">
        <v>18</v>
      </c>
      <c r="C40" s="2"/>
      <c r="D40" s="2" t="s">
        <v>20</v>
      </c>
      <c r="E40" s="37">
        <v>1000000</v>
      </c>
      <c r="F40" s="4">
        <v>5620</v>
      </c>
      <c r="G40" s="21">
        <v>43983</v>
      </c>
      <c r="H40" s="4">
        <v>61010</v>
      </c>
      <c r="I40" s="4">
        <v>5620</v>
      </c>
      <c r="J40" s="4">
        <f t="shared" ref="J40:J48" si="4">J39-H40</f>
        <v>451960</v>
      </c>
      <c r="K40" s="4">
        <v>5620</v>
      </c>
      <c r="L40" s="1" t="s">
        <v>22</v>
      </c>
    </row>
    <row r="41" spans="1:12" ht="18" hidden="1" customHeight="1">
      <c r="A41" s="18" t="s">
        <v>13</v>
      </c>
      <c r="B41" s="2" t="s">
        <v>18</v>
      </c>
      <c r="C41" s="2"/>
      <c r="D41" s="2" t="s">
        <v>20</v>
      </c>
      <c r="E41" s="37">
        <v>1000000</v>
      </c>
      <c r="F41" s="4">
        <v>5620</v>
      </c>
      <c r="G41" s="21">
        <v>43984</v>
      </c>
      <c r="H41" s="4">
        <v>61270</v>
      </c>
      <c r="I41" s="4">
        <v>5620</v>
      </c>
      <c r="J41" s="4">
        <f t="shared" si="4"/>
        <v>390690</v>
      </c>
      <c r="K41" s="4">
        <v>5620</v>
      </c>
      <c r="L41" s="1" t="s">
        <v>22</v>
      </c>
    </row>
    <row r="42" spans="1:12" ht="18" hidden="1" customHeight="1">
      <c r="A42" s="18" t="s">
        <v>13</v>
      </c>
      <c r="B42" s="2" t="s">
        <v>18</v>
      </c>
      <c r="C42" s="2"/>
      <c r="D42" s="2" t="s">
        <v>20</v>
      </c>
      <c r="E42" s="37">
        <v>1000000</v>
      </c>
      <c r="F42" s="4">
        <v>5620</v>
      </c>
      <c r="G42" s="21">
        <v>43986</v>
      </c>
      <c r="H42" s="4">
        <v>60410</v>
      </c>
      <c r="I42" s="4">
        <v>5620</v>
      </c>
      <c r="J42" s="4">
        <f t="shared" si="4"/>
        <v>330280</v>
      </c>
      <c r="K42" s="4">
        <v>5620</v>
      </c>
      <c r="L42" s="1" t="s">
        <v>22</v>
      </c>
    </row>
    <row r="43" spans="1:12" ht="18" hidden="1" customHeight="1">
      <c r="A43" s="18" t="s">
        <v>13</v>
      </c>
      <c r="B43" s="2" t="s">
        <v>18</v>
      </c>
      <c r="C43" s="2"/>
      <c r="D43" s="2" t="s">
        <v>20</v>
      </c>
      <c r="E43" s="37">
        <v>1000000</v>
      </c>
      <c r="F43" s="4">
        <v>5620</v>
      </c>
      <c r="G43" s="21">
        <v>43987</v>
      </c>
      <c r="H43" s="4">
        <v>63150</v>
      </c>
      <c r="I43" s="4">
        <v>5620</v>
      </c>
      <c r="J43" s="4">
        <f t="shared" si="4"/>
        <v>267130</v>
      </c>
      <c r="K43" s="4">
        <v>5620</v>
      </c>
      <c r="L43" s="1" t="s">
        <v>22</v>
      </c>
    </row>
    <row r="44" spans="1:12" ht="18" hidden="1" customHeight="1">
      <c r="A44" s="18" t="s">
        <v>13</v>
      </c>
      <c r="B44" s="2" t="s">
        <v>18</v>
      </c>
      <c r="C44" s="2"/>
      <c r="D44" s="2" t="s">
        <v>20</v>
      </c>
      <c r="E44" s="37">
        <v>1000000</v>
      </c>
      <c r="F44" s="4">
        <v>5620</v>
      </c>
      <c r="G44" s="21">
        <v>43988</v>
      </c>
      <c r="H44" s="4">
        <v>60480</v>
      </c>
      <c r="I44" s="4">
        <v>5620</v>
      </c>
      <c r="J44" s="4">
        <f t="shared" si="4"/>
        <v>206650</v>
      </c>
      <c r="K44" s="4">
        <v>5620</v>
      </c>
      <c r="L44" s="1" t="s">
        <v>22</v>
      </c>
    </row>
    <row r="45" spans="1:12" ht="18" hidden="1" customHeight="1">
      <c r="A45" s="18" t="s">
        <v>13</v>
      </c>
      <c r="B45" s="2" t="s">
        <v>18</v>
      </c>
      <c r="C45" s="2"/>
      <c r="D45" s="2" t="s">
        <v>20</v>
      </c>
      <c r="E45" s="37">
        <v>1000000</v>
      </c>
      <c r="F45" s="4">
        <v>5620</v>
      </c>
      <c r="G45" s="21">
        <v>43990</v>
      </c>
      <c r="H45" s="4">
        <v>59410</v>
      </c>
      <c r="I45" s="4">
        <v>5620</v>
      </c>
      <c r="J45" s="4">
        <f t="shared" si="4"/>
        <v>147240</v>
      </c>
      <c r="K45" s="4">
        <v>5620</v>
      </c>
    </row>
    <row r="46" spans="1:12" ht="18" hidden="1" customHeight="1">
      <c r="A46" s="18" t="s">
        <v>13</v>
      </c>
      <c r="B46" s="2" t="s">
        <v>18</v>
      </c>
      <c r="C46" s="2"/>
      <c r="D46" s="2" t="s">
        <v>20</v>
      </c>
      <c r="E46" s="37">
        <v>1000000</v>
      </c>
      <c r="F46" s="4">
        <v>5620</v>
      </c>
      <c r="G46" s="21">
        <v>43991</v>
      </c>
      <c r="H46" s="4">
        <v>27760</v>
      </c>
      <c r="I46" s="4">
        <v>5620</v>
      </c>
      <c r="J46" s="4">
        <f t="shared" si="4"/>
        <v>119480</v>
      </c>
      <c r="K46" s="4">
        <v>5620</v>
      </c>
    </row>
    <row r="47" spans="1:12" ht="18" hidden="1" customHeight="1">
      <c r="A47" s="18" t="s">
        <v>13</v>
      </c>
      <c r="B47" s="2" t="s">
        <v>18</v>
      </c>
      <c r="C47" s="2" t="s">
        <v>13</v>
      </c>
      <c r="D47" s="2" t="s">
        <v>20</v>
      </c>
      <c r="E47" s="37">
        <v>1000000</v>
      </c>
      <c r="F47" s="4">
        <v>5620</v>
      </c>
      <c r="G47" s="40">
        <v>44009</v>
      </c>
      <c r="H47" s="4">
        <v>35350</v>
      </c>
      <c r="I47" s="4">
        <v>5620</v>
      </c>
      <c r="J47" s="4">
        <f t="shared" si="4"/>
        <v>84130</v>
      </c>
      <c r="K47" s="4">
        <v>5620</v>
      </c>
      <c r="L47" s="1" t="s">
        <v>22</v>
      </c>
    </row>
    <row r="48" spans="1:12" ht="18" hidden="1" customHeight="1">
      <c r="A48" s="18" t="s">
        <v>13</v>
      </c>
      <c r="B48" s="2" t="s">
        <v>18</v>
      </c>
      <c r="C48" s="2" t="s">
        <v>13</v>
      </c>
      <c r="D48" s="2" t="s">
        <v>20</v>
      </c>
      <c r="E48" s="36">
        <v>1600000</v>
      </c>
      <c r="F48" s="4">
        <v>5620</v>
      </c>
      <c r="G48" s="21">
        <v>44011</v>
      </c>
      <c r="H48" s="4">
        <f>34860+29840</f>
        <v>64700</v>
      </c>
      <c r="I48" s="4">
        <v>5620</v>
      </c>
      <c r="J48" s="25">
        <f t="shared" si="4"/>
        <v>19430</v>
      </c>
      <c r="K48" s="4">
        <v>5620</v>
      </c>
      <c r="L48" s="1" t="s">
        <v>88</v>
      </c>
    </row>
    <row r="49" spans="1:14" ht="18" hidden="1" customHeight="1">
      <c r="A49" s="18" t="s">
        <v>13</v>
      </c>
      <c r="B49" s="2" t="s">
        <v>18</v>
      </c>
      <c r="C49" s="2" t="s">
        <v>13</v>
      </c>
      <c r="D49" s="2" t="s">
        <v>20</v>
      </c>
      <c r="E49" s="36">
        <v>1600000</v>
      </c>
      <c r="F49" s="4">
        <v>5620</v>
      </c>
      <c r="G49" s="40">
        <v>44012</v>
      </c>
      <c r="H49" s="4">
        <f>30300+33580</f>
        <v>63880</v>
      </c>
      <c r="I49" s="4">
        <v>5620</v>
      </c>
      <c r="J49" s="4">
        <f>E49-H49</f>
        <v>1536120</v>
      </c>
      <c r="K49" s="4">
        <v>5620</v>
      </c>
    </row>
    <row r="50" spans="1:14" ht="18" hidden="1" customHeight="1">
      <c r="A50" s="18"/>
      <c r="B50" s="2"/>
      <c r="C50" s="2" t="s">
        <v>13</v>
      </c>
      <c r="D50" s="2" t="s">
        <v>20</v>
      </c>
      <c r="E50" s="36">
        <v>1600000</v>
      </c>
      <c r="F50" s="4">
        <v>5620</v>
      </c>
      <c r="G50" s="40">
        <v>44013</v>
      </c>
      <c r="H50" s="4">
        <f>34160+31250+31900</f>
        <v>97310</v>
      </c>
      <c r="I50" s="4">
        <v>5620</v>
      </c>
      <c r="J50" s="4">
        <f>J49-H50</f>
        <v>1438810</v>
      </c>
      <c r="K50" s="4">
        <f>E50*F50</f>
        <v>8992000000</v>
      </c>
      <c r="L50" s="1" t="s">
        <v>23</v>
      </c>
    </row>
    <row r="51" spans="1:14" ht="18" hidden="1" customHeight="1">
      <c r="A51" s="18"/>
      <c r="B51" s="2"/>
      <c r="C51" s="2" t="s">
        <v>13</v>
      </c>
      <c r="D51" s="2" t="s">
        <v>20</v>
      </c>
      <c r="E51" s="36">
        <v>1600000</v>
      </c>
      <c r="F51" s="4"/>
      <c r="G51" s="40">
        <v>44014</v>
      </c>
      <c r="H51" s="4">
        <v>34750</v>
      </c>
      <c r="I51" s="4">
        <v>5620</v>
      </c>
      <c r="J51" s="4">
        <f t="shared" ref="J51:J69" si="5">J50-H51</f>
        <v>1404060</v>
      </c>
      <c r="K51" s="4"/>
    </row>
    <row r="52" spans="1:14" ht="18" hidden="1" customHeight="1">
      <c r="A52" s="18"/>
      <c r="B52" s="2"/>
      <c r="C52" s="2"/>
      <c r="D52" s="2"/>
      <c r="E52" s="36">
        <v>1600000</v>
      </c>
      <c r="F52" s="4"/>
      <c r="G52" s="40">
        <v>44021</v>
      </c>
      <c r="H52" s="25">
        <f>35090+35635</f>
        <v>70725</v>
      </c>
      <c r="I52" s="4">
        <v>5620</v>
      </c>
      <c r="J52" s="4">
        <f t="shared" si="5"/>
        <v>1333335</v>
      </c>
      <c r="K52" s="4"/>
      <c r="L52" s="27" t="s">
        <v>84</v>
      </c>
      <c r="M52" s="27"/>
      <c r="N52" s="27"/>
    </row>
    <row r="53" spans="1:14" ht="18" hidden="1" customHeight="1">
      <c r="A53" s="18"/>
      <c r="B53" s="2"/>
      <c r="C53" s="2"/>
      <c r="D53" s="2"/>
      <c r="E53" s="36">
        <v>1600000</v>
      </c>
      <c r="F53" s="4"/>
      <c r="G53" s="40">
        <v>44025</v>
      </c>
      <c r="H53" s="4">
        <f>30130+30130+30110</f>
        <v>90370</v>
      </c>
      <c r="I53" s="4"/>
      <c r="J53" s="4">
        <f t="shared" si="5"/>
        <v>1242965</v>
      </c>
      <c r="K53" s="4"/>
      <c r="L53" s="27"/>
      <c r="M53" s="27"/>
      <c r="N53" s="27"/>
    </row>
    <row r="54" spans="1:14" ht="18" hidden="1" customHeight="1">
      <c r="A54" s="18"/>
      <c r="B54" s="2"/>
      <c r="C54" s="2"/>
      <c r="D54" s="2"/>
      <c r="E54" s="36">
        <v>1600000</v>
      </c>
      <c r="F54" s="4"/>
      <c r="G54" s="40">
        <v>44027</v>
      </c>
      <c r="H54" s="4">
        <v>34440</v>
      </c>
      <c r="I54" s="4"/>
      <c r="J54" s="4">
        <f t="shared" si="5"/>
        <v>1208525</v>
      </c>
      <c r="K54" s="4"/>
      <c r="L54" s="27"/>
      <c r="M54" s="27"/>
      <c r="N54" s="27"/>
    </row>
    <row r="55" spans="1:14" ht="18" hidden="1" customHeight="1">
      <c r="A55" s="18"/>
      <c r="B55" s="2"/>
      <c r="C55" s="2"/>
      <c r="D55" s="2"/>
      <c r="E55" s="36">
        <v>1600000</v>
      </c>
      <c r="F55" s="4"/>
      <c r="G55" s="40">
        <v>44029</v>
      </c>
      <c r="H55" s="4">
        <f>30540+32490</f>
        <v>63030</v>
      </c>
      <c r="I55" s="4"/>
      <c r="J55" s="4">
        <f t="shared" si="5"/>
        <v>1145495</v>
      </c>
      <c r="K55" s="4"/>
      <c r="L55" s="27"/>
      <c r="M55" s="27"/>
      <c r="N55" s="27"/>
    </row>
    <row r="56" spans="1:14" ht="18" hidden="1" customHeight="1">
      <c r="A56" s="18"/>
      <c r="B56" s="2"/>
      <c r="C56" s="2"/>
      <c r="D56" s="2"/>
      <c r="E56" s="36">
        <v>1600000</v>
      </c>
      <c r="F56" s="4"/>
      <c r="G56" s="40">
        <v>44030</v>
      </c>
      <c r="H56" s="4">
        <f>32580+30340</f>
        <v>62920</v>
      </c>
      <c r="I56" s="4"/>
      <c r="J56" s="4">
        <f t="shared" si="5"/>
        <v>1082575</v>
      </c>
      <c r="K56" s="4"/>
    </row>
    <row r="57" spans="1:14" ht="18" hidden="1" customHeight="1">
      <c r="A57" s="18"/>
      <c r="B57" s="2"/>
      <c r="C57" s="2"/>
      <c r="D57" s="2"/>
      <c r="E57" s="36"/>
      <c r="F57" s="4"/>
      <c r="G57" s="40">
        <v>44032</v>
      </c>
      <c r="H57" s="4">
        <f>29560+29780</f>
        <v>59340</v>
      </c>
      <c r="I57" s="4"/>
      <c r="J57" s="4">
        <f t="shared" si="5"/>
        <v>1023235</v>
      </c>
      <c r="K57" s="4"/>
    </row>
    <row r="58" spans="1:14" ht="18" hidden="1" customHeight="1">
      <c r="A58" s="18"/>
      <c r="B58" s="2"/>
      <c r="C58" s="2"/>
      <c r="D58" s="2"/>
      <c r="E58" s="36"/>
      <c r="F58" s="4"/>
      <c r="G58" s="40">
        <v>44033</v>
      </c>
      <c r="H58" s="4">
        <f>30640+30760</f>
        <v>61400</v>
      </c>
      <c r="I58" s="4"/>
      <c r="J58" s="4">
        <f t="shared" si="5"/>
        <v>961835</v>
      </c>
      <c r="K58" s="4"/>
    </row>
    <row r="59" spans="1:14" ht="18" hidden="1" customHeight="1">
      <c r="A59" s="18"/>
      <c r="B59" s="2"/>
      <c r="C59" s="2"/>
      <c r="D59" s="2"/>
      <c r="E59" s="36"/>
      <c r="F59" s="4"/>
      <c r="G59" s="21" t="s">
        <v>89</v>
      </c>
      <c r="H59" s="4">
        <f>32880+30040+30530</f>
        <v>93450</v>
      </c>
      <c r="I59" s="4"/>
      <c r="J59" s="4">
        <f t="shared" si="5"/>
        <v>868385</v>
      </c>
      <c r="K59" s="4"/>
    </row>
    <row r="60" spans="1:14" ht="18" hidden="1" customHeight="1">
      <c r="A60" s="18"/>
      <c r="B60" s="2"/>
      <c r="C60" s="2"/>
      <c r="D60" s="2"/>
      <c r="E60" s="36"/>
      <c r="F60" s="4"/>
      <c r="G60" s="40">
        <v>44037</v>
      </c>
      <c r="H60" s="4">
        <v>34264</v>
      </c>
      <c r="I60" s="4"/>
      <c r="J60" s="4">
        <f t="shared" si="5"/>
        <v>834121</v>
      </c>
      <c r="K60" s="4"/>
    </row>
    <row r="61" spans="1:14" ht="18" hidden="1" customHeight="1">
      <c r="A61" s="18"/>
      <c r="B61" s="2"/>
      <c r="C61" s="2"/>
      <c r="D61" s="2"/>
      <c r="E61" s="36"/>
      <c r="F61" s="4"/>
      <c r="G61" s="40">
        <v>44042</v>
      </c>
      <c r="H61" s="4">
        <f>30200+30150+32840</f>
        <v>93190</v>
      </c>
      <c r="I61" s="4"/>
      <c r="J61" s="4">
        <f t="shared" si="5"/>
        <v>740931</v>
      </c>
      <c r="K61" s="4"/>
    </row>
    <row r="62" spans="1:14" ht="18" hidden="1" customHeight="1">
      <c r="A62" s="18"/>
      <c r="B62" s="2"/>
      <c r="C62" s="2"/>
      <c r="D62" s="2"/>
      <c r="E62" s="36"/>
      <c r="F62" s="4"/>
      <c r="G62" s="40">
        <v>44043</v>
      </c>
      <c r="H62" s="4">
        <f>29820+29840</f>
        <v>59660</v>
      </c>
      <c r="I62" s="4"/>
      <c r="J62" s="4">
        <f t="shared" si="5"/>
        <v>681271</v>
      </c>
      <c r="K62" s="4"/>
    </row>
    <row r="63" spans="1:14" ht="18" hidden="1" customHeight="1">
      <c r="A63" s="18"/>
      <c r="B63" s="2"/>
      <c r="C63" s="2" t="s">
        <v>13</v>
      </c>
      <c r="D63" s="2"/>
      <c r="E63" s="36"/>
      <c r="F63" s="4"/>
      <c r="G63" s="21">
        <v>44044</v>
      </c>
      <c r="H63" s="4">
        <v>31480</v>
      </c>
      <c r="I63" s="4"/>
      <c r="J63" s="4">
        <f t="shared" si="5"/>
        <v>649791</v>
      </c>
      <c r="K63" s="4"/>
      <c r="L63" s="50">
        <f>+J63-260000</f>
        <v>389791</v>
      </c>
    </row>
    <row r="64" spans="1:14" ht="18" hidden="1" customHeight="1">
      <c r="A64" s="18"/>
      <c r="B64" s="2"/>
      <c r="C64" s="2"/>
      <c r="D64" s="2"/>
      <c r="E64" s="36"/>
      <c r="F64" s="4"/>
      <c r="G64" s="21">
        <v>44047</v>
      </c>
      <c r="H64" s="4">
        <f>30560+32660</f>
        <v>63220</v>
      </c>
      <c r="I64" s="4"/>
      <c r="J64" s="4">
        <f t="shared" si="5"/>
        <v>586571</v>
      </c>
      <c r="K64" s="4"/>
      <c r="L64" s="50"/>
    </row>
    <row r="65" spans="1:12" ht="18" hidden="1" customHeight="1">
      <c r="A65" s="18"/>
      <c r="B65" s="2"/>
      <c r="C65" s="2"/>
      <c r="D65" s="2"/>
      <c r="E65" s="36"/>
      <c r="F65" s="4"/>
      <c r="G65" s="21">
        <v>44048</v>
      </c>
      <c r="H65" s="4">
        <f>30220+30750</f>
        <v>60970</v>
      </c>
      <c r="I65" s="4"/>
      <c r="J65" s="4">
        <f t="shared" si="5"/>
        <v>525601</v>
      </c>
      <c r="K65" s="4"/>
    </row>
    <row r="66" spans="1:12" ht="18" hidden="1" customHeight="1">
      <c r="A66" s="18"/>
      <c r="B66" s="2"/>
      <c r="C66" s="2"/>
      <c r="D66" s="2"/>
      <c r="E66" s="36"/>
      <c r="F66" s="4"/>
      <c r="G66" s="21">
        <v>44049</v>
      </c>
      <c r="H66" s="4">
        <f>29710+30260</f>
        <v>59970</v>
      </c>
      <c r="I66" s="4"/>
      <c r="J66" s="4">
        <f t="shared" si="5"/>
        <v>465631</v>
      </c>
      <c r="K66" s="4"/>
    </row>
    <row r="67" spans="1:12" ht="18" hidden="1" customHeight="1">
      <c r="A67" s="18"/>
      <c r="B67" s="2"/>
      <c r="C67" s="2"/>
      <c r="D67" s="2"/>
      <c r="E67" s="36"/>
      <c r="F67" s="4"/>
      <c r="G67" s="21">
        <v>44050</v>
      </c>
      <c r="H67" s="4">
        <f>30260+32750</f>
        <v>63010</v>
      </c>
      <c r="I67" s="4"/>
      <c r="J67" s="4">
        <f t="shared" si="5"/>
        <v>402621</v>
      </c>
      <c r="K67" s="4"/>
    </row>
    <row r="68" spans="1:12" ht="18" hidden="1" customHeight="1">
      <c r="A68" s="18"/>
      <c r="B68" s="2"/>
      <c r="C68" s="2"/>
      <c r="D68" s="2"/>
      <c r="E68" s="36"/>
      <c r="F68" s="4"/>
      <c r="G68" s="40">
        <v>44051</v>
      </c>
      <c r="H68" s="4">
        <v>33980</v>
      </c>
      <c r="I68" s="4"/>
      <c r="J68" s="4">
        <f t="shared" si="5"/>
        <v>368641</v>
      </c>
      <c r="K68" s="4"/>
    </row>
    <row r="69" spans="1:12" ht="18" hidden="1" customHeight="1">
      <c r="A69" s="18"/>
      <c r="B69" s="2"/>
      <c r="C69" s="2"/>
      <c r="D69" s="2"/>
      <c r="E69" s="36"/>
      <c r="F69" s="4"/>
      <c r="G69" s="40">
        <v>44054</v>
      </c>
      <c r="H69" s="4">
        <f>34570+32640</f>
        <v>67210</v>
      </c>
      <c r="I69" s="4"/>
      <c r="J69" s="4">
        <f t="shared" si="5"/>
        <v>301431</v>
      </c>
      <c r="K69" s="4"/>
    </row>
    <row r="70" spans="1:12" ht="18" hidden="1" customHeight="1">
      <c r="A70" s="18"/>
      <c r="B70" s="2"/>
      <c r="C70" s="60"/>
      <c r="D70" s="60" t="s">
        <v>157</v>
      </c>
      <c r="E70" s="79">
        <v>66000</v>
      </c>
      <c r="F70" s="49">
        <v>6200</v>
      </c>
      <c r="G70" s="66"/>
      <c r="H70" s="49"/>
      <c r="I70" s="49"/>
      <c r="J70" s="49">
        <v>66000</v>
      </c>
      <c r="K70" s="49"/>
      <c r="L70" s="15" t="s">
        <v>133</v>
      </c>
    </row>
    <row r="71" spans="1:12" ht="18" hidden="1" customHeight="1">
      <c r="A71" s="18"/>
      <c r="B71" s="2"/>
      <c r="C71" s="2"/>
      <c r="D71" s="2"/>
      <c r="E71" s="36"/>
      <c r="F71" s="4"/>
      <c r="G71" s="40" t="s">
        <v>156</v>
      </c>
      <c r="H71" s="4">
        <v>31840</v>
      </c>
      <c r="I71" s="4"/>
      <c r="J71" s="4">
        <f>+J70-H71</f>
        <v>34160</v>
      </c>
      <c r="K71" s="4"/>
    </row>
    <row r="72" spans="1:12" ht="18" hidden="1" customHeight="1">
      <c r="A72" s="18"/>
      <c r="B72" s="2"/>
      <c r="C72" s="2"/>
      <c r="D72" s="2"/>
      <c r="E72" s="36"/>
      <c r="F72" s="4"/>
      <c r="G72" s="40" t="s">
        <v>156</v>
      </c>
      <c r="H72" s="4">
        <v>31920</v>
      </c>
      <c r="I72" s="4"/>
      <c r="J72" s="4">
        <f>+J71-H72</f>
        <v>2240</v>
      </c>
      <c r="K72" s="4"/>
    </row>
    <row r="73" spans="1:12" ht="18" hidden="1" customHeight="1">
      <c r="A73" s="18"/>
      <c r="B73" s="2"/>
      <c r="C73" s="2"/>
      <c r="D73" s="2"/>
      <c r="E73" s="36"/>
      <c r="F73" s="4"/>
      <c r="G73" s="40"/>
      <c r="H73" s="4"/>
      <c r="I73" s="4"/>
      <c r="J73" s="4"/>
      <c r="K73" s="4"/>
    </row>
    <row r="74" spans="1:12" ht="18" hidden="1" customHeight="1">
      <c r="A74" s="18"/>
      <c r="B74" s="2"/>
      <c r="C74" s="2"/>
      <c r="D74" s="2"/>
      <c r="E74" s="36"/>
      <c r="F74" s="4"/>
      <c r="G74" s="40"/>
      <c r="H74" s="4"/>
      <c r="I74" s="4"/>
      <c r="J74" s="4"/>
      <c r="K74" s="4"/>
    </row>
    <row r="75" spans="1:12" ht="18" hidden="1" customHeight="1">
      <c r="A75" s="18"/>
      <c r="B75" s="2"/>
      <c r="C75" s="2"/>
      <c r="D75" s="2"/>
      <c r="E75" s="36"/>
      <c r="F75" s="4"/>
      <c r="G75" s="40"/>
      <c r="H75" s="4"/>
      <c r="I75" s="4"/>
      <c r="J75" s="4"/>
      <c r="K75" s="4"/>
    </row>
    <row r="76" spans="1:12" ht="18" hidden="1" customHeight="1">
      <c r="A76" s="18"/>
      <c r="B76" s="2"/>
      <c r="C76" s="56" t="s">
        <v>13</v>
      </c>
      <c r="D76" s="56" t="s">
        <v>20</v>
      </c>
      <c r="E76" s="57">
        <v>600000</v>
      </c>
      <c r="F76" s="57">
        <v>4750</v>
      </c>
      <c r="G76" s="58"/>
      <c r="H76" s="57"/>
      <c r="I76" s="57"/>
      <c r="J76" s="57">
        <f t="shared" ref="J76" si="6">E76-H76</f>
        <v>600000</v>
      </c>
      <c r="K76" s="57">
        <v>4750</v>
      </c>
      <c r="L76" s="1" t="s">
        <v>77</v>
      </c>
    </row>
    <row r="77" spans="1:12" ht="18" hidden="1" customHeight="1">
      <c r="A77" s="89"/>
      <c r="B77" s="39"/>
      <c r="C77" s="60"/>
      <c r="D77" s="60"/>
      <c r="E77" s="49"/>
      <c r="F77" s="49"/>
      <c r="G77" s="66" t="s">
        <v>173</v>
      </c>
      <c r="H77" s="4">
        <v>45680</v>
      </c>
      <c r="I77" s="4">
        <v>4750</v>
      </c>
      <c r="J77" s="49">
        <f>+E76-H77</f>
        <v>554320</v>
      </c>
      <c r="K77" s="49"/>
    </row>
    <row r="78" spans="1:12" ht="18" hidden="1" customHeight="1">
      <c r="A78" s="89"/>
      <c r="B78" s="39"/>
      <c r="C78" s="60"/>
      <c r="D78" s="60"/>
      <c r="E78" s="49"/>
      <c r="F78" s="49"/>
      <c r="G78" s="61"/>
      <c r="H78" s="4">
        <v>35100</v>
      </c>
      <c r="I78" s="4">
        <v>4750</v>
      </c>
      <c r="J78" s="49">
        <f>+J77-H78</f>
        <v>519220</v>
      </c>
      <c r="K78" s="49"/>
    </row>
    <row r="79" spans="1:12" ht="18" hidden="1" customHeight="1">
      <c r="A79" s="89"/>
      <c r="B79" s="39"/>
      <c r="C79" s="60"/>
      <c r="D79" s="60"/>
      <c r="E79" s="49"/>
      <c r="F79" s="49"/>
      <c r="G79" s="61"/>
      <c r="H79" s="4">
        <v>42400</v>
      </c>
      <c r="I79" s="4">
        <v>4750</v>
      </c>
      <c r="J79" s="49">
        <f t="shared" ref="J79:J95" si="7">+J78-H79</f>
        <v>476820</v>
      </c>
      <c r="K79" s="49"/>
    </row>
    <row r="80" spans="1:12" ht="18" hidden="1" customHeight="1">
      <c r="A80" s="89"/>
      <c r="B80" s="39"/>
      <c r="C80" s="60"/>
      <c r="D80" s="60"/>
      <c r="E80" s="49"/>
      <c r="F80" s="49"/>
      <c r="G80" s="40" t="s">
        <v>175</v>
      </c>
      <c r="H80" s="4">
        <v>31960</v>
      </c>
      <c r="I80" s="4">
        <v>4750</v>
      </c>
      <c r="J80" s="49">
        <f t="shared" si="7"/>
        <v>444860</v>
      </c>
      <c r="K80" s="49"/>
    </row>
    <row r="81" spans="1:14" ht="18" hidden="1" customHeight="1">
      <c r="A81" s="91"/>
      <c r="B81" s="39"/>
      <c r="C81" s="60"/>
      <c r="D81" s="60"/>
      <c r="E81" s="49"/>
      <c r="F81" s="49"/>
      <c r="G81" s="40"/>
      <c r="H81" s="4">
        <v>29970</v>
      </c>
      <c r="I81" s="4">
        <v>4750</v>
      </c>
      <c r="J81" s="49">
        <f t="shared" si="7"/>
        <v>414890</v>
      </c>
      <c r="K81" s="49"/>
    </row>
    <row r="82" spans="1:14" ht="18" hidden="1" customHeight="1">
      <c r="A82" s="91"/>
      <c r="B82" s="39"/>
      <c r="C82" s="60"/>
      <c r="D82" s="60"/>
      <c r="E82" s="49"/>
      <c r="F82" s="49"/>
      <c r="G82" s="40" t="s">
        <v>177</v>
      </c>
      <c r="H82" s="4">
        <v>31820</v>
      </c>
      <c r="I82" s="4">
        <v>4750</v>
      </c>
      <c r="J82" s="49">
        <f t="shared" si="7"/>
        <v>383070</v>
      </c>
      <c r="K82" s="49"/>
    </row>
    <row r="83" spans="1:14" ht="18" hidden="1" customHeight="1">
      <c r="A83" s="91"/>
      <c r="B83" s="39"/>
      <c r="C83" s="60"/>
      <c r="D83" s="60"/>
      <c r="E83" s="49"/>
      <c r="F83" s="49"/>
      <c r="G83" s="40" t="s">
        <v>194</v>
      </c>
      <c r="H83" s="4">
        <v>29620</v>
      </c>
      <c r="I83" s="4">
        <v>4750</v>
      </c>
      <c r="J83" s="49">
        <f t="shared" si="7"/>
        <v>353450</v>
      </c>
      <c r="K83" s="49"/>
    </row>
    <row r="84" spans="1:14" ht="18" hidden="1" customHeight="1">
      <c r="A84" s="89"/>
      <c r="B84" s="39"/>
      <c r="C84" s="60"/>
      <c r="D84" s="60"/>
      <c r="E84" s="49"/>
      <c r="F84" s="49"/>
      <c r="G84" s="40"/>
      <c r="H84" s="4">
        <v>30630</v>
      </c>
      <c r="I84" s="4">
        <v>4750</v>
      </c>
      <c r="J84" s="49">
        <f t="shared" si="7"/>
        <v>322820</v>
      </c>
      <c r="K84" s="49"/>
    </row>
    <row r="85" spans="1:14" ht="18" hidden="1" customHeight="1">
      <c r="A85" s="95"/>
      <c r="B85" s="39"/>
      <c r="C85" s="60"/>
      <c r="D85" s="60"/>
      <c r="E85" s="49"/>
      <c r="F85" s="49"/>
      <c r="G85" s="40" t="s">
        <v>204</v>
      </c>
      <c r="H85" s="4">
        <v>31950</v>
      </c>
      <c r="I85" s="4">
        <v>4750</v>
      </c>
      <c r="J85" s="49">
        <f t="shared" si="7"/>
        <v>290870</v>
      </c>
      <c r="K85" s="49"/>
    </row>
    <row r="86" spans="1:14" ht="18" hidden="1" customHeight="1">
      <c r="A86" s="95"/>
      <c r="B86" s="39"/>
      <c r="C86" s="60"/>
      <c r="D86" s="60"/>
      <c r="E86" s="49"/>
      <c r="F86" s="49"/>
      <c r="G86" s="40"/>
      <c r="H86" s="4">
        <v>31140</v>
      </c>
      <c r="I86" s="4">
        <v>4750</v>
      </c>
      <c r="J86" s="49">
        <f t="shared" si="7"/>
        <v>259730</v>
      </c>
      <c r="K86" s="49"/>
      <c r="L86" s="1">
        <f>+H86*4750</f>
        <v>147915000</v>
      </c>
    </row>
    <row r="87" spans="1:14" ht="18" hidden="1" customHeight="1">
      <c r="A87" s="95"/>
      <c r="B87" s="39"/>
      <c r="C87" s="60"/>
      <c r="D87" s="60"/>
      <c r="E87" s="49"/>
      <c r="F87" s="49"/>
      <c r="G87" s="40" t="s">
        <v>206</v>
      </c>
      <c r="H87" s="4">
        <v>30010</v>
      </c>
      <c r="I87" s="4">
        <v>4750</v>
      </c>
      <c r="J87" s="49">
        <f t="shared" si="7"/>
        <v>229720</v>
      </c>
      <c r="K87" s="49"/>
    </row>
    <row r="88" spans="1:14" ht="18" hidden="1" customHeight="1">
      <c r="A88" s="95"/>
      <c r="B88" s="39"/>
      <c r="C88" s="60"/>
      <c r="D88" s="60"/>
      <c r="E88" s="49"/>
      <c r="F88" s="49"/>
      <c r="G88" s="21"/>
      <c r="H88" s="4">
        <v>31270</v>
      </c>
      <c r="I88" s="4">
        <v>4750</v>
      </c>
      <c r="J88" s="49">
        <f t="shared" si="7"/>
        <v>198450</v>
      </c>
      <c r="K88" s="49"/>
    </row>
    <row r="89" spans="1:14" ht="18" hidden="1" customHeight="1">
      <c r="A89" s="89"/>
      <c r="B89" s="39"/>
      <c r="C89" s="60"/>
      <c r="D89" s="60"/>
      <c r="E89" s="49"/>
      <c r="F89" s="49"/>
      <c r="G89" s="40" t="s">
        <v>230</v>
      </c>
      <c r="H89" s="4">
        <v>31780</v>
      </c>
      <c r="I89" s="4">
        <v>4750</v>
      </c>
      <c r="J89" s="49">
        <f t="shared" si="7"/>
        <v>166670</v>
      </c>
      <c r="K89" s="49"/>
    </row>
    <row r="90" spans="1:14" ht="18" hidden="1" customHeight="1">
      <c r="A90" s="89"/>
      <c r="B90" s="39"/>
      <c r="C90" s="60"/>
      <c r="D90" s="60"/>
      <c r="E90" s="49"/>
      <c r="F90" s="49"/>
      <c r="G90" s="21"/>
      <c r="H90" s="4">
        <v>33940</v>
      </c>
      <c r="I90" s="4">
        <v>4750</v>
      </c>
      <c r="J90" s="49">
        <f t="shared" si="7"/>
        <v>132730</v>
      </c>
      <c r="K90" s="49"/>
    </row>
    <row r="91" spans="1:14" ht="18" hidden="1" customHeight="1">
      <c r="A91" s="109"/>
      <c r="B91" s="39"/>
      <c r="C91" s="60"/>
      <c r="D91" s="60"/>
      <c r="E91" s="49"/>
      <c r="F91" s="49"/>
      <c r="G91" s="40" t="s">
        <v>233</v>
      </c>
      <c r="H91" s="4">
        <v>29800</v>
      </c>
      <c r="I91" s="4">
        <v>4750</v>
      </c>
      <c r="J91" s="49">
        <f t="shared" si="7"/>
        <v>102930</v>
      </c>
      <c r="K91" s="49"/>
    </row>
    <row r="92" spans="1:14" ht="18" hidden="1" customHeight="1">
      <c r="A92" s="109"/>
      <c r="B92" s="39"/>
      <c r="C92" s="60"/>
      <c r="D92" s="60"/>
      <c r="E92" s="49"/>
      <c r="F92" s="49"/>
      <c r="G92" s="40" t="s">
        <v>236</v>
      </c>
      <c r="H92" s="4">
        <v>31570</v>
      </c>
      <c r="I92" s="4">
        <v>4750</v>
      </c>
      <c r="J92" s="49">
        <f t="shared" si="7"/>
        <v>71360</v>
      </c>
      <c r="K92" s="49"/>
    </row>
    <row r="93" spans="1:14" ht="18" hidden="1" customHeight="1">
      <c r="A93" s="109"/>
      <c r="B93" s="39"/>
      <c r="C93" s="60"/>
      <c r="D93" s="60"/>
      <c r="E93" s="49"/>
      <c r="F93" s="49"/>
      <c r="G93" s="21"/>
      <c r="H93" s="4">
        <v>31270</v>
      </c>
      <c r="I93" s="4">
        <v>4750</v>
      </c>
      <c r="J93" s="49">
        <f t="shared" si="7"/>
        <v>40090</v>
      </c>
      <c r="K93" s="49"/>
    </row>
    <row r="94" spans="1:14" ht="18" hidden="1" customHeight="1">
      <c r="A94" s="109"/>
      <c r="B94" s="39"/>
      <c r="C94" s="60"/>
      <c r="D94" s="60"/>
      <c r="E94" s="49"/>
      <c r="F94" s="49"/>
      <c r="G94" s="40" t="s">
        <v>237</v>
      </c>
      <c r="H94" s="4">
        <v>31570</v>
      </c>
      <c r="I94" s="4">
        <v>4750</v>
      </c>
      <c r="J94" s="49">
        <f t="shared" si="7"/>
        <v>8520</v>
      </c>
      <c r="K94" s="49"/>
    </row>
    <row r="95" spans="1:14" ht="18" hidden="1" customHeight="1">
      <c r="A95" s="89"/>
      <c r="B95" s="39"/>
      <c r="C95" s="60"/>
      <c r="D95" s="60"/>
      <c r="E95" s="49"/>
      <c r="F95" s="49"/>
      <c r="G95" s="21"/>
      <c r="H95" s="49"/>
      <c r="I95" s="4">
        <v>4750</v>
      </c>
      <c r="J95" s="49">
        <f t="shared" si="7"/>
        <v>8520</v>
      </c>
      <c r="K95" s="49"/>
    </row>
    <row r="96" spans="1:14" ht="18" hidden="1" customHeight="1">
      <c r="A96" s="89"/>
      <c r="B96" s="39"/>
      <c r="C96" s="293" t="s">
        <v>15</v>
      </c>
      <c r="D96" s="294"/>
      <c r="E96" s="295"/>
      <c r="F96" s="57"/>
      <c r="G96" s="58"/>
      <c r="H96" s="57">
        <f>SUM(H77:H95)</f>
        <v>591480</v>
      </c>
      <c r="I96" s="57">
        <v>4750</v>
      </c>
      <c r="J96" s="57"/>
      <c r="K96" s="57"/>
      <c r="L96" s="50">
        <f>+H96*I96</f>
        <v>2809530000</v>
      </c>
      <c r="M96" s="90">
        <f>13888000+950000000+950000000+950000000</f>
        <v>2863888000</v>
      </c>
      <c r="N96" s="50">
        <f>+M96-L96</f>
        <v>54358000</v>
      </c>
    </row>
    <row r="97" spans="1:12" s="15" customFormat="1" ht="18" hidden="1" customHeight="1">
      <c r="A97" s="291" t="s">
        <v>15</v>
      </c>
      <c r="B97" s="292"/>
      <c r="C97" s="13"/>
      <c r="D97" s="13" t="s">
        <v>20</v>
      </c>
      <c r="E97" s="14">
        <v>600000</v>
      </c>
      <c r="F97" s="14">
        <v>4750</v>
      </c>
      <c r="G97" s="22"/>
      <c r="H97" s="14"/>
      <c r="I97" s="14"/>
      <c r="J97" s="14">
        <v>600000</v>
      </c>
      <c r="K97" s="14">
        <v>4750</v>
      </c>
      <c r="L97" s="15" t="s">
        <v>78</v>
      </c>
    </row>
    <row r="98" spans="1:12" ht="18" hidden="1" customHeight="1">
      <c r="A98" s="18"/>
      <c r="B98" s="2"/>
      <c r="C98" s="2"/>
      <c r="D98" s="2"/>
      <c r="E98" s="4"/>
      <c r="F98" s="4"/>
      <c r="G98" s="40" t="s">
        <v>251</v>
      </c>
      <c r="H98" s="4">
        <v>30740</v>
      </c>
      <c r="I98" s="4">
        <v>4750</v>
      </c>
      <c r="J98" s="49">
        <f>+E97-H98</f>
        <v>569260</v>
      </c>
      <c r="K98" s="4"/>
    </row>
    <row r="99" spans="1:12" ht="18" hidden="1" customHeight="1">
      <c r="A99" s="18"/>
      <c r="B99" s="2"/>
      <c r="C99" s="2"/>
      <c r="D99" s="2"/>
      <c r="E99" s="4"/>
      <c r="F99" s="4"/>
      <c r="G99" s="21"/>
      <c r="H99" s="4">
        <v>34300</v>
      </c>
      <c r="I99" s="4">
        <v>4750</v>
      </c>
      <c r="J99" s="49">
        <f>+J98-H99</f>
        <v>534960</v>
      </c>
      <c r="K99" s="4"/>
    </row>
    <row r="100" spans="1:12" ht="18" hidden="1" customHeight="1">
      <c r="A100" s="18"/>
      <c r="B100" s="2"/>
      <c r="C100" s="2"/>
      <c r="D100" s="2"/>
      <c r="E100" s="4"/>
      <c r="F100" s="4"/>
      <c r="G100" s="21"/>
      <c r="H100" s="4">
        <v>31970</v>
      </c>
      <c r="I100" s="4">
        <v>4750</v>
      </c>
      <c r="J100" s="49">
        <f t="shared" ref="J100:J118" si="8">+J99-H100</f>
        <v>502990</v>
      </c>
      <c r="K100" s="4"/>
    </row>
    <row r="101" spans="1:12" ht="18" hidden="1" customHeight="1">
      <c r="A101" s="18"/>
      <c r="B101" s="2"/>
      <c r="C101" s="2"/>
      <c r="D101" s="2"/>
      <c r="E101" s="4"/>
      <c r="F101" s="4"/>
      <c r="G101" s="40" t="s">
        <v>252</v>
      </c>
      <c r="H101" s="4">
        <v>34390</v>
      </c>
      <c r="I101" s="4">
        <v>4750</v>
      </c>
      <c r="J101" s="49">
        <f t="shared" si="8"/>
        <v>468600</v>
      </c>
      <c r="K101" s="4"/>
    </row>
    <row r="102" spans="1:12" ht="18" hidden="1" customHeight="1">
      <c r="A102" s="18"/>
      <c r="B102" s="2"/>
      <c r="C102" s="2"/>
      <c r="D102" s="2"/>
      <c r="E102" s="4"/>
      <c r="F102" s="4"/>
      <c r="G102" s="21"/>
      <c r="H102" s="4">
        <v>30290</v>
      </c>
      <c r="I102" s="4">
        <v>4750</v>
      </c>
      <c r="J102" s="49">
        <f t="shared" si="8"/>
        <v>438310</v>
      </c>
      <c r="K102" s="4"/>
    </row>
    <row r="103" spans="1:12" ht="18" hidden="1" customHeight="1">
      <c r="A103" s="18"/>
      <c r="B103" s="2"/>
      <c r="C103" s="2"/>
      <c r="D103" s="2"/>
      <c r="E103" s="4"/>
      <c r="F103" s="4"/>
      <c r="G103" s="40" t="s">
        <v>253</v>
      </c>
      <c r="H103" s="4">
        <v>30910</v>
      </c>
      <c r="I103" s="4">
        <v>4750</v>
      </c>
      <c r="J103" s="49">
        <f t="shared" si="8"/>
        <v>407400</v>
      </c>
      <c r="K103" s="4"/>
    </row>
    <row r="104" spans="1:12" ht="18" hidden="1" customHeight="1">
      <c r="A104" s="18"/>
      <c r="B104" s="2"/>
      <c r="C104" s="2"/>
      <c r="D104" s="2"/>
      <c r="E104" s="4"/>
      <c r="F104" s="4"/>
      <c r="G104" s="40" t="s">
        <v>256</v>
      </c>
      <c r="H104" s="36">
        <v>33080</v>
      </c>
      <c r="I104" s="4">
        <v>4750</v>
      </c>
      <c r="J104" s="49">
        <f t="shared" si="8"/>
        <v>374320</v>
      </c>
      <c r="K104" s="4"/>
    </row>
    <row r="105" spans="1:12" ht="18" hidden="1" customHeight="1">
      <c r="A105" s="18"/>
      <c r="B105" s="2"/>
      <c r="C105" s="2"/>
      <c r="D105" s="2"/>
      <c r="E105" s="4"/>
      <c r="F105" s="4"/>
      <c r="G105" s="40" t="s">
        <v>256</v>
      </c>
      <c r="H105" s="36">
        <v>31670</v>
      </c>
      <c r="I105" s="4">
        <v>4750</v>
      </c>
      <c r="J105" s="49">
        <f t="shared" si="8"/>
        <v>342650</v>
      </c>
      <c r="K105" s="4"/>
    </row>
    <row r="106" spans="1:12" ht="18" hidden="1" customHeight="1">
      <c r="A106" s="18"/>
      <c r="B106" s="2"/>
      <c r="C106" s="2"/>
      <c r="D106" s="2"/>
      <c r="E106" s="4"/>
      <c r="F106" s="4"/>
      <c r="G106" s="40" t="s">
        <v>257</v>
      </c>
      <c r="H106" s="36">
        <v>30700</v>
      </c>
      <c r="I106" s="4">
        <v>4750</v>
      </c>
      <c r="J106" s="49">
        <f t="shared" si="8"/>
        <v>311950</v>
      </c>
      <c r="K106" s="4"/>
    </row>
    <row r="107" spans="1:12" ht="18" hidden="1" customHeight="1">
      <c r="A107" s="18"/>
      <c r="B107" s="2"/>
      <c r="C107" s="2"/>
      <c r="D107" s="2"/>
      <c r="E107" s="4"/>
      <c r="F107" s="4"/>
      <c r="G107" s="21"/>
      <c r="H107" s="36">
        <v>32160</v>
      </c>
      <c r="I107" s="4">
        <v>4750</v>
      </c>
      <c r="J107" s="49">
        <f t="shared" si="8"/>
        <v>279790</v>
      </c>
      <c r="K107" s="4"/>
    </row>
    <row r="108" spans="1:12" ht="18" hidden="1" customHeight="1">
      <c r="A108" s="18"/>
      <c r="B108" s="2"/>
      <c r="C108" s="2"/>
      <c r="D108" s="2"/>
      <c r="E108" s="4"/>
      <c r="F108" s="4"/>
      <c r="G108" s="40" t="s">
        <v>259</v>
      </c>
      <c r="H108" s="36">
        <v>30770</v>
      </c>
      <c r="I108" s="4">
        <v>4750</v>
      </c>
      <c r="J108" s="49">
        <f t="shared" si="8"/>
        <v>249020</v>
      </c>
      <c r="K108" s="4"/>
    </row>
    <row r="109" spans="1:12" ht="18" hidden="1" customHeight="1">
      <c r="A109" s="18"/>
      <c r="B109" s="2"/>
      <c r="C109" s="2"/>
      <c r="D109" s="2"/>
      <c r="E109" s="4"/>
      <c r="F109" s="4"/>
      <c r="G109" s="21"/>
      <c r="H109" s="36">
        <v>32730</v>
      </c>
      <c r="I109" s="4">
        <v>4750</v>
      </c>
      <c r="J109" s="49">
        <f t="shared" si="8"/>
        <v>216290</v>
      </c>
      <c r="K109" s="4"/>
    </row>
    <row r="110" spans="1:12" ht="18" hidden="1" customHeight="1">
      <c r="A110" s="18"/>
      <c r="B110" s="2"/>
      <c r="C110" s="2"/>
      <c r="D110" s="2"/>
      <c r="E110" s="4"/>
      <c r="F110" s="4"/>
      <c r="G110" s="40" t="s">
        <v>275</v>
      </c>
      <c r="H110" s="36">
        <v>32310</v>
      </c>
      <c r="I110" s="4">
        <v>4750</v>
      </c>
      <c r="J110" s="49">
        <f t="shared" si="8"/>
        <v>183980</v>
      </c>
      <c r="K110" s="4"/>
    </row>
    <row r="111" spans="1:12" ht="18" hidden="1" customHeight="1">
      <c r="A111" s="18"/>
      <c r="B111" s="2"/>
      <c r="C111" s="2"/>
      <c r="D111" s="2"/>
      <c r="E111" s="4"/>
      <c r="F111" s="4"/>
      <c r="G111" s="21"/>
      <c r="H111" s="36">
        <v>31950</v>
      </c>
      <c r="I111" s="4">
        <v>4750</v>
      </c>
      <c r="J111" s="49">
        <f t="shared" si="8"/>
        <v>152030</v>
      </c>
      <c r="K111" s="4"/>
    </row>
    <row r="112" spans="1:12" ht="18" hidden="1" customHeight="1">
      <c r="A112" s="18"/>
      <c r="B112" s="2"/>
      <c r="C112" s="2"/>
      <c r="D112" s="2"/>
      <c r="E112" s="4"/>
      <c r="F112" s="4"/>
      <c r="G112" s="21"/>
      <c r="H112" s="36">
        <v>30800</v>
      </c>
      <c r="I112" s="4">
        <v>4750</v>
      </c>
      <c r="J112" s="49">
        <f t="shared" si="8"/>
        <v>121230</v>
      </c>
      <c r="K112" s="4"/>
    </row>
    <row r="113" spans="1:14" ht="18" hidden="1" customHeight="1">
      <c r="A113" s="18"/>
      <c r="B113" s="2"/>
      <c r="C113" s="2"/>
      <c r="D113" s="2"/>
      <c r="E113" s="4"/>
      <c r="F113" s="4"/>
      <c r="G113" s="40" t="s">
        <v>276</v>
      </c>
      <c r="H113" s="36">
        <v>33000</v>
      </c>
      <c r="I113" s="4">
        <v>4750</v>
      </c>
      <c r="J113" s="49">
        <f t="shared" si="8"/>
        <v>88230</v>
      </c>
      <c r="K113" s="4"/>
    </row>
    <row r="114" spans="1:14" ht="18" hidden="1" customHeight="1">
      <c r="A114" s="18"/>
      <c r="B114" s="2"/>
      <c r="C114" s="2"/>
      <c r="D114" s="2"/>
      <c r="E114" s="4"/>
      <c r="F114" s="4"/>
      <c r="G114" s="21"/>
      <c r="H114" s="36">
        <v>31870</v>
      </c>
      <c r="I114" s="4">
        <v>4750</v>
      </c>
      <c r="J114" s="49">
        <f t="shared" si="8"/>
        <v>56360</v>
      </c>
      <c r="K114" s="4"/>
    </row>
    <row r="115" spans="1:14" ht="18" hidden="1" customHeight="1">
      <c r="A115" s="18"/>
      <c r="B115" s="2"/>
      <c r="C115" s="2"/>
      <c r="D115" s="2"/>
      <c r="E115" s="4"/>
      <c r="F115" s="4"/>
      <c r="G115" s="21"/>
      <c r="H115" s="36"/>
      <c r="I115" s="4">
        <v>4750</v>
      </c>
      <c r="J115" s="49">
        <f t="shared" si="8"/>
        <v>56360</v>
      </c>
      <c r="K115" s="4"/>
    </row>
    <row r="116" spans="1:14" ht="18" hidden="1" customHeight="1">
      <c r="A116" s="18"/>
      <c r="B116" s="2"/>
      <c r="C116" s="2"/>
      <c r="D116" s="2"/>
      <c r="E116" s="4"/>
      <c r="F116" s="4"/>
      <c r="G116" s="21"/>
      <c r="H116" s="4"/>
      <c r="I116" s="4">
        <v>4750</v>
      </c>
      <c r="J116" s="49">
        <f t="shared" si="8"/>
        <v>56360</v>
      </c>
      <c r="K116" s="4"/>
    </row>
    <row r="117" spans="1:14" ht="18" hidden="1" customHeight="1">
      <c r="A117" s="18"/>
      <c r="B117" s="2"/>
      <c r="C117" s="2"/>
      <c r="D117" s="2"/>
      <c r="E117" s="4"/>
      <c r="F117" s="4"/>
      <c r="G117" s="21"/>
      <c r="H117" s="4"/>
      <c r="I117" s="4">
        <v>4750</v>
      </c>
      <c r="J117" s="49">
        <f t="shared" si="8"/>
        <v>56360</v>
      </c>
      <c r="K117" s="4"/>
    </row>
    <row r="118" spans="1:14" ht="18" hidden="1" customHeight="1">
      <c r="A118" s="18"/>
      <c r="B118" s="2"/>
      <c r="C118" s="2"/>
      <c r="D118" s="2"/>
      <c r="E118" s="4"/>
      <c r="F118" s="4"/>
      <c r="G118" s="21"/>
      <c r="H118" s="4"/>
      <c r="I118" s="4">
        <v>4750</v>
      </c>
      <c r="J118" s="49">
        <f t="shared" si="8"/>
        <v>56360</v>
      </c>
      <c r="K118" s="4"/>
    </row>
    <row r="119" spans="1:14" ht="18" hidden="1" customHeight="1">
      <c r="A119" s="281" t="s">
        <v>0</v>
      </c>
      <c r="B119" s="282"/>
      <c r="C119" s="9"/>
      <c r="D119" s="9"/>
      <c r="E119" s="5">
        <f>SUM(E98:E118)</f>
        <v>0</v>
      </c>
      <c r="F119" s="5">
        <v>4750</v>
      </c>
      <c r="G119" s="23"/>
      <c r="H119" s="5">
        <f>SUM(H98:H118)</f>
        <v>543640</v>
      </c>
      <c r="I119" s="5">
        <v>4750</v>
      </c>
      <c r="J119" s="5"/>
      <c r="K119" s="5"/>
      <c r="L119" s="114">
        <f>H119*I119</f>
        <v>2582290000</v>
      </c>
      <c r="M119" s="114">
        <f>900000000+950000000+600000000</f>
        <v>2450000000</v>
      </c>
      <c r="N119" s="50">
        <f>M119-L119+N96</f>
        <v>-77932000</v>
      </c>
    </row>
    <row r="120" spans="1:14" s="6" customFormat="1" ht="24.75" hidden="1" customHeight="1">
      <c r="A120" s="16"/>
      <c r="B120" s="1"/>
      <c r="C120" s="1"/>
      <c r="D120" s="1"/>
      <c r="E120" s="3"/>
      <c r="F120" s="3"/>
      <c r="G120" s="19"/>
      <c r="H120" s="3"/>
      <c r="I120" s="3"/>
      <c r="J120" s="3"/>
      <c r="K120" s="3"/>
    </row>
    <row r="121" spans="1:14" hidden="1">
      <c r="F121" s="270" t="s">
        <v>1</v>
      </c>
      <c r="G121" s="270"/>
      <c r="H121" s="270"/>
      <c r="I121" s="270"/>
      <c r="J121" s="1"/>
      <c r="K121" s="8"/>
    </row>
    <row r="122" spans="1:14" ht="12" customHeight="1"/>
    <row r="123" spans="1:14" hidden="1"/>
    <row r="124" spans="1:14" hidden="1">
      <c r="F124" s="271"/>
      <c r="G124" s="271"/>
      <c r="H124" s="271"/>
      <c r="I124" s="271"/>
      <c r="J124" s="1"/>
      <c r="K124" s="1"/>
    </row>
    <row r="125" spans="1:14" hidden="1"/>
    <row r="126" spans="1:14" hidden="1"/>
    <row r="127" spans="1:14" ht="22.5">
      <c r="A127" s="274" t="s">
        <v>17</v>
      </c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</row>
    <row r="128" spans="1:14">
      <c r="A128" s="275" t="s">
        <v>222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</row>
    <row r="130" spans="1:11">
      <c r="A130" s="276" t="s">
        <v>11</v>
      </c>
      <c r="B130" s="276" t="s">
        <v>3</v>
      </c>
      <c r="C130" s="276" t="s">
        <v>10</v>
      </c>
      <c r="D130" s="276" t="s">
        <v>8</v>
      </c>
      <c r="E130" s="278" t="s">
        <v>4</v>
      </c>
      <c r="F130" s="278"/>
      <c r="G130" s="288" t="s">
        <v>6</v>
      </c>
      <c r="H130" s="289"/>
      <c r="I130" s="290"/>
      <c r="J130" s="279" t="s">
        <v>7</v>
      </c>
      <c r="K130" s="280"/>
    </row>
    <row r="131" spans="1:11">
      <c r="A131" s="277"/>
      <c r="B131" s="277"/>
      <c r="C131" s="277"/>
      <c r="D131" s="277"/>
      <c r="E131" s="125" t="s">
        <v>9</v>
      </c>
      <c r="F131" s="125" t="s">
        <v>5</v>
      </c>
      <c r="G131" s="20" t="s">
        <v>14</v>
      </c>
      <c r="H131" s="125" t="s">
        <v>9</v>
      </c>
      <c r="I131" s="125" t="s">
        <v>5</v>
      </c>
      <c r="J131" s="125" t="s">
        <v>9</v>
      </c>
      <c r="K131" s="125" t="s">
        <v>5</v>
      </c>
    </row>
    <row r="132" spans="1:11">
      <c r="A132" s="18" t="s">
        <v>13</v>
      </c>
      <c r="B132" s="60" t="s">
        <v>384</v>
      </c>
      <c r="C132" s="60" t="s">
        <v>383</v>
      </c>
      <c r="D132" s="60" t="s">
        <v>157</v>
      </c>
      <c r="E132" s="49">
        <v>66000</v>
      </c>
      <c r="F132" s="49">
        <v>6050</v>
      </c>
      <c r="G132" s="61"/>
      <c r="H132" s="49"/>
      <c r="I132" s="49"/>
      <c r="J132" s="49"/>
      <c r="K132" s="49"/>
    </row>
    <row r="133" spans="1:11">
      <c r="A133" s="18" t="s">
        <v>13</v>
      </c>
      <c r="B133" s="2"/>
      <c r="C133" s="2"/>
      <c r="D133" s="2"/>
      <c r="E133" s="4"/>
      <c r="F133" s="4"/>
      <c r="G133" s="40" t="s">
        <v>389</v>
      </c>
      <c r="H133" s="4">
        <v>34590</v>
      </c>
      <c r="I133" s="4">
        <v>6050</v>
      </c>
      <c r="J133" s="4">
        <f>+E132-H133</f>
        <v>31410</v>
      </c>
      <c r="K133" s="4"/>
    </row>
    <row r="134" spans="1:11">
      <c r="A134" s="18" t="s">
        <v>13</v>
      </c>
      <c r="B134" s="2"/>
      <c r="C134" s="2"/>
      <c r="D134" s="2"/>
      <c r="E134" s="4"/>
      <c r="F134" s="4"/>
      <c r="G134" s="40" t="s">
        <v>428</v>
      </c>
      <c r="H134" s="4">
        <v>33130</v>
      </c>
      <c r="I134" s="4">
        <v>6050</v>
      </c>
      <c r="J134" s="4">
        <f>+J133-H134</f>
        <v>-1720</v>
      </c>
      <c r="K134" s="4"/>
    </row>
    <row r="135" spans="1:11">
      <c r="A135" s="18" t="s">
        <v>13</v>
      </c>
      <c r="B135" s="2"/>
      <c r="C135" s="2"/>
      <c r="D135" s="2"/>
      <c r="E135" s="4"/>
      <c r="F135" s="4"/>
      <c r="G135" s="21"/>
      <c r="H135" s="49">
        <f>SUM(H133:H134)</f>
        <v>67720</v>
      </c>
      <c r="I135" s="4"/>
      <c r="J135" s="4"/>
      <c r="K135" s="4"/>
    </row>
    <row r="136" spans="1:11">
      <c r="A136" s="18" t="s">
        <v>13</v>
      </c>
      <c r="B136" s="2"/>
      <c r="C136" s="2"/>
      <c r="D136" s="2"/>
      <c r="E136" s="4"/>
      <c r="F136" s="4"/>
      <c r="G136" s="21"/>
      <c r="H136" s="4"/>
      <c r="I136" s="4"/>
      <c r="J136" s="4"/>
      <c r="K136" s="4"/>
    </row>
    <row r="137" spans="1:11">
      <c r="A137" s="18" t="s">
        <v>13</v>
      </c>
      <c r="B137" s="60" t="s">
        <v>385</v>
      </c>
      <c r="C137" s="60" t="s">
        <v>386</v>
      </c>
      <c r="D137" s="60" t="s">
        <v>157</v>
      </c>
      <c r="E137" s="49">
        <v>65000</v>
      </c>
      <c r="F137" s="49">
        <v>6900</v>
      </c>
      <c r="G137" s="61"/>
      <c r="H137" s="49"/>
      <c r="I137" s="49"/>
      <c r="J137" s="49"/>
      <c r="K137" s="49"/>
    </row>
    <row r="138" spans="1:11">
      <c r="A138" s="18" t="s">
        <v>13</v>
      </c>
      <c r="B138" s="2"/>
      <c r="C138" s="2"/>
      <c r="D138" s="2"/>
      <c r="E138" s="4"/>
      <c r="F138" s="4"/>
      <c r="G138" s="40" t="s">
        <v>429</v>
      </c>
      <c r="H138" s="4">
        <v>33450</v>
      </c>
      <c r="I138" s="4">
        <f>+E137-H138</f>
        <v>31550</v>
      </c>
      <c r="J138" s="4"/>
      <c r="K138" s="4"/>
    </row>
    <row r="139" spans="1:11">
      <c r="A139" s="18" t="s">
        <v>13</v>
      </c>
      <c r="B139" s="2"/>
      <c r="C139" s="2"/>
      <c r="D139" s="2"/>
      <c r="E139" s="4"/>
      <c r="F139" s="4"/>
      <c r="G139" s="40" t="s">
        <v>431</v>
      </c>
      <c r="H139" s="4">
        <v>32618</v>
      </c>
      <c r="I139" s="4">
        <f>+I138-H139</f>
        <v>-1068</v>
      </c>
      <c r="J139" s="4"/>
      <c r="K139" s="4"/>
    </row>
    <row r="140" spans="1:11">
      <c r="A140" s="18" t="s">
        <v>13</v>
      </c>
      <c r="B140" s="2"/>
      <c r="C140" s="2"/>
      <c r="D140" s="2"/>
      <c r="E140" s="4"/>
      <c r="F140" s="4"/>
      <c r="G140" s="21"/>
      <c r="H140" s="49">
        <f>SUM(H138:H139)</f>
        <v>66068</v>
      </c>
      <c r="I140" s="4"/>
      <c r="J140" s="4"/>
      <c r="K140" s="4"/>
    </row>
    <row r="141" spans="1:11">
      <c r="A141" s="18" t="s">
        <v>13</v>
      </c>
      <c r="B141" s="56" t="s">
        <v>387</v>
      </c>
      <c r="C141" s="56" t="s">
        <v>388</v>
      </c>
      <c r="D141" s="56" t="s">
        <v>157</v>
      </c>
      <c r="E141" s="57">
        <v>65000</v>
      </c>
      <c r="F141" s="57">
        <v>6950</v>
      </c>
      <c r="G141" s="58"/>
      <c r="H141" s="57"/>
      <c r="I141" s="57"/>
      <c r="J141" s="57"/>
      <c r="K141" s="57"/>
    </row>
    <row r="142" spans="1:11">
      <c r="A142" s="18" t="s">
        <v>13</v>
      </c>
      <c r="B142" s="2"/>
      <c r="C142" s="2"/>
      <c r="D142" s="2"/>
      <c r="E142" s="4"/>
      <c r="F142" s="4"/>
      <c r="G142" s="40" t="s">
        <v>437</v>
      </c>
      <c r="H142" s="4">
        <v>31070</v>
      </c>
      <c r="I142" s="4">
        <f>+E141-H142</f>
        <v>33930</v>
      </c>
      <c r="J142" s="4"/>
      <c r="K142" s="4"/>
    </row>
    <row r="143" spans="1:11">
      <c r="A143" s="18" t="s">
        <v>13</v>
      </c>
      <c r="B143" s="2"/>
      <c r="C143" s="2"/>
      <c r="D143" s="2"/>
      <c r="E143" s="4"/>
      <c r="F143" s="4"/>
      <c r="G143" s="40" t="s">
        <v>440</v>
      </c>
      <c r="H143" s="4">
        <v>32440</v>
      </c>
      <c r="I143" s="4">
        <f>+I142-H143</f>
        <v>1490</v>
      </c>
      <c r="J143" s="4"/>
      <c r="K143" s="4"/>
    </row>
    <row r="144" spans="1:11">
      <c r="A144" s="18" t="s">
        <v>13</v>
      </c>
      <c r="B144" s="2"/>
      <c r="C144" s="2"/>
      <c r="D144" s="2"/>
      <c r="E144" s="4"/>
      <c r="F144" s="4"/>
      <c r="G144" s="21"/>
      <c r="H144" s="49">
        <f>SUM(H142:H143)</f>
        <v>63510</v>
      </c>
      <c r="I144" s="4"/>
      <c r="J144" s="4"/>
      <c r="K144" s="4"/>
    </row>
    <row r="145" spans="1:11">
      <c r="A145" s="18" t="s">
        <v>13</v>
      </c>
      <c r="B145" s="2"/>
      <c r="C145" s="2"/>
      <c r="D145" s="2"/>
      <c r="E145" s="4"/>
      <c r="F145" s="4"/>
      <c r="G145" s="21"/>
      <c r="H145" s="4"/>
      <c r="I145" s="4"/>
      <c r="J145" s="4"/>
      <c r="K145" s="4"/>
    </row>
    <row r="146" spans="1:11">
      <c r="A146" s="18" t="s">
        <v>13</v>
      </c>
      <c r="B146" s="2"/>
      <c r="C146" s="2"/>
      <c r="D146" s="2"/>
      <c r="E146" s="4"/>
      <c r="F146" s="4"/>
      <c r="G146" s="21"/>
      <c r="H146" s="4"/>
      <c r="I146" s="4"/>
      <c r="J146" s="4"/>
      <c r="K146" s="4"/>
    </row>
    <row r="147" spans="1:11">
      <c r="A147" s="18" t="s">
        <v>13</v>
      </c>
      <c r="B147" s="28"/>
      <c r="C147" s="28"/>
      <c r="D147" s="28"/>
      <c r="E147" s="29"/>
      <c r="F147" s="29"/>
      <c r="G147" s="30"/>
      <c r="H147" s="29">
        <f>SUM(H142:H144)</f>
        <v>127020</v>
      </c>
      <c r="I147" s="29"/>
      <c r="J147" s="29"/>
      <c r="K147" s="29"/>
    </row>
    <row r="148" spans="1:11">
      <c r="A148" s="18" t="s">
        <v>13</v>
      </c>
      <c r="B148" s="60" t="s">
        <v>477</v>
      </c>
      <c r="C148" s="60" t="s">
        <v>549</v>
      </c>
      <c r="D148" s="60" t="s">
        <v>157</v>
      </c>
      <c r="E148" s="182">
        <v>600000</v>
      </c>
      <c r="F148" s="49">
        <v>8100</v>
      </c>
      <c r="G148" s="61"/>
      <c r="H148" s="49"/>
      <c r="I148" s="49"/>
      <c r="J148" s="49"/>
      <c r="K148" s="49"/>
    </row>
    <row r="149" spans="1:11">
      <c r="A149" s="18"/>
      <c r="B149" s="2" t="s">
        <v>550</v>
      </c>
      <c r="C149" s="7" t="s">
        <v>650</v>
      </c>
      <c r="D149" s="2"/>
      <c r="E149" s="37"/>
      <c r="F149" s="4"/>
      <c r="G149" s="40" t="s">
        <v>649</v>
      </c>
      <c r="H149" s="4">
        <v>30160</v>
      </c>
      <c r="I149" s="4">
        <v>8100</v>
      </c>
      <c r="J149" s="4">
        <f>E148-H149</f>
        <v>569840</v>
      </c>
      <c r="K149" s="4"/>
    </row>
    <row r="150" spans="1:11">
      <c r="A150" s="18"/>
      <c r="B150" s="2"/>
      <c r="C150" s="2"/>
      <c r="D150" s="2"/>
      <c r="E150" s="37"/>
      <c r="F150" s="4"/>
      <c r="G150" s="21"/>
      <c r="H150" s="4">
        <v>31290</v>
      </c>
      <c r="I150" s="4">
        <v>8100</v>
      </c>
      <c r="J150" s="4">
        <f>J149-H150</f>
        <v>538550</v>
      </c>
      <c r="K150" s="4"/>
    </row>
    <row r="151" spans="1:11">
      <c r="A151" s="18"/>
      <c r="B151" s="2"/>
      <c r="C151" s="2"/>
      <c r="D151" s="2"/>
      <c r="E151" s="37"/>
      <c r="F151" s="4"/>
      <c r="G151" s="40" t="s">
        <v>663</v>
      </c>
      <c r="H151" s="4">
        <v>30520</v>
      </c>
      <c r="I151" s="4">
        <v>8100</v>
      </c>
      <c r="J151" s="4">
        <f t="shared" ref="J151:J168" si="9">J150-H151</f>
        <v>508030</v>
      </c>
      <c r="K151" s="4"/>
    </row>
    <row r="152" spans="1:11">
      <c r="A152" s="18"/>
      <c r="B152" s="2"/>
      <c r="C152" s="2"/>
      <c r="D152" s="2"/>
      <c r="E152" s="37"/>
      <c r="F152" s="4"/>
      <c r="G152" s="21"/>
      <c r="H152" s="4">
        <v>31580</v>
      </c>
      <c r="I152" s="4">
        <v>8100</v>
      </c>
      <c r="J152" s="4">
        <f t="shared" si="9"/>
        <v>476450</v>
      </c>
      <c r="K152" s="4"/>
    </row>
    <row r="153" spans="1:11">
      <c r="A153" s="18"/>
      <c r="B153" s="2"/>
      <c r="C153" s="2"/>
      <c r="D153" s="2"/>
      <c r="E153" s="37"/>
      <c r="F153" s="4"/>
      <c r="G153" s="40" t="s">
        <v>664</v>
      </c>
      <c r="H153" s="4">
        <v>31250</v>
      </c>
      <c r="I153" s="4">
        <v>8100</v>
      </c>
      <c r="J153" s="4">
        <f t="shared" si="9"/>
        <v>445200</v>
      </c>
      <c r="K153" s="4"/>
    </row>
    <row r="154" spans="1:11">
      <c r="A154" s="18"/>
      <c r="B154" s="2"/>
      <c r="C154" s="2"/>
      <c r="D154" s="2"/>
      <c r="E154" s="37"/>
      <c r="F154" s="4"/>
      <c r="G154" s="21"/>
      <c r="H154" s="4">
        <v>31660</v>
      </c>
      <c r="I154" s="4">
        <v>8100</v>
      </c>
      <c r="J154" s="4">
        <f t="shared" si="9"/>
        <v>413540</v>
      </c>
      <c r="K154" s="4"/>
    </row>
    <row r="155" spans="1:11">
      <c r="A155" s="18"/>
      <c r="B155" s="2"/>
      <c r="C155" s="2"/>
      <c r="D155" s="2"/>
      <c r="E155" s="37"/>
      <c r="F155" s="4"/>
      <c r="G155" s="40" t="s">
        <v>97</v>
      </c>
      <c r="H155" s="4">
        <v>29440</v>
      </c>
      <c r="I155" s="4">
        <v>8100</v>
      </c>
      <c r="J155" s="4">
        <f t="shared" si="9"/>
        <v>384100</v>
      </c>
      <c r="K155" s="4"/>
    </row>
    <row r="156" spans="1:11">
      <c r="A156" s="18"/>
      <c r="B156" s="2"/>
      <c r="C156" s="2"/>
      <c r="D156" s="2"/>
      <c r="E156" s="37"/>
      <c r="F156" s="4"/>
      <c r="G156" s="21"/>
      <c r="H156" s="4">
        <v>30320</v>
      </c>
      <c r="I156" s="4">
        <v>8100</v>
      </c>
      <c r="J156" s="4">
        <f t="shared" si="9"/>
        <v>353780</v>
      </c>
      <c r="K156" s="4"/>
    </row>
    <row r="157" spans="1:11">
      <c r="A157" s="18"/>
      <c r="B157" s="2"/>
      <c r="C157" s="2"/>
      <c r="D157" s="2"/>
      <c r="E157" s="37"/>
      <c r="F157" s="4"/>
      <c r="G157" s="40" t="s">
        <v>768</v>
      </c>
      <c r="H157" s="4">
        <v>30260</v>
      </c>
      <c r="I157" s="4">
        <v>8100</v>
      </c>
      <c r="J157" s="4">
        <f t="shared" si="9"/>
        <v>323520</v>
      </c>
      <c r="K157" s="4"/>
    </row>
    <row r="158" spans="1:11">
      <c r="A158" s="18"/>
      <c r="B158" s="2"/>
      <c r="C158" s="2"/>
      <c r="D158" s="2"/>
      <c r="E158" s="37"/>
      <c r="F158" s="4"/>
      <c r="G158" s="21"/>
      <c r="H158" s="4">
        <v>31470</v>
      </c>
      <c r="I158" s="4">
        <v>8100</v>
      </c>
      <c r="J158" s="4">
        <f t="shared" si="9"/>
        <v>292050</v>
      </c>
      <c r="K158" s="4"/>
    </row>
    <row r="159" spans="1:11">
      <c r="A159" s="18"/>
      <c r="B159" s="2"/>
      <c r="C159" s="2"/>
      <c r="D159" s="2"/>
      <c r="E159" s="37"/>
      <c r="F159" s="4"/>
      <c r="G159" s="40" t="s">
        <v>771</v>
      </c>
      <c r="H159" s="4">
        <v>31450</v>
      </c>
      <c r="I159" s="4">
        <v>8100</v>
      </c>
      <c r="J159" s="4">
        <f t="shared" si="9"/>
        <v>260600</v>
      </c>
      <c r="K159" s="4"/>
    </row>
    <row r="160" spans="1:11">
      <c r="A160" s="18"/>
      <c r="B160" s="2"/>
      <c r="C160" s="2"/>
      <c r="D160" s="2"/>
      <c r="E160" s="37"/>
      <c r="F160" s="4"/>
      <c r="G160" s="21"/>
      <c r="H160" s="4">
        <v>30490</v>
      </c>
      <c r="I160" s="4">
        <v>8100</v>
      </c>
      <c r="J160" s="4">
        <f t="shared" si="9"/>
        <v>230110</v>
      </c>
      <c r="K160" s="4"/>
    </row>
    <row r="161" spans="1:12">
      <c r="A161" s="18"/>
      <c r="B161" s="2"/>
      <c r="C161" s="2"/>
      <c r="D161" s="2"/>
      <c r="E161" s="37"/>
      <c r="F161" s="4"/>
      <c r="G161" s="237" t="s">
        <v>141</v>
      </c>
      <c r="H161" s="176">
        <v>33140</v>
      </c>
      <c r="I161" s="4">
        <v>8100</v>
      </c>
      <c r="J161" s="4">
        <f t="shared" si="9"/>
        <v>196970</v>
      </c>
      <c r="K161" s="4"/>
    </row>
    <row r="162" spans="1:12">
      <c r="A162" s="18"/>
      <c r="B162" s="2"/>
      <c r="C162" s="2"/>
      <c r="D162" s="2"/>
      <c r="E162" s="37"/>
      <c r="F162" s="4"/>
      <c r="G162" s="40" t="s">
        <v>142</v>
      </c>
      <c r="H162" s="4">
        <v>38970</v>
      </c>
      <c r="I162" s="4">
        <v>8100</v>
      </c>
      <c r="J162" s="4">
        <f t="shared" si="9"/>
        <v>158000</v>
      </c>
      <c r="K162" s="4"/>
    </row>
    <row r="163" spans="1:12">
      <c r="A163" s="18"/>
      <c r="B163" s="2"/>
      <c r="C163" s="2"/>
      <c r="D163" s="2"/>
      <c r="E163" s="37"/>
      <c r="F163" s="4"/>
      <c r="G163" s="21"/>
      <c r="H163" s="4">
        <v>35750</v>
      </c>
      <c r="I163" s="4">
        <v>8100</v>
      </c>
      <c r="J163" s="4">
        <f t="shared" si="9"/>
        <v>122250</v>
      </c>
      <c r="K163" s="4"/>
    </row>
    <row r="164" spans="1:12">
      <c r="A164" s="18"/>
      <c r="B164" s="2"/>
      <c r="C164" s="2"/>
      <c r="D164" s="2"/>
      <c r="E164" s="37"/>
      <c r="F164" s="4"/>
      <c r="G164" s="40" t="s">
        <v>825</v>
      </c>
      <c r="H164" s="4">
        <v>34660</v>
      </c>
      <c r="I164" s="4">
        <v>8100</v>
      </c>
      <c r="J164" s="4">
        <f t="shared" si="9"/>
        <v>87590</v>
      </c>
      <c r="K164" s="4"/>
    </row>
    <row r="165" spans="1:12">
      <c r="A165" s="18"/>
      <c r="B165" s="2"/>
      <c r="C165" s="2"/>
      <c r="D165" s="2"/>
      <c r="E165" s="37"/>
      <c r="F165" s="4"/>
      <c r="G165" s="40" t="s">
        <v>144</v>
      </c>
      <c r="H165" s="4">
        <v>29880</v>
      </c>
      <c r="I165" s="4">
        <v>8100</v>
      </c>
      <c r="J165" s="4">
        <f t="shared" si="9"/>
        <v>57710</v>
      </c>
      <c r="K165" s="4"/>
    </row>
    <row r="166" spans="1:12">
      <c r="A166" s="18"/>
      <c r="B166" s="2"/>
      <c r="C166" s="2"/>
      <c r="D166" s="2"/>
      <c r="E166" s="37"/>
      <c r="F166" s="4"/>
      <c r="G166" s="21"/>
      <c r="H166" s="4">
        <v>31890</v>
      </c>
      <c r="I166" s="4">
        <v>8100</v>
      </c>
      <c r="J166" s="4">
        <f t="shared" si="9"/>
        <v>25820</v>
      </c>
      <c r="K166" s="4"/>
    </row>
    <row r="167" spans="1:12">
      <c r="A167" s="18"/>
      <c r="B167" s="2"/>
      <c r="C167" s="2"/>
      <c r="D167" s="2"/>
      <c r="E167" s="37"/>
      <c r="F167" s="4"/>
      <c r="G167" s="21"/>
      <c r="H167" s="4"/>
      <c r="I167" s="4">
        <v>8100</v>
      </c>
      <c r="J167" s="4">
        <f t="shared" si="9"/>
        <v>25820</v>
      </c>
      <c r="K167" s="4"/>
    </row>
    <row r="168" spans="1:12">
      <c r="A168" s="18"/>
      <c r="B168" s="2"/>
      <c r="C168" s="2"/>
      <c r="D168" s="2"/>
      <c r="E168" s="37"/>
      <c r="F168" s="4"/>
      <c r="G168" s="21"/>
      <c r="H168" s="4"/>
      <c r="I168" s="4"/>
      <c r="J168" s="4">
        <f t="shared" si="9"/>
        <v>25820</v>
      </c>
      <c r="K168" s="4"/>
    </row>
    <row r="169" spans="1:12">
      <c r="A169" s="281" t="s">
        <v>0</v>
      </c>
      <c r="B169" s="282"/>
      <c r="C169" s="124"/>
      <c r="D169" s="124"/>
      <c r="E169" s="5"/>
      <c r="F169" s="5"/>
      <c r="G169" s="23"/>
      <c r="H169" s="5">
        <f>SUM(H149:H168)</f>
        <v>574180</v>
      </c>
      <c r="I169" s="5">
        <v>8100</v>
      </c>
      <c r="J169" s="5">
        <f>+I169*H169</f>
        <v>4650858000</v>
      </c>
      <c r="K169" s="5"/>
      <c r="L169" s="3">
        <f>486000000*2+10355500+500000000</f>
        <v>1482355500</v>
      </c>
    </row>
    <row r="170" spans="1:12">
      <c r="A170" s="18" t="s">
        <v>13</v>
      </c>
      <c r="B170" s="60" t="s">
        <v>477</v>
      </c>
      <c r="C170" s="60" t="s">
        <v>549</v>
      </c>
      <c r="D170" s="60" t="s">
        <v>85</v>
      </c>
      <c r="E170" s="182">
        <v>100000</v>
      </c>
      <c r="F170" s="49">
        <v>7500</v>
      </c>
      <c r="G170" s="61"/>
      <c r="H170" s="49"/>
      <c r="I170" s="49"/>
      <c r="J170" s="49"/>
      <c r="K170" s="49"/>
      <c r="L170" s="50">
        <f>L169-J169</f>
        <v>-3168502500</v>
      </c>
    </row>
    <row r="171" spans="1:12">
      <c r="A171" s="18"/>
      <c r="B171" s="2" t="s">
        <v>725</v>
      </c>
      <c r="C171" s="7"/>
      <c r="D171" s="2"/>
      <c r="E171" s="37"/>
      <c r="F171" s="4"/>
      <c r="G171" s="40" t="s">
        <v>735</v>
      </c>
      <c r="H171" s="4">
        <v>34840</v>
      </c>
      <c r="I171" s="4">
        <f>+E170-H171</f>
        <v>65160</v>
      </c>
      <c r="J171" s="4"/>
      <c r="K171" s="4"/>
      <c r="L171" s="193"/>
    </row>
    <row r="172" spans="1:12">
      <c r="A172" s="18"/>
      <c r="B172" s="2"/>
      <c r="C172" s="2"/>
      <c r="D172" s="2"/>
      <c r="E172" s="37"/>
      <c r="F172" s="4"/>
      <c r="G172" s="40" t="s">
        <v>737</v>
      </c>
      <c r="H172" s="4">
        <v>34110</v>
      </c>
      <c r="I172" s="4">
        <f>+I171-H172</f>
        <v>31050</v>
      </c>
      <c r="J172" s="4"/>
      <c r="K172" s="4"/>
    </row>
    <row r="173" spans="1:12">
      <c r="A173" s="18"/>
      <c r="B173" s="2"/>
      <c r="C173" s="2"/>
      <c r="D173" s="2"/>
      <c r="E173" s="37"/>
      <c r="F173" s="4"/>
      <c r="G173" s="40" t="s">
        <v>738</v>
      </c>
      <c r="H173" s="4">
        <v>32500</v>
      </c>
      <c r="I173" s="4">
        <f t="shared" ref="I173:I174" si="10">+I172-H173</f>
        <v>-1450</v>
      </c>
      <c r="J173" s="4"/>
      <c r="K173" s="4"/>
    </row>
    <row r="174" spans="1:12">
      <c r="A174" s="18"/>
      <c r="B174" s="2"/>
      <c r="C174" s="2"/>
      <c r="D174" s="2"/>
      <c r="E174" s="37"/>
      <c r="F174" s="4"/>
      <c r="G174" s="21"/>
      <c r="H174" s="4"/>
      <c r="I174" s="4">
        <f t="shared" si="10"/>
        <v>-1450</v>
      </c>
      <c r="J174" s="4"/>
      <c r="K174" s="4"/>
    </row>
    <row r="175" spans="1:12">
      <c r="A175" s="281" t="s">
        <v>0</v>
      </c>
      <c r="B175" s="282"/>
      <c r="C175" s="220"/>
      <c r="D175" s="220"/>
      <c r="E175" s="5"/>
      <c r="F175" s="5"/>
      <c r="G175" s="23"/>
      <c r="H175" s="5">
        <f>SUM(H171:H174)</f>
        <v>101450</v>
      </c>
      <c r="I175" s="5"/>
      <c r="J175" s="5">
        <f>+I175*H175</f>
        <v>0</v>
      </c>
      <c r="K175" s="5"/>
    </row>
  </sheetData>
  <mergeCells count="26">
    <mergeCell ref="A175:B175"/>
    <mergeCell ref="A169:B169"/>
    <mergeCell ref="A127:K127"/>
    <mergeCell ref="A128:K128"/>
    <mergeCell ref="A130:A131"/>
    <mergeCell ref="B130:B131"/>
    <mergeCell ref="C130:C131"/>
    <mergeCell ref="D130:D131"/>
    <mergeCell ref="E130:F130"/>
    <mergeCell ref="G130:I130"/>
    <mergeCell ref="J130:K130"/>
    <mergeCell ref="A119:B119"/>
    <mergeCell ref="F121:I121"/>
    <mergeCell ref="F124:I124"/>
    <mergeCell ref="G4:I4"/>
    <mergeCell ref="A10:B10"/>
    <mergeCell ref="A97:B97"/>
    <mergeCell ref="C96:E96"/>
    <mergeCell ref="A1:K1"/>
    <mergeCell ref="A2:K2"/>
    <mergeCell ref="J4:K4"/>
    <mergeCell ref="A4:A5"/>
    <mergeCell ref="B4:B5"/>
    <mergeCell ref="C4:C5"/>
    <mergeCell ref="D4:D5"/>
    <mergeCell ref="E4:F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"/>
  <sheetViews>
    <sheetView topLeftCell="D1" workbookViewId="0">
      <pane ySplit="5" topLeftCell="A20" activePane="bottomLeft" state="frozen"/>
      <selection pane="bottomLeft" activeCell="N22" sqref="N22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472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71" t="s">
        <v>9</v>
      </c>
      <c r="F5" s="171" t="s">
        <v>5</v>
      </c>
      <c r="G5" s="20" t="s">
        <v>14</v>
      </c>
      <c r="H5" s="171" t="s">
        <v>9</v>
      </c>
      <c r="I5" s="171" t="s">
        <v>5</v>
      </c>
      <c r="J5" s="171" t="s">
        <v>9</v>
      </c>
      <c r="K5" s="171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29</v>
      </c>
      <c r="B11" s="60" t="s">
        <v>473</v>
      </c>
      <c r="C11" s="154"/>
      <c r="D11" s="60" t="s">
        <v>474</v>
      </c>
      <c r="E11" s="49">
        <v>200000</v>
      </c>
      <c r="F11" s="49">
        <v>7950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 t="s">
        <v>460</v>
      </c>
      <c r="C12" s="2"/>
      <c r="D12" s="2"/>
      <c r="E12" s="4"/>
      <c r="F12" s="4"/>
      <c r="G12" s="40" t="s">
        <v>475</v>
      </c>
      <c r="H12" s="4">
        <v>31010</v>
      </c>
      <c r="I12" s="4">
        <v>7950</v>
      </c>
      <c r="J12" s="4">
        <f>+E11-H12</f>
        <v>168990</v>
      </c>
      <c r="K12" s="4"/>
      <c r="L12" s="4">
        <f>+H12*I12</f>
        <v>246529500</v>
      </c>
      <c r="M12" s="4">
        <v>800000000</v>
      </c>
      <c r="N12" s="4"/>
    </row>
    <row r="13" spans="1:14" ht="18" customHeight="1">
      <c r="A13" s="18"/>
      <c r="B13" s="60"/>
      <c r="C13" s="60"/>
      <c r="D13" s="60"/>
      <c r="E13" s="49"/>
      <c r="F13" s="49"/>
      <c r="G13" s="21"/>
      <c r="H13" s="4">
        <v>30110</v>
      </c>
      <c r="I13" s="4">
        <v>7950</v>
      </c>
      <c r="J13" s="4">
        <f>+J12-H13</f>
        <v>138880</v>
      </c>
      <c r="K13" s="4"/>
      <c r="L13" s="4">
        <f t="shared" ref="L13:L21" si="2">+H13*I13</f>
        <v>239374500</v>
      </c>
      <c r="M13" s="4"/>
      <c r="N13" s="4"/>
    </row>
    <row r="14" spans="1:14" ht="18" customHeight="1">
      <c r="A14" s="18"/>
      <c r="B14" s="2"/>
      <c r="C14" s="2"/>
      <c r="D14" s="2"/>
      <c r="E14" s="4"/>
      <c r="F14" s="4"/>
      <c r="G14" s="40"/>
      <c r="H14" s="4">
        <v>29100</v>
      </c>
      <c r="I14" s="4">
        <v>7950</v>
      </c>
      <c r="J14" s="4">
        <f t="shared" ref="J14:J21" si="3">+J13-H14</f>
        <v>109780</v>
      </c>
      <c r="K14" s="4"/>
      <c r="L14" s="4">
        <f t="shared" si="2"/>
        <v>231345000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/>
      <c r="G15" s="40" t="s">
        <v>554</v>
      </c>
      <c r="H15" s="4">
        <v>30870</v>
      </c>
      <c r="I15" s="4">
        <v>7950</v>
      </c>
      <c r="J15" s="4">
        <f t="shared" si="3"/>
        <v>78910</v>
      </c>
      <c r="K15" s="4"/>
      <c r="L15" s="4">
        <f t="shared" si="2"/>
        <v>245416500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/>
      <c r="G16" s="40" t="s">
        <v>574</v>
      </c>
      <c r="H16" s="4">
        <v>30620</v>
      </c>
      <c r="I16" s="4">
        <v>7950</v>
      </c>
      <c r="J16" s="4">
        <f t="shared" si="3"/>
        <v>48290</v>
      </c>
      <c r="K16" s="4"/>
      <c r="L16" s="4">
        <f t="shared" si="2"/>
        <v>243429000</v>
      </c>
      <c r="M16" s="4">
        <v>115500000</v>
      </c>
      <c r="N16" s="4"/>
    </row>
    <row r="17" spans="1:15" ht="18" customHeight="1">
      <c r="A17" s="18"/>
      <c r="B17" s="2"/>
      <c r="C17" s="2"/>
      <c r="D17" s="2"/>
      <c r="E17" s="4"/>
      <c r="F17" s="4"/>
      <c r="G17" s="40" t="s">
        <v>603</v>
      </c>
      <c r="H17" s="4">
        <v>31720</v>
      </c>
      <c r="I17" s="4">
        <v>7950</v>
      </c>
      <c r="J17" s="4">
        <f t="shared" si="3"/>
        <v>16570</v>
      </c>
      <c r="K17" s="4"/>
      <c r="L17" s="4">
        <f t="shared" si="2"/>
        <v>252174000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>
        <f t="shared" si="3"/>
        <v>16570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>
        <f t="shared" si="3"/>
        <v>16570</v>
      </c>
      <c r="K19" s="4"/>
      <c r="L19" s="4">
        <f t="shared" si="2"/>
        <v>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/>
      <c r="I20" s="4"/>
      <c r="J20" s="4">
        <f t="shared" si="3"/>
        <v>16570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/>
      <c r="J21" s="4">
        <f t="shared" si="3"/>
        <v>16570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300000</v>
      </c>
      <c r="F22" s="14"/>
      <c r="G22" s="22"/>
      <c r="H22" s="14">
        <f>SUM(H11:H21)</f>
        <v>183430</v>
      </c>
      <c r="I22" s="14">
        <v>7950</v>
      </c>
      <c r="J22" s="14"/>
      <c r="K22" s="14"/>
      <c r="L22" s="14">
        <f>+H22*I22</f>
        <v>1458268500</v>
      </c>
      <c r="M22" s="57">
        <f>SUM(M12:M21)</f>
        <v>915500000</v>
      </c>
      <c r="N22" s="14">
        <f>+M22-L22</f>
        <v>-542768500</v>
      </c>
      <c r="O22" s="120" t="s">
        <v>575</v>
      </c>
    </row>
    <row r="23" spans="1:15" ht="18" customHeight="1">
      <c r="A23" s="18"/>
      <c r="B23" s="60"/>
      <c r="C23" s="108"/>
      <c r="D23" s="60"/>
      <c r="E23" s="49"/>
      <c r="F23" s="49"/>
      <c r="G23" s="61"/>
      <c r="H23" s="49"/>
      <c r="I23" s="49"/>
      <c r="J23" s="49"/>
      <c r="K23" s="49"/>
      <c r="L23" s="49"/>
      <c r="M23" s="49"/>
      <c r="N23" s="102"/>
      <c r="O23" s="50"/>
    </row>
    <row r="24" spans="1:15" ht="18" customHeight="1">
      <c r="A24" s="18"/>
      <c r="B24" s="2"/>
      <c r="C24" s="2"/>
      <c r="D24" s="2"/>
      <c r="E24" s="4"/>
      <c r="F24" s="4"/>
      <c r="G24" s="40"/>
      <c r="H24" s="4"/>
      <c r="I24" s="4"/>
      <c r="J24" s="4"/>
      <c r="K24" s="4"/>
      <c r="L24" s="4"/>
      <c r="M24" s="4">
        <f>+H24*I24</f>
        <v>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>
        <f t="shared" ref="M25:M26" si="4">+H25*I25</f>
        <v>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>
        <f t="shared" si="4"/>
        <v>0</v>
      </c>
      <c r="N26" s="4"/>
    </row>
    <row r="27" spans="1:15" ht="18" customHeight="1">
      <c r="A27" s="18"/>
      <c r="B27" s="2"/>
      <c r="C27" s="56"/>
      <c r="D27" s="56"/>
      <c r="E27" s="57"/>
      <c r="F27" s="57"/>
      <c r="G27" s="58"/>
      <c r="H27" s="57"/>
      <c r="I27" s="57"/>
      <c r="J27" s="57"/>
      <c r="K27" s="57">
        <f>SUM(K24:K26)</f>
        <v>0</v>
      </c>
      <c r="L27" s="57">
        <f>SUM(L24:L26)</f>
        <v>0</v>
      </c>
      <c r="M27" s="57">
        <f>SUM(M24:M26)</f>
        <v>0</v>
      </c>
      <c r="N27" s="57"/>
      <c r="O27" s="119">
        <f>+N27-M27</f>
        <v>0</v>
      </c>
    </row>
    <row r="28" spans="1:15" ht="18" customHeight="1">
      <c r="A28" s="18"/>
      <c r="B28" s="2"/>
      <c r="C28" s="2"/>
      <c r="D28" s="2"/>
      <c r="E28" s="49"/>
      <c r="F28" s="49"/>
      <c r="G28" s="61"/>
      <c r="H28" s="49"/>
      <c r="I28" s="4"/>
      <c r="J28" s="4"/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/>
      <c r="H29" s="4"/>
      <c r="I29" s="4"/>
      <c r="J29" s="4"/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/>
      <c r="I30" s="4"/>
      <c r="J30" s="4"/>
      <c r="K30" s="4"/>
      <c r="L30" s="4"/>
      <c r="M30" s="4"/>
      <c r="N30" s="4"/>
    </row>
    <row r="31" spans="1:15" ht="18" customHeight="1">
      <c r="A31" s="148"/>
      <c r="B31" s="2"/>
      <c r="C31" s="60"/>
      <c r="D31" s="60"/>
      <c r="E31" s="49"/>
      <c r="F31" s="49"/>
      <c r="G31" s="66"/>
      <c r="H31" s="49"/>
      <c r="I31" s="49"/>
      <c r="J31" s="49"/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  <c r="L35" s="4"/>
      <c r="M35" s="4"/>
      <c r="N35" s="4"/>
    </row>
    <row r="36" spans="1:14" ht="18" customHeight="1">
      <c r="A36" s="281" t="s">
        <v>0</v>
      </c>
      <c r="B36" s="282"/>
      <c r="C36" s="170"/>
      <c r="D36" s="170"/>
      <c r="E36" s="5">
        <f>SUM(E24:E35)</f>
        <v>0</v>
      </c>
      <c r="F36" s="5">
        <v>12350</v>
      </c>
      <c r="G36" s="23"/>
      <c r="H36" s="5">
        <f>SUM(H24:H35)</f>
        <v>0</v>
      </c>
      <c r="I36" s="5">
        <v>12350</v>
      </c>
      <c r="J36" s="5"/>
      <c r="K36" s="99"/>
      <c r="L36" s="100">
        <f>H36*I36</f>
        <v>0</v>
      </c>
      <c r="M36" s="14"/>
      <c r="N36" s="100"/>
    </row>
    <row r="37" spans="1:14" s="6" customFormat="1" ht="24.75" customHeight="1">
      <c r="A37" s="16"/>
      <c r="B37" s="1"/>
      <c r="C37" s="1"/>
      <c r="D37" s="1"/>
      <c r="E37" s="3"/>
      <c r="F37" s="3"/>
      <c r="G37" s="19"/>
      <c r="H37" s="3"/>
      <c r="I37" s="3"/>
      <c r="J37" s="3"/>
      <c r="K37" s="3"/>
    </row>
    <row r="38" spans="1:14">
      <c r="F38" s="270" t="s">
        <v>1</v>
      </c>
      <c r="G38" s="270"/>
      <c r="H38" s="270"/>
      <c r="I38" s="270"/>
      <c r="J38" s="1"/>
      <c r="K38" s="8"/>
    </row>
    <row r="41" spans="1:14">
      <c r="F41" s="271"/>
      <c r="G41" s="271"/>
      <c r="H41" s="271"/>
      <c r="I41" s="271"/>
      <c r="J41" s="1"/>
      <c r="K41" s="1"/>
    </row>
  </sheetData>
  <mergeCells count="17">
    <mergeCell ref="F38:I38"/>
    <mergeCell ref="F41:I41"/>
    <mergeCell ref="L4:L5"/>
    <mergeCell ref="M4:M5"/>
    <mergeCell ref="N4:N5"/>
    <mergeCell ref="A10:B10"/>
    <mergeCell ref="A22:B22"/>
    <mergeCell ref="A36:B36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6"/>
  <sheetViews>
    <sheetView workbookViewId="0">
      <pane ySplit="5" topLeftCell="A26" activePane="bottomLeft" state="frozen"/>
      <selection pane="bottomLeft" activeCell="H38" sqref="H38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521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72" t="s">
        <v>9</v>
      </c>
      <c r="F5" s="172" t="s">
        <v>5</v>
      </c>
      <c r="G5" s="20" t="s">
        <v>14</v>
      </c>
      <c r="H5" s="172" t="s">
        <v>9</v>
      </c>
      <c r="I5" s="172" t="s">
        <v>5</v>
      </c>
      <c r="J5" s="172" t="s">
        <v>9</v>
      </c>
      <c r="K5" s="172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13</v>
      </c>
      <c r="B11" s="60" t="s">
        <v>522</v>
      </c>
      <c r="C11" s="154"/>
      <c r="D11" s="60" t="s">
        <v>85</v>
      </c>
      <c r="E11" s="49">
        <v>300000</v>
      </c>
      <c r="F11" s="49">
        <v>7800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 t="s">
        <v>460</v>
      </c>
      <c r="C12" s="2"/>
      <c r="D12" s="2"/>
      <c r="E12" s="4"/>
      <c r="F12" s="4"/>
      <c r="G12" s="40" t="s">
        <v>530</v>
      </c>
      <c r="H12" s="4">
        <v>31780</v>
      </c>
      <c r="I12" s="4"/>
      <c r="J12" s="4">
        <f>+E11-H12</f>
        <v>268220</v>
      </c>
      <c r="K12" s="4"/>
      <c r="L12" s="4">
        <f t="shared" ref="L12:L21" si="2">+H12*I12</f>
        <v>0</v>
      </c>
      <c r="M12" s="4">
        <f>300000*7800</f>
        <v>2340000000</v>
      </c>
      <c r="N12" s="101" t="s">
        <v>523</v>
      </c>
    </row>
    <row r="13" spans="1:14" ht="18" customHeight="1">
      <c r="A13" s="18"/>
      <c r="B13" s="60"/>
      <c r="C13" s="60"/>
      <c r="D13" s="60"/>
      <c r="E13" s="49"/>
      <c r="F13" s="49"/>
      <c r="G13" s="21"/>
      <c r="H13" s="4">
        <v>30780</v>
      </c>
      <c r="I13" s="4"/>
      <c r="J13" s="4">
        <f>+J12-H13</f>
        <v>237440</v>
      </c>
      <c r="K13" s="4"/>
      <c r="L13" s="4">
        <f t="shared" si="2"/>
        <v>0</v>
      </c>
      <c r="M13" s="4"/>
      <c r="N13" s="4"/>
    </row>
    <row r="14" spans="1:14" ht="18" customHeight="1">
      <c r="A14" s="18"/>
      <c r="B14" s="2"/>
      <c r="C14" s="2"/>
      <c r="D14" s="2"/>
      <c r="E14" s="4"/>
      <c r="F14" s="4"/>
      <c r="G14" s="40" t="s">
        <v>531</v>
      </c>
      <c r="H14" s="4">
        <v>31500</v>
      </c>
      <c r="I14" s="4"/>
      <c r="J14" s="4">
        <f t="shared" ref="J14:J21" si="3">+J13-H14</f>
        <v>205940</v>
      </c>
      <c r="K14" s="4"/>
      <c r="L14" s="4">
        <f t="shared" si="2"/>
        <v>0</v>
      </c>
      <c r="M14" s="4"/>
      <c r="N14" s="4"/>
    </row>
    <row r="15" spans="1:14" ht="18" customHeight="1">
      <c r="A15" s="18"/>
      <c r="B15" s="2"/>
      <c r="C15" s="2"/>
      <c r="D15" s="2"/>
      <c r="E15" s="4"/>
      <c r="F15" s="4"/>
      <c r="G15" s="21"/>
      <c r="H15" s="4">
        <v>29860</v>
      </c>
      <c r="I15" s="4"/>
      <c r="J15" s="4">
        <f t="shared" si="3"/>
        <v>176080</v>
      </c>
      <c r="K15" s="4"/>
      <c r="L15" s="4">
        <f t="shared" si="2"/>
        <v>0</v>
      </c>
      <c r="M15" s="4"/>
      <c r="N15" s="4"/>
    </row>
    <row r="16" spans="1:14" ht="18" customHeight="1">
      <c r="A16" s="18"/>
      <c r="B16" s="2"/>
      <c r="C16" s="2"/>
      <c r="D16" s="2"/>
      <c r="E16" s="4"/>
      <c r="F16" s="4"/>
      <c r="G16" s="40" t="s">
        <v>535</v>
      </c>
      <c r="H16" s="4">
        <v>31300</v>
      </c>
      <c r="I16" s="4"/>
      <c r="J16" s="4">
        <f t="shared" si="3"/>
        <v>144780</v>
      </c>
      <c r="K16" s="4"/>
      <c r="L16" s="4">
        <f t="shared" si="2"/>
        <v>0</v>
      </c>
      <c r="M16" s="4"/>
      <c r="N16" s="4"/>
    </row>
    <row r="17" spans="1:15" ht="18" customHeight="1">
      <c r="A17" s="18"/>
      <c r="B17" s="2"/>
      <c r="C17" s="2"/>
      <c r="D17" s="2"/>
      <c r="E17" s="4"/>
      <c r="F17" s="4"/>
      <c r="G17" s="40"/>
      <c r="H17" s="4">
        <v>30480</v>
      </c>
      <c r="I17" s="4"/>
      <c r="J17" s="4">
        <f t="shared" si="3"/>
        <v>114300</v>
      </c>
      <c r="K17" s="4"/>
      <c r="L17" s="4">
        <f t="shared" si="2"/>
        <v>0</v>
      </c>
      <c r="M17" s="4"/>
      <c r="N17" s="4"/>
    </row>
    <row r="18" spans="1:15" ht="18" customHeight="1">
      <c r="A18" s="18"/>
      <c r="B18" s="2"/>
      <c r="C18" s="2"/>
      <c r="D18" s="2"/>
      <c r="E18" s="4"/>
      <c r="F18" s="4"/>
      <c r="G18" s="40" t="s">
        <v>537</v>
      </c>
      <c r="H18" s="4">
        <v>32240</v>
      </c>
      <c r="I18" s="4"/>
      <c r="J18" s="4">
        <f t="shared" si="3"/>
        <v>82060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>
        <v>31540</v>
      </c>
      <c r="I19" s="4"/>
      <c r="J19" s="4">
        <f t="shared" si="3"/>
        <v>50520</v>
      </c>
      <c r="K19" s="4"/>
      <c r="L19" s="4">
        <f t="shared" si="2"/>
        <v>0</v>
      </c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21"/>
      <c r="H20" s="4">
        <v>32270</v>
      </c>
      <c r="I20" s="4"/>
      <c r="J20" s="4">
        <f t="shared" si="3"/>
        <v>18250</v>
      </c>
      <c r="K20" s="4"/>
      <c r="L20" s="4">
        <f t="shared" si="2"/>
        <v>0</v>
      </c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21"/>
      <c r="H21" s="4"/>
      <c r="I21" s="4"/>
      <c r="J21" s="4">
        <f t="shared" si="3"/>
        <v>18250</v>
      </c>
      <c r="K21" s="4"/>
      <c r="L21" s="4">
        <f t="shared" si="2"/>
        <v>0</v>
      </c>
      <c r="M21" s="4"/>
      <c r="N21" s="4"/>
    </row>
    <row r="22" spans="1:15" s="15" customFormat="1" ht="18" customHeight="1">
      <c r="A22" s="291" t="s">
        <v>15</v>
      </c>
      <c r="B22" s="292"/>
      <c r="C22" s="13"/>
      <c r="D22" s="13"/>
      <c r="E22" s="14">
        <v>300000</v>
      </c>
      <c r="F22" s="14"/>
      <c r="G22" s="22"/>
      <c r="H22" s="14">
        <f>SUM(H11:H21)</f>
        <v>281750</v>
      </c>
      <c r="I22" s="14">
        <v>7800</v>
      </c>
      <c r="J22" s="14"/>
      <c r="K22" s="14"/>
      <c r="L22" s="14">
        <f>+H22*I22</f>
        <v>2197650000</v>
      </c>
      <c r="M22" s="57">
        <f>SUM(M12:M21)</f>
        <v>2340000000</v>
      </c>
      <c r="N22" s="14">
        <f>+M22-L22</f>
        <v>142350000</v>
      </c>
      <c r="O22" s="120" t="s">
        <v>599</v>
      </c>
    </row>
    <row r="23" spans="1:15" ht="18" customHeight="1">
      <c r="A23" s="18"/>
      <c r="B23" s="60"/>
      <c r="C23" s="108"/>
      <c r="D23" s="60"/>
      <c r="E23" s="49"/>
      <c r="F23" s="49"/>
      <c r="G23" s="61"/>
      <c r="H23" s="49"/>
      <c r="I23" s="49"/>
      <c r="J23" s="49"/>
      <c r="K23" s="49"/>
      <c r="L23" s="49"/>
      <c r="M23" s="49"/>
      <c r="N23" s="102"/>
      <c r="O23" s="50"/>
    </row>
    <row r="24" spans="1:15" ht="18" customHeight="1">
      <c r="A24" s="18" t="s">
        <v>13</v>
      </c>
      <c r="B24" s="2" t="s">
        <v>522</v>
      </c>
      <c r="C24" s="2"/>
      <c r="D24" s="2" t="s">
        <v>600</v>
      </c>
      <c r="E24" s="4">
        <v>15000</v>
      </c>
      <c r="F24" s="4">
        <v>17000</v>
      </c>
      <c r="G24" s="40"/>
      <c r="H24" s="4"/>
      <c r="I24" s="4"/>
      <c r="J24" s="4"/>
      <c r="K24" s="4"/>
      <c r="L24" s="4"/>
      <c r="M24" s="4">
        <v>142350000</v>
      </c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 t="s">
        <v>594</v>
      </c>
      <c r="H25" s="4">
        <v>8200</v>
      </c>
      <c r="I25" s="4">
        <v>17000</v>
      </c>
      <c r="J25" s="4"/>
      <c r="K25" s="4"/>
      <c r="L25" s="4">
        <f>+I25*H25</f>
        <v>139400000</v>
      </c>
      <c r="M25" s="4">
        <v>138150000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 t="s">
        <v>663</v>
      </c>
      <c r="H26" s="4">
        <v>10000</v>
      </c>
      <c r="I26" s="4">
        <v>17000</v>
      </c>
      <c r="J26" s="4"/>
      <c r="K26" s="4"/>
      <c r="L26" s="4"/>
      <c r="M26" s="4"/>
      <c r="N26" s="4"/>
    </row>
    <row r="27" spans="1:15" ht="18" customHeight="1">
      <c r="A27" s="55"/>
      <c r="B27" s="56" t="s">
        <v>92</v>
      </c>
      <c r="C27" s="56"/>
      <c r="D27" s="56"/>
      <c r="E27" s="57"/>
      <c r="F27" s="25"/>
      <c r="G27" s="26"/>
      <c r="H27" s="57">
        <f>SUM(H24:H26)</f>
        <v>18200</v>
      </c>
      <c r="I27" s="57">
        <v>17000</v>
      </c>
      <c r="J27" s="57">
        <f>+I27*H27</f>
        <v>309400000</v>
      </c>
      <c r="K27" s="57">
        <f t="shared" ref="K27:L27" si="4">SUM(K24:K26)</f>
        <v>0</v>
      </c>
      <c r="L27" s="57">
        <f t="shared" si="4"/>
        <v>139400000</v>
      </c>
      <c r="M27" s="57">
        <f>SUM(M24:M26)</f>
        <v>280500000</v>
      </c>
      <c r="N27" s="57">
        <f>M27-L27</f>
        <v>141100000</v>
      </c>
      <c r="O27" s="119"/>
    </row>
    <row r="28" spans="1:15" ht="18" customHeight="1">
      <c r="A28" s="18" t="s">
        <v>13</v>
      </c>
      <c r="B28" s="2" t="s">
        <v>522</v>
      </c>
      <c r="C28" s="2" t="s">
        <v>793</v>
      </c>
      <c r="D28" s="2" t="s">
        <v>600</v>
      </c>
      <c r="E28" s="49">
        <v>60000</v>
      </c>
      <c r="F28" s="49">
        <v>17000</v>
      </c>
      <c r="G28" s="61"/>
      <c r="H28" s="49"/>
      <c r="I28" s="4"/>
      <c r="J28" s="4"/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/>
      <c r="H29" s="4"/>
      <c r="I29" s="4"/>
      <c r="J29" s="4"/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 t="s">
        <v>721</v>
      </c>
      <c r="H30" s="4">
        <v>5000</v>
      </c>
      <c r="I30" s="4">
        <f>+E28-H30</f>
        <v>55000</v>
      </c>
      <c r="J30" s="4"/>
      <c r="K30" s="4"/>
      <c r="L30" s="4"/>
      <c r="M30" s="4"/>
      <c r="N30" s="4"/>
    </row>
    <row r="31" spans="1:15" ht="18" customHeight="1">
      <c r="A31" s="148"/>
      <c r="B31" s="2"/>
      <c r="C31" s="60"/>
      <c r="D31" s="60"/>
      <c r="E31" s="49"/>
      <c r="F31" s="49"/>
      <c r="G31" s="40" t="s">
        <v>722</v>
      </c>
      <c r="H31" s="4">
        <v>5000</v>
      </c>
      <c r="I31" s="4">
        <f>+I30-H31</f>
        <v>50000</v>
      </c>
      <c r="J31" s="49"/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 t="s">
        <v>727</v>
      </c>
      <c r="H32" s="4">
        <v>5000</v>
      </c>
      <c r="I32" s="4">
        <f t="shared" ref="I32:I40" si="5">+I31-H32</f>
        <v>45000</v>
      </c>
      <c r="J32" s="4"/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 t="s">
        <v>735</v>
      </c>
      <c r="H33" s="4">
        <v>5000</v>
      </c>
      <c r="I33" s="4">
        <f t="shared" si="5"/>
        <v>40000</v>
      </c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 t="s">
        <v>757</v>
      </c>
      <c r="H34" s="4">
        <v>8000</v>
      </c>
      <c r="I34" s="4">
        <f t="shared" si="5"/>
        <v>32000</v>
      </c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40" t="s">
        <v>792</v>
      </c>
      <c r="H35" s="4">
        <v>8000</v>
      </c>
      <c r="I35" s="4">
        <f t="shared" si="5"/>
        <v>24000</v>
      </c>
      <c r="J35" s="4"/>
      <c r="K35" s="4"/>
      <c r="L35" s="4"/>
      <c r="M35" s="4"/>
      <c r="N35" s="4"/>
    </row>
    <row r="36" spans="1:14" ht="18" customHeight="1">
      <c r="A36" s="18"/>
      <c r="B36" s="2"/>
      <c r="C36" s="2"/>
      <c r="D36" s="2"/>
      <c r="E36" s="4"/>
      <c r="F36" s="4"/>
      <c r="G36" s="40" t="s">
        <v>116</v>
      </c>
      <c r="H36" s="4">
        <v>8000</v>
      </c>
      <c r="I36" s="4">
        <f t="shared" si="5"/>
        <v>16000</v>
      </c>
      <c r="J36" s="4"/>
      <c r="K36" s="4"/>
      <c r="L36" s="4"/>
      <c r="M36" s="4"/>
      <c r="N36" s="4"/>
    </row>
    <row r="37" spans="1:14" ht="18" customHeight="1">
      <c r="A37" s="18"/>
      <c r="B37" s="2"/>
      <c r="C37" s="2"/>
      <c r="D37" s="2"/>
      <c r="E37" s="4"/>
      <c r="F37" s="4"/>
      <c r="G37" s="40" t="s">
        <v>813</v>
      </c>
      <c r="H37" s="4">
        <v>6000</v>
      </c>
      <c r="I37" s="4">
        <f t="shared" si="5"/>
        <v>10000</v>
      </c>
      <c r="J37" s="4"/>
      <c r="K37" s="4"/>
      <c r="L37" s="4"/>
      <c r="M37" s="4"/>
      <c r="N37" s="4"/>
    </row>
    <row r="38" spans="1:14" ht="18" customHeight="1">
      <c r="A38" s="18"/>
      <c r="B38" s="2"/>
      <c r="C38" s="2"/>
      <c r="D38" s="2"/>
      <c r="E38" s="4"/>
      <c r="F38" s="4"/>
      <c r="G38" s="40"/>
      <c r="H38" s="4"/>
      <c r="I38" s="4">
        <f t="shared" si="5"/>
        <v>10000</v>
      </c>
      <c r="J38" s="4"/>
      <c r="K38" s="4"/>
      <c r="L38" s="4"/>
      <c r="M38" s="4"/>
      <c r="N38" s="4"/>
    </row>
    <row r="39" spans="1:14" ht="18" customHeight="1">
      <c r="A39" s="18"/>
      <c r="B39" s="2"/>
      <c r="C39" s="2"/>
      <c r="D39" s="2"/>
      <c r="E39" s="4"/>
      <c r="F39" s="4"/>
      <c r="G39" s="40"/>
      <c r="H39" s="4"/>
      <c r="I39" s="4">
        <f t="shared" si="5"/>
        <v>10000</v>
      </c>
      <c r="J39" s="4"/>
      <c r="K39" s="4"/>
      <c r="L39" s="4"/>
      <c r="M39" s="4"/>
      <c r="N39" s="4"/>
    </row>
    <row r="40" spans="1:14" ht="18" customHeight="1">
      <c r="A40" s="18"/>
      <c r="B40" s="2"/>
      <c r="C40" s="2"/>
      <c r="D40" s="2"/>
      <c r="E40" s="4"/>
      <c r="F40" s="4"/>
      <c r="G40" s="21"/>
      <c r="H40" s="4"/>
      <c r="I40" s="4">
        <f t="shared" si="5"/>
        <v>10000</v>
      </c>
      <c r="J40" s="4"/>
      <c r="K40" s="4"/>
      <c r="L40" s="4"/>
      <c r="M40" s="4"/>
      <c r="N40" s="4"/>
    </row>
    <row r="41" spans="1:14" ht="18" customHeight="1">
      <c r="A41" s="281" t="s">
        <v>0</v>
      </c>
      <c r="B41" s="282"/>
      <c r="C41" s="173"/>
      <c r="D41" s="173"/>
      <c r="E41" s="5">
        <f>SUM(E24:E40)</f>
        <v>75000</v>
      </c>
      <c r="F41" s="5"/>
      <c r="G41" s="23"/>
      <c r="H41" s="5">
        <f>SUM(H29:H40)</f>
        <v>50000</v>
      </c>
      <c r="I41" s="5"/>
      <c r="J41" s="5"/>
      <c r="K41" s="99"/>
      <c r="L41" s="100">
        <f>H41*I41</f>
        <v>0</v>
      </c>
      <c r="M41" s="14"/>
      <c r="N41" s="100"/>
    </row>
    <row r="42" spans="1:14" s="6" customFormat="1" ht="24.75" customHeight="1">
      <c r="A42" s="16"/>
      <c r="B42" s="1"/>
      <c r="C42" s="1"/>
      <c r="D42" s="1"/>
      <c r="E42" s="3"/>
      <c r="F42" s="3"/>
      <c r="G42" s="19"/>
      <c r="H42" s="3"/>
      <c r="I42" s="3"/>
      <c r="J42" s="3"/>
      <c r="K42" s="3"/>
    </row>
    <row r="43" spans="1:14">
      <c r="F43" s="270" t="s">
        <v>1</v>
      </c>
      <c r="G43" s="270"/>
      <c r="H43" s="270"/>
      <c r="I43" s="270"/>
      <c r="J43" s="1"/>
      <c r="K43" s="8"/>
    </row>
    <row r="46" spans="1:14">
      <c r="F46" s="271"/>
      <c r="G46" s="271"/>
      <c r="H46" s="271"/>
      <c r="I46" s="271"/>
      <c r="J46" s="1"/>
      <c r="K46" s="1"/>
    </row>
  </sheetData>
  <mergeCells count="17">
    <mergeCell ref="A10:B10"/>
    <mergeCell ref="A22:B22"/>
    <mergeCell ref="A41:B41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43:I43"/>
    <mergeCell ref="F46:I46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38"/>
  <sheetViews>
    <sheetView workbookViewId="0">
      <pane ySplit="5" topLeftCell="A24" activePane="bottomLeft" state="frozen"/>
      <selection pane="bottomLeft" activeCell="A33" sqref="A33:M33"/>
    </sheetView>
  </sheetViews>
  <sheetFormatPr defaultRowHeight="15"/>
  <cols>
    <col min="1" max="1" width="11.28515625" style="16" customWidth="1"/>
    <col min="2" max="2" width="8.7109375" style="1" customWidth="1"/>
    <col min="3" max="3" width="9" style="1" customWidth="1"/>
    <col min="4" max="4" width="11.7109375" style="3" customWidth="1"/>
    <col min="5" max="6" width="10.140625" style="3" customWidth="1"/>
    <col min="7" max="7" width="10.140625" style="3" hidden="1" customWidth="1"/>
    <col min="8" max="8" width="13.140625" style="3" customWidth="1"/>
    <col min="9" max="9" width="10" style="3" customWidth="1"/>
    <col min="10" max="10" width="10" style="19" customWidth="1"/>
    <col min="11" max="11" width="10" style="3" customWidth="1"/>
    <col min="12" max="13" width="10" style="3" hidden="1" customWidth="1"/>
    <col min="14" max="14" width="11.140625" style="3" customWidth="1"/>
    <col min="15" max="15" width="9.42578125" style="3" customWidth="1"/>
    <col min="16" max="16" width="16.28515625" style="3" customWidth="1"/>
    <col min="17" max="17" width="16.7109375" style="1" customWidth="1"/>
    <col min="18" max="18" width="12.85546875" style="1" customWidth="1"/>
    <col min="19" max="19" width="9.140625" style="1"/>
    <col min="20" max="20" width="14.5703125" style="1" bestFit="1" customWidth="1"/>
    <col min="21" max="16384" width="9.140625" style="1"/>
  </cols>
  <sheetData>
    <row r="1" spans="1:20" ht="34.5" customHeight="1">
      <c r="A1" s="216" t="s">
        <v>688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20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</row>
    <row r="3" spans="1:20" ht="11.25" customHeight="1">
      <c r="A3" s="208"/>
      <c r="B3" s="208"/>
      <c r="C3" s="208"/>
      <c r="D3" s="208"/>
      <c r="E3" s="208"/>
      <c r="F3" s="208"/>
      <c r="G3" s="208"/>
      <c r="H3" s="208"/>
      <c r="I3" s="209"/>
      <c r="J3" s="208"/>
      <c r="K3" s="208"/>
      <c r="L3" s="208"/>
      <c r="M3" s="208"/>
      <c r="N3" s="208"/>
      <c r="O3" s="208"/>
      <c r="P3" s="208"/>
    </row>
    <row r="4" spans="1:20" s="11" customFormat="1" ht="44.25" customHeight="1">
      <c r="A4" s="276" t="s">
        <v>689</v>
      </c>
      <c r="B4" s="276" t="s">
        <v>8</v>
      </c>
      <c r="C4" s="299" t="s">
        <v>686</v>
      </c>
      <c r="D4" s="300"/>
      <c r="E4" s="300"/>
      <c r="F4" s="300"/>
      <c r="G4" s="300"/>
      <c r="H4" s="301"/>
      <c r="I4" s="302" t="s">
        <v>685</v>
      </c>
      <c r="J4" s="303"/>
      <c r="K4" s="303"/>
      <c r="L4" s="213"/>
      <c r="M4" s="214"/>
      <c r="N4" s="278" t="s">
        <v>696</v>
      </c>
      <c r="O4" s="278" t="s">
        <v>695</v>
      </c>
      <c r="P4" s="278" t="s">
        <v>203</v>
      </c>
      <c r="Q4" s="305" t="s">
        <v>200</v>
      </c>
      <c r="R4" s="326" t="s">
        <v>494</v>
      </c>
    </row>
    <row r="5" spans="1:20" s="11" customFormat="1" ht="56.25" customHeight="1">
      <c r="A5" s="277"/>
      <c r="B5" s="277"/>
      <c r="C5" s="44" t="s">
        <v>690</v>
      </c>
      <c r="D5" s="45" t="s">
        <v>595</v>
      </c>
      <c r="E5" s="45" t="s">
        <v>687</v>
      </c>
      <c r="F5" s="45" t="s">
        <v>692</v>
      </c>
      <c r="G5" s="45" t="s">
        <v>5</v>
      </c>
      <c r="H5" s="45" t="s">
        <v>613</v>
      </c>
      <c r="I5" s="48" t="s">
        <v>693</v>
      </c>
      <c r="J5" s="47" t="s">
        <v>691</v>
      </c>
      <c r="K5" s="48" t="s">
        <v>201</v>
      </c>
      <c r="L5" s="48" t="s">
        <v>5</v>
      </c>
      <c r="M5" s="48" t="s">
        <v>87</v>
      </c>
      <c r="N5" s="278"/>
      <c r="O5" s="278"/>
      <c r="P5" s="278"/>
      <c r="Q5" s="306"/>
      <c r="R5" s="327"/>
    </row>
    <row r="6" spans="1:20" ht="18" customHeight="1">
      <c r="A6" s="18"/>
      <c r="B6" s="2" t="s">
        <v>85</v>
      </c>
      <c r="C6" s="46" t="s">
        <v>574</v>
      </c>
      <c r="D6" s="133">
        <v>30620</v>
      </c>
      <c r="E6" s="133">
        <f>+D6*0.04</f>
        <v>1224.8</v>
      </c>
      <c r="F6" s="133">
        <f>+D6-E6</f>
        <v>29395.200000000001</v>
      </c>
      <c r="G6" s="4">
        <v>7920</v>
      </c>
      <c r="H6" s="36">
        <f>+E6*G6</f>
        <v>9700416</v>
      </c>
      <c r="I6" s="36">
        <f>F6</f>
        <v>29395.200000000001</v>
      </c>
      <c r="J6" s="40" t="s">
        <v>594</v>
      </c>
      <c r="K6" s="4">
        <v>7430</v>
      </c>
      <c r="L6" s="4">
        <v>7920</v>
      </c>
      <c r="M6" s="36"/>
      <c r="N6" s="4">
        <f>F6-K6</f>
        <v>21965.200000000001</v>
      </c>
      <c r="O6" s="4">
        <v>900</v>
      </c>
      <c r="P6" s="36">
        <f>+K6*O6</f>
        <v>6687000</v>
      </c>
      <c r="Q6" s="4"/>
      <c r="R6" s="2"/>
    </row>
    <row r="7" spans="1:20" ht="18" customHeight="1">
      <c r="A7" s="18"/>
      <c r="B7" s="2" t="s">
        <v>85</v>
      </c>
      <c r="C7" s="7"/>
      <c r="D7" s="4"/>
      <c r="E7" s="133">
        <f t="shared" ref="E7:E16" si="0">+D7*0.04</f>
        <v>0</v>
      </c>
      <c r="F7" s="133">
        <f t="shared" ref="F7:F16" si="1">+D7-E7</f>
        <v>0</v>
      </c>
      <c r="G7" s="4"/>
      <c r="H7" s="36">
        <f t="shared" ref="H7:H15" si="2">+E7*G7</f>
        <v>0</v>
      </c>
      <c r="I7" s="36">
        <f>F7</f>
        <v>0</v>
      </c>
      <c r="J7" s="40" t="s">
        <v>598</v>
      </c>
      <c r="K7" s="4">
        <v>5785</v>
      </c>
      <c r="L7" s="4">
        <v>7920</v>
      </c>
      <c r="M7" s="36"/>
      <c r="N7" s="4">
        <f t="shared" ref="N7:N16" si="3">+N6+F7-K7</f>
        <v>16180.2</v>
      </c>
      <c r="O7" s="4">
        <v>900</v>
      </c>
      <c r="P7" s="36">
        <f t="shared" ref="P7:P16" si="4">+K7*O7</f>
        <v>5206500</v>
      </c>
      <c r="Q7" s="4"/>
      <c r="R7" s="2"/>
    </row>
    <row r="8" spans="1:20" ht="18" customHeight="1">
      <c r="A8" s="18"/>
      <c r="B8" s="2" t="s">
        <v>85</v>
      </c>
      <c r="C8" s="46"/>
      <c r="D8" s="4"/>
      <c r="E8" s="133">
        <f t="shared" si="0"/>
        <v>0</v>
      </c>
      <c r="F8" s="133">
        <f t="shared" si="1"/>
        <v>0</v>
      </c>
      <c r="G8" s="4"/>
      <c r="H8" s="36">
        <f t="shared" si="2"/>
        <v>0</v>
      </c>
      <c r="I8" s="36">
        <f t="shared" ref="I8:I16" si="5">F8</f>
        <v>0</v>
      </c>
      <c r="J8" s="59"/>
      <c r="K8" s="4">
        <v>5405</v>
      </c>
      <c r="L8" s="4">
        <v>7920</v>
      </c>
      <c r="M8" s="36"/>
      <c r="N8" s="4">
        <f t="shared" si="3"/>
        <v>10775.2</v>
      </c>
      <c r="O8" s="4">
        <v>900</v>
      </c>
      <c r="P8" s="36">
        <f t="shared" si="4"/>
        <v>4864500</v>
      </c>
      <c r="Q8" s="4"/>
      <c r="R8" s="2"/>
    </row>
    <row r="9" spans="1:20" ht="18" customHeight="1">
      <c r="A9" s="18"/>
      <c r="B9" s="2" t="s">
        <v>85</v>
      </c>
      <c r="C9" s="7" t="s">
        <v>603</v>
      </c>
      <c r="D9" s="4">
        <v>31720</v>
      </c>
      <c r="E9" s="133">
        <f t="shared" si="0"/>
        <v>1268.8</v>
      </c>
      <c r="F9" s="133">
        <f t="shared" si="1"/>
        <v>30451.200000000001</v>
      </c>
      <c r="G9" s="4">
        <v>7920</v>
      </c>
      <c r="H9" s="36">
        <f>+E9*G9</f>
        <v>10048896</v>
      </c>
      <c r="I9" s="36">
        <f t="shared" si="5"/>
        <v>30451.200000000001</v>
      </c>
      <c r="J9" s="40" t="s">
        <v>609</v>
      </c>
      <c r="K9" s="4">
        <v>8825</v>
      </c>
      <c r="L9" s="4">
        <v>7920</v>
      </c>
      <c r="M9" s="36"/>
      <c r="N9" s="4">
        <f t="shared" si="3"/>
        <v>32401.4</v>
      </c>
      <c r="O9" s="49">
        <f>900-120</f>
        <v>780</v>
      </c>
      <c r="P9" s="36">
        <f t="shared" si="4"/>
        <v>6883500</v>
      </c>
      <c r="Q9" s="4"/>
      <c r="R9" s="2" t="s">
        <v>694</v>
      </c>
      <c r="T9" s="2" t="s">
        <v>612</v>
      </c>
    </row>
    <row r="10" spans="1:20" ht="18" customHeight="1">
      <c r="A10" s="18"/>
      <c r="B10" s="2" t="s">
        <v>85</v>
      </c>
      <c r="C10" s="7"/>
      <c r="D10" s="4">
        <v>17330</v>
      </c>
      <c r="E10" s="133">
        <f t="shared" si="0"/>
        <v>693.2</v>
      </c>
      <c r="F10" s="133">
        <f t="shared" si="1"/>
        <v>16636.8</v>
      </c>
      <c r="G10" s="4">
        <v>7300</v>
      </c>
      <c r="H10" s="36">
        <f t="shared" si="2"/>
        <v>5060360</v>
      </c>
      <c r="I10" s="36">
        <f t="shared" si="5"/>
        <v>16636.8</v>
      </c>
      <c r="J10" s="40" t="s">
        <v>611</v>
      </c>
      <c r="K10" s="4">
        <v>8085</v>
      </c>
      <c r="L10" s="4">
        <v>7920</v>
      </c>
      <c r="M10" s="36"/>
      <c r="N10" s="4">
        <f t="shared" si="3"/>
        <v>40953.199999999997</v>
      </c>
      <c r="O10" s="49">
        <f>900-120</f>
        <v>780</v>
      </c>
      <c r="P10" s="36">
        <f t="shared" si="4"/>
        <v>6306300</v>
      </c>
      <c r="Q10" s="4"/>
      <c r="R10" s="2" t="s">
        <v>694</v>
      </c>
      <c r="T10" s="2" t="s">
        <v>612</v>
      </c>
    </row>
    <row r="11" spans="1:20" ht="18" customHeight="1">
      <c r="A11" s="18"/>
      <c r="B11" s="2" t="s">
        <v>85</v>
      </c>
      <c r="C11" s="7"/>
      <c r="D11" s="4"/>
      <c r="E11" s="133">
        <f t="shared" si="0"/>
        <v>0</v>
      </c>
      <c r="F11" s="133">
        <f t="shared" si="1"/>
        <v>0</v>
      </c>
      <c r="G11" s="4"/>
      <c r="H11" s="36">
        <f t="shared" si="2"/>
        <v>0</v>
      </c>
      <c r="I11" s="36">
        <f t="shared" si="5"/>
        <v>0</v>
      </c>
      <c r="J11" s="40" t="s">
        <v>617</v>
      </c>
      <c r="K11" s="4">
        <f>59846-35530</f>
        <v>24316</v>
      </c>
      <c r="L11" s="4">
        <v>7920</v>
      </c>
      <c r="M11" s="36"/>
      <c r="N11" s="4">
        <f t="shared" si="3"/>
        <v>16637.199999999997</v>
      </c>
      <c r="O11" s="49">
        <f t="shared" ref="O11:O12" si="6">900-120</f>
        <v>780</v>
      </c>
      <c r="P11" s="36">
        <f t="shared" si="4"/>
        <v>18966480</v>
      </c>
      <c r="Q11" s="4"/>
      <c r="R11" s="2" t="s">
        <v>694</v>
      </c>
      <c r="T11" s="2" t="s">
        <v>631</v>
      </c>
    </row>
    <row r="12" spans="1:20" ht="18" customHeight="1">
      <c r="A12" s="18"/>
      <c r="B12" s="2" t="s">
        <v>85</v>
      </c>
      <c r="C12" s="7"/>
      <c r="D12" s="4"/>
      <c r="E12" s="133">
        <f t="shared" si="0"/>
        <v>0</v>
      </c>
      <c r="F12" s="133">
        <f t="shared" si="1"/>
        <v>0</v>
      </c>
      <c r="G12" s="4"/>
      <c r="H12" s="36">
        <f t="shared" si="2"/>
        <v>0</v>
      </c>
      <c r="I12" s="36">
        <f t="shared" si="5"/>
        <v>0</v>
      </c>
      <c r="J12" s="40"/>
      <c r="K12" s="4">
        <f>35030-K11</f>
        <v>10714</v>
      </c>
      <c r="L12" s="4">
        <v>7300</v>
      </c>
      <c r="M12" s="36"/>
      <c r="N12" s="4">
        <f t="shared" si="3"/>
        <v>5923.1999999999971</v>
      </c>
      <c r="O12" s="49">
        <f t="shared" si="6"/>
        <v>780</v>
      </c>
      <c r="P12" s="36">
        <f t="shared" si="4"/>
        <v>8356920</v>
      </c>
      <c r="Q12" s="4"/>
      <c r="R12" s="2" t="s">
        <v>694</v>
      </c>
      <c r="T12" s="2" t="s">
        <v>632</v>
      </c>
    </row>
    <row r="13" spans="1:20" ht="18" customHeight="1">
      <c r="A13" s="18"/>
      <c r="B13" s="2" t="s">
        <v>85</v>
      </c>
      <c r="C13" s="7" t="s">
        <v>625</v>
      </c>
      <c r="D13" s="4">
        <v>32600</v>
      </c>
      <c r="E13" s="133">
        <f t="shared" si="0"/>
        <v>1304</v>
      </c>
      <c r="F13" s="133">
        <f t="shared" si="1"/>
        <v>31296</v>
      </c>
      <c r="G13" s="4">
        <v>7550</v>
      </c>
      <c r="H13" s="36">
        <f t="shared" si="2"/>
        <v>9845200</v>
      </c>
      <c r="I13" s="36">
        <f t="shared" si="5"/>
        <v>31296</v>
      </c>
      <c r="J13" s="40" t="s">
        <v>625</v>
      </c>
      <c r="K13" s="4">
        <v>5923</v>
      </c>
      <c r="L13" s="4">
        <v>7300</v>
      </c>
      <c r="M13" s="36"/>
      <c r="N13" s="4">
        <f t="shared" si="3"/>
        <v>31296.199999999997</v>
      </c>
      <c r="O13" s="4">
        <v>900</v>
      </c>
      <c r="P13" s="36">
        <f t="shared" si="4"/>
        <v>5330700</v>
      </c>
      <c r="Q13" s="4"/>
      <c r="R13" s="2"/>
    </row>
    <row r="14" spans="1:20" ht="18" customHeight="1">
      <c r="A14" s="18"/>
      <c r="B14" s="2" t="s">
        <v>85</v>
      </c>
      <c r="C14" s="7"/>
      <c r="D14" s="4"/>
      <c r="E14" s="133">
        <f t="shared" si="0"/>
        <v>0</v>
      </c>
      <c r="F14" s="133">
        <f t="shared" si="1"/>
        <v>0</v>
      </c>
      <c r="G14" s="4"/>
      <c r="H14" s="36">
        <f t="shared" si="2"/>
        <v>0</v>
      </c>
      <c r="I14" s="36">
        <f t="shared" si="5"/>
        <v>0</v>
      </c>
      <c r="J14" s="40"/>
      <c r="K14" s="4">
        <f>27180-K13</f>
        <v>21257</v>
      </c>
      <c r="L14" s="4">
        <v>7550</v>
      </c>
      <c r="M14" s="36"/>
      <c r="N14" s="4">
        <f t="shared" si="3"/>
        <v>10039.199999999997</v>
      </c>
      <c r="O14" s="4">
        <v>900</v>
      </c>
      <c r="P14" s="36">
        <f t="shared" si="4"/>
        <v>19131300</v>
      </c>
      <c r="Q14" s="4"/>
      <c r="R14" s="2"/>
    </row>
    <row r="15" spans="1:20" ht="18" customHeight="1">
      <c r="A15" s="18"/>
      <c r="B15" s="2" t="s">
        <v>85</v>
      </c>
      <c r="C15" s="7" t="s">
        <v>626</v>
      </c>
      <c r="D15" s="4">
        <f>33590</f>
        <v>33590</v>
      </c>
      <c r="E15" s="133">
        <f t="shared" si="0"/>
        <v>1343.6000000000001</v>
      </c>
      <c r="F15" s="133">
        <f t="shared" si="1"/>
        <v>32246.400000000001</v>
      </c>
      <c r="G15" s="4">
        <v>7550</v>
      </c>
      <c r="H15" s="36">
        <f t="shared" si="2"/>
        <v>10144180.000000002</v>
      </c>
      <c r="I15" s="36">
        <f t="shared" si="5"/>
        <v>32246.400000000001</v>
      </c>
      <c r="J15" s="40" t="s">
        <v>636</v>
      </c>
      <c r="K15" s="4">
        <v>31835</v>
      </c>
      <c r="L15" s="4">
        <v>7550</v>
      </c>
      <c r="M15" s="36"/>
      <c r="N15" s="4">
        <f t="shared" si="3"/>
        <v>10450.599999999999</v>
      </c>
      <c r="O15" s="4">
        <v>900</v>
      </c>
      <c r="P15" s="36">
        <f t="shared" si="4"/>
        <v>28651500</v>
      </c>
      <c r="Q15" s="4"/>
      <c r="R15" s="2"/>
    </row>
    <row r="16" spans="1:20" ht="18" customHeight="1">
      <c r="A16" s="18"/>
      <c r="B16" s="2" t="s">
        <v>85</v>
      </c>
      <c r="C16" s="7"/>
      <c r="D16" s="4">
        <v>33430</v>
      </c>
      <c r="E16" s="133">
        <f t="shared" si="0"/>
        <v>1337.2</v>
      </c>
      <c r="F16" s="133">
        <f t="shared" si="1"/>
        <v>32092.799999999999</v>
      </c>
      <c r="G16" s="4">
        <v>7550</v>
      </c>
      <c r="H16" s="36">
        <f>+E16*G16</f>
        <v>10095860</v>
      </c>
      <c r="I16" s="36">
        <f t="shared" si="5"/>
        <v>32092.799999999999</v>
      </c>
      <c r="J16" s="40" t="s">
        <v>641</v>
      </c>
      <c r="K16" s="4">
        <v>28750</v>
      </c>
      <c r="L16" s="4">
        <v>7550</v>
      </c>
      <c r="M16" s="36"/>
      <c r="N16" s="4">
        <f t="shared" si="3"/>
        <v>13793.399999999994</v>
      </c>
      <c r="O16" s="4">
        <v>900</v>
      </c>
      <c r="P16" s="36">
        <f t="shared" si="4"/>
        <v>25875000</v>
      </c>
      <c r="Q16" s="4"/>
      <c r="R16" s="2"/>
    </row>
    <row r="17" spans="1:18" ht="18" customHeight="1">
      <c r="A17" s="307" t="s">
        <v>580</v>
      </c>
      <c r="B17" s="308"/>
      <c r="C17" s="309"/>
      <c r="D17" s="103">
        <f>SUBTOTAL(9,D6:D16)</f>
        <v>179290</v>
      </c>
      <c r="E17" s="103">
        <f>SUBTOTAL(9,E6:E16)</f>
        <v>7171.6</v>
      </c>
      <c r="F17" s="103">
        <f>SUBTOTAL(9,F6:F16)</f>
        <v>172118.39999999999</v>
      </c>
      <c r="G17" s="103">
        <f t="shared" ref="G17:I17" si="7">SUBTOTAL(9,G6:G16)</f>
        <v>45790</v>
      </c>
      <c r="H17" s="103">
        <f t="shared" si="7"/>
        <v>54894912</v>
      </c>
      <c r="I17" s="103">
        <f t="shared" si="7"/>
        <v>172118.39999999999</v>
      </c>
      <c r="J17" s="103"/>
      <c r="K17" s="103">
        <f>SUBTOTAL(9,K6:K16)</f>
        <v>158325</v>
      </c>
      <c r="L17" s="103"/>
      <c r="M17" s="103">
        <f>SUBTOTAL(9,M6:M16)</f>
        <v>0</v>
      </c>
      <c r="N17" s="103"/>
      <c r="O17" s="103"/>
      <c r="P17" s="103">
        <f>SUBTOTAL(9,P6:P16)</f>
        <v>136259700</v>
      </c>
      <c r="Q17" s="49"/>
      <c r="R17" s="2"/>
    </row>
    <row r="18" spans="1:18" ht="18" customHeight="1">
      <c r="A18" s="18" t="s">
        <v>29</v>
      </c>
      <c r="B18" s="2" t="s">
        <v>85</v>
      </c>
      <c r="C18" s="7" t="s">
        <v>648</v>
      </c>
      <c r="D18" s="4">
        <v>2450</v>
      </c>
      <c r="E18" s="4">
        <f>+D18*0.04</f>
        <v>98</v>
      </c>
      <c r="F18" s="4">
        <f>+D18-E18</f>
        <v>2352</v>
      </c>
      <c r="G18" s="4">
        <v>7550</v>
      </c>
      <c r="H18" s="4">
        <f>E18*G18</f>
        <v>739900</v>
      </c>
      <c r="I18" s="4">
        <f>N16+F18</f>
        <v>16145.399999999994</v>
      </c>
      <c r="J18" s="40" t="s">
        <v>705</v>
      </c>
      <c r="K18" s="4">
        <v>16145</v>
      </c>
      <c r="L18" s="4"/>
      <c r="M18" s="36">
        <f t="shared" ref="M18:M21" si="8">K18*L18</f>
        <v>0</v>
      </c>
      <c r="N18" s="4">
        <f>+N16+F18-K18</f>
        <v>0.39999999999417923</v>
      </c>
      <c r="O18" s="4">
        <v>900</v>
      </c>
      <c r="P18" s="36">
        <f>+K18*O18</f>
        <v>14530500</v>
      </c>
      <c r="Q18" s="4">
        <v>136259700</v>
      </c>
      <c r="R18" s="2"/>
    </row>
    <row r="19" spans="1:18" ht="18" customHeight="1">
      <c r="A19" s="18"/>
      <c r="B19" s="2" t="s">
        <v>85</v>
      </c>
      <c r="C19" s="7" t="s">
        <v>738</v>
      </c>
      <c r="D19" s="4">
        <f>34540-315</f>
        <v>34225</v>
      </c>
      <c r="E19" s="4">
        <f>D19*4.1%</f>
        <v>1403.2249999999999</v>
      </c>
      <c r="F19" s="4">
        <f>+D19-E19</f>
        <v>32821.775000000001</v>
      </c>
      <c r="G19" s="4">
        <v>7530</v>
      </c>
      <c r="H19" s="4">
        <f>E19*G19</f>
        <v>10566284.25</v>
      </c>
      <c r="I19" s="4"/>
      <c r="J19" s="40"/>
      <c r="K19" s="4"/>
      <c r="L19" s="4"/>
      <c r="M19" s="36">
        <f t="shared" si="8"/>
        <v>0</v>
      </c>
      <c r="N19" s="4">
        <f>N18+F19-K19</f>
        <v>32822.174999999996</v>
      </c>
      <c r="O19" s="4"/>
      <c r="P19" s="36">
        <f>+K19*O19</f>
        <v>0</v>
      </c>
      <c r="Q19" s="4"/>
      <c r="R19" s="2"/>
    </row>
    <row r="20" spans="1:18" ht="18" customHeight="1">
      <c r="A20" s="18"/>
      <c r="B20" s="2" t="s">
        <v>85</v>
      </c>
      <c r="C20" s="7"/>
      <c r="D20" s="68"/>
      <c r="E20" s="68"/>
      <c r="F20" s="4">
        <f t="shared" ref="F20:F21" si="9">+D20-E20</f>
        <v>0</v>
      </c>
      <c r="G20" s="4"/>
      <c r="H20" s="4">
        <f t="shared" ref="H20:H21" si="10">G20*D20</f>
        <v>0</v>
      </c>
      <c r="I20" s="4"/>
      <c r="J20" s="40"/>
      <c r="K20" s="4"/>
      <c r="L20" s="4"/>
      <c r="M20" s="4">
        <f t="shared" si="8"/>
        <v>0</v>
      </c>
      <c r="N20" s="4">
        <f>N19+D20-K20</f>
        <v>32822.174999999996</v>
      </c>
      <c r="O20" s="4"/>
      <c r="P20" s="49">
        <f t="shared" ref="P20:P21" si="11">+K20*O20</f>
        <v>0</v>
      </c>
      <c r="Q20" s="4"/>
      <c r="R20" s="2"/>
    </row>
    <row r="21" spans="1:18" ht="18" customHeight="1">
      <c r="A21" s="18"/>
      <c r="B21" s="2" t="s">
        <v>85</v>
      </c>
      <c r="C21" s="7"/>
      <c r="D21" s="4"/>
      <c r="E21" s="4"/>
      <c r="F21" s="4">
        <f t="shared" si="9"/>
        <v>0</v>
      </c>
      <c r="G21" s="4"/>
      <c r="H21" s="4">
        <f t="shared" si="10"/>
        <v>0</v>
      </c>
      <c r="I21" s="4"/>
      <c r="J21" s="21"/>
      <c r="K21" s="4"/>
      <c r="L21" s="4"/>
      <c r="M21" s="4">
        <f t="shared" si="8"/>
        <v>0</v>
      </c>
      <c r="N21" s="4">
        <f>N20+D21-K21</f>
        <v>32822.174999999996</v>
      </c>
      <c r="O21" s="4"/>
      <c r="P21" s="49">
        <f t="shared" si="11"/>
        <v>0</v>
      </c>
      <c r="Q21" s="4"/>
      <c r="R21" s="2"/>
    </row>
    <row r="22" spans="1:18" ht="18" customHeight="1">
      <c r="A22" s="307" t="s">
        <v>581</v>
      </c>
      <c r="B22" s="308"/>
      <c r="C22" s="309"/>
      <c r="D22" s="103">
        <f>SUBTOTAL(9,D18:D21)</f>
        <v>36675</v>
      </c>
      <c r="E22" s="103">
        <f>SUBTOTAL(9,E18:E21)</f>
        <v>1501.2249999999999</v>
      </c>
      <c r="F22" s="103">
        <f>SUBTOTAL(9,F18:F21)</f>
        <v>35173.775000000001</v>
      </c>
      <c r="G22" s="103"/>
      <c r="H22" s="103">
        <f>SUBTOTAL(9,H18:H21)</f>
        <v>11306184.25</v>
      </c>
      <c r="I22" s="103"/>
      <c r="J22" s="103">
        <f>SUBTOTAL(9,J18:J21)</f>
        <v>0</v>
      </c>
      <c r="K22" s="103">
        <f>SUBTOTAL(9,K18:K21)</f>
        <v>16145</v>
      </c>
      <c r="L22" s="103"/>
      <c r="M22" s="103">
        <f>SUBTOTAL(9,M18:M21)</f>
        <v>0</v>
      </c>
      <c r="N22" s="103"/>
      <c r="O22" s="103"/>
      <c r="P22" s="103">
        <f>SUBTOTAL(9,P18:P21)</f>
        <v>14530500</v>
      </c>
      <c r="Q22" s="103"/>
      <c r="R22" s="2"/>
    </row>
    <row r="23" spans="1:18" ht="18" customHeight="1">
      <c r="A23" s="134"/>
      <c r="B23" s="134"/>
      <c r="C23" s="134"/>
      <c r="D23" s="65"/>
      <c r="E23" s="65"/>
      <c r="F23" s="65"/>
      <c r="G23" s="65"/>
      <c r="H23" s="65"/>
      <c r="I23" s="65"/>
      <c r="J23" s="222" t="s">
        <v>747</v>
      </c>
      <c r="K23" s="68">
        <v>29410</v>
      </c>
      <c r="L23" s="68"/>
      <c r="M23" s="68"/>
      <c r="N23" s="68">
        <f>+N21-K23</f>
        <v>3412.1749999999956</v>
      </c>
      <c r="O23" s="68">
        <v>900</v>
      </c>
      <c r="P23" s="68">
        <f>+O23*K23</f>
        <v>26469000</v>
      </c>
      <c r="Q23" s="65"/>
      <c r="R23" s="2"/>
    </row>
    <row r="24" spans="1:18" ht="18" customHeight="1">
      <c r="A24" s="134"/>
      <c r="B24" s="134"/>
      <c r="C24" s="134"/>
      <c r="D24" s="65"/>
      <c r="E24" s="65"/>
      <c r="F24" s="65"/>
      <c r="G24" s="65"/>
      <c r="H24" s="65"/>
      <c r="I24" s="65"/>
      <c r="J24" s="222" t="s">
        <v>757</v>
      </c>
      <c r="K24" s="68">
        <v>3412</v>
      </c>
      <c r="L24" s="68"/>
      <c r="M24" s="68"/>
      <c r="N24" s="68">
        <f>+N23-K24</f>
        <v>0.17499999999563443</v>
      </c>
      <c r="O24" s="68">
        <v>900</v>
      </c>
      <c r="P24" s="68">
        <f>+O24*K24</f>
        <v>3070800</v>
      </c>
      <c r="Q24" s="65"/>
      <c r="R24" s="2"/>
    </row>
    <row r="25" spans="1:18" ht="18" hidden="1" customHeight="1">
      <c r="A25" s="134"/>
      <c r="B25" s="134"/>
      <c r="C25" s="134"/>
      <c r="D25" s="65"/>
      <c r="E25" s="65"/>
      <c r="F25" s="65"/>
      <c r="G25" s="65"/>
      <c r="H25" s="65"/>
      <c r="I25" s="65"/>
      <c r="J25" s="68"/>
      <c r="K25" s="68"/>
      <c r="L25" s="68"/>
      <c r="M25" s="68"/>
      <c r="N25" s="68">
        <f t="shared" ref="N25:N26" si="12">+N24-K25</f>
        <v>0.17499999999563443</v>
      </c>
      <c r="O25" s="68">
        <v>900</v>
      </c>
      <c r="P25" s="68">
        <f t="shared" ref="P25:P30" si="13">+O25*K25</f>
        <v>0</v>
      </c>
      <c r="Q25" s="65"/>
      <c r="R25" s="2"/>
    </row>
    <row r="26" spans="1:18" ht="18" hidden="1" customHeight="1">
      <c r="A26" s="134"/>
      <c r="B26" s="134"/>
      <c r="C26" s="134"/>
      <c r="D26" s="65"/>
      <c r="E26" s="65"/>
      <c r="F26" s="65"/>
      <c r="G26" s="65"/>
      <c r="H26" s="65"/>
      <c r="I26" s="65"/>
      <c r="J26" s="68"/>
      <c r="K26" s="68"/>
      <c r="L26" s="68"/>
      <c r="M26" s="68"/>
      <c r="N26" s="68">
        <f t="shared" si="12"/>
        <v>0.17499999999563443</v>
      </c>
      <c r="O26" s="68">
        <v>900</v>
      </c>
      <c r="P26" s="68">
        <f t="shared" si="13"/>
        <v>0</v>
      </c>
      <c r="Q26" s="65"/>
      <c r="R26" s="2"/>
    </row>
    <row r="27" spans="1:18" ht="18" hidden="1" customHeight="1">
      <c r="A27" s="134"/>
      <c r="B27" s="134"/>
      <c r="C27" s="134"/>
      <c r="D27" s="65"/>
      <c r="E27" s="65"/>
      <c r="F27" s="65"/>
      <c r="G27" s="65"/>
      <c r="H27" s="65"/>
      <c r="I27" s="65"/>
      <c r="J27" s="68"/>
      <c r="K27" s="68"/>
      <c r="L27" s="68"/>
      <c r="M27" s="68"/>
      <c r="N27" s="68"/>
      <c r="O27" s="68">
        <v>900</v>
      </c>
      <c r="P27" s="68">
        <f t="shared" si="13"/>
        <v>0</v>
      </c>
      <c r="Q27" s="65"/>
      <c r="R27" s="2"/>
    </row>
    <row r="28" spans="1:18" ht="18" hidden="1" customHeight="1">
      <c r="A28" s="134"/>
      <c r="B28" s="134"/>
      <c r="C28" s="134"/>
      <c r="D28" s="65"/>
      <c r="E28" s="65"/>
      <c r="F28" s="65"/>
      <c r="G28" s="65"/>
      <c r="H28" s="65"/>
      <c r="I28" s="65"/>
      <c r="J28" s="68"/>
      <c r="K28" s="68"/>
      <c r="L28" s="68"/>
      <c r="M28" s="68"/>
      <c r="N28" s="68"/>
      <c r="O28" s="68">
        <v>900</v>
      </c>
      <c r="P28" s="68">
        <f t="shared" si="13"/>
        <v>0</v>
      </c>
      <c r="Q28" s="65"/>
      <c r="R28" s="2"/>
    </row>
    <row r="29" spans="1:18" ht="18" hidden="1" customHeight="1">
      <c r="A29" s="134"/>
      <c r="B29" s="134"/>
      <c r="C29" s="134"/>
      <c r="D29" s="65"/>
      <c r="E29" s="65"/>
      <c r="F29" s="65"/>
      <c r="G29" s="65"/>
      <c r="H29" s="65"/>
      <c r="I29" s="65"/>
      <c r="J29" s="68"/>
      <c r="K29" s="68"/>
      <c r="L29" s="68"/>
      <c r="M29" s="68"/>
      <c r="N29" s="68"/>
      <c r="O29" s="68">
        <v>900</v>
      </c>
      <c r="P29" s="68">
        <f t="shared" si="13"/>
        <v>0</v>
      </c>
      <c r="Q29" s="65"/>
      <c r="R29" s="2"/>
    </row>
    <row r="30" spans="1:18" ht="18" hidden="1" customHeight="1">
      <c r="A30" s="134"/>
      <c r="B30" s="134"/>
      <c r="C30" s="134"/>
      <c r="D30" s="65"/>
      <c r="E30" s="65"/>
      <c r="F30" s="65"/>
      <c r="G30" s="65"/>
      <c r="H30" s="65"/>
      <c r="I30" s="65"/>
      <c r="J30" s="68"/>
      <c r="K30" s="68"/>
      <c r="L30" s="68"/>
      <c r="M30" s="68"/>
      <c r="N30" s="68"/>
      <c r="O30" s="68">
        <v>900</v>
      </c>
      <c r="P30" s="68">
        <f t="shared" si="13"/>
        <v>0</v>
      </c>
      <c r="Q30" s="65"/>
      <c r="R30" s="2"/>
    </row>
    <row r="31" spans="1:18" ht="18" customHeight="1">
      <c r="A31" s="210" t="s">
        <v>0</v>
      </c>
      <c r="B31" s="184"/>
      <c r="C31" s="184"/>
      <c r="D31" s="5">
        <f>SUBTOTAL(9,D6:D30)</f>
        <v>215965</v>
      </c>
      <c r="E31" s="5">
        <f t="shared" ref="E31:N31" si="14">SUBTOTAL(9,E6:E30)</f>
        <v>8672.8250000000007</v>
      </c>
      <c r="F31" s="5">
        <f t="shared" si="14"/>
        <v>207292.17499999999</v>
      </c>
      <c r="G31" s="5">
        <f t="shared" si="14"/>
        <v>60870</v>
      </c>
      <c r="H31" s="5">
        <f t="shared" si="14"/>
        <v>66201096.25</v>
      </c>
      <c r="I31" s="5">
        <f t="shared" si="14"/>
        <v>188263.8</v>
      </c>
      <c r="J31" s="5">
        <f t="shared" si="14"/>
        <v>0</v>
      </c>
      <c r="K31" s="5">
        <f t="shared" si="14"/>
        <v>207292</v>
      </c>
      <c r="L31" s="5">
        <f t="shared" si="14"/>
        <v>84770</v>
      </c>
      <c r="M31" s="5">
        <f t="shared" si="14"/>
        <v>0</v>
      </c>
      <c r="N31" s="5">
        <f t="shared" si="14"/>
        <v>312294.62499999994</v>
      </c>
      <c r="O31" s="5"/>
      <c r="P31" s="5">
        <f t="shared" ref="P31" si="15">SUBTOTAL(9,P6:P30)</f>
        <v>180330000</v>
      </c>
      <c r="Q31" s="5">
        <f t="shared" ref="Q31" si="16">SUBTOTAL(9,Q6:Q30)</f>
        <v>136259700</v>
      </c>
      <c r="R31" s="2"/>
    </row>
    <row r="32" spans="1:18" s="6" customFormat="1" ht="24.75" customHeight="1">
      <c r="A32" s="296" t="s">
        <v>127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8"/>
      <c r="N32" s="4"/>
      <c r="O32" s="76"/>
      <c r="P32" s="311">
        <f>P31-Q31</f>
        <v>44070300</v>
      </c>
      <c r="Q32" s="312"/>
      <c r="R32" s="215"/>
    </row>
    <row r="33" spans="1:20" s="6" customFormat="1" ht="24.75" customHeight="1">
      <c r="A33" s="296" t="s">
        <v>582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8"/>
      <c r="N33" s="4"/>
      <c r="O33" s="4"/>
      <c r="P33" s="313">
        <f>F31-K31</f>
        <v>0.17499999998835847</v>
      </c>
      <c r="Q33" s="314"/>
      <c r="R33" s="215"/>
      <c r="T33" s="224"/>
    </row>
    <row r="34" spans="1:20">
      <c r="A34" s="16" t="s">
        <v>1</v>
      </c>
      <c r="B34" s="69"/>
      <c r="C34" s="69"/>
      <c r="D34" s="70"/>
      <c r="E34" s="70"/>
      <c r="F34" s="70"/>
      <c r="G34" s="270" t="s">
        <v>119</v>
      </c>
      <c r="H34" s="270"/>
      <c r="I34" s="270"/>
      <c r="J34" s="270"/>
      <c r="K34" s="270"/>
      <c r="L34" s="270"/>
      <c r="M34" s="185"/>
      <c r="N34" s="238" t="s">
        <v>697</v>
      </c>
      <c r="O34" s="238"/>
      <c r="P34" s="238"/>
    </row>
    <row r="37" spans="1:20">
      <c r="K37" s="221"/>
    </row>
    <row r="38" spans="1:20">
      <c r="K38" s="221"/>
    </row>
  </sheetData>
  <mergeCells count="17">
    <mergeCell ref="A17:C17"/>
    <mergeCell ref="A22:C22"/>
    <mergeCell ref="G34:L34"/>
    <mergeCell ref="A32:M32"/>
    <mergeCell ref="P32:Q32"/>
    <mergeCell ref="A33:M33"/>
    <mergeCell ref="P33:Q33"/>
    <mergeCell ref="R4:R5"/>
    <mergeCell ref="A2:P2"/>
    <mergeCell ref="A4:A5"/>
    <mergeCell ref="B4:B5"/>
    <mergeCell ref="C4:H4"/>
    <mergeCell ref="N4:N5"/>
    <mergeCell ref="O4:O5"/>
    <mergeCell ref="P4:P5"/>
    <mergeCell ref="I4:K4"/>
    <mergeCell ref="Q4:Q5"/>
  </mergeCells>
  <pageMargins left="0.24" right="0.28999999999999998" top="0.23" bottom="0.17" header="0.26" footer="0.21"/>
  <pageSetup paperSize="9" scale="8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72"/>
  <sheetViews>
    <sheetView topLeftCell="E1" workbookViewId="0">
      <pane ySplit="5" topLeftCell="A56" activePane="bottomLeft" state="frozen"/>
      <selection pane="bottomLeft" activeCell="L61" sqref="L61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9" width="14.28515625" style="3" customWidth="1"/>
    <col min="10" max="10" width="16.140625" style="3" customWidth="1"/>
    <col min="11" max="11" width="14.28515625" style="3" customWidth="1"/>
    <col min="12" max="12" width="20.7109375" style="1" customWidth="1"/>
    <col min="13" max="13" width="20.28515625" style="1" customWidth="1"/>
    <col min="14" max="14" width="15.7109375" style="1" bestFit="1" customWidth="1"/>
    <col min="15" max="15" width="17.7109375" style="1" bestFit="1" customWidth="1"/>
    <col min="16" max="16384" width="9.140625" style="1"/>
  </cols>
  <sheetData>
    <row r="1" spans="1:15" ht="34.5" customHeight="1">
      <c r="A1" s="274" t="s">
        <v>698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12" t="s">
        <v>9</v>
      </c>
      <c r="F5" s="212" t="s">
        <v>5</v>
      </c>
      <c r="G5" s="20" t="s">
        <v>14</v>
      </c>
      <c r="H5" s="212" t="s">
        <v>9</v>
      </c>
      <c r="I5" s="212" t="s">
        <v>5</v>
      </c>
      <c r="J5" s="212" t="s">
        <v>9</v>
      </c>
      <c r="K5" s="212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29</v>
      </c>
      <c r="B11" s="60" t="s">
        <v>699</v>
      </c>
      <c r="C11" s="154"/>
      <c r="D11" s="60" t="s">
        <v>37</v>
      </c>
      <c r="E11" s="49">
        <v>100000</v>
      </c>
      <c r="F11" s="49">
        <v>8500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2" t="s">
        <v>700</v>
      </c>
      <c r="C12" s="2"/>
      <c r="D12" s="2"/>
      <c r="E12" s="4"/>
      <c r="F12" s="4"/>
      <c r="G12" s="40" t="s">
        <v>705</v>
      </c>
      <c r="H12" s="4">
        <f>29425-16145</f>
        <v>13280</v>
      </c>
      <c r="I12" s="4">
        <v>8500</v>
      </c>
      <c r="J12" s="4">
        <f>+E11-H12</f>
        <v>86720</v>
      </c>
      <c r="K12" s="4"/>
      <c r="L12" s="4">
        <f t="shared" ref="L12:L15" si="2">+H12*I12</f>
        <v>112880000</v>
      </c>
      <c r="M12" s="4"/>
      <c r="N12" s="101"/>
    </row>
    <row r="13" spans="1:15" ht="18" customHeight="1">
      <c r="A13" s="18"/>
      <c r="B13" s="60"/>
      <c r="C13" s="60"/>
      <c r="D13" s="60"/>
      <c r="E13" s="49"/>
      <c r="F13" s="49"/>
      <c r="G13" s="40" t="s">
        <v>722</v>
      </c>
      <c r="H13" s="4">
        <v>10540</v>
      </c>
      <c r="I13" s="4">
        <v>8500</v>
      </c>
      <c r="J13" s="4">
        <f>+J12-H13</f>
        <v>76180</v>
      </c>
      <c r="K13" s="4"/>
      <c r="L13" s="4">
        <f t="shared" si="2"/>
        <v>89590000</v>
      </c>
      <c r="M13" s="4"/>
      <c r="N13" s="4"/>
    </row>
    <row r="14" spans="1:15" ht="18" customHeight="1">
      <c r="A14" s="18"/>
      <c r="B14" s="2"/>
      <c r="C14" s="2"/>
      <c r="D14" s="2"/>
      <c r="E14" s="4"/>
      <c r="F14" s="4"/>
      <c r="G14" s="40" t="s">
        <v>727</v>
      </c>
      <c r="H14" s="4">
        <v>28620</v>
      </c>
      <c r="I14" s="4">
        <v>8500</v>
      </c>
      <c r="J14" s="4">
        <f t="shared" ref="J14:J15" si="3">+J13-H14</f>
        <v>47560</v>
      </c>
      <c r="K14" s="4"/>
      <c r="L14" s="4">
        <f t="shared" si="2"/>
        <v>243270000</v>
      </c>
      <c r="M14" s="4"/>
      <c r="N14" s="4"/>
    </row>
    <row r="15" spans="1:15" ht="18" customHeight="1">
      <c r="A15" s="18"/>
      <c r="B15" s="2"/>
      <c r="C15" s="2"/>
      <c r="D15" s="2"/>
      <c r="E15" s="4"/>
      <c r="F15" s="4"/>
      <c r="G15" s="40" t="s">
        <v>736</v>
      </c>
      <c r="H15" s="4">
        <v>26485</v>
      </c>
      <c r="I15" s="4">
        <v>8500</v>
      </c>
      <c r="J15" s="4">
        <f t="shared" si="3"/>
        <v>21075</v>
      </c>
      <c r="K15" s="4"/>
      <c r="L15" s="4">
        <f t="shared" si="2"/>
        <v>225122500</v>
      </c>
      <c r="M15" s="4"/>
      <c r="N15" s="4"/>
    </row>
    <row r="16" spans="1:15" s="15" customFormat="1" ht="18" customHeight="1">
      <c r="A16" s="291" t="s">
        <v>15</v>
      </c>
      <c r="B16" s="292"/>
      <c r="C16" s="13"/>
      <c r="D16" s="13"/>
      <c r="E16" s="14">
        <v>300000</v>
      </c>
      <c r="F16" s="14"/>
      <c r="G16" s="22"/>
      <c r="H16" s="14">
        <f>SUM(H11:H15)</f>
        <v>78925</v>
      </c>
      <c r="I16" s="14">
        <v>8500</v>
      </c>
      <c r="J16" s="14"/>
      <c r="K16" s="14"/>
      <c r="L16" s="14">
        <f>+H16*I16</f>
        <v>670862500</v>
      </c>
      <c r="M16" s="14">
        <f>SUM(M11:M15)</f>
        <v>0</v>
      </c>
      <c r="N16" s="14">
        <f>+M16-L16</f>
        <v>-670862500</v>
      </c>
      <c r="O16" s="223">
        <f>+N16-40999500</f>
        <v>-711862000</v>
      </c>
    </row>
    <row r="17" spans="1:15" ht="18" customHeight="1">
      <c r="A17" s="18" t="s">
        <v>29</v>
      </c>
      <c r="B17" s="60" t="s">
        <v>766</v>
      </c>
      <c r="C17" s="108"/>
      <c r="D17" s="60" t="s">
        <v>37</v>
      </c>
      <c r="E17" s="49">
        <v>200000</v>
      </c>
      <c r="F17" s="49">
        <v>8550</v>
      </c>
      <c r="G17" s="61"/>
      <c r="H17" s="49"/>
      <c r="I17" s="49"/>
      <c r="J17" s="49"/>
      <c r="K17" s="49"/>
      <c r="L17" s="49"/>
      <c r="M17" s="49"/>
      <c r="N17" s="102"/>
      <c r="O17" s="50">
        <f>+O16+466969360</f>
        <v>-244892640</v>
      </c>
    </row>
    <row r="18" spans="1:15" ht="18" customHeight="1">
      <c r="A18" s="18"/>
      <c r="B18" s="2" t="s">
        <v>767</v>
      </c>
      <c r="C18" s="2"/>
      <c r="D18" s="2"/>
      <c r="E18" s="4"/>
      <c r="F18" s="4"/>
      <c r="G18" s="40" t="s">
        <v>757</v>
      </c>
      <c r="H18" s="68">
        <f>30450-3412</f>
        <v>27038</v>
      </c>
      <c r="I18" s="4"/>
      <c r="J18" s="4">
        <f>+E17-H18</f>
        <v>172962</v>
      </c>
      <c r="K18" s="4"/>
      <c r="L18" s="4"/>
      <c r="M18" s="4">
        <v>142350000</v>
      </c>
      <c r="N18" s="4"/>
      <c r="O18" s="50"/>
    </row>
    <row r="19" spans="1:15" ht="18" customHeight="1">
      <c r="A19" s="18"/>
      <c r="B19" s="2"/>
      <c r="C19" s="2"/>
      <c r="D19" s="2"/>
      <c r="E19" s="4"/>
      <c r="F19" s="4"/>
      <c r="G19" s="40" t="s">
        <v>770</v>
      </c>
      <c r="H19" s="4">
        <v>30690</v>
      </c>
      <c r="I19" s="4"/>
      <c r="J19" s="4">
        <f>+J18-H19</f>
        <v>142272</v>
      </c>
      <c r="K19" s="4"/>
      <c r="L19" s="4"/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40" t="s">
        <v>773</v>
      </c>
      <c r="H20" s="4">
        <v>29290</v>
      </c>
      <c r="I20" s="4"/>
      <c r="J20" s="4">
        <f t="shared" ref="J20:J25" si="4">+J19-H20</f>
        <v>112982</v>
      </c>
      <c r="K20" s="4"/>
      <c r="L20" s="4"/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40" t="s">
        <v>792</v>
      </c>
      <c r="H21" s="4">
        <v>22530</v>
      </c>
      <c r="I21" s="4"/>
      <c r="J21" s="4">
        <f t="shared" si="4"/>
        <v>90452</v>
      </c>
      <c r="K21" s="4"/>
      <c r="L21" s="4"/>
      <c r="M21" s="4"/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40" t="s">
        <v>798</v>
      </c>
      <c r="H22" s="4">
        <v>32185</v>
      </c>
      <c r="I22" s="4"/>
      <c r="J22" s="4">
        <f t="shared" si="4"/>
        <v>58267</v>
      </c>
      <c r="K22" s="4"/>
      <c r="L22" s="4"/>
      <c r="M22" s="4"/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40" t="s">
        <v>804</v>
      </c>
      <c r="H23" s="4">
        <v>27500</v>
      </c>
      <c r="I23" s="4"/>
      <c r="J23" s="4">
        <f t="shared" si="4"/>
        <v>30767</v>
      </c>
      <c r="K23" s="4"/>
      <c r="L23" s="4"/>
      <c r="M23" s="4"/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40" t="s">
        <v>809</v>
      </c>
      <c r="H24" s="4">
        <v>29040</v>
      </c>
      <c r="I24" s="4"/>
      <c r="J24" s="4">
        <f t="shared" si="4"/>
        <v>1727</v>
      </c>
      <c r="K24" s="4"/>
      <c r="L24" s="4"/>
      <c r="M24" s="4"/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>
        <f t="shared" si="4"/>
        <v>1727</v>
      </c>
      <c r="K25" s="4"/>
      <c r="L25" s="4">
        <f>+I25*H25</f>
        <v>0</v>
      </c>
      <c r="M25" s="4">
        <v>138150000</v>
      </c>
      <c r="N25" s="4"/>
    </row>
    <row r="26" spans="1:15" ht="18" customHeight="1">
      <c r="A26" s="55"/>
      <c r="B26" s="56" t="s">
        <v>92</v>
      </c>
      <c r="C26" s="56"/>
      <c r="D26" s="56"/>
      <c r="E26" s="57"/>
      <c r="F26" s="25"/>
      <c r="G26" s="26"/>
      <c r="H26" s="57">
        <f>SUM(H18:H25)</f>
        <v>198273</v>
      </c>
      <c r="I26" s="57">
        <v>8550</v>
      </c>
      <c r="J26" s="57">
        <f>+I26*H26</f>
        <v>1695234150</v>
      </c>
      <c r="K26" s="57">
        <f>SUM(K18:K25)</f>
        <v>0</v>
      </c>
      <c r="L26" s="57">
        <f>SUM(L18:L25)</f>
        <v>0</v>
      </c>
      <c r="M26" s="57">
        <f>SUM(M18:M25)</f>
        <v>280500000</v>
      </c>
      <c r="N26" s="57">
        <f>M26-L26</f>
        <v>280500000</v>
      </c>
      <c r="O26" s="119"/>
    </row>
    <row r="27" spans="1:15" ht="18" customHeight="1">
      <c r="A27" s="18" t="s">
        <v>13</v>
      </c>
      <c r="B27" s="60" t="s">
        <v>742</v>
      </c>
      <c r="C27" s="60"/>
      <c r="D27" s="60" t="s">
        <v>221</v>
      </c>
      <c r="E27" s="49">
        <f>81000+81000</f>
        <v>162000</v>
      </c>
      <c r="F27" s="49">
        <v>4550</v>
      </c>
      <c r="G27" s="61"/>
      <c r="H27" s="49"/>
      <c r="I27" s="4"/>
      <c r="J27" s="4"/>
      <c r="K27" s="4"/>
      <c r="L27" s="4"/>
      <c r="M27" s="4"/>
      <c r="N27" s="4"/>
    </row>
    <row r="28" spans="1:15" ht="18" customHeight="1">
      <c r="A28" s="18"/>
      <c r="B28" s="2" t="s">
        <v>653</v>
      </c>
      <c r="C28" s="2"/>
      <c r="D28" s="2"/>
      <c r="E28" s="4"/>
      <c r="F28" s="4"/>
      <c r="G28" s="40" t="s">
        <v>741</v>
      </c>
      <c r="H28" s="4">
        <v>7200</v>
      </c>
      <c r="I28" s="4"/>
      <c r="J28" s="4">
        <f>+E27-H28</f>
        <v>154800</v>
      </c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 t="s">
        <v>745</v>
      </c>
      <c r="H29" s="4">
        <v>28570</v>
      </c>
      <c r="I29" s="4"/>
      <c r="J29" s="4">
        <f>+J28-H29</f>
        <v>126230</v>
      </c>
      <c r="K29" s="4"/>
      <c r="L29" s="4"/>
      <c r="M29" s="4"/>
      <c r="N29" s="4"/>
    </row>
    <row r="30" spans="1:15" ht="18" customHeight="1">
      <c r="A30" s="148"/>
      <c r="B30" s="2"/>
      <c r="C30" s="60"/>
      <c r="D30" s="60"/>
      <c r="E30" s="49"/>
      <c r="F30" s="49"/>
      <c r="G30" s="40" t="s">
        <v>753</v>
      </c>
      <c r="H30" s="4">
        <v>27500</v>
      </c>
      <c r="I30" s="49"/>
      <c r="J30" s="4">
        <f t="shared" ref="J30:J34" si="5">+J29-H30</f>
        <v>98730</v>
      </c>
      <c r="K30" s="4"/>
      <c r="L30" s="4"/>
      <c r="M30" s="4"/>
      <c r="N30" s="4"/>
    </row>
    <row r="31" spans="1:15" ht="18" customHeight="1">
      <c r="A31" s="148"/>
      <c r="B31" s="2"/>
      <c r="C31" s="2"/>
      <c r="D31" s="2"/>
      <c r="E31" s="4"/>
      <c r="F31" s="4"/>
      <c r="G31" s="40" t="s">
        <v>754</v>
      </c>
      <c r="H31" s="4">
        <v>27780</v>
      </c>
      <c r="I31" s="4"/>
      <c r="J31" s="4">
        <f t="shared" si="5"/>
        <v>70950</v>
      </c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 t="s">
        <v>116</v>
      </c>
      <c r="H32" s="4">
        <v>24910</v>
      </c>
      <c r="I32" s="4"/>
      <c r="J32" s="4">
        <f t="shared" si="5"/>
        <v>46040</v>
      </c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 t="s">
        <v>805</v>
      </c>
      <c r="H33" s="4">
        <v>27560</v>
      </c>
      <c r="I33" s="4"/>
      <c r="J33" s="4">
        <f t="shared" si="5"/>
        <v>18480</v>
      </c>
      <c r="K33" s="4"/>
      <c r="L33" s="4"/>
      <c r="M33" s="4"/>
      <c r="N33" s="4"/>
    </row>
    <row r="34" spans="1:14" ht="18" customHeight="1">
      <c r="A34" s="148"/>
      <c r="B34" s="2"/>
      <c r="C34" s="2"/>
      <c r="D34" s="2"/>
      <c r="E34" s="4"/>
      <c r="F34" s="4"/>
      <c r="G34" s="40" t="s">
        <v>117</v>
      </c>
      <c r="H34" s="4">
        <v>27380</v>
      </c>
      <c r="I34" s="4"/>
      <c r="J34" s="4">
        <f t="shared" si="5"/>
        <v>-8900</v>
      </c>
      <c r="K34" s="4"/>
      <c r="L34" s="4"/>
      <c r="M34" s="4"/>
      <c r="N34" s="4"/>
    </row>
    <row r="35" spans="1:14" ht="18" customHeight="1">
      <c r="A35" s="55"/>
      <c r="B35" s="56" t="s">
        <v>15</v>
      </c>
      <c r="C35" s="56"/>
      <c r="D35" s="56"/>
      <c r="E35" s="57"/>
      <c r="F35" s="57"/>
      <c r="G35" s="118"/>
      <c r="H35" s="57">
        <f>SUM(H28:H34)</f>
        <v>170900</v>
      </c>
      <c r="I35" s="57"/>
      <c r="J35" s="57"/>
      <c r="K35" s="57"/>
      <c r="L35" s="57"/>
      <c r="M35" s="4"/>
      <c r="N35" s="4"/>
    </row>
    <row r="36" spans="1:14" s="136" customFormat="1" ht="18" customHeight="1">
      <c r="A36" s="134" t="s">
        <v>13</v>
      </c>
      <c r="B36" s="64" t="s">
        <v>712</v>
      </c>
      <c r="C36" s="64"/>
      <c r="D36" s="64" t="s">
        <v>209</v>
      </c>
      <c r="E36" s="65">
        <v>150000</v>
      </c>
      <c r="F36" s="65">
        <v>12050</v>
      </c>
      <c r="G36" s="231"/>
      <c r="H36" s="65"/>
      <c r="I36" s="65"/>
      <c r="J36" s="65"/>
      <c r="K36" s="65"/>
      <c r="L36" s="65"/>
      <c r="M36" s="68"/>
      <c r="N36" s="68"/>
    </row>
    <row r="37" spans="1:14" s="136" customFormat="1" ht="18" customHeight="1">
      <c r="A37" s="134"/>
      <c r="B37" s="64" t="s">
        <v>810</v>
      </c>
      <c r="C37" s="64"/>
      <c r="D37" s="64"/>
      <c r="E37" s="65"/>
      <c r="F37" s="65"/>
      <c r="G37" s="231" t="s">
        <v>123</v>
      </c>
      <c r="H37" s="68">
        <v>33310</v>
      </c>
      <c r="I37" s="65"/>
      <c r="J37" s="65">
        <f>+E36-H37</f>
        <v>116690</v>
      </c>
      <c r="K37" s="65"/>
      <c r="L37" s="65"/>
      <c r="M37" s="68"/>
      <c r="N37" s="68"/>
    </row>
    <row r="38" spans="1:14" s="136" customFormat="1" ht="18" customHeight="1">
      <c r="A38" s="134"/>
      <c r="B38" s="64"/>
      <c r="C38" s="64"/>
      <c r="D38" s="64"/>
      <c r="E38" s="65"/>
      <c r="F38" s="65"/>
      <c r="G38" s="231"/>
      <c r="H38" s="68">
        <v>33070</v>
      </c>
      <c r="I38" s="65"/>
      <c r="J38" s="65">
        <f>+J37-H38</f>
        <v>83620</v>
      </c>
      <c r="K38" s="65"/>
      <c r="L38" s="65"/>
      <c r="M38" s="68"/>
      <c r="N38" s="68"/>
    </row>
    <row r="39" spans="1:14" s="136" customFormat="1" ht="18" customHeight="1">
      <c r="A39" s="134"/>
      <c r="B39" s="64"/>
      <c r="C39" s="64"/>
      <c r="D39" s="64"/>
      <c r="E39" s="65"/>
      <c r="F39" s="65"/>
      <c r="G39" s="231" t="s">
        <v>817</v>
      </c>
      <c r="H39" s="68">
        <v>33650</v>
      </c>
      <c r="I39" s="65"/>
      <c r="J39" s="65">
        <f t="shared" ref="J39:J44" si="6">+J38-H39</f>
        <v>49970</v>
      </c>
      <c r="K39" s="65"/>
      <c r="L39" s="65"/>
      <c r="M39" s="68"/>
      <c r="N39" s="68"/>
    </row>
    <row r="40" spans="1:14" s="136" customFormat="1" ht="18" customHeight="1">
      <c r="A40" s="134"/>
      <c r="B40" s="64"/>
      <c r="C40" s="64"/>
      <c r="D40" s="64"/>
      <c r="E40" s="65"/>
      <c r="F40" s="65"/>
      <c r="G40" s="231" t="s">
        <v>818</v>
      </c>
      <c r="H40" s="68">
        <v>34130</v>
      </c>
      <c r="I40" s="65"/>
      <c r="J40" s="65">
        <f t="shared" si="6"/>
        <v>15840</v>
      </c>
      <c r="K40" s="65"/>
      <c r="L40" s="65"/>
      <c r="M40" s="68"/>
      <c r="N40" s="68"/>
    </row>
    <row r="41" spans="1:14" s="136" customFormat="1" ht="18" customHeight="1">
      <c r="A41" s="134"/>
      <c r="B41" s="64"/>
      <c r="C41" s="64"/>
      <c r="D41" s="64"/>
      <c r="E41" s="65"/>
      <c r="F41" s="65"/>
      <c r="G41" s="231" t="s">
        <v>130</v>
      </c>
      <c r="H41" s="68">
        <v>32620</v>
      </c>
      <c r="I41" s="65"/>
      <c r="J41" s="65">
        <f t="shared" si="6"/>
        <v>-16780</v>
      </c>
      <c r="K41" s="65"/>
      <c r="L41" s="65"/>
      <c r="M41" s="68"/>
      <c r="N41" s="68"/>
    </row>
    <row r="42" spans="1:14" s="136" customFormat="1" ht="18" customHeight="1">
      <c r="A42" s="134"/>
      <c r="B42" s="64"/>
      <c r="C42" s="64"/>
      <c r="D42" s="64"/>
      <c r="E42" s="65"/>
      <c r="F42" s="65"/>
      <c r="G42" s="231"/>
      <c r="H42" s="68"/>
      <c r="I42" s="65"/>
      <c r="J42" s="65">
        <f t="shared" si="6"/>
        <v>-16780</v>
      </c>
      <c r="K42" s="65"/>
      <c r="L42" s="65"/>
      <c r="M42" s="68"/>
      <c r="N42" s="68"/>
    </row>
    <row r="43" spans="1:14" s="136" customFormat="1" ht="18" customHeight="1">
      <c r="A43" s="134"/>
      <c r="B43" s="64"/>
      <c r="C43" s="64"/>
      <c r="D43" s="64"/>
      <c r="E43" s="65"/>
      <c r="F43" s="65"/>
      <c r="G43" s="231"/>
      <c r="H43" s="65"/>
      <c r="I43" s="65"/>
      <c r="J43" s="65">
        <f t="shared" si="6"/>
        <v>-16780</v>
      </c>
      <c r="K43" s="65"/>
      <c r="L43" s="65"/>
      <c r="M43" s="68"/>
      <c r="N43" s="68"/>
    </row>
    <row r="44" spans="1:14" s="136" customFormat="1" ht="18" customHeight="1">
      <c r="A44" s="134"/>
      <c r="B44" s="64"/>
      <c r="C44" s="64"/>
      <c r="D44" s="64"/>
      <c r="E44" s="65"/>
      <c r="F44" s="65"/>
      <c r="G44" s="231"/>
      <c r="H44" s="65"/>
      <c r="I44" s="65"/>
      <c r="J44" s="65">
        <f t="shared" si="6"/>
        <v>-16780</v>
      </c>
      <c r="K44" s="65"/>
      <c r="L44" s="65"/>
      <c r="M44" s="68"/>
      <c r="N44" s="68"/>
    </row>
    <row r="45" spans="1:14" s="136" customFormat="1" ht="18" customHeight="1">
      <c r="A45" s="55"/>
      <c r="B45" s="56"/>
      <c r="C45" s="56"/>
      <c r="D45" s="56"/>
      <c r="E45" s="57"/>
      <c r="F45" s="57"/>
      <c r="G45" s="118"/>
      <c r="H45" s="57">
        <f>SUM(H37:H44)</f>
        <v>166780</v>
      </c>
      <c r="I45" s="57">
        <v>12050</v>
      </c>
      <c r="J45" s="57"/>
      <c r="K45" s="57"/>
      <c r="L45" s="57">
        <f>+I45*H45</f>
        <v>2009699000</v>
      </c>
      <c r="M45" s="57">
        <v>1800000000</v>
      </c>
      <c r="N45" s="57">
        <f>+M45-L45</f>
        <v>-209699000</v>
      </c>
    </row>
    <row r="46" spans="1:14" ht="18" customHeight="1">
      <c r="A46" s="18" t="s">
        <v>800</v>
      </c>
      <c r="B46" s="60" t="s">
        <v>742</v>
      </c>
      <c r="C46" s="2"/>
      <c r="D46" s="2"/>
      <c r="E46" s="4"/>
      <c r="F46" s="4"/>
      <c r="G46" s="40"/>
      <c r="H46" s="4"/>
      <c r="I46" s="4"/>
      <c r="J46" s="4"/>
      <c r="K46" s="4"/>
      <c r="L46" s="4"/>
      <c r="M46" s="4"/>
      <c r="N46" s="4"/>
    </row>
    <row r="47" spans="1:14" ht="18" customHeight="1">
      <c r="A47" s="148"/>
      <c r="B47" s="60" t="s">
        <v>801</v>
      </c>
      <c r="C47" s="60"/>
      <c r="D47" s="60" t="s">
        <v>176</v>
      </c>
      <c r="E47" s="49">
        <v>84000</v>
      </c>
      <c r="F47" s="49">
        <v>5000</v>
      </c>
      <c r="G47" s="40"/>
      <c r="H47" s="4"/>
      <c r="I47" s="4"/>
      <c r="J47" s="4"/>
      <c r="K47" s="4"/>
      <c r="L47" s="4"/>
      <c r="M47" s="4"/>
      <c r="N47" s="4"/>
    </row>
    <row r="48" spans="1:14" ht="18" customHeight="1">
      <c r="A48" s="148"/>
      <c r="B48" s="2"/>
      <c r="C48" s="2"/>
      <c r="D48" s="2"/>
      <c r="E48" s="4"/>
      <c r="F48" s="4"/>
      <c r="G48" s="40" t="s">
        <v>153</v>
      </c>
      <c r="H48" s="4">
        <v>28290</v>
      </c>
      <c r="I48" s="4"/>
      <c r="J48" s="4">
        <f>+E47-H48</f>
        <v>55710</v>
      </c>
      <c r="K48" s="4"/>
      <c r="L48" s="4"/>
      <c r="M48" s="4"/>
      <c r="N48" s="4"/>
    </row>
    <row r="49" spans="1:14" ht="18" customHeight="1">
      <c r="A49" s="148"/>
      <c r="B49" s="2"/>
      <c r="C49" s="2"/>
      <c r="D49" s="2"/>
      <c r="E49" s="4"/>
      <c r="F49" s="4"/>
      <c r="G49" s="40" t="s">
        <v>141</v>
      </c>
      <c r="H49" s="4">
        <v>28130</v>
      </c>
      <c r="I49" s="4"/>
      <c r="J49" s="4">
        <f>+J48-H49</f>
        <v>27580</v>
      </c>
      <c r="K49" s="4"/>
      <c r="L49" s="4"/>
      <c r="M49" s="4"/>
      <c r="N49" s="4"/>
    </row>
    <row r="50" spans="1:14" ht="18" customHeight="1">
      <c r="A50" s="148"/>
      <c r="B50" s="2"/>
      <c r="C50" s="2"/>
      <c r="D50" s="2"/>
      <c r="E50" s="4"/>
      <c r="F50" s="4"/>
      <c r="G50" s="40" t="s">
        <v>832</v>
      </c>
      <c r="H50" s="4">
        <v>27890</v>
      </c>
      <c r="I50" s="4"/>
      <c r="J50" s="4">
        <f t="shared" ref="J50" si="7">+J49-H50</f>
        <v>-310</v>
      </c>
      <c r="K50" s="4"/>
      <c r="L50" s="4"/>
      <c r="M50" s="4"/>
      <c r="N50" s="4"/>
    </row>
    <row r="51" spans="1:14" ht="18" customHeight="1">
      <c r="A51" s="148"/>
      <c r="B51" s="24"/>
      <c r="C51" s="24"/>
      <c r="D51" s="24"/>
      <c r="E51" s="25"/>
      <c r="F51" s="25"/>
      <c r="G51" s="78"/>
      <c r="H51" s="57">
        <f>SUM(H48:H50)</f>
        <v>84310</v>
      </c>
      <c r="I51" s="4"/>
      <c r="J51" s="4"/>
      <c r="K51" s="4"/>
      <c r="L51" s="4"/>
      <c r="M51" s="4"/>
      <c r="N51" s="4"/>
    </row>
    <row r="52" spans="1:14" ht="18" customHeight="1">
      <c r="A52" s="18" t="s">
        <v>13</v>
      </c>
      <c r="B52" s="60" t="s">
        <v>742</v>
      </c>
      <c r="C52" s="60"/>
      <c r="D52" s="60" t="s">
        <v>176</v>
      </c>
      <c r="E52" s="49">
        <v>84000</v>
      </c>
      <c r="F52" s="49">
        <v>5000</v>
      </c>
      <c r="G52" s="66"/>
      <c r="H52" s="49"/>
      <c r="I52" s="49"/>
      <c r="J52" s="49"/>
      <c r="K52" s="49"/>
      <c r="L52" s="4"/>
      <c r="M52" s="4"/>
      <c r="N52" s="4"/>
    </row>
    <row r="53" spans="1:14" ht="18" customHeight="1">
      <c r="A53" s="148"/>
      <c r="B53" s="2"/>
      <c r="C53" s="2"/>
      <c r="D53" s="2"/>
      <c r="E53" s="4"/>
      <c r="F53" s="4"/>
      <c r="G53" s="40" t="s">
        <v>147</v>
      </c>
      <c r="H53" s="4">
        <v>28400</v>
      </c>
      <c r="I53" s="4"/>
      <c r="J53" s="4">
        <f>+E52-H53</f>
        <v>55600</v>
      </c>
      <c r="K53" s="4"/>
      <c r="L53" s="4"/>
      <c r="M53" s="4"/>
      <c r="N53" s="4"/>
    </row>
    <row r="54" spans="1:14" ht="18" customHeight="1">
      <c r="A54" s="148"/>
      <c r="B54" s="2"/>
      <c r="C54" s="2"/>
      <c r="D54" s="2"/>
      <c r="E54" s="4"/>
      <c r="F54" s="4"/>
      <c r="G54" s="40" t="s">
        <v>161</v>
      </c>
      <c r="H54" s="4">
        <v>28320</v>
      </c>
      <c r="I54" s="4"/>
      <c r="J54" s="4">
        <f>+J53-H54</f>
        <v>27280</v>
      </c>
      <c r="K54" s="4"/>
      <c r="L54" s="4"/>
      <c r="M54" s="4"/>
      <c r="N54" s="4"/>
    </row>
    <row r="55" spans="1:14" ht="18" customHeight="1">
      <c r="A55" s="148"/>
      <c r="B55" s="2"/>
      <c r="C55" s="2"/>
      <c r="D55" s="2"/>
      <c r="E55" s="4"/>
      <c r="F55" s="4"/>
      <c r="G55" s="40" t="s">
        <v>870</v>
      </c>
      <c r="H55" s="4">
        <v>27930</v>
      </c>
      <c r="I55" s="4"/>
      <c r="J55" s="4">
        <f>+J54-H55</f>
        <v>-650</v>
      </c>
      <c r="K55" s="4"/>
      <c r="L55" s="4"/>
      <c r="M55" s="4"/>
      <c r="N55" s="4"/>
    </row>
    <row r="56" spans="1:14" ht="18" customHeight="1">
      <c r="A56" s="128"/>
      <c r="B56" s="24" t="s">
        <v>15</v>
      </c>
      <c r="C56" s="24"/>
      <c r="D56" s="24"/>
      <c r="E56" s="25"/>
      <c r="F56" s="25"/>
      <c r="G56" s="78"/>
      <c r="H56" s="57">
        <f>SUM(H53:H55)</f>
        <v>84650</v>
      </c>
      <c r="I56" s="25"/>
      <c r="J56" s="25"/>
      <c r="K56" s="25"/>
      <c r="L56" s="25"/>
      <c r="M56" s="4"/>
      <c r="N56" s="4"/>
    </row>
    <row r="57" spans="1:14" ht="18" customHeight="1">
      <c r="A57" s="18" t="s">
        <v>29</v>
      </c>
      <c r="B57" s="60" t="s">
        <v>699</v>
      </c>
      <c r="C57" s="60"/>
      <c r="D57" s="60" t="s">
        <v>28</v>
      </c>
      <c r="E57" s="49">
        <v>120000</v>
      </c>
      <c r="F57" s="49">
        <v>11850</v>
      </c>
      <c r="G57" s="66"/>
      <c r="H57" s="49"/>
      <c r="I57" s="4"/>
      <c r="J57" s="4"/>
      <c r="K57" s="4"/>
      <c r="L57" s="4"/>
      <c r="M57" s="4"/>
      <c r="N57" s="4"/>
    </row>
    <row r="58" spans="1:14" ht="18" customHeight="1">
      <c r="A58" s="148"/>
      <c r="B58" s="2" t="s">
        <v>878</v>
      </c>
      <c r="C58" s="2"/>
      <c r="D58" s="2"/>
      <c r="E58" s="4"/>
      <c r="F58" s="4"/>
      <c r="G58" s="40" t="s">
        <v>251</v>
      </c>
      <c r="H58" s="4">
        <v>32260</v>
      </c>
      <c r="I58" s="4">
        <v>11850</v>
      </c>
      <c r="J58" s="4">
        <f>+E57-H58</f>
        <v>87740</v>
      </c>
      <c r="K58" s="4"/>
      <c r="L58" s="4">
        <f>+H58*I58</f>
        <v>382281000</v>
      </c>
      <c r="M58" s="4">
        <v>1540500000</v>
      </c>
      <c r="N58" s="4"/>
    </row>
    <row r="59" spans="1:14" ht="18" customHeight="1">
      <c r="A59" s="148"/>
      <c r="B59" s="2" t="s">
        <v>463</v>
      </c>
      <c r="C59" s="2"/>
      <c r="D59" s="2"/>
      <c r="E59" s="4"/>
      <c r="F59" s="4"/>
      <c r="G59" s="40" t="s">
        <v>252</v>
      </c>
      <c r="H59" s="4">
        <v>31120</v>
      </c>
      <c r="I59" s="4">
        <v>11850</v>
      </c>
      <c r="J59" s="4">
        <f>+J58-H59</f>
        <v>56620</v>
      </c>
      <c r="K59" s="4"/>
      <c r="L59" s="4">
        <f t="shared" ref="L59:L62" si="8">+H59*I59</f>
        <v>368772000</v>
      </c>
      <c r="M59" s="4"/>
      <c r="N59" s="4"/>
    </row>
    <row r="60" spans="1:14" ht="18" customHeight="1">
      <c r="A60" s="148"/>
      <c r="B60" s="2"/>
      <c r="C60" s="2"/>
      <c r="D60" s="2"/>
      <c r="E60" s="4"/>
      <c r="F60" s="4"/>
      <c r="G60" s="40"/>
      <c r="H60" s="4">
        <v>32850</v>
      </c>
      <c r="I60" s="4">
        <v>11850</v>
      </c>
      <c r="J60" s="4">
        <f>+J59-H60</f>
        <v>23770</v>
      </c>
      <c r="K60" s="4"/>
      <c r="L60" s="4">
        <f t="shared" si="8"/>
        <v>389272500</v>
      </c>
      <c r="M60" s="4"/>
      <c r="N60" s="4"/>
    </row>
    <row r="61" spans="1:14" ht="18" customHeight="1">
      <c r="A61" s="148"/>
      <c r="B61" s="2"/>
      <c r="C61" s="2"/>
      <c r="D61" s="2"/>
      <c r="E61" s="4"/>
      <c r="F61" s="4"/>
      <c r="G61" s="40"/>
      <c r="H61" s="4"/>
      <c r="I61" s="4">
        <v>11850</v>
      </c>
      <c r="J61" s="4">
        <f t="shared" ref="J61:J62" si="9">+J60-H61</f>
        <v>23770</v>
      </c>
      <c r="K61" s="4"/>
      <c r="L61" s="4">
        <f t="shared" si="8"/>
        <v>0</v>
      </c>
      <c r="M61" s="4"/>
      <c r="N61" s="4"/>
    </row>
    <row r="62" spans="1:14" ht="18" customHeight="1">
      <c r="A62" s="148"/>
      <c r="B62" s="2"/>
      <c r="C62" s="2"/>
      <c r="D62" s="2"/>
      <c r="E62" s="4"/>
      <c r="F62" s="4"/>
      <c r="G62" s="40"/>
      <c r="H62" s="4"/>
      <c r="I62" s="4">
        <v>11850</v>
      </c>
      <c r="J62" s="4">
        <f t="shared" si="9"/>
        <v>23770</v>
      </c>
      <c r="K62" s="4"/>
      <c r="L62" s="4">
        <f t="shared" si="8"/>
        <v>0</v>
      </c>
      <c r="M62" s="4"/>
      <c r="N62" s="4"/>
    </row>
    <row r="63" spans="1:14" ht="18" customHeight="1">
      <c r="A63" s="128"/>
      <c r="B63" s="24"/>
      <c r="C63" s="24"/>
      <c r="D63" s="24"/>
      <c r="E63" s="25"/>
      <c r="F63" s="25"/>
      <c r="G63" s="78"/>
      <c r="H63" s="57">
        <f>SUM(H58:H62)</f>
        <v>96230</v>
      </c>
      <c r="I63" s="57">
        <v>11850</v>
      </c>
      <c r="J63" s="57"/>
      <c r="K63" s="57"/>
      <c r="L63" s="57">
        <f>I63*H63</f>
        <v>1140325500</v>
      </c>
      <c r="M63" s="57">
        <f>SUM(M58:M62)</f>
        <v>1540500000</v>
      </c>
      <c r="N63" s="4">
        <f>+M63-L63</f>
        <v>400174500</v>
      </c>
    </row>
    <row r="64" spans="1:14" ht="18" customHeight="1">
      <c r="A64" s="148"/>
      <c r="B64" s="2"/>
      <c r="C64" s="2"/>
      <c r="D64" s="2"/>
      <c r="E64" s="4"/>
      <c r="F64" s="4"/>
      <c r="G64" s="40"/>
      <c r="H64" s="4"/>
      <c r="I64" s="4"/>
      <c r="J64" s="4"/>
      <c r="K64" s="4"/>
      <c r="L64" s="4"/>
      <c r="M64" s="4"/>
      <c r="N64" s="4"/>
    </row>
    <row r="65" spans="1:14" ht="18" customHeight="1">
      <c r="A65" s="18"/>
      <c r="B65" s="2"/>
      <c r="C65" s="2"/>
      <c r="D65" s="2"/>
      <c r="E65" s="4"/>
      <c r="F65" s="4"/>
      <c r="G65" s="40"/>
      <c r="H65" s="4"/>
      <c r="I65" s="4"/>
      <c r="J65" s="4"/>
      <c r="K65" s="4"/>
      <c r="L65" s="4"/>
      <c r="M65" s="4"/>
      <c r="N65" s="4"/>
    </row>
    <row r="66" spans="1:14" ht="18" customHeight="1">
      <c r="A66" s="18"/>
      <c r="B66" s="2"/>
      <c r="C66" s="2"/>
      <c r="D66" s="2"/>
      <c r="E66" s="4"/>
      <c r="F66" s="4"/>
      <c r="G66" s="21"/>
      <c r="H66" s="4"/>
      <c r="I66" s="4"/>
      <c r="J66" s="4"/>
      <c r="K66" s="4"/>
      <c r="L66" s="4"/>
      <c r="M66" s="4"/>
      <c r="N66" s="4"/>
    </row>
    <row r="67" spans="1:14" ht="18" customHeight="1">
      <c r="A67" s="281" t="s">
        <v>0</v>
      </c>
      <c r="B67" s="282"/>
      <c r="C67" s="211"/>
      <c r="D67" s="211"/>
      <c r="E67" s="5"/>
      <c r="F67" s="5"/>
      <c r="G67" s="23"/>
      <c r="H67" s="5"/>
      <c r="I67" s="5"/>
      <c r="J67" s="5"/>
      <c r="K67" s="99"/>
      <c r="L67" s="100">
        <f>H67*I67</f>
        <v>0</v>
      </c>
      <c r="M67" s="14"/>
      <c r="N67" s="100"/>
    </row>
    <row r="68" spans="1:14" s="6" customFormat="1" ht="24.75" customHeight="1">
      <c r="A68" s="16"/>
      <c r="B68" s="1"/>
      <c r="C68" s="1"/>
      <c r="D68" s="1"/>
      <c r="E68" s="3"/>
      <c r="F68" s="3"/>
      <c r="G68" s="19"/>
      <c r="H68" s="3"/>
      <c r="I68" s="3"/>
      <c r="J68" s="3"/>
      <c r="K68" s="3"/>
    </row>
    <row r="69" spans="1:14">
      <c r="F69" s="270" t="s">
        <v>1</v>
      </c>
      <c r="G69" s="270"/>
      <c r="H69" s="270"/>
      <c r="I69" s="270"/>
      <c r="J69" s="1"/>
      <c r="K69" s="8"/>
    </row>
    <row r="72" spans="1:14">
      <c r="F72" s="271"/>
      <c r="G72" s="271"/>
      <c r="H72" s="271"/>
      <c r="I72" s="271"/>
      <c r="J72" s="1"/>
      <c r="K72" s="1"/>
    </row>
  </sheetData>
  <mergeCells count="17">
    <mergeCell ref="F69:I69"/>
    <mergeCell ref="F72:I72"/>
    <mergeCell ref="L4:L5"/>
    <mergeCell ref="M4:M5"/>
    <mergeCell ref="N4:N5"/>
    <mergeCell ref="A10:B10"/>
    <mergeCell ref="A16:B16"/>
    <mergeCell ref="A67:B67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3"/>
  <sheetViews>
    <sheetView workbookViewId="0">
      <pane ySplit="5" topLeftCell="A6" activePane="bottomLeft" state="frozen"/>
      <selection pane="bottomLeft" activeCell="H20" sqref="H20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666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194" t="s">
        <v>9</v>
      </c>
      <c r="F5" s="194" t="s">
        <v>5</v>
      </c>
      <c r="G5" s="20" t="s">
        <v>14</v>
      </c>
      <c r="H5" s="194" t="s">
        <v>9</v>
      </c>
      <c r="I5" s="194" t="s">
        <v>5</v>
      </c>
      <c r="J5" s="194" t="s">
        <v>9</v>
      </c>
      <c r="K5" s="194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29</v>
      </c>
      <c r="B11" s="60" t="s">
        <v>667</v>
      </c>
      <c r="C11" s="154"/>
      <c r="D11" s="60" t="s">
        <v>34</v>
      </c>
      <c r="E11" s="49">
        <v>65000</v>
      </c>
      <c r="F11" s="49">
        <v>8900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2" t="s">
        <v>678</v>
      </c>
      <c r="C12" s="2"/>
      <c r="D12" s="2"/>
      <c r="E12" s="4"/>
      <c r="F12" s="4"/>
      <c r="G12" s="40" t="s">
        <v>705</v>
      </c>
      <c r="H12" s="4">
        <v>29740</v>
      </c>
      <c r="I12" s="4"/>
      <c r="J12" s="4">
        <f>+E11-H12</f>
        <v>35260</v>
      </c>
      <c r="K12" s="4"/>
      <c r="L12" s="4">
        <f t="shared" ref="L12:L23" si="2">+H12*I12</f>
        <v>0</v>
      </c>
      <c r="M12" s="4">
        <f>300000*7800</f>
        <v>2340000000</v>
      </c>
      <c r="N12" s="101" t="s">
        <v>523</v>
      </c>
    </row>
    <row r="13" spans="1:14" ht="18" customHeight="1">
      <c r="A13" s="18" t="s">
        <v>13</v>
      </c>
      <c r="B13" s="60" t="s">
        <v>667</v>
      </c>
      <c r="C13" s="60"/>
      <c r="D13" s="60" t="s">
        <v>34</v>
      </c>
      <c r="E13" s="49">
        <v>26000</v>
      </c>
      <c r="F13" s="49">
        <v>8450</v>
      </c>
      <c r="G13" s="21"/>
      <c r="H13" s="4"/>
      <c r="I13" s="4"/>
      <c r="J13" s="4">
        <f>+J12-H13</f>
        <v>35260</v>
      </c>
      <c r="K13" s="4"/>
      <c r="L13" s="4">
        <f t="shared" si="2"/>
        <v>0</v>
      </c>
      <c r="M13" s="4"/>
      <c r="N13" s="4"/>
    </row>
    <row r="14" spans="1:14" ht="18" customHeight="1">
      <c r="A14" s="18"/>
      <c r="B14" s="236" t="s">
        <v>823</v>
      </c>
      <c r="C14" s="60"/>
      <c r="D14" s="60"/>
      <c r="E14" s="49"/>
      <c r="F14" s="49"/>
      <c r="G14" s="40" t="s">
        <v>134</v>
      </c>
      <c r="H14" s="4">
        <v>26270</v>
      </c>
      <c r="I14" s="4"/>
      <c r="J14" s="4"/>
      <c r="K14" s="4"/>
      <c r="L14" s="4"/>
      <c r="M14" s="4"/>
      <c r="N14" s="4"/>
    </row>
    <row r="15" spans="1:14" ht="18" customHeight="1">
      <c r="A15" s="18"/>
      <c r="B15" s="60"/>
      <c r="C15" s="60"/>
      <c r="D15" s="60"/>
      <c r="E15" s="49"/>
      <c r="F15" s="49"/>
      <c r="G15" s="21"/>
      <c r="H15" s="4"/>
      <c r="I15" s="4"/>
      <c r="J15" s="4"/>
      <c r="K15" s="4"/>
      <c r="L15" s="4"/>
      <c r="M15" s="4"/>
      <c r="N15" s="4"/>
    </row>
    <row r="16" spans="1:14" ht="18" customHeight="1">
      <c r="A16" s="55"/>
      <c r="B16" s="24"/>
      <c r="C16" s="24"/>
      <c r="D16" s="24"/>
      <c r="E16" s="25"/>
      <c r="F16" s="25"/>
      <c r="G16" s="78"/>
      <c r="H16" s="57">
        <f>SUM(H12:H13)</f>
        <v>29740</v>
      </c>
      <c r="I16" s="25"/>
      <c r="J16" s="25"/>
      <c r="K16" s="4"/>
      <c r="L16" s="4">
        <f t="shared" si="2"/>
        <v>0</v>
      </c>
      <c r="M16" s="4"/>
      <c r="N16" s="4"/>
    </row>
    <row r="17" spans="1:15" ht="18" customHeight="1">
      <c r="A17" s="18" t="s">
        <v>13</v>
      </c>
      <c r="B17" s="60" t="s">
        <v>796</v>
      </c>
      <c r="C17" s="2"/>
      <c r="D17" s="2" t="s">
        <v>43</v>
      </c>
      <c r="E17" s="4">
        <v>100000</v>
      </c>
      <c r="F17" s="4">
        <v>7300</v>
      </c>
      <c r="G17" s="21"/>
      <c r="H17" s="4"/>
      <c r="I17" s="4"/>
      <c r="J17" s="4"/>
      <c r="K17" s="4"/>
      <c r="L17" s="4">
        <f t="shared" si="2"/>
        <v>0</v>
      </c>
      <c r="M17" s="4"/>
      <c r="N17" s="4"/>
    </row>
    <row r="18" spans="1:15" ht="18" customHeight="1">
      <c r="A18" s="18"/>
      <c r="B18" s="2" t="s">
        <v>797</v>
      </c>
      <c r="C18" s="2"/>
      <c r="D18" s="2"/>
      <c r="E18" s="4"/>
      <c r="F18" s="4"/>
      <c r="G18" s="40" t="s">
        <v>795</v>
      </c>
      <c r="H18" s="4">
        <v>30060</v>
      </c>
      <c r="I18" s="4"/>
      <c r="J18" s="4">
        <f>+E17-H18</f>
        <v>69940</v>
      </c>
      <c r="K18" s="4"/>
      <c r="L18" s="4">
        <f t="shared" si="2"/>
        <v>0</v>
      </c>
      <c r="M18" s="4"/>
      <c r="N18" s="4"/>
    </row>
    <row r="19" spans="1:15" ht="18" customHeight="1">
      <c r="A19" s="18"/>
      <c r="B19" s="2"/>
      <c r="C19" s="2"/>
      <c r="D19" s="2"/>
      <c r="E19" s="4"/>
      <c r="F19" s="4"/>
      <c r="G19" s="40" t="s">
        <v>172</v>
      </c>
      <c r="H19" s="4">
        <v>27040</v>
      </c>
      <c r="I19" s="4"/>
      <c r="J19" s="4">
        <f>+J18-H19</f>
        <v>42900</v>
      </c>
      <c r="K19" s="4"/>
      <c r="L19" s="4">
        <f t="shared" si="2"/>
        <v>0</v>
      </c>
      <c r="M19" s="4"/>
      <c r="N19" s="4"/>
    </row>
    <row r="20" spans="1:15" ht="18" customHeight="1">
      <c r="A20" s="18"/>
      <c r="B20" s="2"/>
      <c r="C20" s="2"/>
      <c r="D20" s="2"/>
      <c r="E20" s="4"/>
      <c r="F20" s="4"/>
      <c r="G20" s="40"/>
      <c r="H20" s="4"/>
      <c r="I20" s="4"/>
      <c r="J20" s="4">
        <f t="shared" ref="J20:J23" si="3">+J19-H20</f>
        <v>42900</v>
      </c>
      <c r="K20" s="4"/>
      <c r="L20" s="4">
        <f t="shared" si="2"/>
        <v>0</v>
      </c>
      <c r="M20" s="4"/>
      <c r="N20" s="4"/>
    </row>
    <row r="21" spans="1:15" ht="18" customHeight="1">
      <c r="A21" s="18"/>
      <c r="B21" s="2"/>
      <c r="C21" s="2"/>
      <c r="D21" s="2"/>
      <c r="E21" s="4"/>
      <c r="F21" s="4"/>
      <c r="G21" s="40"/>
      <c r="H21" s="4"/>
      <c r="I21" s="4"/>
      <c r="J21" s="4">
        <f t="shared" si="3"/>
        <v>42900</v>
      </c>
      <c r="K21" s="4"/>
      <c r="L21" s="4">
        <f t="shared" si="2"/>
        <v>0</v>
      </c>
      <c r="M21" s="4"/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21"/>
      <c r="H22" s="4"/>
      <c r="I22" s="4"/>
      <c r="J22" s="4">
        <f t="shared" si="3"/>
        <v>42900</v>
      </c>
      <c r="K22" s="4"/>
      <c r="L22" s="4">
        <f t="shared" si="2"/>
        <v>0</v>
      </c>
      <c r="M22" s="4"/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21"/>
      <c r="H23" s="4"/>
      <c r="I23" s="4"/>
      <c r="J23" s="4">
        <f t="shared" si="3"/>
        <v>42900</v>
      </c>
      <c r="K23" s="4"/>
      <c r="L23" s="4">
        <f t="shared" si="2"/>
        <v>0</v>
      </c>
      <c r="M23" s="4"/>
      <c r="N23" s="4"/>
    </row>
    <row r="24" spans="1:15" s="15" customFormat="1" ht="18" customHeight="1">
      <c r="A24" s="291"/>
      <c r="B24" s="292"/>
      <c r="C24" s="13"/>
      <c r="D24" s="13"/>
      <c r="E24" s="14"/>
      <c r="F24" s="14"/>
      <c r="G24" s="22"/>
      <c r="H24" s="14">
        <f>SUM(H18:H23)</f>
        <v>57100</v>
      </c>
      <c r="I24" s="14"/>
      <c r="J24" s="14"/>
      <c r="K24" s="14"/>
      <c r="L24" s="14">
        <f>+H24*I24</f>
        <v>0</v>
      </c>
      <c r="M24" s="57">
        <f>SUM(M12:M23)</f>
        <v>2340000000</v>
      </c>
      <c r="N24" s="14">
        <f>+M24-L24</f>
        <v>2340000000</v>
      </c>
      <c r="O24" s="120" t="s">
        <v>599</v>
      </c>
    </row>
    <row r="25" spans="1:15" ht="18" customHeight="1">
      <c r="A25" s="18"/>
      <c r="B25" s="60"/>
      <c r="C25" s="108"/>
      <c r="D25" s="60"/>
      <c r="E25" s="49"/>
      <c r="F25" s="49"/>
      <c r="G25" s="61"/>
      <c r="H25" s="49"/>
      <c r="I25" s="49"/>
      <c r="J25" s="49"/>
      <c r="K25" s="49"/>
      <c r="L25" s="49"/>
      <c r="M25" s="49"/>
      <c r="N25" s="102"/>
      <c r="O25" s="50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>
        <v>142350000</v>
      </c>
      <c r="N26" s="4"/>
      <c r="O26" s="50"/>
    </row>
    <row r="27" spans="1:15" ht="18" customHeight="1">
      <c r="A27" s="18"/>
      <c r="B27" s="2"/>
      <c r="C27" s="2"/>
      <c r="D27" s="2"/>
      <c r="E27" s="4"/>
      <c r="F27" s="4"/>
      <c r="G27" s="40"/>
      <c r="H27" s="4"/>
      <c r="I27" s="4"/>
      <c r="J27" s="4"/>
      <c r="K27" s="4"/>
      <c r="L27" s="4">
        <f>+I27*H27</f>
        <v>0</v>
      </c>
      <c r="M27" s="4">
        <v>138150000</v>
      </c>
      <c r="N27" s="4"/>
    </row>
    <row r="28" spans="1:15" ht="18" customHeight="1">
      <c r="A28" s="18"/>
      <c r="B28" s="2"/>
      <c r="C28" s="2"/>
      <c r="D28" s="2"/>
      <c r="E28" s="4"/>
      <c r="F28" s="4"/>
      <c r="G28" s="40"/>
      <c r="H28" s="4"/>
      <c r="I28" s="4"/>
      <c r="J28" s="4"/>
      <c r="K28" s="4"/>
      <c r="L28" s="4"/>
      <c r="M28" s="4"/>
      <c r="N28" s="4"/>
    </row>
    <row r="29" spans="1:15" ht="18" customHeight="1">
      <c r="A29" s="55"/>
      <c r="B29" s="56" t="s">
        <v>92</v>
      </c>
      <c r="C29" s="56"/>
      <c r="D29" s="56"/>
      <c r="E29" s="57"/>
      <c r="F29" s="25"/>
      <c r="G29" s="26"/>
      <c r="H29" s="57">
        <f>SUM(H26:H28)</f>
        <v>0</v>
      </c>
      <c r="I29" s="57">
        <v>17000</v>
      </c>
      <c r="J29" s="57">
        <f>+I29*H29</f>
        <v>0</v>
      </c>
      <c r="K29" s="57">
        <f t="shared" ref="K29:L29" si="4">SUM(K26:K28)</f>
        <v>0</v>
      </c>
      <c r="L29" s="57">
        <f t="shared" si="4"/>
        <v>0</v>
      </c>
      <c r="M29" s="57">
        <f>SUM(M26:M28)</f>
        <v>280500000</v>
      </c>
      <c r="N29" s="57">
        <f>M29-L29</f>
        <v>280500000</v>
      </c>
      <c r="O29" s="119"/>
    </row>
    <row r="30" spans="1:15" ht="18" customHeight="1">
      <c r="A30" s="18"/>
      <c r="B30" s="2"/>
      <c r="C30" s="2"/>
      <c r="D30" s="2"/>
      <c r="E30" s="49"/>
      <c r="F30" s="49"/>
      <c r="G30" s="61"/>
      <c r="H30" s="49"/>
      <c r="I30" s="4"/>
      <c r="J30" s="4"/>
      <c r="K30" s="4"/>
      <c r="L30" s="4"/>
      <c r="M30" s="4"/>
      <c r="N30" s="4"/>
    </row>
    <row r="31" spans="1:15" ht="18" customHeight="1">
      <c r="A31" s="18"/>
      <c r="B31" s="2"/>
      <c r="C31" s="2"/>
      <c r="D31" s="2"/>
      <c r="E31" s="4"/>
      <c r="F31" s="4"/>
      <c r="G31" s="40"/>
      <c r="H31" s="4"/>
      <c r="I31" s="4"/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48"/>
      <c r="B33" s="2"/>
      <c r="C33" s="60"/>
      <c r="D33" s="60"/>
      <c r="E33" s="49"/>
      <c r="F33" s="49"/>
      <c r="G33" s="66"/>
      <c r="H33" s="49"/>
      <c r="I33" s="49"/>
      <c r="J33" s="49"/>
      <c r="K33" s="4"/>
      <c r="L33" s="4"/>
      <c r="M33" s="4"/>
      <c r="N33" s="4"/>
    </row>
    <row r="34" spans="1:14" ht="18" customHeight="1">
      <c r="A34" s="14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48"/>
      <c r="B35" s="2"/>
      <c r="C35" s="2"/>
      <c r="D35" s="2"/>
      <c r="E35" s="4"/>
      <c r="F35" s="4"/>
      <c r="G35" s="40"/>
      <c r="H35" s="4"/>
      <c r="I35" s="4"/>
      <c r="J35" s="4"/>
      <c r="K35" s="4"/>
      <c r="L35" s="4"/>
      <c r="M35" s="4"/>
      <c r="N35" s="4"/>
    </row>
    <row r="36" spans="1:14" ht="18" customHeight="1">
      <c r="A36" s="18"/>
      <c r="B36" s="2"/>
      <c r="C36" s="2"/>
      <c r="D36" s="2"/>
      <c r="E36" s="4"/>
      <c r="F36" s="4"/>
      <c r="G36" s="40"/>
      <c r="H36" s="4"/>
      <c r="I36" s="4"/>
      <c r="J36" s="4"/>
      <c r="K36" s="4"/>
      <c r="L36" s="4"/>
      <c r="M36" s="4"/>
      <c r="N36" s="4"/>
    </row>
    <row r="37" spans="1:14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  <c r="L37" s="4"/>
      <c r="M37" s="4"/>
      <c r="N37" s="4"/>
    </row>
    <row r="38" spans="1:14" ht="18" customHeight="1">
      <c r="A38" s="281" t="s">
        <v>0</v>
      </c>
      <c r="B38" s="282"/>
      <c r="C38" s="195"/>
      <c r="D38" s="195"/>
      <c r="E38" s="5">
        <f>SUM(E26:E37)</f>
        <v>0</v>
      </c>
      <c r="F38" s="5"/>
      <c r="G38" s="23"/>
      <c r="H38" s="5">
        <f>SUM(H31:H37)</f>
        <v>0</v>
      </c>
      <c r="I38" s="5"/>
      <c r="J38" s="5"/>
      <c r="K38" s="99"/>
      <c r="L38" s="100">
        <f>H38*I38</f>
        <v>0</v>
      </c>
      <c r="M38" s="14"/>
      <c r="N38" s="100"/>
    </row>
    <row r="39" spans="1:14" s="6" customFormat="1" ht="24.75" customHeight="1">
      <c r="A39" s="16"/>
      <c r="B39" s="1"/>
      <c r="C39" s="1"/>
      <c r="D39" s="1"/>
      <c r="E39" s="3"/>
      <c r="F39" s="3"/>
      <c r="G39" s="19"/>
      <c r="H39" s="3"/>
      <c r="I39" s="3"/>
      <c r="J39" s="3"/>
      <c r="K39" s="3"/>
    </row>
    <row r="40" spans="1:14">
      <c r="F40" s="270" t="s">
        <v>1</v>
      </c>
      <c r="G40" s="270"/>
      <c r="H40" s="270"/>
      <c r="I40" s="270"/>
      <c r="J40" s="1"/>
      <c r="K40" s="8"/>
    </row>
    <row r="43" spans="1:14">
      <c r="F43" s="271"/>
      <c r="G43" s="271"/>
      <c r="H43" s="271"/>
      <c r="I43" s="271"/>
      <c r="J43" s="1"/>
      <c r="K43" s="1"/>
    </row>
  </sheetData>
  <mergeCells count="17">
    <mergeCell ref="A10:B10"/>
    <mergeCell ref="A24:B24"/>
    <mergeCell ref="A38:B38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40:I40"/>
    <mergeCell ref="F43:I43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5" topLeftCell="A11" activePane="bottomLeft" state="frozen"/>
      <selection pane="bottomLeft" activeCell="I19" sqref="I19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681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06" t="s">
        <v>9</v>
      </c>
      <c r="F5" s="206" t="s">
        <v>5</v>
      </c>
      <c r="G5" s="20" t="s">
        <v>14</v>
      </c>
      <c r="H5" s="206" t="s">
        <v>9</v>
      </c>
      <c r="I5" s="206" t="s">
        <v>5</v>
      </c>
      <c r="J5" s="206" t="s">
        <v>9</v>
      </c>
      <c r="K5" s="206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29</v>
      </c>
      <c r="B11" s="60" t="s">
        <v>682</v>
      </c>
      <c r="C11" s="154"/>
      <c r="D11" s="60" t="s">
        <v>683</v>
      </c>
      <c r="E11" s="49">
        <v>65000</v>
      </c>
      <c r="F11" s="49">
        <v>7500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2" t="s">
        <v>678</v>
      </c>
      <c r="C12" s="2"/>
      <c r="D12" s="2"/>
      <c r="E12" s="4"/>
      <c r="F12" s="4"/>
      <c r="G12" s="40" t="s">
        <v>684</v>
      </c>
      <c r="H12" s="4">
        <v>30910</v>
      </c>
      <c r="I12" s="4"/>
      <c r="J12" s="4">
        <f>+E11-H12</f>
        <v>34090</v>
      </c>
      <c r="K12" s="4"/>
      <c r="L12" s="4">
        <f t="shared" ref="L12:L14" si="2">+H12*I12</f>
        <v>0</v>
      </c>
      <c r="M12" s="4">
        <f>300000*7800</f>
        <v>2340000000</v>
      </c>
      <c r="N12" s="101" t="s">
        <v>523</v>
      </c>
    </row>
    <row r="13" spans="1:15" ht="18" customHeight="1">
      <c r="A13" s="18"/>
      <c r="B13" s="60"/>
      <c r="C13" s="60"/>
      <c r="D13" s="60"/>
      <c r="E13" s="49"/>
      <c r="F13" s="49"/>
      <c r="G13" s="21"/>
      <c r="H13" s="4">
        <v>32200</v>
      </c>
      <c r="I13" s="4"/>
      <c r="J13" s="4">
        <f>+J12-H13</f>
        <v>1890</v>
      </c>
      <c r="K13" s="4"/>
      <c r="L13" s="4">
        <f t="shared" si="2"/>
        <v>0</v>
      </c>
      <c r="M13" s="4"/>
      <c r="N13" s="4"/>
    </row>
    <row r="14" spans="1:15" ht="18" customHeight="1">
      <c r="A14" s="18"/>
      <c r="B14" s="2"/>
      <c r="C14" s="2"/>
      <c r="D14" s="2"/>
      <c r="E14" s="4"/>
      <c r="F14" s="4"/>
      <c r="G14" s="40"/>
      <c r="H14" s="4"/>
      <c r="I14" s="4"/>
      <c r="J14" s="4">
        <f t="shared" ref="J14" si="3">+J13-H14</f>
        <v>1890</v>
      </c>
      <c r="K14" s="4"/>
      <c r="L14" s="4">
        <f t="shared" si="2"/>
        <v>0</v>
      </c>
      <c r="M14" s="4"/>
      <c r="N14" s="4"/>
    </row>
    <row r="15" spans="1:15" s="15" customFormat="1" ht="18" customHeight="1">
      <c r="A15" s="291" t="s">
        <v>15</v>
      </c>
      <c r="B15" s="292"/>
      <c r="C15" s="13"/>
      <c r="D15" s="13"/>
      <c r="E15" s="14">
        <v>300000</v>
      </c>
      <c r="F15" s="14"/>
      <c r="G15" s="22"/>
      <c r="H15" s="14">
        <f>SUM(H11:H14)</f>
        <v>63110</v>
      </c>
      <c r="I15" s="14">
        <v>7800</v>
      </c>
      <c r="J15" s="14"/>
      <c r="K15" s="14"/>
      <c r="L15" s="14">
        <f>+H15*I15</f>
        <v>492258000</v>
      </c>
      <c r="M15" s="57">
        <f>SUM(M12:M14)</f>
        <v>2340000000</v>
      </c>
      <c r="N15" s="14">
        <f>+M15-L15</f>
        <v>1847742000</v>
      </c>
      <c r="O15" s="120" t="s">
        <v>599</v>
      </c>
    </row>
    <row r="16" spans="1:15" ht="18" customHeight="1">
      <c r="A16" s="18"/>
      <c r="B16" s="60"/>
      <c r="C16" s="108"/>
      <c r="D16" s="60"/>
      <c r="E16" s="49"/>
      <c r="F16" s="49"/>
      <c r="G16" s="61"/>
      <c r="H16" s="49"/>
      <c r="I16" s="49"/>
      <c r="J16" s="49"/>
      <c r="K16" s="49"/>
      <c r="L16" s="49"/>
      <c r="M16" s="49"/>
      <c r="N16" s="102"/>
      <c r="O16" s="50"/>
    </row>
    <row r="17" spans="1:15" ht="18" customHeight="1">
      <c r="A17" s="18"/>
      <c r="B17" s="2"/>
      <c r="C17" s="2"/>
      <c r="D17" s="2"/>
      <c r="E17" s="4"/>
      <c r="F17" s="4"/>
      <c r="G17" s="40"/>
      <c r="H17" s="4"/>
      <c r="I17" s="4"/>
      <c r="J17" s="4"/>
      <c r="K17" s="4"/>
      <c r="L17" s="4"/>
      <c r="M17" s="4">
        <v>142350000</v>
      </c>
      <c r="N17" s="4"/>
      <c r="O17" s="50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/>
      <c r="K18" s="4"/>
      <c r="L18" s="4">
        <f>+I18*H18</f>
        <v>0</v>
      </c>
      <c r="M18" s="4">
        <v>138150000</v>
      </c>
      <c r="N18" s="4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/>
      <c r="K19" s="4"/>
      <c r="L19" s="4"/>
      <c r="M19" s="4"/>
      <c r="N19" s="4"/>
    </row>
    <row r="20" spans="1:15" ht="18" customHeight="1">
      <c r="A20" s="55"/>
      <c r="B20" s="56" t="s">
        <v>92</v>
      </c>
      <c r="C20" s="56"/>
      <c r="D20" s="56"/>
      <c r="E20" s="57"/>
      <c r="F20" s="25"/>
      <c r="G20" s="26"/>
      <c r="H20" s="57">
        <f>SUM(H17:H19)</f>
        <v>0</v>
      </c>
      <c r="I20" s="57">
        <v>17000</v>
      </c>
      <c r="J20" s="57">
        <f>+I20*H20</f>
        <v>0</v>
      </c>
      <c r="K20" s="57">
        <f t="shared" ref="K20:L20" si="4">SUM(K17:K19)</f>
        <v>0</v>
      </c>
      <c r="L20" s="57">
        <f t="shared" si="4"/>
        <v>0</v>
      </c>
      <c r="M20" s="57">
        <f>SUM(M17:M19)</f>
        <v>280500000</v>
      </c>
      <c r="N20" s="57">
        <f>M20-L20</f>
        <v>280500000</v>
      </c>
      <c r="O20" s="119"/>
    </row>
    <row r="21" spans="1:15" ht="18" customHeight="1">
      <c r="A21" s="18"/>
      <c r="B21" s="2"/>
      <c r="C21" s="2"/>
      <c r="D21" s="2"/>
      <c r="E21" s="49"/>
      <c r="F21" s="49"/>
      <c r="G21" s="61"/>
      <c r="H21" s="49"/>
      <c r="I21" s="4"/>
      <c r="J21" s="4"/>
      <c r="K21" s="4"/>
      <c r="L21" s="4"/>
      <c r="M21" s="4"/>
      <c r="N21" s="4"/>
    </row>
    <row r="22" spans="1:15" ht="18" customHeight="1">
      <c r="A22" s="18"/>
      <c r="B22" s="2"/>
      <c r="C22" s="2"/>
      <c r="D22" s="2"/>
      <c r="E22" s="4"/>
      <c r="F22" s="4"/>
      <c r="G22" s="40"/>
      <c r="H22" s="4"/>
      <c r="I22" s="4"/>
      <c r="J22" s="4"/>
      <c r="K22" s="4"/>
      <c r="L22" s="4"/>
      <c r="M22" s="4"/>
      <c r="N22" s="4"/>
    </row>
    <row r="23" spans="1:15" ht="18" customHeight="1">
      <c r="A23" s="18"/>
      <c r="B23" s="2"/>
      <c r="C23" s="2"/>
      <c r="D23" s="2"/>
      <c r="E23" s="4"/>
      <c r="F23" s="4"/>
      <c r="G23" s="40"/>
      <c r="H23" s="4"/>
      <c r="I23" s="4"/>
      <c r="J23" s="4"/>
      <c r="K23" s="4"/>
      <c r="L23" s="4"/>
      <c r="M23" s="4"/>
      <c r="N23" s="4"/>
    </row>
    <row r="24" spans="1:15" ht="18" customHeight="1">
      <c r="A24" s="148"/>
      <c r="B24" s="2"/>
      <c r="C24" s="60"/>
      <c r="D24" s="60"/>
      <c r="E24" s="49"/>
      <c r="F24" s="49"/>
      <c r="G24" s="66"/>
      <c r="H24" s="49"/>
      <c r="I24" s="49"/>
      <c r="J24" s="49"/>
      <c r="K24" s="4"/>
      <c r="L24" s="4"/>
      <c r="M24" s="4"/>
      <c r="N24" s="4"/>
    </row>
    <row r="25" spans="1:15" ht="18" customHeight="1">
      <c r="A25" s="14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/>
      <c r="N25" s="4"/>
    </row>
    <row r="26" spans="1:15" ht="18" customHeight="1">
      <c r="A26" s="14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/>
      <c r="N26" s="4"/>
    </row>
    <row r="27" spans="1:15" ht="18" customHeight="1">
      <c r="A27" s="18"/>
      <c r="B27" s="2"/>
      <c r="C27" s="2"/>
      <c r="D27" s="2"/>
      <c r="E27" s="4"/>
      <c r="F27" s="4"/>
      <c r="G27" s="40"/>
      <c r="H27" s="4"/>
      <c r="I27" s="4"/>
      <c r="J27" s="4"/>
      <c r="K27" s="4"/>
      <c r="L27" s="4"/>
      <c r="M27" s="4"/>
      <c r="N27" s="4"/>
    </row>
    <row r="28" spans="1:15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  <c r="L28" s="4"/>
      <c r="M28" s="4"/>
      <c r="N28" s="4"/>
    </row>
    <row r="29" spans="1:15" ht="18" customHeight="1">
      <c r="A29" s="281" t="s">
        <v>0</v>
      </c>
      <c r="B29" s="282"/>
      <c r="C29" s="207"/>
      <c r="D29" s="207"/>
      <c r="E29" s="5">
        <f>SUM(E17:E28)</f>
        <v>0</v>
      </c>
      <c r="F29" s="5"/>
      <c r="G29" s="23"/>
      <c r="H29" s="5">
        <f>SUM(H22:H28)</f>
        <v>0</v>
      </c>
      <c r="I29" s="5"/>
      <c r="J29" s="5"/>
      <c r="K29" s="99"/>
      <c r="L29" s="100">
        <f>H29*I29</f>
        <v>0</v>
      </c>
      <c r="M29" s="14"/>
      <c r="N29" s="100"/>
    </row>
    <row r="30" spans="1:15" s="6" customFormat="1" ht="24.75" customHeight="1">
      <c r="A30" s="16"/>
      <c r="B30" s="1"/>
      <c r="C30" s="1"/>
      <c r="D30" s="1"/>
      <c r="E30" s="3"/>
      <c r="F30" s="3"/>
      <c r="G30" s="19"/>
      <c r="H30" s="3"/>
      <c r="I30" s="3"/>
      <c r="J30" s="3"/>
      <c r="K30" s="3"/>
    </row>
    <row r="31" spans="1:15">
      <c r="F31" s="270" t="s">
        <v>1</v>
      </c>
      <c r="G31" s="270"/>
      <c r="H31" s="270"/>
      <c r="I31" s="270"/>
      <c r="J31" s="1"/>
      <c r="K31" s="8"/>
    </row>
    <row r="34" spans="6:11">
      <c r="F34" s="271"/>
      <c r="G34" s="271"/>
      <c r="H34" s="271"/>
      <c r="I34" s="271"/>
      <c r="J34" s="1"/>
      <c r="K34" s="1"/>
    </row>
  </sheetData>
  <mergeCells count="17">
    <mergeCell ref="A10:B10"/>
    <mergeCell ref="A15:B15"/>
    <mergeCell ref="A29:B29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F31:I31"/>
    <mergeCell ref="F34:I34"/>
    <mergeCell ref="L4:L5"/>
    <mergeCell ref="M4:M5"/>
    <mergeCell ref="N4:N5"/>
  </mergeCells>
  <pageMargins left="0.28999999999999998" right="0.28999999999999998" top="0.32" bottom="0.27" header="0.23" footer="0.21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topLeftCell="D1" workbookViewId="0">
      <pane ySplit="5" topLeftCell="A19" activePane="bottomLeft" state="frozen"/>
      <selection pane="bottomLeft" activeCell="G28" sqref="G28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775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26" t="s">
        <v>9</v>
      </c>
      <c r="F5" s="226" t="s">
        <v>5</v>
      </c>
      <c r="G5" s="20" t="s">
        <v>14</v>
      </c>
      <c r="H5" s="226" t="s">
        <v>9</v>
      </c>
      <c r="I5" s="226" t="s">
        <v>5</v>
      </c>
      <c r="J5" s="226" t="s">
        <v>9</v>
      </c>
      <c r="K5" s="226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13</v>
      </c>
      <c r="B11" s="60" t="s">
        <v>776</v>
      </c>
      <c r="C11" s="154"/>
      <c r="D11" s="60" t="s">
        <v>777</v>
      </c>
      <c r="E11" s="49">
        <v>100000</v>
      </c>
      <c r="F11" s="49">
        <v>7800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2" t="s">
        <v>778</v>
      </c>
      <c r="C12" s="2"/>
      <c r="D12" s="2"/>
      <c r="E12" s="4"/>
      <c r="F12" s="4"/>
      <c r="G12" s="40" t="s">
        <v>780</v>
      </c>
      <c r="H12" s="4">
        <v>25370</v>
      </c>
      <c r="I12" s="4"/>
      <c r="J12" s="4">
        <f>+E11-H12</f>
        <v>74630</v>
      </c>
      <c r="K12" s="4"/>
      <c r="L12" s="4">
        <f t="shared" ref="L12:L15" si="2">+H12*I12</f>
        <v>0</v>
      </c>
      <c r="M12" s="4">
        <f>300000*7800</f>
        <v>2340000000</v>
      </c>
      <c r="N12" s="101" t="s">
        <v>523</v>
      </c>
    </row>
    <row r="13" spans="1:15" ht="18" customHeight="1">
      <c r="A13" s="18"/>
      <c r="B13" s="2"/>
      <c r="C13" s="2"/>
      <c r="D13" s="2"/>
      <c r="E13" s="4"/>
      <c r="F13" s="4"/>
      <c r="G13" s="40"/>
      <c r="H13" s="4">
        <v>24640</v>
      </c>
      <c r="I13" s="4"/>
      <c r="J13" s="4">
        <f>J12-H13</f>
        <v>49990</v>
      </c>
      <c r="K13" s="4"/>
      <c r="L13" s="4"/>
      <c r="M13" s="4"/>
      <c r="N13" s="101"/>
    </row>
    <row r="14" spans="1:15" ht="18" customHeight="1">
      <c r="A14" s="18"/>
      <c r="B14" s="60"/>
      <c r="C14" s="60"/>
      <c r="D14" s="60"/>
      <c r="E14" s="49"/>
      <c r="F14" s="49"/>
      <c r="G14" s="40" t="s">
        <v>781</v>
      </c>
      <c r="H14" s="4">
        <v>25410</v>
      </c>
      <c r="I14" s="4"/>
      <c r="J14" s="4">
        <f t="shared" ref="J14:J15" si="3">J13-H14</f>
        <v>24580</v>
      </c>
      <c r="K14" s="4"/>
      <c r="L14" s="4">
        <f t="shared" si="2"/>
        <v>0</v>
      </c>
      <c r="M14" s="4"/>
      <c r="N14" s="4"/>
    </row>
    <row r="15" spans="1:15" ht="18" customHeight="1">
      <c r="A15" s="18"/>
      <c r="B15" s="2"/>
      <c r="C15" s="2"/>
      <c r="D15" s="2"/>
      <c r="E15" s="4"/>
      <c r="F15" s="4"/>
      <c r="G15" s="40"/>
      <c r="H15" s="4">
        <v>24860</v>
      </c>
      <c r="I15" s="4"/>
      <c r="J15" s="4">
        <f t="shared" si="3"/>
        <v>-280</v>
      </c>
      <c r="K15" s="4"/>
      <c r="L15" s="4">
        <f t="shared" si="2"/>
        <v>0</v>
      </c>
      <c r="M15" s="4"/>
      <c r="N15" s="4"/>
    </row>
    <row r="16" spans="1:15" s="15" customFormat="1" ht="18" customHeight="1">
      <c r="A16" s="291" t="s">
        <v>15</v>
      </c>
      <c r="B16" s="292"/>
      <c r="C16" s="13"/>
      <c r="D16" s="13"/>
      <c r="E16" s="14"/>
      <c r="F16" s="14"/>
      <c r="G16" s="22"/>
      <c r="H16" s="14">
        <f>SUM(H11:H15)</f>
        <v>100280</v>
      </c>
      <c r="I16" s="14">
        <v>7800</v>
      </c>
      <c r="J16" s="14"/>
      <c r="K16" s="14"/>
      <c r="L16" s="14">
        <f>+H16*I16</f>
        <v>782184000</v>
      </c>
      <c r="M16" s="57">
        <f>SUM(M12:M15)</f>
        <v>2340000000</v>
      </c>
      <c r="N16" s="14">
        <f>+M16-L16</f>
        <v>1557816000</v>
      </c>
      <c r="O16" s="120" t="s">
        <v>599</v>
      </c>
    </row>
    <row r="17" spans="1:15" ht="18" customHeight="1">
      <c r="A17" s="18" t="s">
        <v>13</v>
      </c>
      <c r="B17" s="60" t="s">
        <v>776</v>
      </c>
      <c r="C17" s="108"/>
      <c r="D17" s="60" t="s">
        <v>777</v>
      </c>
      <c r="E17" s="49">
        <v>300000</v>
      </c>
      <c r="F17" s="49">
        <v>7750</v>
      </c>
      <c r="G17" s="61"/>
      <c r="H17" s="49"/>
      <c r="I17" s="49"/>
      <c r="J17" s="49"/>
      <c r="K17" s="49"/>
      <c r="L17" s="49"/>
      <c r="M17" s="49"/>
      <c r="N17" s="102"/>
      <c r="O17" s="50"/>
    </row>
    <row r="18" spans="1:15" ht="18" customHeight="1">
      <c r="A18" s="18"/>
      <c r="B18" s="2" t="s">
        <v>779</v>
      </c>
      <c r="C18" s="2"/>
      <c r="D18" s="2"/>
      <c r="E18" s="4"/>
      <c r="F18" s="4"/>
      <c r="G18" s="40" t="s">
        <v>161</v>
      </c>
      <c r="H18" s="4">
        <v>24790</v>
      </c>
      <c r="I18" s="4">
        <v>7750</v>
      </c>
      <c r="J18" s="4">
        <f>+E17-H18</f>
        <v>275210</v>
      </c>
      <c r="K18" s="4"/>
      <c r="L18" s="4"/>
      <c r="M18" s="4">
        <v>387500000</v>
      </c>
      <c r="N18" s="101" t="s">
        <v>164</v>
      </c>
      <c r="O18" s="50"/>
    </row>
    <row r="19" spans="1:15" ht="18" customHeight="1">
      <c r="A19" s="18"/>
      <c r="B19" s="2"/>
      <c r="C19" s="2"/>
      <c r="D19" s="2"/>
      <c r="E19" s="4"/>
      <c r="F19" s="4"/>
      <c r="G19" s="40"/>
      <c r="H19" s="4">
        <v>25080</v>
      </c>
      <c r="I19" s="4">
        <v>7750</v>
      </c>
      <c r="J19" s="4">
        <f>+J18-H19</f>
        <v>250130</v>
      </c>
      <c r="K19" s="4"/>
      <c r="L19" s="4"/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40" t="s">
        <v>855</v>
      </c>
      <c r="H20" s="4">
        <v>24780</v>
      </c>
      <c r="I20" s="4">
        <v>7750</v>
      </c>
      <c r="J20" s="4">
        <f t="shared" ref="J20:J30" si="4">+J19-H20</f>
        <v>225350</v>
      </c>
      <c r="K20" s="4"/>
      <c r="L20" s="4"/>
      <c r="M20" s="4">
        <v>382695000</v>
      </c>
      <c r="N20" s="101" t="s">
        <v>855</v>
      </c>
      <c r="O20" s="50"/>
    </row>
    <row r="21" spans="1:15" ht="18" customHeight="1">
      <c r="A21" s="18"/>
      <c r="B21" s="2"/>
      <c r="C21" s="2"/>
      <c r="D21" s="2"/>
      <c r="E21" s="4"/>
      <c r="F21" s="4"/>
      <c r="G21" s="40"/>
      <c r="H21" s="4">
        <v>24670</v>
      </c>
      <c r="I21" s="4">
        <v>7750</v>
      </c>
      <c r="J21" s="4">
        <f t="shared" si="4"/>
        <v>200680</v>
      </c>
      <c r="K21" s="4"/>
      <c r="L21" s="4"/>
      <c r="M21" s="4"/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40" t="s">
        <v>856</v>
      </c>
      <c r="H22" s="4">
        <v>24540</v>
      </c>
      <c r="I22" s="4">
        <v>7750</v>
      </c>
      <c r="J22" s="4">
        <f t="shared" si="4"/>
        <v>176140</v>
      </c>
      <c r="K22" s="4"/>
      <c r="L22" s="4"/>
      <c r="M22" s="4">
        <v>374247500</v>
      </c>
      <c r="N22" s="101" t="s">
        <v>856</v>
      </c>
      <c r="O22" s="50"/>
    </row>
    <row r="23" spans="1:15" ht="18" customHeight="1">
      <c r="A23" s="18"/>
      <c r="B23" s="2"/>
      <c r="C23" s="2"/>
      <c r="D23" s="2"/>
      <c r="E23" s="4"/>
      <c r="F23" s="4"/>
      <c r="G23" s="40"/>
      <c r="H23" s="4">
        <v>23730</v>
      </c>
      <c r="I23" s="4">
        <v>7750</v>
      </c>
      <c r="J23" s="4">
        <f t="shared" si="4"/>
        <v>152410</v>
      </c>
      <c r="K23" s="4"/>
      <c r="L23" s="4"/>
      <c r="M23" s="4"/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40" t="s">
        <v>194</v>
      </c>
      <c r="H24" s="4">
        <v>28210</v>
      </c>
      <c r="I24" s="4">
        <v>7750</v>
      </c>
      <c r="J24" s="4">
        <f t="shared" si="4"/>
        <v>124200</v>
      </c>
      <c r="K24" s="4"/>
      <c r="L24" s="4"/>
      <c r="M24" s="4"/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>
        <v>28090</v>
      </c>
      <c r="I25" s="4">
        <v>7750</v>
      </c>
      <c r="J25" s="4">
        <f t="shared" si="4"/>
        <v>96110</v>
      </c>
      <c r="K25" s="4"/>
      <c r="L25" s="4"/>
      <c r="M25" s="4">
        <v>435085000</v>
      </c>
      <c r="N25" s="101" t="s">
        <v>194</v>
      </c>
      <c r="O25" s="50"/>
    </row>
    <row r="26" spans="1:15" ht="18" customHeight="1">
      <c r="A26" s="18"/>
      <c r="B26" s="2"/>
      <c r="C26" s="2"/>
      <c r="D26" s="2"/>
      <c r="E26" s="4"/>
      <c r="F26" s="4"/>
      <c r="G26" s="40" t="s">
        <v>204</v>
      </c>
      <c r="H26" s="4">
        <v>28030</v>
      </c>
      <c r="I26" s="4">
        <v>7750</v>
      </c>
      <c r="J26" s="4">
        <f t="shared" si="4"/>
        <v>68080</v>
      </c>
      <c r="K26" s="4"/>
      <c r="L26" s="4"/>
      <c r="M26" s="4"/>
      <c r="N26" s="4"/>
      <c r="O26" s="50"/>
    </row>
    <row r="27" spans="1:15" ht="18" customHeight="1">
      <c r="A27" s="18"/>
      <c r="B27" s="2"/>
      <c r="C27" s="2"/>
      <c r="D27" s="2"/>
      <c r="E27" s="4"/>
      <c r="F27" s="4"/>
      <c r="G27" s="40"/>
      <c r="H27" s="4">
        <v>28120</v>
      </c>
      <c r="I27" s="4">
        <v>7750</v>
      </c>
      <c r="J27" s="4">
        <f t="shared" si="4"/>
        <v>39960</v>
      </c>
      <c r="K27" s="4"/>
      <c r="L27" s="4"/>
      <c r="M27" s="4">
        <v>435627500</v>
      </c>
      <c r="N27" s="101" t="s">
        <v>204</v>
      </c>
      <c r="O27" s="50"/>
    </row>
    <row r="28" spans="1:15" ht="18" customHeight="1">
      <c r="A28" s="18"/>
      <c r="B28" s="2"/>
      <c r="C28" s="2"/>
      <c r="D28" s="2"/>
      <c r="E28" s="4"/>
      <c r="F28" s="4"/>
      <c r="G28" s="40"/>
      <c r="H28" s="4"/>
      <c r="I28" s="4">
        <v>7750</v>
      </c>
      <c r="J28" s="4">
        <f t="shared" si="4"/>
        <v>39960</v>
      </c>
      <c r="K28" s="4"/>
      <c r="L28" s="4"/>
      <c r="M28" s="4"/>
      <c r="N28" s="4"/>
      <c r="O28" s="50"/>
    </row>
    <row r="29" spans="1:15" ht="18" customHeight="1">
      <c r="A29" s="18"/>
      <c r="B29" s="2"/>
      <c r="C29" s="2"/>
      <c r="D29" s="2"/>
      <c r="E29" s="4"/>
      <c r="F29" s="4"/>
      <c r="G29" s="40"/>
      <c r="H29" s="4"/>
      <c r="I29" s="4">
        <v>7750</v>
      </c>
      <c r="J29" s="4">
        <f t="shared" si="4"/>
        <v>39960</v>
      </c>
      <c r="K29" s="4"/>
      <c r="L29" s="4">
        <f>+I29*H29</f>
        <v>0</v>
      </c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/>
      <c r="I30" s="4">
        <v>7750</v>
      </c>
      <c r="J30" s="4">
        <f t="shared" si="4"/>
        <v>39960</v>
      </c>
      <c r="K30" s="4"/>
      <c r="L30" s="4"/>
      <c r="M30" s="4"/>
      <c r="N30" s="4"/>
    </row>
    <row r="31" spans="1:15" ht="18" customHeight="1">
      <c r="A31" s="55"/>
      <c r="B31" s="56" t="s">
        <v>92</v>
      </c>
      <c r="C31" s="56"/>
      <c r="D31" s="56"/>
      <c r="E31" s="57"/>
      <c r="F31" s="25"/>
      <c r="G31" s="26"/>
      <c r="H31" s="57">
        <f>SUM(H18:H30)</f>
        <v>260040</v>
      </c>
      <c r="I31" s="57">
        <v>7750</v>
      </c>
      <c r="J31" s="57"/>
      <c r="K31" s="57">
        <f t="shared" ref="K31" si="5">SUM(K18:K30)</f>
        <v>0</v>
      </c>
      <c r="L31" s="57">
        <f>+H31*I31</f>
        <v>2015310000</v>
      </c>
      <c r="M31" s="57">
        <f>SUM(M18:M30)</f>
        <v>2015155000</v>
      </c>
      <c r="N31" s="57">
        <f>M31-L31</f>
        <v>-155000</v>
      </c>
      <c r="O31" s="119"/>
    </row>
    <row r="32" spans="1:15" ht="18" customHeight="1">
      <c r="A32" s="18"/>
      <c r="B32" s="2"/>
      <c r="C32" s="2"/>
      <c r="D32" s="2"/>
      <c r="E32" s="49"/>
      <c r="F32" s="49"/>
      <c r="G32" s="61"/>
      <c r="H32" s="49"/>
      <c r="I32" s="4"/>
      <c r="J32" s="4"/>
      <c r="K32" s="4"/>
      <c r="L32" s="4"/>
      <c r="M32" s="4"/>
      <c r="N32" s="4"/>
    </row>
    <row r="33" spans="1:14" ht="18" customHeight="1">
      <c r="A33" s="18"/>
      <c r="B33" s="2"/>
      <c r="C33" s="2"/>
      <c r="D33" s="2"/>
      <c r="E33" s="4"/>
      <c r="F33" s="4"/>
      <c r="G33" s="40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48"/>
      <c r="B35" s="2"/>
      <c r="C35" s="60"/>
      <c r="D35" s="60"/>
      <c r="E35" s="49"/>
      <c r="F35" s="49"/>
      <c r="G35" s="66"/>
      <c r="H35" s="49"/>
      <c r="I35" s="49"/>
      <c r="J35" s="49"/>
      <c r="K35" s="4"/>
      <c r="L35" s="4"/>
      <c r="M35" s="4"/>
      <c r="N35" s="4"/>
    </row>
    <row r="36" spans="1:14" ht="18" customHeight="1">
      <c r="A36" s="148"/>
      <c r="B36" s="2"/>
      <c r="C36" s="2"/>
      <c r="D36" s="2"/>
      <c r="E36" s="4"/>
      <c r="F36" s="4"/>
      <c r="G36" s="40"/>
      <c r="H36" s="4"/>
      <c r="I36" s="4"/>
      <c r="J36" s="4"/>
      <c r="K36" s="4"/>
      <c r="L36" s="4"/>
      <c r="M36" s="4"/>
      <c r="N36" s="4"/>
    </row>
    <row r="37" spans="1:14" ht="18" customHeight="1">
      <c r="A37" s="148"/>
      <c r="B37" s="2"/>
      <c r="C37" s="2"/>
      <c r="D37" s="2"/>
      <c r="E37" s="4"/>
      <c r="F37" s="4"/>
      <c r="G37" s="40"/>
      <c r="H37" s="4"/>
      <c r="I37" s="4"/>
      <c r="J37" s="4"/>
      <c r="K37" s="4"/>
      <c r="L37" s="4"/>
      <c r="M37" s="4"/>
      <c r="N37" s="4"/>
    </row>
    <row r="38" spans="1:14" ht="18" customHeight="1">
      <c r="A38" s="18"/>
      <c r="B38" s="2"/>
      <c r="C38" s="2"/>
      <c r="D38" s="2"/>
      <c r="E38" s="4"/>
      <c r="F38" s="4"/>
      <c r="G38" s="40"/>
      <c r="H38" s="4"/>
      <c r="I38" s="4"/>
      <c r="J38" s="4"/>
      <c r="K38" s="4"/>
      <c r="L38" s="4"/>
      <c r="M38" s="4"/>
      <c r="N38" s="4"/>
    </row>
    <row r="39" spans="1:14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  <c r="L39" s="4"/>
      <c r="M39" s="4"/>
      <c r="N39" s="4"/>
    </row>
    <row r="40" spans="1:14" ht="18" customHeight="1">
      <c r="A40" s="281" t="s">
        <v>0</v>
      </c>
      <c r="B40" s="282"/>
      <c r="C40" s="225"/>
      <c r="D40" s="225"/>
      <c r="E40" s="5">
        <f>SUM(E18:E39)</f>
        <v>0</v>
      </c>
      <c r="F40" s="5"/>
      <c r="G40" s="23"/>
      <c r="H40" s="5">
        <f>SUM(H33:H39)</f>
        <v>0</v>
      </c>
      <c r="I40" s="5"/>
      <c r="J40" s="5"/>
      <c r="K40" s="99"/>
      <c r="L40" s="100">
        <f>H40*I40</f>
        <v>0</v>
      </c>
      <c r="M40" s="14"/>
      <c r="N40" s="100"/>
    </row>
    <row r="41" spans="1:14" s="6" customFormat="1" ht="24.75" customHeight="1">
      <c r="A41" s="16"/>
      <c r="B41" s="1"/>
      <c r="C41" s="1"/>
      <c r="D41" s="1"/>
      <c r="E41" s="3"/>
      <c r="F41" s="3"/>
      <c r="G41" s="19"/>
      <c r="H41" s="3"/>
      <c r="I41" s="3"/>
      <c r="J41" s="3"/>
      <c r="K41" s="3"/>
    </row>
    <row r="42" spans="1:14">
      <c r="F42" s="270" t="s">
        <v>1</v>
      </c>
      <c r="G42" s="270"/>
      <c r="H42" s="270"/>
      <c r="I42" s="270"/>
      <c r="J42" s="1"/>
      <c r="K42" s="8"/>
    </row>
    <row r="45" spans="1:14">
      <c r="F45" s="271"/>
      <c r="G45" s="271"/>
      <c r="H45" s="271"/>
      <c r="I45" s="271"/>
      <c r="J45" s="1"/>
      <c r="K45" s="1"/>
    </row>
  </sheetData>
  <mergeCells count="17">
    <mergeCell ref="F42:I42"/>
    <mergeCell ref="F45:I45"/>
    <mergeCell ref="L4:L5"/>
    <mergeCell ref="M4:M5"/>
    <mergeCell ref="N4:N5"/>
    <mergeCell ref="A10:B10"/>
    <mergeCell ref="A16:B16"/>
    <mergeCell ref="A40:B40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workbookViewId="0">
      <pane ySplit="5" topLeftCell="A11" activePane="bottomLeft" state="frozen"/>
      <selection pane="bottomLeft" activeCell="J23" sqref="J23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782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28" t="s">
        <v>9</v>
      </c>
      <c r="F5" s="228" t="s">
        <v>5</v>
      </c>
      <c r="G5" s="20" t="s">
        <v>14</v>
      </c>
      <c r="H5" s="228" t="s">
        <v>9</v>
      </c>
      <c r="I5" s="228" t="s">
        <v>5</v>
      </c>
      <c r="J5" s="228" t="s">
        <v>9</v>
      </c>
      <c r="K5" s="228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29</v>
      </c>
      <c r="B11" s="60" t="s">
        <v>783</v>
      </c>
      <c r="C11" s="154" t="s">
        <v>785</v>
      </c>
      <c r="D11" s="60" t="s">
        <v>784</v>
      </c>
      <c r="E11" s="49">
        <v>5000</v>
      </c>
      <c r="F11" s="49">
        <v>27800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2"/>
      <c r="C12" s="2"/>
      <c r="D12" s="2"/>
      <c r="E12" s="4"/>
      <c r="F12" s="4"/>
      <c r="G12" s="40" t="s">
        <v>786</v>
      </c>
      <c r="H12" s="4">
        <v>5220</v>
      </c>
      <c r="I12" s="4"/>
      <c r="J12" s="4"/>
      <c r="K12" s="4"/>
      <c r="L12" s="4">
        <f t="shared" ref="L12" si="2">+H12*I12</f>
        <v>0</v>
      </c>
      <c r="M12" s="4">
        <f>300000*7800</f>
        <v>2340000000</v>
      </c>
      <c r="N12" s="101" t="s">
        <v>523</v>
      </c>
    </row>
    <row r="13" spans="1:15" ht="18" customHeight="1">
      <c r="A13" s="18"/>
      <c r="B13" s="2"/>
      <c r="C13" s="2"/>
      <c r="D13" s="2"/>
      <c r="E13" s="4"/>
      <c r="F13" s="4"/>
      <c r="G13" s="40"/>
      <c r="H13" s="4"/>
      <c r="I13" s="4"/>
      <c r="J13" s="4"/>
      <c r="K13" s="4"/>
      <c r="L13" s="4"/>
      <c r="M13" s="4"/>
      <c r="N13" s="101"/>
    </row>
    <row r="14" spans="1:15" s="15" customFormat="1" ht="18" customHeight="1">
      <c r="A14" s="291" t="s">
        <v>15</v>
      </c>
      <c r="B14" s="292"/>
      <c r="C14" s="13"/>
      <c r="D14" s="13"/>
      <c r="E14" s="14"/>
      <c r="F14" s="14"/>
      <c r="G14" s="22"/>
      <c r="H14" s="14">
        <f>SUM(H11:H13)</f>
        <v>5220</v>
      </c>
      <c r="I14" s="14">
        <v>7800</v>
      </c>
      <c r="J14" s="14"/>
      <c r="K14" s="14"/>
      <c r="L14" s="14">
        <f>+H14*I14</f>
        <v>40716000</v>
      </c>
      <c r="M14" s="57">
        <f>SUM(M12:M13)</f>
        <v>2340000000</v>
      </c>
      <c r="N14" s="14">
        <f>+M14-L14</f>
        <v>2299284000</v>
      </c>
      <c r="O14" s="120" t="s">
        <v>599</v>
      </c>
    </row>
    <row r="15" spans="1:15" ht="18" customHeight="1">
      <c r="A15" s="18" t="s">
        <v>29</v>
      </c>
      <c r="B15" s="60" t="s">
        <v>783</v>
      </c>
      <c r="C15" s="60" t="s">
        <v>673</v>
      </c>
      <c r="D15" s="60" t="s">
        <v>784</v>
      </c>
      <c r="E15" s="49">
        <f>15000+15000</f>
        <v>30000</v>
      </c>
      <c r="F15" s="49">
        <v>29300</v>
      </c>
      <c r="G15" s="61"/>
      <c r="H15" s="49"/>
      <c r="I15" s="49"/>
      <c r="J15" s="49"/>
      <c r="K15" s="49"/>
      <c r="L15" s="49"/>
      <c r="M15" s="49"/>
      <c r="N15" s="102"/>
      <c r="O15" s="50"/>
    </row>
    <row r="16" spans="1:15" ht="18" customHeight="1">
      <c r="A16" s="18"/>
      <c r="B16" s="2"/>
      <c r="C16" s="2"/>
      <c r="D16" s="2"/>
      <c r="E16" s="4"/>
      <c r="F16" s="4"/>
      <c r="G16" s="40" t="s">
        <v>140</v>
      </c>
      <c r="H16" s="4">
        <v>4770</v>
      </c>
      <c r="I16" s="4"/>
      <c r="J16" s="4"/>
      <c r="K16" s="4"/>
      <c r="L16" s="4"/>
      <c r="M16" s="4">
        <v>142350000</v>
      </c>
      <c r="N16" s="4"/>
      <c r="O16" s="50"/>
    </row>
    <row r="17" spans="1:15" ht="18" customHeight="1">
      <c r="A17" s="18"/>
      <c r="B17" s="2"/>
      <c r="C17" s="2"/>
      <c r="D17" s="2"/>
      <c r="E17" s="4"/>
      <c r="F17" s="4"/>
      <c r="G17" s="40"/>
      <c r="H17" s="4"/>
      <c r="I17" s="4"/>
      <c r="J17" s="4"/>
      <c r="K17" s="4"/>
      <c r="L17" s="4"/>
      <c r="M17" s="4"/>
      <c r="N17" s="4"/>
      <c r="O17" s="50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/>
      <c r="K18" s="4"/>
      <c r="L18" s="4"/>
      <c r="M18" s="4"/>
      <c r="N18" s="4"/>
      <c r="O18" s="50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/>
      <c r="K19" s="4"/>
      <c r="L19" s="4"/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40"/>
      <c r="H20" s="4"/>
      <c r="I20" s="4"/>
      <c r="J20" s="4"/>
      <c r="K20" s="4"/>
      <c r="L20" s="4"/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40"/>
      <c r="H21" s="4"/>
      <c r="I21" s="4"/>
      <c r="J21" s="4"/>
      <c r="K21" s="4"/>
      <c r="L21" s="4">
        <f>+I21*H21</f>
        <v>0</v>
      </c>
      <c r="M21" s="4">
        <v>138150000</v>
      </c>
      <c r="N21" s="4"/>
    </row>
    <row r="22" spans="1:15" ht="18" customHeight="1">
      <c r="A22" s="18"/>
      <c r="B22" s="2"/>
      <c r="C22" s="2"/>
      <c r="D22" s="2"/>
      <c r="E22" s="4"/>
      <c r="F22" s="4"/>
      <c r="G22" s="40"/>
      <c r="H22" s="4"/>
      <c r="I22" s="4"/>
      <c r="J22" s="4"/>
      <c r="K22" s="4"/>
      <c r="L22" s="4"/>
      <c r="M22" s="4"/>
      <c r="N22" s="4"/>
    </row>
    <row r="23" spans="1:15" ht="18" customHeight="1">
      <c r="A23" s="55"/>
      <c r="B23" s="56" t="s">
        <v>92</v>
      </c>
      <c r="C23" s="56"/>
      <c r="D23" s="56"/>
      <c r="E23" s="57"/>
      <c r="F23" s="25"/>
      <c r="G23" s="26"/>
      <c r="H23" s="57">
        <f>SUM(H16:H22)</f>
        <v>4770</v>
      </c>
      <c r="I23" s="57">
        <v>29300</v>
      </c>
      <c r="J23" s="57"/>
      <c r="K23" s="57">
        <f t="shared" ref="K23" si="3">SUM(K16:K22)</f>
        <v>0</v>
      </c>
      <c r="L23" s="57">
        <f>H23*I23</f>
        <v>139761000</v>
      </c>
      <c r="M23" s="57">
        <f>SUM(M16:M22)</f>
        <v>280500000</v>
      </c>
      <c r="N23" s="57">
        <f>M23-L23</f>
        <v>140739000</v>
      </c>
      <c r="O23" s="119"/>
    </row>
    <row r="24" spans="1:15" ht="18" customHeight="1">
      <c r="A24" s="18"/>
      <c r="B24" s="2"/>
      <c r="C24" s="2"/>
      <c r="D24" s="2"/>
      <c r="E24" s="49"/>
      <c r="F24" s="49"/>
      <c r="G24" s="61"/>
      <c r="H24" s="49"/>
      <c r="I24" s="4"/>
      <c r="J24" s="4"/>
      <c r="K24" s="4"/>
      <c r="L24" s="4"/>
      <c r="M24" s="4"/>
      <c r="N24" s="4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/>
      <c r="N25" s="4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/>
      <c r="N26" s="4"/>
    </row>
    <row r="27" spans="1:15" ht="18" customHeight="1">
      <c r="A27" s="148"/>
      <c r="B27" s="2"/>
      <c r="C27" s="60"/>
      <c r="D27" s="60"/>
      <c r="E27" s="49"/>
      <c r="F27" s="49"/>
      <c r="G27" s="66"/>
      <c r="H27" s="49"/>
      <c r="I27" s="49"/>
      <c r="J27" s="49"/>
      <c r="K27" s="4"/>
      <c r="L27" s="4"/>
      <c r="M27" s="4"/>
      <c r="N27" s="4"/>
    </row>
    <row r="28" spans="1:15" ht="18" customHeight="1">
      <c r="A28" s="148"/>
      <c r="B28" s="2"/>
      <c r="C28" s="2"/>
      <c r="D28" s="2"/>
      <c r="E28" s="4"/>
      <c r="F28" s="4"/>
      <c r="G28" s="40"/>
      <c r="H28" s="4"/>
      <c r="I28" s="4"/>
      <c r="J28" s="4"/>
      <c r="K28" s="4"/>
      <c r="L28" s="4"/>
      <c r="M28" s="4"/>
      <c r="N28" s="4"/>
    </row>
    <row r="29" spans="1:15" ht="18" customHeight="1">
      <c r="A29" s="148"/>
      <c r="B29" s="2"/>
      <c r="C29" s="2"/>
      <c r="D29" s="2"/>
      <c r="E29" s="4"/>
      <c r="F29" s="4"/>
      <c r="G29" s="40"/>
      <c r="H29" s="4"/>
      <c r="I29" s="4"/>
      <c r="J29" s="4"/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/>
      <c r="I30" s="4"/>
      <c r="J30" s="4"/>
      <c r="K30" s="4"/>
      <c r="L30" s="4"/>
      <c r="M30" s="4"/>
      <c r="N30" s="4"/>
    </row>
    <row r="31" spans="1:15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  <c r="L31" s="4"/>
      <c r="M31" s="4"/>
      <c r="N31" s="4"/>
    </row>
    <row r="32" spans="1:15" ht="18" customHeight="1">
      <c r="A32" s="281" t="s">
        <v>0</v>
      </c>
      <c r="B32" s="282"/>
      <c r="C32" s="227"/>
      <c r="D32" s="227"/>
      <c r="E32" s="5">
        <f>SUM(E16:E31)</f>
        <v>0</v>
      </c>
      <c r="F32" s="5"/>
      <c r="G32" s="23"/>
      <c r="H32" s="5">
        <f>SUM(H25:H31)</f>
        <v>0</v>
      </c>
      <c r="I32" s="5"/>
      <c r="J32" s="5"/>
      <c r="K32" s="99"/>
      <c r="L32" s="100">
        <f>H32*I32</f>
        <v>0</v>
      </c>
      <c r="M32" s="14"/>
      <c r="N32" s="100"/>
    </row>
    <row r="33" spans="1:11" s="6" customFormat="1" ht="24.75" customHeight="1">
      <c r="A33" s="16"/>
      <c r="B33" s="1"/>
      <c r="C33" s="1"/>
      <c r="D33" s="1"/>
      <c r="E33" s="3"/>
      <c r="F33" s="3"/>
      <c r="G33" s="19"/>
      <c r="H33" s="3"/>
      <c r="I33" s="3"/>
      <c r="J33" s="3"/>
      <c r="K33" s="3"/>
    </row>
    <row r="34" spans="1:11">
      <c r="F34" s="270" t="s">
        <v>1</v>
      </c>
      <c r="G34" s="270"/>
      <c r="H34" s="270"/>
      <c r="I34" s="270"/>
      <c r="J34" s="1"/>
      <c r="K34" s="8"/>
    </row>
    <row r="37" spans="1:11">
      <c r="F37" s="271"/>
      <c r="G37" s="271"/>
      <c r="H37" s="271"/>
      <c r="I37" s="271"/>
      <c r="J37" s="1"/>
      <c r="K37" s="1"/>
    </row>
  </sheetData>
  <mergeCells count="17">
    <mergeCell ref="F34:I34"/>
    <mergeCell ref="F37:I37"/>
    <mergeCell ref="L4:L5"/>
    <mergeCell ref="M4:M5"/>
    <mergeCell ref="N4:N5"/>
    <mergeCell ref="A10:B10"/>
    <mergeCell ref="A14:B14"/>
    <mergeCell ref="A32:B32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"/>
  <sheetViews>
    <sheetView workbookViewId="0">
      <pane ySplit="5" topLeftCell="A11" activePane="bottomLeft" state="frozen"/>
      <selection pane="bottomLeft" activeCell="G21" sqref="G21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864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55" t="s">
        <v>9</v>
      </c>
      <c r="F5" s="255" t="s">
        <v>5</v>
      </c>
      <c r="G5" s="20" t="s">
        <v>14</v>
      </c>
      <c r="H5" s="255" t="s">
        <v>9</v>
      </c>
      <c r="I5" s="255" t="s">
        <v>5</v>
      </c>
      <c r="J5" s="255" t="s">
        <v>9</v>
      </c>
      <c r="K5" s="255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29</v>
      </c>
      <c r="B11" s="60" t="s">
        <v>865</v>
      </c>
      <c r="C11" s="154"/>
      <c r="D11" s="60" t="s">
        <v>866</v>
      </c>
      <c r="E11" s="49">
        <v>100000</v>
      </c>
      <c r="F11" s="49">
        <v>7150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60"/>
      <c r="C12" s="154"/>
      <c r="D12" s="60"/>
      <c r="E12" s="49"/>
      <c r="F12" s="49"/>
      <c r="G12" s="40" t="s">
        <v>856</v>
      </c>
      <c r="H12" s="4">
        <v>28250</v>
      </c>
      <c r="I12" s="4"/>
      <c r="J12" s="4"/>
      <c r="K12" s="4"/>
      <c r="L12" s="4"/>
      <c r="M12" s="49"/>
      <c r="N12" s="4"/>
    </row>
    <row r="13" spans="1:15" ht="18" customHeight="1">
      <c r="A13" s="18"/>
      <c r="B13" s="60"/>
      <c r="C13" s="154"/>
      <c r="D13" s="60"/>
      <c r="E13" s="49"/>
      <c r="F13" s="49"/>
      <c r="G13" s="40" t="s">
        <v>168</v>
      </c>
      <c r="H13" s="4">
        <v>27680</v>
      </c>
      <c r="I13" s="4"/>
      <c r="J13" s="4"/>
      <c r="K13" s="4"/>
      <c r="L13" s="4"/>
      <c r="M13" s="49"/>
      <c r="N13" s="4"/>
    </row>
    <row r="14" spans="1:15" ht="18" customHeight="1">
      <c r="A14" s="18"/>
      <c r="B14" s="2"/>
      <c r="C14" s="2"/>
      <c r="D14" s="2"/>
      <c r="E14" s="4"/>
      <c r="F14" s="4"/>
      <c r="G14" s="40" t="s">
        <v>867</v>
      </c>
      <c r="H14" s="4">
        <v>27190</v>
      </c>
      <c r="I14" s="4"/>
      <c r="J14" s="4"/>
      <c r="K14" s="4"/>
      <c r="L14" s="4">
        <f t="shared" ref="L14" si="2">+H14*I14</f>
        <v>0</v>
      </c>
      <c r="M14" s="4">
        <f>300000*7800</f>
        <v>2340000000</v>
      </c>
      <c r="N14" s="101" t="s">
        <v>523</v>
      </c>
    </row>
    <row r="15" spans="1:15" ht="18" customHeight="1">
      <c r="A15" s="18"/>
      <c r="B15" s="2"/>
      <c r="C15" s="2"/>
      <c r="D15" s="2"/>
      <c r="E15" s="4"/>
      <c r="F15" s="4"/>
      <c r="G15" s="40" t="s">
        <v>195</v>
      </c>
      <c r="H15" s="4">
        <v>27150</v>
      </c>
      <c r="I15" s="4"/>
      <c r="J15" s="4"/>
      <c r="K15" s="4"/>
      <c r="L15" s="4"/>
      <c r="M15" s="4"/>
      <c r="N15" s="101"/>
    </row>
    <row r="16" spans="1:15" s="15" customFormat="1" ht="18" customHeight="1">
      <c r="A16" s="291" t="s">
        <v>15</v>
      </c>
      <c r="B16" s="292"/>
      <c r="C16" s="13"/>
      <c r="D16" s="13"/>
      <c r="E16" s="14"/>
      <c r="F16" s="14"/>
      <c r="G16" s="22"/>
      <c r="H16" s="14">
        <f>SUM(H11:H15)</f>
        <v>110270</v>
      </c>
      <c r="I16" s="14">
        <v>7150</v>
      </c>
      <c r="J16" s="14"/>
      <c r="K16" s="14"/>
      <c r="L16" s="14">
        <f>+H16*I16</f>
        <v>788430500</v>
      </c>
      <c r="M16" s="57">
        <f>SUM(M14:M15)</f>
        <v>2340000000</v>
      </c>
      <c r="N16" s="14">
        <f>+M16-L16</f>
        <v>1551569500</v>
      </c>
      <c r="O16" s="120" t="s">
        <v>599</v>
      </c>
    </row>
    <row r="17" spans="1:15" ht="18" customHeight="1">
      <c r="A17" s="18" t="s">
        <v>29</v>
      </c>
      <c r="B17" s="60" t="s">
        <v>865</v>
      </c>
      <c r="C17" s="60"/>
      <c r="D17" s="60" t="s">
        <v>70</v>
      </c>
      <c r="E17" s="49">
        <v>50000</v>
      </c>
      <c r="F17" s="49">
        <v>6900</v>
      </c>
      <c r="G17" s="61"/>
      <c r="H17" s="49"/>
      <c r="I17" s="49"/>
      <c r="J17" s="49"/>
      <c r="K17" s="49"/>
      <c r="L17" s="49"/>
      <c r="M17" s="49"/>
      <c r="N17" s="102"/>
      <c r="O17" s="50"/>
    </row>
    <row r="18" spans="1:15" ht="18" customHeight="1">
      <c r="A18" s="18"/>
      <c r="B18" s="2"/>
      <c r="C18" s="2"/>
      <c r="D18" s="2"/>
      <c r="E18" s="4"/>
      <c r="F18" s="4"/>
      <c r="G18" s="40" t="s">
        <v>204</v>
      </c>
      <c r="H18" s="4">
        <v>27290</v>
      </c>
      <c r="I18" s="4"/>
      <c r="J18" s="4"/>
      <c r="K18" s="4"/>
      <c r="L18" s="4"/>
      <c r="M18" s="4">
        <v>142350000</v>
      </c>
      <c r="N18" s="4"/>
      <c r="O18" s="50"/>
    </row>
    <row r="19" spans="1:15" ht="18" customHeight="1">
      <c r="A19" s="18"/>
      <c r="B19" s="2"/>
      <c r="C19" s="2"/>
      <c r="D19" s="2"/>
      <c r="E19" s="4"/>
      <c r="F19" s="4"/>
      <c r="G19" s="40" t="s">
        <v>206</v>
      </c>
      <c r="H19" s="4">
        <v>27010</v>
      </c>
      <c r="I19" s="4"/>
      <c r="J19" s="4"/>
      <c r="K19" s="4"/>
      <c r="L19" s="4"/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40"/>
      <c r="H20" s="4"/>
      <c r="I20" s="4"/>
      <c r="J20" s="4"/>
      <c r="K20" s="4"/>
      <c r="L20" s="4"/>
      <c r="M20" s="4"/>
      <c r="N20" s="4"/>
      <c r="O20" s="50"/>
    </row>
    <row r="21" spans="1:15" ht="18" customHeight="1">
      <c r="A21" s="55" t="s">
        <v>29</v>
      </c>
      <c r="B21" s="56" t="s">
        <v>865</v>
      </c>
      <c r="C21" s="56"/>
      <c r="D21" s="56"/>
      <c r="E21" s="57">
        <v>30000</v>
      </c>
      <c r="F21" s="57">
        <v>6600</v>
      </c>
      <c r="G21" s="118"/>
      <c r="H21" s="57"/>
      <c r="I21" s="57"/>
      <c r="J21" s="57"/>
      <c r="K21" s="57"/>
      <c r="L21" s="25"/>
      <c r="M21" s="25"/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40"/>
      <c r="H22" s="101" t="s">
        <v>195</v>
      </c>
      <c r="I22" s="4">
        <v>23740</v>
      </c>
      <c r="J22" s="4"/>
      <c r="K22" s="4"/>
      <c r="L22" s="4"/>
      <c r="M22" s="4"/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40"/>
      <c r="H23" s="4"/>
      <c r="I23" s="4"/>
      <c r="J23" s="4"/>
      <c r="K23" s="4"/>
      <c r="L23" s="4"/>
      <c r="M23" s="4"/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40"/>
      <c r="H24" s="4"/>
      <c r="I24" s="4"/>
      <c r="J24" s="4"/>
      <c r="K24" s="4"/>
      <c r="L24" s="4"/>
      <c r="M24" s="4"/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>
        <f>+I25*H25</f>
        <v>0</v>
      </c>
      <c r="M25" s="4">
        <v>138150000</v>
      </c>
      <c r="N25" s="4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/>
      <c r="N26" s="4"/>
    </row>
    <row r="27" spans="1:15" ht="18" customHeight="1">
      <c r="A27" s="55"/>
      <c r="B27" s="56" t="s">
        <v>92</v>
      </c>
      <c r="C27" s="56"/>
      <c r="D27" s="56"/>
      <c r="E27" s="57"/>
      <c r="F27" s="25"/>
      <c r="G27" s="26"/>
      <c r="H27" s="57">
        <f>SUM(H18:H26)</f>
        <v>54300</v>
      </c>
      <c r="I27" s="57">
        <v>6900</v>
      </c>
      <c r="J27" s="57"/>
      <c r="K27" s="57">
        <f t="shared" ref="K27" si="3">SUM(K18:K26)</f>
        <v>0</v>
      </c>
      <c r="L27" s="57">
        <f>H27*I27</f>
        <v>374670000</v>
      </c>
      <c r="M27" s="57">
        <f>SUM(M18:M26)</f>
        <v>280500000</v>
      </c>
      <c r="N27" s="57">
        <f>M27-L27</f>
        <v>-94170000</v>
      </c>
      <c r="O27" s="119"/>
    </row>
    <row r="28" spans="1:15" ht="18" customHeight="1">
      <c r="A28" s="18"/>
      <c r="B28" s="2"/>
      <c r="C28" s="2"/>
      <c r="D28" s="2"/>
      <c r="E28" s="49"/>
      <c r="F28" s="49"/>
      <c r="G28" s="61"/>
      <c r="H28" s="49"/>
      <c r="I28" s="4"/>
      <c r="J28" s="4"/>
      <c r="K28" s="4"/>
      <c r="L28" s="4"/>
      <c r="M28" s="4"/>
      <c r="N28" s="4"/>
    </row>
    <row r="29" spans="1:15" ht="18" customHeight="1">
      <c r="A29" s="18"/>
      <c r="B29" s="2"/>
      <c r="C29" s="2"/>
      <c r="D29" s="2"/>
      <c r="E29" s="4"/>
      <c r="F29" s="4"/>
      <c r="G29" s="40"/>
      <c r="H29" s="4"/>
      <c r="I29" s="4"/>
      <c r="J29" s="4"/>
      <c r="K29" s="4"/>
      <c r="L29" s="4"/>
      <c r="M29" s="4"/>
      <c r="N29" s="4"/>
    </row>
    <row r="30" spans="1:15" ht="18" customHeight="1">
      <c r="A30" s="18"/>
      <c r="B30" s="2"/>
      <c r="C30" s="2"/>
      <c r="D30" s="2"/>
      <c r="E30" s="4"/>
      <c r="F30" s="4"/>
      <c r="G30" s="40"/>
      <c r="H30" s="4"/>
      <c r="I30" s="4"/>
      <c r="J30" s="4"/>
      <c r="K30" s="4"/>
      <c r="L30" s="4"/>
      <c r="M30" s="4"/>
      <c r="N30" s="4"/>
    </row>
    <row r="31" spans="1:15" ht="18" customHeight="1">
      <c r="A31" s="148"/>
      <c r="B31" s="2"/>
      <c r="C31" s="60"/>
      <c r="D31" s="60"/>
      <c r="E31" s="49"/>
      <c r="F31" s="49"/>
      <c r="G31" s="66"/>
      <c r="H31" s="49"/>
      <c r="I31" s="49"/>
      <c r="J31" s="49"/>
      <c r="K31" s="4"/>
      <c r="L31" s="4"/>
      <c r="M31" s="4"/>
      <c r="N31" s="4"/>
    </row>
    <row r="32" spans="1:15" ht="18" customHeight="1">
      <c r="A32" s="14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48"/>
      <c r="B33" s="2"/>
      <c r="C33" s="2"/>
      <c r="D33" s="2"/>
      <c r="E33" s="4"/>
      <c r="F33" s="4"/>
      <c r="G33" s="40"/>
      <c r="H33" s="4"/>
      <c r="I33" s="4"/>
      <c r="J33" s="4"/>
      <c r="K33" s="4"/>
      <c r="L33" s="4"/>
      <c r="M33" s="4"/>
      <c r="N33" s="4"/>
    </row>
    <row r="34" spans="1:14" ht="18" customHeight="1">
      <c r="A34" s="1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  <c r="L35" s="4"/>
      <c r="M35" s="4"/>
      <c r="N35" s="4"/>
    </row>
    <row r="36" spans="1:14" ht="18" customHeight="1">
      <c r="A36" s="281" t="s">
        <v>0</v>
      </c>
      <c r="B36" s="282"/>
      <c r="C36" s="256"/>
      <c r="D36" s="256"/>
      <c r="E36" s="5">
        <f>SUM(E18:E35)</f>
        <v>30000</v>
      </c>
      <c r="F36" s="5"/>
      <c r="G36" s="23"/>
      <c r="H36" s="5">
        <f>SUM(H29:H35)</f>
        <v>0</v>
      </c>
      <c r="I36" s="5"/>
      <c r="J36" s="5"/>
      <c r="K36" s="99"/>
      <c r="L36" s="100">
        <f>H36*I36</f>
        <v>0</v>
      </c>
      <c r="M36" s="14"/>
      <c r="N36" s="100"/>
    </row>
    <row r="37" spans="1:14" s="6" customFormat="1" ht="24.75" customHeight="1">
      <c r="A37" s="16"/>
      <c r="B37" s="1"/>
      <c r="C37" s="1"/>
      <c r="D37" s="1"/>
      <c r="E37" s="3"/>
      <c r="F37" s="3"/>
      <c r="G37" s="19"/>
      <c r="H37" s="3"/>
      <c r="I37" s="3"/>
      <c r="J37" s="3"/>
      <c r="K37" s="3"/>
    </row>
    <row r="38" spans="1:14">
      <c r="F38" s="270" t="s">
        <v>1</v>
      </c>
      <c r="G38" s="270"/>
      <c r="H38" s="270"/>
      <c r="I38" s="270"/>
      <c r="J38" s="1"/>
      <c r="K38" s="8"/>
    </row>
    <row r="41" spans="1:14">
      <c r="F41" s="271"/>
      <c r="G41" s="271"/>
      <c r="H41" s="271"/>
      <c r="I41" s="271"/>
      <c r="J41" s="1"/>
      <c r="K41" s="1"/>
    </row>
  </sheetData>
  <mergeCells count="17">
    <mergeCell ref="F38:I38"/>
    <mergeCell ref="F41:I41"/>
    <mergeCell ref="L4:L5"/>
    <mergeCell ref="M4:M5"/>
    <mergeCell ref="N4:N5"/>
    <mergeCell ref="A10:B10"/>
    <mergeCell ref="A16:B16"/>
    <mergeCell ref="A36:B36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3"/>
  <sheetViews>
    <sheetView workbookViewId="0">
      <pane ySplit="5" topLeftCell="A11" activePane="bottomLeft" state="frozen"/>
      <selection pane="bottomLeft" activeCell="H13" sqref="H13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4" ht="34.5" customHeight="1">
      <c r="A1" s="274" t="s">
        <v>879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4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4" ht="8.25" customHeight="1"/>
    <row r="4" spans="1:14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4" s="11" customFormat="1" ht="15" customHeight="1">
      <c r="A5" s="277"/>
      <c r="B5" s="277"/>
      <c r="C5" s="277"/>
      <c r="D5" s="277"/>
      <c r="E5" s="268" t="s">
        <v>9</v>
      </c>
      <c r="F5" s="268" t="s">
        <v>5</v>
      </c>
      <c r="G5" s="20" t="s">
        <v>14</v>
      </c>
      <c r="H5" s="268" t="s">
        <v>9</v>
      </c>
      <c r="I5" s="268" t="s">
        <v>5</v>
      </c>
      <c r="J5" s="268" t="s">
        <v>9</v>
      </c>
      <c r="K5" s="268" t="s">
        <v>5</v>
      </c>
      <c r="L5" s="277"/>
      <c r="M5" s="277"/>
      <c r="N5" s="277"/>
    </row>
    <row r="6" spans="1:14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4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4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4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4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4" ht="18" customHeight="1">
      <c r="A11" s="18" t="s">
        <v>29</v>
      </c>
      <c r="B11" s="60" t="s">
        <v>880</v>
      </c>
      <c r="C11" s="154"/>
      <c r="D11" s="60" t="s">
        <v>28</v>
      </c>
      <c r="E11" s="49">
        <v>200000</v>
      </c>
      <c r="F11" s="49">
        <v>11900</v>
      </c>
      <c r="G11" s="40"/>
      <c r="H11" s="4"/>
      <c r="I11" s="4"/>
      <c r="J11" s="4"/>
      <c r="K11" s="4"/>
      <c r="L11" s="4"/>
      <c r="M11" s="49"/>
      <c r="N11" s="4"/>
    </row>
    <row r="12" spans="1:14" ht="18" customHeight="1">
      <c r="A12" s="18"/>
      <c r="B12" s="60" t="s">
        <v>881</v>
      </c>
      <c r="C12" s="154"/>
      <c r="D12" s="60"/>
      <c r="E12" s="49"/>
      <c r="F12" s="49"/>
      <c r="G12" s="40" t="s">
        <v>245</v>
      </c>
      <c r="H12" s="4">
        <v>31560</v>
      </c>
      <c r="I12" s="4"/>
      <c r="J12" s="4"/>
      <c r="K12" s="4"/>
      <c r="L12" s="4"/>
      <c r="M12" s="49"/>
      <c r="N12" s="4"/>
    </row>
    <row r="13" spans="1:14" ht="18" customHeight="1">
      <c r="A13" s="18"/>
      <c r="B13" s="60" t="s">
        <v>882</v>
      </c>
      <c r="C13" s="154"/>
      <c r="D13" s="60"/>
      <c r="E13" s="49"/>
      <c r="F13" s="49"/>
      <c r="G13" s="40"/>
      <c r="H13" s="4"/>
      <c r="I13" s="4"/>
      <c r="J13" s="4"/>
      <c r="K13" s="4"/>
      <c r="L13" s="4"/>
      <c r="M13" s="49"/>
      <c r="N13" s="4"/>
    </row>
    <row r="14" spans="1:14" ht="18" customHeight="1">
      <c r="A14" s="18"/>
      <c r="B14" s="60"/>
      <c r="C14" s="154"/>
      <c r="D14" s="60"/>
      <c r="E14" s="49"/>
      <c r="F14" s="49"/>
      <c r="G14" s="40"/>
      <c r="H14" s="4"/>
      <c r="I14" s="4"/>
      <c r="J14" s="4"/>
      <c r="K14" s="4"/>
      <c r="L14" s="4"/>
      <c r="M14" s="49"/>
      <c r="N14" s="4"/>
    </row>
    <row r="15" spans="1:14" ht="18" customHeight="1">
      <c r="A15" s="18"/>
      <c r="B15" s="60"/>
      <c r="C15" s="154"/>
      <c r="D15" s="60"/>
      <c r="E15" s="49"/>
      <c r="F15" s="49"/>
      <c r="G15" s="40"/>
      <c r="H15" s="4"/>
      <c r="I15" s="4"/>
      <c r="J15" s="4"/>
      <c r="K15" s="4"/>
      <c r="L15" s="4"/>
      <c r="M15" s="49"/>
      <c r="N15" s="4"/>
    </row>
    <row r="16" spans="1:14" ht="18" customHeight="1">
      <c r="A16" s="18"/>
      <c r="B16" s="60"/>
      <c r="C16" s="154"/>
      <c r="D16" s="60"/>
      <c r="E16" s="49"/>
      <c r="F16" s="49"/>
      <c r="G16" s="40"/>
      <c r="H16" s="4"/>
      <c r="I16" s="4"/>
      <c r="J16" s="4"/>
      <c r="K16" s="4"/>
      <c r="L16" s="4"/>
      <c r="M16" s="49"/>
      <c r="N16" s="4"/>
    </row>
    <row r="17" spans="1:15" ht="18" customHeight="1">
      <c r="A17" s="18"/>
      <c r="B17" s="60"/>
      <c r="C17" s="154"/>
      <c r="D17" s="60"/>
      <c r="E17" s="49"/>
      <c r="F17" s="49"/>
      <c r="G17" s="40"/>
      <c r="H17" s="4"/>
      <c r="I17" s="4"/>
      <c r="J17" s="4"/>
      <c r="K17" s="4"/>
      <c r="L17" s="4"/>
      <c r="M17" s="49"/>
      <c r="N17" s="4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/>
      <c r="K18" s="4"/>
      <c r="L18" s="4">
        <f t="shared" ref="L18" si="2">+H18*I18</f>
        <v>0</v>
      </c>
      <c r="M18" s="4">
        <f>300000*7800</f>
        <v>2340000000</v>
      </c>
      <c r="N18" s="101" t="s">
        <v>523</v>
      </c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/>
      <c r="K19" s="4"/>
      <c r="L19" s="4"/>
      <c r="M19" s="4"/>
      <c r="N19" s="101"/>
    </row>
    <row r="20" spans="1:15" s="15" customFormat="1" ht="18" customHeight="1">
      <c r="A20" s="291" t="s">
        <v>15</v>
      </c>
      <c r="B20" s="292"/>
      <c r="C20" s="13"/>
      <c r="D20" s="13"/>
      <c r="E20" s="14"/>
      <c r="F20" s="14"/>
      <c r="G20" s="22"/>
      <c r="H20" s="14">
        <f>SUM(H11:H19)</f>
        <v>31560</v>
      </c>
      <c r="I20" s="14"/>
      <c r="J20" s="14"/>
      <c r="K20" s="14"/>
      <c r="L20" s="14">
        <f>+H20*I20</f>
        <v>0</v>
      </c>
      <c r="M20" s="57">
        <f>SUM(M18:M19)</f>
        <v>2340000000</v>
      </c>
      <c r="N20" s="14">
        <f>+M20-L20</f>
        <v>2340000000</v>
      </c>
      <c r="O20" s="120" t="s">
        <v>599</v>
      </c>
    </row>
    <row r="21" spans="1:15" ht="18" customHeight="1">
      <c r="A21" s="18"/>
      <c r="B21" s="60"/>
      <c r="C21" s="60"/>
      <c r="D21" s="60"/>
      <c r="E21" s="49"/>
      <c r="F21" s="49"/>
      <c r="G21" s="61"/>
      <c r="H21" s="49"/>
      <c r="I21" s="49"/>
      <c r="J21" s="49"/>
      <c r="K21" s="49"/>
      <c r="L21" s="49"/>
      <c r="M21" s="49"/>
      <c r="N21" s="102"/>
      <c r="O21" s="50"/>
    </row>
    <row r="22" spans="1:15" ht="18" customHeight="1">
      <c r="A22" s="18"/>
      <c r="B22" s="2"/>
      <c r="C22" s="2"/>
      <c r="D22" s="2"/>
      <c r="E22" s="4"/>
      <c r="F22" s="4"/>
      <c r="G22" s="40"/>
      <c r="H22" s="4"/>
      <c r="I22" s="4"/>
      <c r="J22" s="4"/>
      <c r="K22" s="4"/>
      <c r="L22" s="4"/>
      <c r="M22" s="4">
        <v>142350000</v>
      </c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40"/>
      <c r="H23" s="4"/>
      <c r="I23" s="4"/>
      <c r="J23" s="4"/>
      <c r="K23" s="4"/>
      <c r="L23" s="4"/>
      <c r="M23" s="4"/>
      <c r="N23" s="4"/>
      <c r="O23" s="50"/>
    </row>
    <row r="24" spans="1:15" ht="18" customHeight="1">
      <c r="A24" s="18"/>
      <c r="B24" s="2"/>
      <c r="C24" s="2"/>
      <c r="D24" s="2"/>
      <c r="E24" s="4"/>
      <c r="F24" s="4"/>
      <c r="G24" s="40"/>
      <c r="H24" s="4"/>
      <c r="I24" s="4"/>
      <c r="J24" s="4"/>
      <c r="K24" s="4"/>
      <c r="L24" s="4"/>
      <c r="M24" s="4"/>
      <c r="N24" s="4"/>
      <c r="O24" s="50"/>
    </row>
    <row r="25" spans="1:15" ht="18" customHeight="1">
      <c r="A25" s="18"/>
      <c r="B25" s="2"/>
      <c r="C25" s="2"/>
      <c r="D25" s="2"/>
      <c r="E25" s="4"/>
      <c r="F25" s="4"/>
      <c r="G25" s="40"/>
      <c r="H25" s="4"/>
      <c r="I25" s="4"/>
      <c r="J25" s="4"/>
      <c r="K25" s="4"/>
      <c r="L25" s="4"/>
      <c r="M25" s="4"/>
      <c r="N25" s="4"/>
      <c r="O25" s="50"/>
    </row>
    <row r="26" spans="1:15" ht="18" customHeight="1">
      <c r="A26" s="18"/>
      <c r="B26" s="2"/>
      <c r="C26" s="2"/>
      <c r="D26" s="2"/>
      <c r="E26" s="4"/>
      <c r="F26" s="4"/>
      <c r="G26" s="40"/>
      <c r="H26" s="4"/>
      <c r="I26" s="4"/>
      <c r="J26" s="4"/>
      <c r="K26" s="4"/>
      <c r="L26" s="4"/>
      <c r="M26" s="4"/>
      <c r="N26" s="4"/>
      <c r="O26" s="50"/>
    </row>
    <row r="27" spans="1:15" ht="18" customHeight="1">
      <c r="A27" s="18"/>
      <c r="B27" s="2"/>
      <c r="C27" s="2"/>
      <c r="D27" s="2"/>
      <c r="E27" s="4"/>
      <c r="F27" s="4"/>
      <c r="G27" s="40"/>
      <c r="H27" s="4"/>
      <c r="I27" s="4"/>
      <c r="J27" s="4"/>
      <c r="K27" s="4"/>
      <c r="L27" s="4">
        <f>+I27*H27</f>
        <v>0</v>
      </c>
      <c r="M27" s="4">
        <v>138150000</v>
      </c>
      <c r="N27" s="4"/>
    </row>
    <row r="28" spans="1:15" ht="18" customHeight="1">
      <c r="A28" s="18"/>
      <c r="B28" s="2"/>
      <c r="C28" s="2"/>
      <c r="D28" s="2"/>
      <c r="E28" s="4"/>
      <c r="F28" s="4"/>
      <c r="G28" s="40"/>
      <c r="H28" s="4"/>
      <c r="I28" s="4"/>
      <c r="J28" s="4"/>
      <c r="K28" s="4"/>
      <c r="L28" s="4"/>
      <c r="M28" s="4"/>
      <c r="N28" s="4"/>
    </row>
    <row r="29" spans="1:15" ht="18" customHeight="1">
      <c r="A29" s="55"/>
      <c r="B29" s="56" t="s">
        <v>92</v>
      </c>
      <c r="C29" s="56"/>
      <c r="D29" s="56"/>
      <c r="E29" s="57"/>
      <c r="F29" s="25"/>
      <c r="G29" s="26"/>
      <c r="H29" s="57">
        <f>SUM(H22:H28)</f>
        <v>0</v>
      </c>
      <c r="I29" s="57"/>
      <c r="J29" s="57"/>
      <c r="K29" s="57">
        <f t="shared" ref="K29" si="3">SUM(K22:K28)</f>
        <v>0</v>
      </c>
      <c r="L29" s="57">
        <f>H29*I29</f>
        <v>0</v>
      </c>
      <c r="M29" s="57">
        <f>SUM(M22:M28)</f>
        <v>280500000</v>
      </c>
      <c r="N29" s="57">
        <f>M29-L29</f>
        <v>280500000</v>
      </c>
      <c r="O29" s="119"/>
    </row>
    <row r="30" spans="1:15" ht="18" customHeight="1">
      <c r="A30" s="18"/>
      <c r="B30" s="2"/>
      <c r="C30" s="2"/>
      <c r="D30" s="2"/>
      <c r="E30" s="49"/>
      <c r="F30" s="49"/>
      <c r="G30" s="61"/>
      <c r="H30" s="49"/>
      <c r="I30" s="4"/>
      <c r="J30" s="4"/>
      <c r="K30" s="4"/>
      <c r="L30" s="4"/>
      <c r="M30" s="4"/>
      <c r="N30" s="4"/>
    </row>
    <row r="31" spans="1:15" ht="18" customHeight="1">
      <c r="A31" s="18"/>
      <c r="B31" s="2"/>
      <c r="C31" s="2"/>
      <c r="D31" s="2"/>
      <c r="E31" s="4"/>
      <c r="F31" s="4"/>
      <c r="G31" s="40"/>
      <c r="H31" s="4"/>
      <c r="I31" s="4"/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48"/>
      <c r="B33" s="2"/>
      <c r="C33" s="60"/>
      <c r="D33" s="60"/>
      <c r="E33" s="49"/>
      <c r="F33" s="49"/>
      <c r="G33" s="66"/>
      <c r="H33" s="49"/>
      <c r="I33" s="49"/>
      <c r="J33" s="49"/>
      <c r="K33" s="4"/>
      <c r="L33" s="4"/>
      <c r="M33" s="4"/>
      <c r="N33" s="4"/>
    </row>
    <row r="34" spans="1:14" ht="18" customHeight="1">
      <c r="A34" s="148"/>
      <c r="B34" s="2"/>
      <c r="C34" s="2"/>
      <c r="D34" s="2"/>
      <c r="E34" s="4"/>
      <c r="F34" s="4"/>
      <c r="G34" s="40"/>
      <c r="H34" s="4"/>
      <c r="I34" s="4"/>
      <c r="J34" s="4"/>
      <c r="K34" s="4"/>
      <c r="L34" s="4"/>
      <c r="M34" s="4"/>
      <c r="N34" s="4"/>
    </row>
    <row r="35" spans="1:14" ht="18" customHeight="1">
      <c r="A35" s="148"/>
      <c r="B35" s="2"/>
      <c r="C35" s="2"/>
      <c r="D35" s="2"/>
      <c r="E35" s="4"/>
      <c r="F35" s="4"/>
      <c r="G35" s="40"/>
      <c r="H35" s="4"/>
      <c r="I35" s="4"/>
      <c r="J35" s="4"/>
      <c r="K35" s="4"/>
      <c r="L35" s="4"/>
      <c r="M35" s="4"/>
      <c r="N35" s="4"/>
    </row>
    <row r="36" spans="1:14" ht="18" customHeight="1">
      <c r="A36" s="18"/>
      <c r="B36" s="2"/>
      <c r="C36" s="2"/>
      <c r="D36" s="2"/>
      <c r="E36" s="4"/>
      <c r="F36" s="4"/>
      <c r="G36" s="40"/>
      <c r="H36" s="4"/>
      <c r="I36" s="4"/>
      <c r="J36" s="4"/>
      <c r="K36" s="4"/>
      <c r="L36" s="4"/>
      <c r="M36" s="4"/>
      <c r="N36" s="4"/>
    </row>
    <row r="37" spans="1:14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  <c r="L37" s="4"/>
      <c r="M37" s="4"/>
      <c r="N37" s="4"/>
    </row>
    <row r="38" spans="1:14" ht="18" customHeight="1">
      <c r="A38" s="281" t="s">
        <v>0</v>
      </c>
      <c r="B38" s="282"/>
      <c r="C38" s="269"/>
      <c r="D38" s="269"/>
      <c r="E38" s="5">
        <f>SUM(E22:E37)</f>
        <v>0</v>
      </c>
      <c r="F38" s="5"/>
      <c r="G38" s="23"/>
      <c r="H38" s="5">
        <f>SUM(H31:H37)</f>
        <v>0</v>
      </c>
      <c r="I38" s="5"/>
      <c r="J38" s="5"/>
      <c r="K38" s="99"/>
      <c r="L38" s="100">
        <f>H38*I38</f>
        <v>0</v>
      </c>
      <c r="M38" s="14"/>
      <c r="N38" s="100"/>
    </row>
    <row r="39" spans="1:14" s="6" customFormat="1" ht="24.75" customHeight="1">
      <c r="A39" s="16"/>
      <c r="B39" s="1"/>
      <c r="C39" s="1"/>
      <c r="D39" s="1"/>
      <c r="E39" s="3"/>
      <c r="F39" s="3"/>
      <c r="G39" s="19"/>
      <c r="H39" s="3"/>
      <c r="I39" s="3"/>
      <c r="J39" s="3"/>
      <c r="K39" s="3"/>
    </row>
    <row r="40" spans="1:14">
      <c r="F40" s="270" t="s">
        <v>1</v>
      </c>
      <c r="G40" s="270"/>
      <c r="H40" s="270"/>
      <c r="I40" s="270"/>
      <c r="J40" s="1"/>
      <c r="K40" s="8"/>
    </row>
    <row r="43" spans="1:14">
      <c r="F43" s="271"/>
      <c r="G43" s="271"/>
      <c r="H43" s="271"/>
      <c r="I43" s="271"/>
      <c r="J43" s="1"/>
      <c r="K43" s="1"/>
    </row>
  </sheetData>
  <mergeCells count="17">
    <mergeCell ref="F40:I40"/>
    <mergeCell ref="F43:I43"/>
    <mergeCell ref="L4:L5"/>
    <mergeCell ref="M4:M5"/>
    <mergeCell ref="N4:N5"/>
    <mergeCell ref="A10:B10"/>
    <mergeCell ref="A20:B20"/>
    <mergeCell ref="A38:B38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73"/>
  <sheetViews>
    <sheetView topLeftCell="A93" workbookViewId="0">
      <pane xSplit="1" ySplit="7" topLeftCell="B132" activePane="bottomRight" state="frozen"/>
      <selection activeCell="A93" sqref="A93"/>
      <selection pane="topRight" activeCell="B93" sqref="B93"/>
      <selection pane="bottomLeft" activeCell="A100" sqref="A100"/>
      <selection pane="bottomRight" activeCell="H144" sqref="H144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9" width="14.28515625" style="3" customWidth="1"/>
    <col min="10" max="10" width="16.140625" style="3" customWidth="1"/>
    <col min="11" max="11" width="21.42578125" style="3" customWidth="1"/>
    <col min="12" max="12" width="17" style="1" bestFit="1" customWidth="1"/>
    <col min="13" max="14" width="15" style="1" bestFit="1" customWidth="1"/>
    <col min="15" max="16384" width="9.140625" style="1"/>
  </cols>
  <sheetData>
    <row r="1" spans="1:11" ht="34.5" hidden="1" customHeight="1">
      <c r="A1" s="274" t="s">
        <v>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hidden="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hidden="1" customHeight="1"/>
    <row r="4" spans="1:11" s="11" customFormat="1" ht="15" hidden="1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hidden="1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hidden="1" customHeight="1">
      <c r="A11" s="18" t="s">
        <v>13</v>
      </c>
      <c r="B11" s="2" t="s">
        <v>24</v>
      </c>
      <c r="C11" s="2" t="s">
        <v>25</v>
      </c>
      <c r="D11" s="2" t="s">
        <v>20</v>
      </c>
      <c r="E11" s="4">
        <v>1100000</v>
      </c>
      <c r="F11" s="4">
        <v>5250</v>
      </c>
      <c r="G11" s="21">
        <v>43916</v>
      </c>
      <c r="H11" s="4">
        <v>449660</v>
      </c>
      <c r="I11" s="4">
        <v>5250</v>
      </c>
      <c r="J11" s="4">
        <f>E11-H11</f>
        <v>650340</v>
      </c>
      <c r="K11" s="4">
        <v>5250</v>
      </c>
    </row>
    <row r="12" spans="1:11" ht="18" hidden="1" customHeight="1">
      <c r="A12" s="18" t="s">
        <v>13</v>
      </c>
      <c r="B12" s="2" t="s">
        <v>24</v>
      </c>
      <c r="C12" s="2" t="s">
        <v>25</v>
      </c>
      <c r="D12" s="2" t="s">
        <v>20</v>
      </c>
      <c r="E12" s="4">
        <v>1100000</v>
      </c>
      <c r="F12" s="4">
        <v>5250</v>
      </c>
      <c r="G12" s="21">
        <v>43932</v>
      </c>
      <c r="H12" s="4">
        <v>48970</v>
      </c>
      <c r="I12" s="4">
        <v>5250</v>
      </c>
      <c r="J12" s="4">
        <f t="shared" ref="J12:J17" si="2">J11-H12</f>
        <v>601370</v>
      </c>
      <c r="K12" s="4">
        <v>5250</v>
      </c>
    </row>
    <row r="13" spans="1:11" ht="18" hidden="1" customHeight="1">
      <c r="A13" s="18" t="s">
        <v>13</v>
      </c>
      <c r="B13" s="2" t="s">
        <v>24</v>
      </c>
      <c r="C13" s="2" t="s">
        <v>25</v>
      </c>
      <c r="D13" s="2" t="s">
        <v>20</v>
      </c>
      <c r="E13" s="4">
        <v>1100000</v>
      </c>
      <c r="F13" s="4">
        <v>5250</v>
      </c>
      <c r="G13" s="21">
        <v>43932</v>
      </c>
      <c r="H13" s="4">
        <v>51050</v>
      </c>
      <c r="I13" s="4">
        <v>5250</v>
      </c>
      <c r="J13" s="4">
        <f t="shared" si="2"/>
        <v>550320</v>
      </c>
      <c r="K13" s="4">
        <v>5250</v>
      </c>
    </row>
    <row r="14" spans="1:11" ht="18" hidden="1" customHeight="1">
      <c r="A14" s="18" t="s">
        <v>13</v>
      </c>
      <c r="B14" s="2" t="s">
        <v>24</v>
      </c>
      <c r="C14" s="2" t="s">
        <v>25</v>
      </c>
      <c r="D14" s="2" t="s">
        <v>20</v>
      </c>
      <c r="E14" s="4">
        <v>1100000</v>
      </c>
      <c r="F14" s="4">
        <v>5250</v>
      </c>
      <c r="G14" s="21">
        <v>43942</v>
      </c>
      <c r="H14" s="4">
        <v>64890</v>
      </c>
      <c r="I14" s="4">
        <v>5250</v>
      </c>
      <c r="J14" s="4">
        <f t="shared" si="2"/>
        <v>485430</v>
      </c>
      <c r="K14" s="4">
        <v>5250</v>
      </c>
    </row>
    <row r="15" spans="1:11" ht="18" hidden="1" customHeight="1">
      <c r="A15" s="18" t="s">
        <v>13</v>
      </c>
      <c r="B15" s="2" t="s">
        <v>24</v>
      </c>
      <c r="C15" s="2" t="s">
        <v>25</v>
      </c>
      <c r="D15" s="2" t="s">
        <v>20</v>
      </c>
      <c r="E15" s="4">
        <v>1100000</v>
      </c>
      <c r="F15" s="4">
        <v>5250</v>
      </c>
      <c r="G15" s="21">
        <v>43948</v>
      </c>
      <c r="H15" s="4">
        <v>62880</v>
      </c>
      <c r="I15" s="4">
        <v>5250</v>
      </c>
      <c r="J15" s="4">
        <f t="shared" si="2"/>
        <v>422550</v>
      </c>
      <c r="K15" s="4">
        <v>5250</v>
      </c>
    </row>
    <row r="16" spans="1:11" ht="18" hidden="1" customHeight="1">
      <c r="A16" s="18" t="s">
        <v>29</v>
      </c>
      <c r="B16" s="2" t="s">
        <v>24</v>
      </c>
      <c r="C16" s="2" t="s">
        <v>25</v>
      </c>
      <c r="D16" s="2" t="s">
        <v>20</v>
      </c>
      <c r="E16" s="4">
        <v>1100000</v>
      </c>
      <c r="F16" s="4">
        <v>5250</v>
      </c>
      <c r="G16" s="21">
        <v>43955</v>
      </c>
      <c r="H16" s="4">
        <v>66170</v>
      </c>
      <c r="I16" s="4">
        <v>5250</v>
      </c>
      <c r="J16" s="4">
        <f t="shared" si="2"/>
        <v>356380</v>
      </c>
      <c r="K16" s="4">
        <v>5250</v>
      </c>
    </row>
    <row r="17" spans="1:13" ht="18" hidden="1" customHeight="1">
      <c r="A17" s="18" t="s">
        <v>29</v>
      </c>
      <c r="B17" s="2" t="s">
        <v>24</v>
      </c>
      <c r="C17" s="2" t="s">
        <v>25</v>
      </c>
      <c r="D17" s="2" t="s">
        <v>20</v>
      </c>
      <c r="E17" s="4">
        <v>1100000</v>
      </c>
      <c r="F17" s="4">
        <v>5250</v>
      </c>
      <c r="G17" s="21">
        <v>43956</v>
      </c>
      <c r="H17" s="4">
        <v>62660</v>
      </c>
      <c r="I17" s="4">
        <v>5250</v>
      </c>
      <c r="J17" s="4">
        <f t="shared" si="2"/>
        <v>293720</v>
      </c>
      <c r="K17" s="4">
        <v>5250</v>
      </c>
    </row>
    <row r="18" spans="1:13" ht="18" hidden="1" customHeight="1">
      <c r="A18" s="18" t="s">
        <v>29</v>
      </c>
      <c r="B18" s="2" t="s">
        <v>24</v>
      </c>
      <c r="C18" s="2" t="s">
        <v>25</v>
      </c>
      <c r="D18" s="2" t="s">
        <v>20</v>
      </c>
      <c r="E18" s="4">
        <v>1100000</v>
      </c>
      <c r="F18" s="4">
        <v>5250</v>
      </c>
      <c r="G18" s="21">
        <v>43969</v>
      </c>
      <c r="H18" s="4">
        <v>62730</v>
      </c>
      <c r="I18" s="4">
        <v>5250</v>
      </c>
      <c r="J18" s="4">
        <f>J17-H18</f>
        <v>230990</v>
      </c>
      <c r="K18" s="4">
        <v>5250</v>
      </c>
    </row>
    <row r="19" spans="1:13" ht="18" hidden="1" customHeight="1">
      <c r="A19" s="18" t="s">
        <v>29</v>
      </c>
      <c r="B19" s="2" t="s">
        <v>24</v>
      </c>
      <c r="C19" s="2" t="s">
        <v>25</v>
      </c>
      <c r="D19" s="2" t="s">
        <v>20</v>
      </c>
      <c r="E19" s="4">
        <v>1100000</v>
      </c>
      <c r="F19" s="4">
        <v>5250</v>
      </c>
      <c r="G19" s="21">
        <v>43972</v>
      </c>
      <c r="H19" s="4">
        <v>31720</v>
      </c>
      <c r="I19" s="4">
        <v>5250</v>
      </c>
      <c r="J19" s="4">
        <f>J18-H19</f>
        <v>199270</v>
      </c>
      <c r="K19" s="4">
        <v>5250</v>
      </c>
    </row>
    <row r="20" spans="1:13" ht="18" hidden="1" customHeight="1">
      <c r="A20" s="18" t="s">
        <v>29</v>
      </c>
      <c r="B20" s="2" t="s">
        <v>24</v>
      </c>
      <c r="C20" s="2" t="s">
        <v>25</v>
      </c>
      <c r="D20" s="2" t="s">
        <v>20</v>
      </c>
      <c r="E20" s="4">
        <v>1100000</v>
      </c>
      <c r="F20" s="4">
        <v>5250</v>
      </c>
      <c r="G20" s="21">
        <v>43973</v>
      </c>
      <c r="H20" s="4">
        <v>67700</v>
      </c>
      <c r="I20" s="4">
        <v>5250</v>
      </c>
      <c r="J20" s="4">
        <f>J19-H20</f>
        <v>131570</v>
      </c>
      <c r="K20" s="4">
        <v>5250</v>
      </c>
    </row>
    <row r="21" spans="1:13" ht="18" hidden="1" customHeight="1">
      <c r="A21" s="18" t="s">
        <v>29</v>
      </c>
      <c r="B21" s="2" t="s">
        <v>24</v>
      </c>
      <c r="C21" s="2" t="s">
        <v>25</v>
      </c>
      <c r="D21" s="2" t="s">
        <v>20</v>
      </c>
      <c r="E21" s="4">
        <v>1100000</v>
      </c>
      <c r="F21" s="4">
        <v>5250</v>
      </c>
      <c r="G21" s="21">
        <v>43974</v>
      </c>
      <c r="H21" s="4">
        <v>70460</v>
      </c>
      <c r="I21" s="4">
        <v>5250</v>
      </c>
      <c r="J21" s="4">
        <f>J20-H21</f>
        <v>61110</v>
      </c>
      <c r="K21" s="4">
        <v>5250</v>
      </c>
    </row>
    <row r="22" spans="1:13" ht="18" hidden="1" customHeight="1">
      <c r="A22" s="18" t="s">
        <v>29</v>
      </c>
      <c r="B22" s="2" t="s">
        <v>24</v>
      </c>
      <c r="C22" s="2" t="s">
        <v>25</v>
      </c>
      <c r="D22" s="2" t="s">
        <v>20</v>
      </c>
      <c r="E22" s="4">
        <v>1100000</v>
      </c>
      <c r="F22" s="4">
        <v>5250</v>
      </c>
      <c r="G22" s="21"/>
      <c r="H22" s="4"/>
      <c r="I22" s="4">
        <v>5250</v>
      </c>
      <c r="J22" s="4"/>
      <c r="K22" s="4">
        <v>5250</v>
      </c>
    </row>
    <row r="23" spans="1:13" ht="18" hidden="1" customHeight="1">
      <c r="A23" s="18" t="s">
        <v>29</v>
      </c>
      <c r="B23" s="2" t="s">
        <v>24</v>
      </c>
      <c r="C23" s="2" t="s">
        <v>25</v>
      </c>
      <c r="D23" s="2" t="s">
        <v>20</v>
      </c>
      <c r="E23" s="4">
        <v>1100000</v>
      </c>
      <c r="F23" s="4">
        <v>5250</v>
      </c>
      <c r="G23" s="21"/>
      <c r="H23" s="4"/>
      <c r="I23" s="4">
        <v>5250</v>
      </c>
      <c r="J23" s="4"/>
      <c r="K23" s="4">
        <v>5250</v>
      </c>
    </row>
    <row r="24" spans="1:13" s="15" customFormat="1" ht="18" hidden="1" customHeight="1">
      <c r="A24" s="291" t="s">
        <v>15</v>
      </c>
      <c r="B24" s="292"/>
      <c r="C24" s="13"/>
      <c r="D24" s="13"/>
      <c r="E24" s="32">
        <v>1100000</v>
      </c>
      <c r="F24" s="14"/>
      <c r="G24" s="22"/>
      <c r="H24" s="14">
        <f>SUM(H11:H23)</f>
        <v>1038890</v>
      </c>
      <c r="I24" s="14"/>
      <c r="J24" s="14">
        <f>E24-H24</f>
        <v>61110</v>
      </c>
      <c r="K24" s="14"/>
    </row>
    <row r="25" spans="1:13" ht="18" hidden="1" customHeight="1">
      <c r="A25" s="18" t="s">
        <v>29</v>
      </c>
      <c r="B25" s="2" t="s">
        <v>24</v>
      </c>
      <c r="C25" s="2" t="s">
        <v>69</v>
      </c>
      <c r="D25" s="2" t="s">
        <v>70</v>
      </c>
      <c r="E25" s="4">
        <v>150000</v>
      </c>
      <c r="F25" s="4">
        <v>4700</v>
      </c>
      <c r="G25" s="21">
        <v>43986</v>
      </c>
      <c r="H25" s="4">
        <v>18180</v>
      </c>
      <c r="I25" s="4">
        <v>4700</v>
      </c>
      <c r="J25" s="4">
        <f>E25-H25</f>
        <v>131820</v>
      </c>
      <c r="K25" s="4">
        <v>4700</v>
      </c>
      <c r="L25" s="1" t="s">
        <v>71</v>
      </c>
    </row>
    <row r="26" spans="1:13" ht="18" hidden="1" customHeight="1">
      <c r="A26" s="18" t="s">
        <v>29</v>
      </c>
      <c r="B26" s="2" t="s">
        <v>24</v>
      </c>
      <c r="C26" s="2" t="s">
        <v>69</v>
      </c>
      <c r="D26" s="2" t="s">
        <v>70</v>
      </c>
      <c r="E26" s="4">
        <v>150000</v>
      </c>
      <c r="F26" s="4">
        <v>4700</v>
      </c>
      <c r="G26" s="21">
        <v>43988</v>
      </c>
      <c r="H26" s="4">
        <v>30010</v>
      </c>
      <c r="I26" s="4">
        <v>4700</v>
      </c>
      <c r="J26" s="4">
        <f>J25-H26</f>
        <v>101810</v>
      </c>
      <c r="K26" s="4">
        <v>4700</v>
      </c>
      <c r="L26" s="1" t="s">
        <v>75</v>
      </c>
      <c r="M26" s="1" t="s">
        <v>76</v>
      </c>
    </row>
    <row r="27" spans="1:13" ht="18" hidden="1" customHeight="1">
      <c r="A27" s="18" t="s">
        <v>29</v>
      </c>
      <c r="B27" s="2" t="s">
        <v>24</v>
      </c>
      <c r="C27" s="2" t="s">
        <v>69</v>
      </c>
      <c r="D27" s="2" t="s">
        <v>70</v>
      </c>
      <c r="E27" s="4">
        <v>150000</v>
      </c>
      <c r="F27" s="4">
        <v>4700</v>
      </c>
      <c r="G27" s="21">
        <v>43992</v>
      </c>
      <c r="H27" s="4">
        <v>27970</v>
      </c>
      <c r="I27" s="4">
        <v>4700</v>
      </c>
      <c r="J27" s="4">
        <f>J26-H27</f>
        <v>73840</v>
      </c>
      <c r="K27" s="4">
        <v>4700</v>
      </c>
    </row>
    <row r="28" spans="1:13" ht="18" hidden="1" customHeight="1">
      <c r="A28" s="18" t="s">
        <v>29</v>
      </c>
      <c r="B28" s="2" t="s">
        <v>24</v>
      </c>
      <c r="C28" s="2" t="s">
        <v>69</v>
      </c>
      <c r="D28" s="2" t="s">
        <v>82</v>
      </c>
      <c r="E28" s="4">
        <v>150000</v>
      </c>
      <c r="F28" s="4">
        <v>4700</v>
      </c>
      <c r="G28" s="40">
        <v>44000</v>
      </c>
      <c r="H28" s="4">
        <v>29380</v>
      </c>
      <c r="I28" s="4">
        <v>4700</v>
      </c>
      <c r="J28" s="4">
        <f t="shared" ref="J28:J30" si="3">J27-H28</f>
        <v>44460</v>
      </c>
      <c r="K28" s="4"/>
    </row>
    <row r="29" spans="1:13" ht="18" hidden="1" customHeight="1">
      <c r="A29" s="18" t="s">
        <v>29</v>
      </c>
      <c r="B29" s="2" t="s">
        <v>24</v>
      </c>
      <c r="C29" s="2" t="s">
        <v>69</v>
      </c>
      <c r="D29" s="2" t="s">
        <v>82</v>
      </c>
      <c r="E29" s="4">
        <v>150000</v>
      </c>
      <c r="F29" s="4">
        <v>4700</v>
      </c>
      <c r="G29" s="21">
        <v>44006</v>
      </c>
      <c r="H29" s="4">
        <v>33010</v>
      </c>
      <c r="I29" s="4">
        <v>4700</v>
      </c>
      <c r="J29" s="4">
        <f t="shared" si="3"/>
        <v>11450</v>
      </c>
      <c r="K29" s="4"/>
    </row>
    <row r="30" spans="1:13" ht="18" hidden="1" customHeight="1">
      <c r="A30" s="18" t="s">
        <v>29</v>
      </c>
      <c r="B30" s="2" t="s">
        <v>24</v>
      </c>
      <c r="C30" s="2"/>
      <c r="D30" s="2"/>
      <c r="E30" s="4"/>
      <c r="F30" s="4"/>
      <c r="G30" s="40" t="s">
        <v>83</v>
      </c>
      <c r="H30" s="4">
        <v>33960</v>
      </c>
      <c r="I30" s="4">
        <v>4700</v>
      </c>
      <c r="J30" s="4">
        <f t="shared" si="3"/>
        <v>-22510</v>
      </c>
      <c r="K30" s="4"/>
    </row>
    <row r="31" spans="1:13" ht="18" hidden="1" customHeight="1">
      <c r="A31" s="18" t="s">
        <v>29</v>
      </c>
      <c r="B31" s="2" t="s">
        <v>24</v>
      </c>
      <c r="C31" s="2" t="s">
        <v>69</v>
      </c>
      <c r="D31" s="2" t="s">
        <v>70</v>
      </c>
      <c r="E31" s="4">
        <v>150000</v>
      </c>
      <c r="F31" s="4">
        <v>4700</v>
      </c>
      <c r="G31" s="21">
        <v>44018</v>
      </c>
      <c r="H31" s="4">
        <v>27030</v>
      </c>
      <c r="I31" s="4">
        <v>4700</v>
      </c>
      <c r="J31" s="4">
        <f>+E31-H31</f>
        <v>122970</v>
      </c>
      <c r="K31" s="4"/>
      <c r="L31" s="1" t="s">
        <v>72</v>
      </c>
    </row>
    <row r="32" spans="1:13" ht="18" hidden="1" customHeight="1">
      <c r="A32" s="18"/>
      <c r="B32" s="2"/>
      <c r="C32" s="2"/>
      <c r="D32" s="2"/>
      <c r="E32" s="4"/>
      <c r="F32" s="4"/>
      <c r="G32" s="21"/>
      <c r="H32" s="4"/>
      <c r="I32" s="4"/>
      <c r="J32" s="4">
        <f>J31-H32</f>
        <v>122970</v>
      </c>
      <c r="K32" s="4"/>
    </row>
    <row r="33" spans="1:13" ht="18" hidden="1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3" ht="18" hidden="1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3" ht="18" hidden="1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3" ht="18" hidden="1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3" ht="18" hidden="1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3" ht="18" hidden="1" customHeight="1">
      <c r="A38" s="18" t="s">
        <v>13</v>
      </c>
      <c r="B38" s="2" t="s">
        <v>24</v>
      </c>
      <c r="C38" s="2" t="s">
        <v>69</v>
      </c>
      <c r="D38" s="2" t="s">
        <v>70</v>
      </c>
      <c r="E38" s="4">
        <v>150000</v>
      </c>
      <c r="F38" s="4">
        <v>4700</v>
      </c>
      <c r="G38" s="40" t="s">
        <v>100</v>
      </c>
      <c r="H38" s="4">
        <v>28050</v>
      </c>
      <c r="I38" s="4"/>
      <c r="J38" s="4">
        <f>+E38-H38</f>
        <v>121950</v>
      </c>
      <c r="K38" s="4"/>
      <c r="L38" s="1" t="s">
        <v>73</v>
      </c>
    </row>
    <row r="39" spans="1:13" ht="18" hidden="1" customHeight="1">
      <c r="A39" s="18"/>
      <c r="B39" s="2"/>
      <c r="C39" s="2"/>
      <c r="D39" s="2"/>
      <c r="E39" s="4"/>
      <c r="F39" s="4"/>
      <c r="G39" s="40" t="s">
        <v>101</v>
      </c>
      <c r="H39" s="4">
        <v>23630</v>
      </c>
      <c r="I39" s="4"/>
      <c r="J39" s="4">
        <f>+J38-H39</f>
        <v>98320</v>
      </c>
      <c r="K39" s="4"/>
    </row>
    <row r="40" spans="1:13" ht="18" hidden="1" customHeight="1">
      <c r="A40" s="18"/>
      <c r="B40" s="2"/>
      <c r="C40" s="2"/>
      <c r="D40" s="2"/>
      <c r="E40" s="4"/>
      <c r="F40" s="4"/>
      <c r="G40" s="40" t="s">
        <v>103</v>
      </c>
      <c r="H40" s="4">
        <v>30120</v>
      </c>
      <c r="I40" s="4"/>
      <c r="J40" s="4">
        <f t="shared" ref="J40:J41" si="4">+J39-H40</f>
        <v>68200</v>
      </c>
      <c r="K40" s="4"/>
    </row>
    <row r="41" spans="1:13" ht="18" hidden="1" customHeight="1">
      <c r="A41" s="18"/>
      <c r="B41" s="2"/>
      <c r="C41" s="2"/>
      <c r="D41" s="2"/>
      <c r="E41" s="4"/>
      <c r="F41" s="4"/>
      <c r="G41" s="40"/>
      <c r="H41" s="4"/>
      <c r="I41" s="4"/>
      <c r="J41" s="4">
        <f t="shared" si="4"/>
        <v>68200</v>
      </c>
      <c r="K41" s="4"/>
    </row>
    <row r="42" spans="1:13" ht="18" hidden="1" customHeight="1">
      <c r="A42" s="18"/>
      <c r="B42" s="2"/>
      <c r="C42" s="2"/>
      <c r="D42" s="2"/>
      <c r="E42" s="4"/>
      <c r="F42" s="4"/>
      <c r="G42" s="40"/>
      <c r="H42" s="4"/>
      <c r="I42" s="4"/>
      <c r="J42" s="4"/>
      <c r="K42" s="4"/>
    </row>
    <row r="43" spans="1:13" ht="18" hidden="1" customHeight="1">
      <c r="A43" s="18"/>
      <c r="B43" s="2"/>
      <c r="C43" s="2"/>
      <c r="D43" s="2"/>
      <c r="E43" s="4"/>
      <c r="F43" s="4"/>
      <c r="G43" s="40"/>
      <c r="H43" s="4"/>
      <c r="I43" s="4"/>
      <c r="J43" s="4"/>
      <c r="K43" s="4"/>
    </row>
    <row r="44" spans="1:13" ht="18" hidden="1" customHeight="1">
      <c r="A44" s="18"/>
      <c r="B44" s="2"/>
      <c r="C44" s="2"/>
      <c r="D44" s="2"/>
      <c r="E44" s="4"/>
      <c r="F44" s="4"/>
      <c r="G44" s="40"/>
      <c r="H44" s="4"/>
      <c r="I44" s="4"/>
      <c r="J44" s="4"/>
      <c r="K44" s="4"/>
    </row>
    <row r="45" spans="1:13" ht="18" hidden="1" customHeight="1">
      <c r="A45" s="18" t="s">
        <v>13</v>
      </c>
      <c r="B45" s="2" t="s">
        <v>24</v>
      </c>
      <c r="C45" s="60" t="s">
        <v>69</v>
      </c>
      <c r="D45" s="60" t="s">
        <v>70</v>
      </c>
      <c r="E45" s="49">
        <v>150000</v>
      </c>
      <c r="F45" s="49">
        <v>4700</v>
      </c>
      <c r="G45" s="66"/>
      <c r="H45" s="49"/>
      <c r="I45" s="49"/>
      <c r="J45" s="4"/>
      <c r="K45" s="4"/>
      <c r="L45" s="15" t="s">
        <v>74</v>
      </c>
      <c r="M45" s="15"/>
    </row>
    <row r="46" spans="1:13" ht="18" hidden="1" customHeight="1">
      <c r="A46" s="18"/>
      <c r="B46" s="2" t="s">
        <v>24</v>
      </c>
      <c r="C46" s="2"/>
      <c r="D46" s="2"/>
      <c r="E46" s="4"/>
      <c r="F46" s="4"/>
      <c r="G46" s="40" t="s">
        <v>109</v>
      </c>
      <c r="H46" s="4">
        <v>30000</v>
      </c>
      <c r="I46" s="4"/>
      <c r="J46" s="4">
        <f>+E45-H46</f>
        <v>120000</v>
      </c>
      <c r="K46" s="4"/>
    </row>
    <row r="47" spans="1:13" ht="18" hidden="1" customHeight="1">
      <c r="A47" s="18"/>
      <c r="B47" s="2"/>
      <c r="C47" s="2"/>
      <c r="D47" s="2"/>
      <c r="E47" s="4"/>
      <c r="F47" s="4"/>
      <c r="G47" s="40" t="s">
        <v>118</v>
      </c>
      <c r="H47" s="4">
        <v>30020</v>
      </c>
      <c r="I47" s="4"/>
      <c r="J47" s="4">
        <f>J46-H47</f>
        <v>89980</v>
      </c>
      <c r="K47" s="4"/>
    </row>
    <row r="48" spans="1:13" ht="18" hidden="1" customHeight="1">
      <c r="A48" s="18"/>
      <c r="B48" s="2"/>
      <c r="C48" s="2"/>
      <c r="D48" s="2"/>
      <c r="E48" s="4"/>
      <c r="F48" s="4"/>
      <c r="G48" s="40" t="s">
        <v>153</v>
      </c>
      <c r="H48" s="4">
        <v>27990</v>
      </c>
      <c r="I48" s="4"/>
      <c r="J48" s="4">
        <f t="shared" ref="J48:J50" si="5">J47-H48</f>
        <v>61990</v>
      </c>
      <c r="K48" s="4"/>
    </row>
    <row r="49" spans="1:13" ht="18" hidden="1" customHeight="1">
      <c r="A49" s="18"/>
      <c r="B49" s="2"/>
      <c r="C49" s="2"/>
      <c r="D49" s="2"/>
      <c r="E49" s="4"/>
      <c r="F49" s="4"/>
      <c r="G49" s="40" t="s">
        <v>154</v>
      </c>
      <c r="H49" s="4">
        <v>30040</v>
      </c>
      <c r="I49" s="4"/>
      <c r="J49" s="4">
        <f t="shared" si="5"/>
        <v>31950</v>
      </c>
      <c r="K49" s="4"/>
    </row>
    <row r="50" spans="1:13" ht="18" hidden="1" customHeight="1">
      <c r="A50" s="18"/>
      <c r="B50" s="2"/>
      <c r="C50" s="2"/>
      <c r="D50" s="2"/>
      <c r="E50" s="4"/>
      <c r="F50" s="4"/>
      <c r="G50" s="40" t="s">
        <v>155</v>
      </c>
      <c r="H50" s="4">
        <v>30000</v>
      </c>
      <c r="I50" s="4"/>
      <c r="J50" s="4">
        <f t="shared" si="5"/>
        <v>1950</v>
      </c>
      <c r="K50" s="4"/>
    </row>
    <row r="51" spans="1:13" ht="18" hidden="1" customHeight="1">
      <c r="A51" s="18"/>
      <c r="B51" s="2"/>
      <c r="C51" s="2"/>
      <c r="D51" s="2"/>
      <c r="E51" s="4"/>
      <c r="F51" s="4"/>
      <c r="G51" s="40" t="s">
        <v>194</v>
      </c>
      <c r="H51" s="4">
        <v>24040</v>
      </c>
      <c r="I51" s="4"/>
      <c r="J51" s="4"/>
      <c r="K51" s="4"/>
    </row>
    <row r="52" spans="1:13" ht="18" hidden="1" customHeight="1">
      <c r="A52" s="18" t="s">
        <v>13</v>
      </c>
      <c r="B52" s="60" t="s">
        <v>24</v>
      </c>
      <c r="C52" s="60" t="s">
        <v>69</v>
      </c>
      <c r="D52" s="60" t="s">
        <v>247</v>
      </c>
      <c r="E52" s="49">
        <f>56000*2</f>
        <v>112000</v>
      </c>
      <c r="F52" s="49">
        <v>4550</v>
      </c>
      <c r="G52" s="61"/>
      <c r="H52" s="49"/>
      <c r="I52" s="49"/>
      <c r="J52" s="49"/>
      <c r="K52" s="49"/>
      <c r="L52" s="15" t="s">
        <v>218</v>
      </c>
      <c r="M52" s="15"/>
    </row>
    <row r="53" spans="1:13" ht="18" hidden="1" customHeight="1">
      <c r="A53" s="18"/>
      <c r="B53" s="2"/>
      <c r="C53" s="2"/>
      <c r="D53" s="2"/>
      <c r="E53" s="4"/>
      <c r="F53" s="4"/>
      <c r="G53" s="40" t="s">
        <v>233</v>
      </c>
      <c r="H53" s="4">
        <v>28340</v>
      </c>
      <c r="I53" s="4">
        <v>4550</v>
      </c>
      <c r="J53" s="4">
        <f>+E52-H53</f>
        <v>83660</v>
      </c>
      <c r="K53" s="4"/>
    </row>
    <row r="54" spans="1:13" ht="18" hidden="1" customHeight="1">
      <c r="A54" s="18"/>
      <c r="B54" s="2"/>
      <c r="C54" s="2"/>
      <c r="D54" s="2"/>
      <c r="E54" s="4"/>
      <c r="F54" s="4"/>
      <c r="G54" s="40" t="s">
        <v>240</v>
      </c>
      <c r="H54" s="4">
        <v>28230</v>
      </c>
      <c r="I54" s="4">
        <v>4550</v>
      </c>
      <c r="J54" s="4">
        <f>+J53-H54</f>
        <v>55430</v>
      </c>
      <c r="K54" s="4"/>
    </row>
    <row r="55" spans="1:13" ht="18" hidden="1" customHeight="1">
      <c r="A55" s="18"/>
      <c r="B55" s="2"/>
      <c r="C55" s="2"/>
      <c r="D55" s="2"/>
      <c r="E55" s="4"/>
      <c r="F55" s="4"/>
      <c r="G55" s="21"/>
      <c r="H55" s="4"/>
      <c r="I55" s="4"/>
      <c r="J55" s="4">
        <f t="shared" ref="J55:J60" si="6">+J54-H55</f>
        <v>55430</v>
      </c>
      <c r="K55" s="4"/>
    </row>
    <row r="56" spans="1:13" ht="18" hidden="1" customHeight="1">
      <c r="A56" s="18"/>
      <c r="B56" s="2"/>
      <c r="C56" s="2"/>
      <c r="D56" s="2"/>
      <c r="E56" s="4"/>
      <c r="F56" s="4"/>
      <c r="G56" s="21"/>
      <c r="H56" s="4"/>
      <c r="I56" s="4"/>
      <c r="J56" s="4">
        <f t="shared" si="6"/>
        <v>55430</v>
      </c>
      <c r="K56" s="4"/>
    </row>
    <row r="57" spans="1:13" ht="18" hidden="1" customHeight="1">
      <c r="A57" s="18"/>
      <c r="B57" s="2"/>
      <c r="C57" s="2"/>
      <c r="D57" s="2"/>
      <c r="E57" s="4"/>
      <c r="F57" s="4"/>
      <c r="G57" s="21"/>
      <c r="H57" s="4"/>
      <c r="I57" s="4"/>
      <c r="J57" s="4">
        <f t="shared" si="6"/>
        <v>55430</v>
      </c>
      <c r="K57" s="4"/>
    </row>
    <row r="58" spans="1:13" ht="18" hidden="1" customHeight="1">
      <c r="A58" s="18"/>
      <c r="B58" s="2"/>
      <c r="C58" s="2"/>
      <c r="D58" s="2"/>
      <c r="E58" s="4"/>
      <c r="F58" s="4"/>
      <c r="G58" s="21"/>
      <c r="H58" s="4"/>
      <c r="I58" s="4"/>
      <c r="J58" s="4">
        <f t="shared" si="6"/>
        <v>55430</v>
      </c>
      <c r="K58" s="4"/>
    </row>
    <row r="59" spans="1:13" ht="18" hidden="1" customHeight="1">
      <c r="A59" s="18"/>
      <c r="B59" s="2"/>
      <c r="C59" s="2"/>
      <c r="D59" s="2"/>
      <c r="E59" s="4"/>
      <c r="F59" s="4"/>
      <c r="G59" s="21"/>
      <c r="H59" s="4"/>
      <c r="I59" s="4"/>
      <c r="J59" s="4">
        <f t="shared" si="6"/>
        <v>55430</v>
      </c>
      <c r="K59" s="4"/>
    </row>
    <row r="60" spans="1:13" ht="18" hidden="1" customHeight="1">
      <c r="A60" s="18"/>
      <c r="B60" s="2"/>
      <c r="C60" s="2"/>
      <c r="D60" s="2"/>
      <c r="E60" s="4"/>
      <c r="F60" s="4"/>
      <c r="G60" s="21"/>
      <c r="H60" s="4"/>
      <c r="I60" s="4"/>
      <c r="J60" s="4">
        <f t="shared" si="6"/>
        <v>55430</v>
      </c>
      <c r="K60" s="4"/>
    </row>
    <row r="61" spans="1:13" ht="18" hidden="1" customHeight="1">
      <c r="A61" s="55"/>
      <c r="B61" s="56" t="s">
        <v>15</v>
      </c>
      <c r="C61" s="56"/>
      <c r="D61" s="56"/>
      <c r="E61" s="57"/>
      <c r="F61" s="57"/>
      <c r="G61" s="58"/>
      <c r="H61" s="57">
        <f>SUM(H53:H60)</f>
        <v>56570</v>
      </c>
      <c r="I61" s="57"/>
      <c r="J61" s="57"/>
      <c r="K61" s="57"/>
    </row>
    <row r="62" spans="1:13" ht="18" hidden="1" customHeight="1">
      <c r="A62" s="18"/>
      <c r="B62" s="60"/>
      <c r="C62" s="60"/>
      <c r="D62" s="60"/>
      <c r="E62" s="4"/>
      <c r="F62" s="4"/>
      <c r="G62" s="21"/>
      <c r="H62" s="4"/>
      <c r="I62" s="4"/>
      <c r="J62" s="4"/>
      <c r="K62" s="4"/>
    </row>
    <row r="63" spans="1:13" ht="18" hidden="1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3" ht="18" hidden="1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hidden="1" customHeight="1">
      <c r="A65" s="18"/>
      <c r="B65" s="2"/>
      <c r="C65" s="2"/>
      <c r="D65" s="2"/>
      <c r="E65" s="4"/>
      <c r="F65" s="4"/>
      <c r="G65" s="21"/>
      <c r="H65" s="4"/>
      <c r="I65" s="4"/>
      <c r="J65" s="4"/>
      <c r="K65" s="4"/>
    </row>
    <row r="66" spans="1:11" ht="18" hidden="1" customHeight="1">
      <c r="A66" s="18"/>
      <c r="B66" s="2"/>
      <c r="C66" s="2"/>
      <c r="D66" s="2"/>
      <c r="E66" s="4"/>
      <c r="F66" s="4"/>
      <c r="G66" s="21"/>
      <c r="H66" s="4"/>
      <c r="I66" s="4"/>
      <c r="J66" s="4"/>
      <c r="K66" s="4"/>
    </row>
    <row r="67" spans="1:11" ht="18" hidden="1" customHeight="1">
      <c r="A67" s="18"/>
      <c r="B67" s="2"/>
      <c r="C67" s="2"/>
      <c r="D67" s="2"/>
      <c r="E67" s="4"/>
      <c r="F67" s="4"/>
      <c r="G67" s="21"/>
      <c r="H67" s="4"/>
      <c r="I67" s="4"/>
      <c r="J67" s="4"/>
      <c r="K67" s="4"/>
    </row>
    <row r="68" spans="1:11" ht="18" hidden="1" customHeight="1">
      <c r="A68" s="18"/>
      <c r="B68" s="2"/>
      <c r="C68" s="2"/>
      <c r="D68" s="2"/>
      <c r="E68" s="4"/>
      <c r="F68" s="4"/>
      <c r="G68" s="21"/>
      <c r="H68" s="4"/>
      <c r="I68" s="4"/>
      <c r="J68" s="4"/>
      <c r="K68" s="4"/>
    </row>
    <row r="69" spans="1:11" ht="18" hidden="1" customHeight="1">
      <c r="A69" s="18"/>
      <c r="B69" s="2"/>
      <c r="C69" s="2"/>
      <c r="D69" s="2"/>
      <c r="E69" s="4"/>
      <c r="F69" s="4"/>
      <c r="G69" s="21"/>
      <c r="H69" s="4"/>
      <c r="I69" s="4"/>
      <c r="J69" s="4"/>
      <c r="K69" s="4"/>
    </row>
    <row r="70" spans="1:11" ht="18" hidden="1" customHeight="1">
      <c r="A70" s="18"/>
      <c r="B70" s="2"/>
      <c r="C70" s="2"/>
      <c r="D70" s="2"/>
      <c r="E70" s="4"/>
      <c r="F70" s="4"/>
      <c r="G70" s="21"/>
      <c r="H70" s="4"/>
      <c r="I70" s="4"/>
      <c r="J70" s="4"/>
      <c r="K70" s="4"/>
    </row>
    <row r="71" spans="1:11" ht="18" hidden="1" customHeight="1">
      <c r="A71" s="18"/>
      <c r="B71" s="2"/>
      <c r="C71" s="2"/>
      <c r="D71" s="2"/>
      <c r="E71" s="4"/>
      <c r="F71" s="4"/>
      <c r="G71" s="21"/>
      <c r="H71" s="4"/>
      <c r="I71" s="4"/>
      <c r="J71" s="4"/>
      <c r="K71" s="4"/>
    </row>
    <row r="72" spans="1:11" ht="18" hidden="1" customHeight="1">
      <c r="A72" s="18"/>
      <c r="B72" s="2"/>
      <c r="C72" s="2"/>
      <c r="D72" s="2"/>
      <c r="E72" s="4"/>
      <c r="F72" s="4"/>
      <c r="G72" s="21"/>
      <c r="H72" s="4"/>
      <c r="I72" s="4"/>
      <c r="J72" s="4"/>
      <c r="K72" s="4"/>
    </row>
    <row r="73" spans="1:11" ht="18" hidden="1" customHeight="1">
      <c r="A73" s="18"/>
      <c r="B73" s="2"/>
      <c r="C73" s="2"/>
      <c r="D73" s="2"/>
      <c r="E73" s="4"/>
      <c r="F73" s="4"/>
      <c r="G73" s="21"/>
      <c r="H73" s="4"/>
      <c r="I73" s="4"/>
      <c r="J73" s="4"/>
      <c r="K73" s="4"/>
    </row>
    <row r="74" spans="1:11" ht="18" hidden="1" customHeight="1">
      <c r="A74" s="18"/>
      <c r="B74" s="2"/>
      <c r="C74" s="2"/>
      <c r="D74" s="2"/>
      <c r="E74" s="4"/>
      <c r="F74" s="4"/>
      <c r="G74" s="21"/>
      <c r="H74" s="4"/>
      <c r="I74" s="4"/>
      <c r="J74" s="4"/>
      <c r="K74" s="4"/>
    </row>
    <row r="75" spans="1:11" ht="18" hidden="1" customHeight="1">
      <c r="A75" s="18"/>
      <c r="B75" s="2"/>
      <c r="C75" s="2"/>
      <c r="D75" s="2"/>
      <c r="E75" s="4"/>
      <c r="F75" s="4"/>
      <c r="G75" s="21"/>
      <c r="H75" s="4"/>
      <c r="I75" s="4"/>
      <c r="J75" s="4"/>
      <c r="K75" s="4"/>
    </row>
    <row r="76" spans="1:11" ht="18" hidden="1" customHeight="1">
      <c r="A76" s="18"/>
      <c r="B76" s="2"/>
      <c r="C76" s="2"/>
      <c r="D76" s="2"/>
      <c r="E76" s="4"/>
      <c r="F76" s="4"/>
      <c r="G76" s="21"/>
      <c r="H76" s="4"/>
      <c r="I76" s="4"/>
      <c r="J76" s="4"/>
      <c r="K76" s="4"/>
    </row>
    <row r="77" spans="1:11" ht="18" hidden="1" customHeight="1">
      <c r="A77" s="18"/>
      <c r="B77" s="2"/>
      <c r="C77" s="2"/>
      <c r="D77" s="2"/>
      <c r="E77" s="4"/>
      <c r="F77" s="4"/>
      <c r="G77" s="21"/>
      <c r="H77" s="4"/>
      <c r="I77" s="4"/>
      <c r="J77" s="4"/>
      <c r="K77" s="4"/>
    </row>
    <row r="78" spans="1:11" ht="18" hidden="1" customHeight="1">
      <c r="A78" s="18"/>
      <c r="B78" s="2"/>
      <c r="C78" s="2"/>
      <c r="D78" s="2"/>
      <c r="E78" s="4"/>
      <c r="F78" s="4"/>
      <c r="G78" s="21"/>
      <c r="H78" s="4"/>
      <c r="I78" s="4"/>
      <c r="J78" s="4"/>
      <c r="K78" s="4"/>
    </row>
    <row r="79" spans="1:11" ht="18" hidden="1" customHeight="1">
      <c r="A79" s="18"/>
      <c r="B79" s="2"/>
      <c r="C79" s="2"/>
      <c r="D79" s="2"/>
      <c r="E79" s="4"/>
      <c r="F79" s="4"/>
      <c r="G79" s="21"/>
      <c r="H79" s="4"/>
      <c r="I79" s="4"/>
      <c r="J79" s="4"/>
      <c r="K79" s="4"/>
    </row>
    <row r="80" spans="1:11" ht="18" hidden="1" customHeight="1">
      <c r="A80" s="18"/>
      <c r="B80" s="2"/>
      <c r="C80" s="2"/>
      <c r="D80" s="2"/>
      <c r="E80" s="4"/>
      <c r="F80" s="4"/>
      <c r="G80" s="21"/>
      <c r="H80" s="4"/>
      <c r="I80" s="4"/>
      <c r="J80" s="4"/>
      <c r="K80" s="4"/>
    </row>
    <row r="81" spans="1:11" ht="18" hidden="1" customHeight="1">
      <c r="A81" s="281" t="s">
        <v>0</v>
      </c>
      <c r="B81" s="282"/>
      <c r="C81" s="10"/>
      <c r="D81" s="10"/>
      <c r="E81" s="5">
        <f>SUM(E6:E80)</f>
        <v>16712000</v>
      </c>
      <c r="F81" s="5">
        <f>SUM(F6:F80)</f>
        <v>110400</v>
      </c>
      <c r="G81" s="23"/>
      <c r="H81" s="5">
        <f>SUM(H6:H80)</f>
        <v>2644350</v>
      </c>
      <c r="I81" s="5">
        <f>SUM(I6:I80)</f>
        <v>110250</v>
      </c>
      <c r="J81" s="5"/>
      <c r="K81" s="5"/>
    </row>
    <row r="82" spans="1:11" s="6" customFormat="1" ht="24.75" hidden="1" customHeight="1">
      <c r="A82" s="16"/>
      <c r="B82" s="1"/>
      <c r="C82" s="1"/>
      <c r="D82" s="1"/>
      <c r="E82" s="3"/>
      <c r="F82" s="3"/>
      <c r="G82" s="19"/>
      <c r="H82" s="3"/>
      <c r="I82" s="3"/>
      <c r="J82" s="3"/>
      <c r="K82" s="3"/>
    </row>
    <row r="83" spans="1:11" hidden="1">
      <c r="F83" s="270" t="s">
        <v>1</v>
      </c>
      <c r="G83" s="270"/>
      <c r="H83" s="270"/>
      <c r="I83" s="270"/>
      <c r="J83" s="1"/>
      <c r="K83" s="8"/>
    </row>
    <row r="84" spans="1:11" hidden="1"/>
    <row r="85" spans="1:11" hidden="1"/>
    <row r="86" spans="1:11" hidden="1">
      <c r="F86" s="271"/>
      <c r="G86" s="271"/>
      <c r="H86" s="271"/>
      <c r="I86" s="271"/>
      <c r="J86" s="1"/>
      <c r="K86" s="1"/>
    </row>
    <row r="87" spans="1:11" hidden="1"/>
    <row r="88" spans="1:11" hidden="1"/>
    <row r="89" spans="1:11" hidden="1"/>
    <row r="90" spans="1:11" hidden="1"/>
    <row r="91" spans="1:11" hidden="1"/>
    <row r="92" spans="1:11" hidden="1"/>
    <row r="95" spans="1:11" ht="22.5">
      <c r="A95" s="274" t="s">
        <v>44</v>
      </c>
      <c r="B95" s="274"/>
      <c r="C95" s="274"/>
      <c r="D95" s="274"/>
      <c r="E95" s="274"/>
      <c r="F95" s="274"/>
      <c r="G95" s="274"/>
      <c r="H95" s="274"/>
      <c r="I95" s="274"/>
      <c r="J95" s="274"/>
      <c r="K95" s="274"/>
    </row>
    <row r="96" spans="1:11">
      <c r="A96" s="275" t="s">
        <v>222</v>
      </c>
      <c r="B96" s="275"/>
      <c r="C96" s="275"/>
      <c r="D96" s="275"/>
      <c r="E96" s="275"/>
      <c r="F96" s="275"/>
      <c r="G96" s="275"/>
      <c r="H96" s="275"/>
      <c r="I96" s="275"/>
      <c r="J96" s="275"/>
      <c r="K96" s="275"/>
    </row>
    <row r="98" spans="1:14">
      <c r="A98" s="276" t="s">
        <v>11</v>
      </c>
      <c r="B98" s="276" t="s">
        <v>3</v>
      </c>
      <c r="C98" s="276" t="s">
        <v>10</v>
      </c>
      <c r="D98" s="276" t="s">
        <v>8</v>
      </c>
      <c r="E98" s="278" t="s">
        <v>4</v>
      </c>
      <c r="F98" s="278"/>
      <c r="G98" s="288" t="s">
        <v>6</v>
      </c>
      <c r="H98" s="289"/>
      <c r="I98" s="290"/>
      <c r="J98" s="279" t="s">
        <v>7</v>
      </c>
      <c r="K98" s="280"/>
    </row>
    <row r="99" spans="1:14">
      <c r="A99" s="277"/>
      <c r="B99" s="277"/>
      <c r="C99" s="277"/>
      <c r="D99" s="277"/>
      <c r="E99" s="125" t="s">
        <v>9</v>
      </c>
      <c r="F99" s="125" t="s">
        <v>5</v>
      </c>
      <c r="G99" s="20" t="s">
        <v>14</v>
      </c>
      <c r="H99" s="125" t="s">
        <v>9</v>
      </c>
      <c r="I99" s="125" t="s">
        <v>5</v>
      </c>
      <c r="J99" s="125" t="s">
        <v>9</v>
      </c>
      <c r="K99" s="125" t="s">
        <v>5</v>
      </c>
    </row>
    <row r="100" spans="1:14">
      <c r="A100" s="18" t="s">
        <v>13</v>
      </c>
      <c r="B100" s="2" t="s">
        <v>24</v>
      </c>
      <c r="C100" s="2" t="s">
        <v>305</v>
      </c>
      <c r="D100" s="2" t="s">
        <v>70</v>
      </c>
      <c r="E100" s="4">
        <v>100000</v>
      </c>
      <c r="F100" s="4">
        <v>6300</v>
      </c>
      <c r="G100" s="21"/>
      <c r="H100" s="4"/>
      <c r="I100" s="4"/>
      <c r="J100" s="4"/>
      <c r="K100" s="4"/>
    </row>
    <row r="101" spans="1:14">
      <c r="A101" s="18" t="s">
        <v>13</v>
      </c>
      <c r="B101" s="2"/>
      <c r="C101" s="2"/>
      <c r="D101" s="2"/>
      <c r="E101" s="4"/>
      <c r="F101" s="4"/>
      <c r="G101" s="40" t="s">
        <v>316</v>
      </c>
      <c r="H101" s="4">
        <v>24940</v>
      </c>
      <c r="I101" s="4"/>
      <c r="J101" s="4">
        <f>+E100-H101</f>
        <v>75060</v>
      </c>
      <c r="K101" s="4"/>
    </row>
    <row r="102" spans="1:14">
      <c r="A102" s="18" t="s">
        <v>13</v>
      </c>
      <c r="B102" s="2"/>
      <c r="C102" s="2"/>
      <c r="D102" s="2"/>
      <c r="E102" s="4"/>
      <c r="F102" s="4"/>
      <c r="G102" s="21"/>
      <c r="H102" s="4">
        <v>25040</v>
      </c>
      <c r="I102" s="4"/>
      <c r="J102" s="4">
        <f>+J101-H102</f>
        <v>50020</v>
      </c>
      <c r="K102" s="4"/>
    </row>
    <row r="103" spans="1:14">
      <c r="A103" s="18" t="s">
        <v>13</v>
      </c>
      <c r="B103" s="2"/>
      <c r="C103" s="2"/>
      <c r="D103" s="2"/>
      <c r="E103" s="4"/>
      <c r="F103" s="4"/>
      <c r="G103" s="40" t="s">
        <v>318</v>
      </c>
      <c r="H103" s="4">
        <v>25000</v>
      </c>
      <c r="I103" s="4"/>
      <c r="J103" s="4">
        <f t="shared" ref="J103:J106" si="7">+J102-H103</f>
        <v>25020</v>
      </c>
      <c r="K103" s="4"/>
    </row>
    <row r="104" spans="1:14">
      <c r="A104" s="18" t="s">
        <v>13</v>
      </c>
      <c r="B104" s="2"/>
      <c r="C104" s="2"/>
      <c r="D104" s="2"/>
      <c r="E104" s="4"/>
      <c r="F104" s="4"/>
      <c r="G104" s="40" t="s">
        <v>337</v>
      </c>
      <c r="H104" s="4">
        <v>24020</v>
      </c>
      <c r="I104" s="4"/>
      <c r="J104" s="4">
        <f t="shared" si="7"/>
        <v>1000</v>
      </c>
      <c r="K104" s="4"/>
    </row>
    <row r="105" spans="1:14">
      <c r="A105" s="18"/>
      <c r="B105" s="2"/>
      <c r="C105" s="2"/>
      <c r="D105" s="56"/>
      <c r="E105" s="57"/>
      <c r="F105" s="57"/>
      <c r="G105" s="58"/>
      <c r="H105" s="57">
        <f>SUM(H101:H104)</f>
        <v>99000</v>
      </c>
      <c r="I105" s="57">
        <v>6300</v>
      </c>
      <c r="J105" s="57"/>
      <c r="K105" s="4"/>
      <c r="L105" s="50">
        <f>+H105*I105</f>
        <v>623700000</v>
      </c>
      <c r="M105" s="3">
        <v>630000000</v>
      </c>
      <c r="N105" s="50">
        <f>+M105-L105</f>
        <v>6300000</v>
      </c>
    </row>
    <row r="106" spans="1:14">
      <c r="A106" s="18"/>
      <c r="B106" s="24" t="s">
        <v>24</v>
      </c>
      <c r="C106" s="24"/>
      <c r="D106" s="56" t="s">
        <v>176</v>
      </c>
      <c r="E106" s="57">
        <v>56000</v>
      </c>
      <c r="F106" s="57">
        <v>4550</v>
      </c>
      <c r="G106" s="58"/>
      <c r="H106" s="57"/>
      <c r="I106" s="57"/>
      <c r="J106" s="25">
        <f t="shared" si="7"/>
        <v>0</v>
      </c>
      <c r="K106" s="4"/>
    </row>
    <row r="107" spans="1:14">
      <c r="A107" s="18"/>
      <c r="B107" s="2"/>
      <c r="C107" s="2"/>
      <c r="D107" s="2"/>
      <c r="E107" s="4"/>
      <c r="F107" s="4"/>
      <c r="G107" s="40" t="s">
        <v>322</v>
      </c>
      <c r="H107" s="4">
        <v>28500</v>
      </c>
      <c r="I107" s="4"/>
      <c r="J107" s="4">
        <f>E106-H107</f>
        <v>27500</v>
      </c>
      <c r="K107" s="4"/>
    </row>
    <row r="108" spans="1:14">
      <c r="A108" s="18"/>
      <c r="B108" s="2"/>
      <c r="C108" s="2"/>
      <c r="D108" s="2"/>
      <c r="E108" s="4"/>
      <c r="F108" s="4"/>
      <c r="G108" s="40"/>
      <c r="H108" s="4"/>
      <c r="I108" s="4"/>
      <c r="J108" s="4">
        <f>J107-H108</f>
        <v>27500</v>
      </c>
      <c r="K108" s="4"/>
    </row>
    <row r="109" spans="1:14">
      <c r="A109" s="18"/>
      <c r="B109" s="2"/>
      <c r="C109" s="2"/>
      <c r="D109" s="2"/>
      <c r="E109" s="4"/>
      <c r="F109" s="4"/>
      <c r="G109" s="21"/>
      <c r="H109" s="4"/>
      <c r="I109" s="4"/>
      <c r="J109" s="4">
        <f>J108-H109</f>
        <v>27500</v>
      </c>
      <c r="K109" s="4"/>
    </row>
    <row r="110" spans="1:14">
      <c r="A110" s="291" t="s">
        <v>15</v>
      </c>
      <c r="B110" s="292"/>
      <c r="C110" s="13"/>
      <c r="D110" s="13" t="s">
        <v>268</v>
      </c>
      <c r="E110" s="153">
        <v>55000</v>
      </c>
      <c r="F110" s="14">
        <v>5800</v>
      </c>
      <c r="G110" s="22"/>
      <c r="H110" s="14"/>
      <c r="I110" s="14"/>
      <c r="J110" s="14"/>
      <c r="K110" s="14"/>
      <c r="L110" s="3">
        <f>+H110*I110</f>
        <v>0</v>
      </c>
      <c r="M110" s="3"/>
      <c r="N110" s="3"/>
    </row>
    <row r="111" spans="1:14">
      <c r="A111" s="18"/>
      <c r="B111" s="2" t="s">
        <v>24</v>
      </c>
      <c r="C111" s="2"/>
      <c r="D111" s="2"/>
      <c r="E111" s="4"/>
      <c r="F111" s="4"/>
      <c r="G111" s="40" t="s">
        <v>435</v>
      </c>
      <c r="H111" s="4">
        <v>26655</v>
      </c>
      <c r="I111" s="4">
        <f>+E110-H111</f>
        <v>28345</v>
      </c>
      <c r="J111" s="4"/>
      <c r="K111" s="4"/>
    </row>
    <row r="112" spans="1:14">
      <c r="A112" s="18"/>
      <c r="B112" s="2"/>
      <c r="C112" s="2"/>
      <c r="D112" s="2"/>
      <c r="E112" s="4"/>
      <c r="F112" s="4"/>
      <c r="G112" s="40" t="s">
        <v>440</v>
      </c>
      <c r="H112" s="4">
        <v>26690</v>
      </c>
      <c r="I112" s="4">
        <f>+I111-H112</f>
        <v>1655</v>
      </c>
      <c r="J112" s="4"/>
      <c r="K112" s="4"/>
    </row>
    <row r="113" spans="1:12">
      <c r="A113" s="18"/>
      <c r="B113" s="2" t="s">
        <v>24</v>
      </c>
      <c r="C113" s="2"/>
      <c r="D113" s="13" t="s">
        <v>268</v>
      </c>
      <c r="E113" s="49">
        <v>56000</v>
      </c>
      <c r="F113" s="49">
        <v>6200</v>
      </c>
      <c r="G113" s="21"/>
      <c r="H113" s="4"/>
      <c r="I113" s="4"/>
      <c r="J113" s="4"/>
      <c r="K113" s="4"/>
    </row>
    <row r="114" spans="1:12">
      <c r="A114" s="18"/>
      <c r="B114" s="2"/>
      <c r="C114" s="2"/>
      <c r="D114" s="2"/>
      <c r="E114" s="4"/>
      <c r="F114" s="4"/>
      <c r="G114" s="40" t="s">
        <v>448</v>
      </c>
      <c r="H114" s="4">
        <v>26945</v>
      </c>
      <c r="I114" s="4">
        <f>+E113-H114</f>
        <v>29055</v>
      </c>
      <c r="J114" s="4"/>
      <c r="K114" s="4"/>
    </row>
    <row r="115" spans="1:12">
      <c r="A115" s="18"/>
      <c r="B115" s="2"/>
      <c r="C115" s="2"/>
      <c r="D115" s="2"/>
      <c r="E115" s="4"/>
      <c r="F115" s="4"/>
      <c r="G115" s="40" t="s">
        <v>455</v>
      </c>
      <c r="H115" s="4">
        <v>20755</v>
      </c>
      <c r="I115" s="4">
        <f>I114-H115</f>
        <v>8300</v>
      </c>
      <c r="J115" s="4"/>
      <c r="K115" s="4"/>
    </row>
    <row r="116" spans="1:12">
      <c r="A116" s="18"/>
      <c r="B116" s="2"/>
      <c r="C116" s="2"/>
      <c r="D116" s="2"/>
      <c r="E116" s="4"/>
      <c r="F116" s="4"/>
      <c r="G116" s="40"/>
      <c r="H116" s="4"/>
      <c r="I116" s="4"/>
      <c r="J116" s="4"/>
      <c r="K116" s="4"/>
    </row>
    <row r="117" spans="1:12">
      <c r="A117" s="18"/>
      <c r="B117" s="2" t="s">
        <v>24</v>
      </c>
      <c r="C117" s="2" t="s">
        <v>527</v>
      </c>
      <c r="D117" s="13" t="s">
        <v>268</v>
      </c>
      <c r="E117" s="4">
        <v>27000</v>
      </c>
      <c r="F117" s="4">
        <v>6350</v>
      </c>
      <c r="G117" s="21"/>
      <c r="H117" s="4"/>
      <c r="I117" s="4"/>
      <c r="J117" s="4"/>
      <c r="K117" s="4"/>
    </row>
    <row r="118" spans="1:12">
      <c r="A118" s="18"/>
      <c r="B118" s="2"/>
      <c r="C118" s="2">
        <v>15.5</v>
      </c>
      <c r="D118" s="2"/>
      <c r="E118" s="4"/>
      <c r="F118" s="4"/>
      <c r="G118" s="40" t="s">
        <v>530</v>
      </c>
      <c r="H118" s="4">
        <v>26630</v>
      </c>
      <c r="I118" s="4"/>
      <c r="J118" s="4"/>
      <c r="K118" s="4"/>
    </row>
    <row r="119" spans="1:12">
      <c r="A119" s="18"/>
      <c r="B119" s="2"/>
      <c r="C119" s="2"/>
      <c r="D119" s="2"/>
      <c r="E119" s="4"/>
      <c r="F119" s="4"/>
      <c r="G119" s="21"/>
      <c r="H119" s="4"/>
      <c r="I119" s="4"/>
      <c r="J119" s="4"/>
      <c r="K119" s="4"/>
    </row>
    <row r="120" spans="1:12">
      <c r="A120" s="18"/>
      <c r="B120" s="2"/>
      <c r="C120" s="2"/>
      <c r="D120" s="2"/>
      <c r="E120" s="4"/>
      <c r="F120" s="4"/>
      <c r="G120" s="21"/>
      <c r="H120" s="4"/>
      <c r="I120" s="4"/>
      <c r="J120" s="4"/>
      <c r="K120" s="4"/>
    </row>
    <row r="121" spans="1:12">
      <c r="A121" s="18"/>
      <c r="B121" s="2"/>
      <c r="C121" s="2"/>
      <c r="D121" s="2"/>
      <c r="E121" s="4"/>
      <c r="F121" s="4"/>
      <c r="G121" s="21"/>
      <c r="H121" s="4"/>
      <c r="I121" s="4"/>
      <c r="J121" s="4"/>
      <c r="K121" s="4"/>
    </row>
    <row r="122" spans="1:12">
      <c r="A122" s="18" t="s">
        <v>13</v>
      </c>
      <c r="B122" s="60" t="s">
        <v>24</v>
      </c>
      <c r="C122" s="2"/>
      <c r="D122" s="13" t="s">
        <v>268</v>
      </c>
      <c r="E122" s="4">
        <v>55000</v>
      </c>
      <c r="F122" s="4">
        <v>6000</v>
      </c>
      <c r="G122" s="21"/>
      <c r="H122" s="4"/>
      <c r="I122" s="4"/>
      <c r="J122" s="4"/>
      <c r="K122" s="4"/>
    </row>
    <row r="123" spans="1:12">
      <c r="A123" s="18"/>
      <c r="B123" s="60"/>
      <c r="C123" s="2"/>
      <c r="D123" s="13"/>
      <c r="E123" s="4"/>
      <c r="F123" s="4"/>
      <c r="G123" s="40" t="s">
        <v>602</v>
      </c>
      <c r="H123" s="4">
        <v>26690</v>
      </c>
      <c r="I123" s="4"/>
      <c r="J123" s="4">
        <f>+E122-H123</f>
        <v>28310</v>
      </c>
      <c r="K123" s="4"/>
    </row>
    <row r="124" spans="1:12">
      <c r="A124" s="18"/>
      <c r="B124" s="2"/>
      <c r="C124" s="2"/>
      <c r="D124" s="2"/>
      <c r="E124" s="4"/>
      <c r="F124" s="4"/>
      <c r="G124" s="40" t="s">
        <v>609</v>
      </c>
      <c r="H124" s="4">
        <v>22580</v>
      </c>
      <c r="I124" s="4"/>
      <c r="J124" s="4">
        <f>+J123-H124</f>
        <v>5730</v>
      </c>
      <c r="K124" s="4"/>
    </row>
    <row r="125" spans="1:12">
      <c r="A125" s="18" t="s">
        <v>13</v>
      </c>
      <c r="B125" s="60" t="s">
        <v>24</v>
      </c>
      <c r="C125" s="60" t="s">
        <v>555</v>
      </c>
      <c r="D125" s="60" t="s">
        <v>556</v>
      </c>
      <c r="E125" s="49">
        <v>200000</v>
      </c>
      <c r="F125" s="49">
        <v>7550</v>
      </c>
      <c r="G125" s="66"/>
      <c r="H125" s="49"/>
      <c r="I125" s="49"/>
      <c r="J125" s="49"/>
      <c r="K125" s="49"/>
      <c r="L125" s="3">
        <v>755000000</v>
      </c>
    </row>
    <row r="126" spans="1:12">
      <c r="A126" s="18"/>
      <c r="B126" s="2" t="s">
        <v>557</v>
      </c>
      <c r="C126" s="2"/>
      <c r="D126" s="2"/>
      <c r="E126" s="4"/>
      <c r="F126" s="4"/>
      <c r="G126" s="40" t="s">
        <v>615</v>
      </c>
      <c r="H126" s="4">
        <v>32180</v>
      </c>
      <c r="I126" s="4"/>
      <c r="J126" s="4">
        <f>+E125-H126</f>
        <v>167820</v>
      </c>
      <c r="K126" s="4"/>
    </row>
    <row r="127" spans="1:12">
      <c r="A127" s="18"/>
      <c r="B127" s="2" t="s">
        <v>614</v>
      </c>
      <c r="C127" s="2"/>
      <c r="D127" s="2"/>
      <c r="E127" s="4"/>
      <c r="F127" s="4"/>
      <c r="G127" s="40"/>
      <c r="H127" s="4">
        <v>31000</v>
      </c>
      <c r="I127" s="4"/>
      <c r="J127" s="4">
        <f>J126-H127</f>
        <v>136820</v>
      </c>
      <c r="K127" s="4"/>
    </row>
    <row r="128" spans="1:12">
      <c r="A128" s="18"/>
      <c r="B128" s="2"/>
      <c r="C128" s="2"/>
      <c r="D128" s="2"/>
      <c r="E128" s="4"/>
      <c r="F128" s="4"/>
      <c r="G128" s="40" t="s">
        <v>616</v>
      </c>
      <c r="H128" s="4">
        <v>32820</v>
      </c>
      <c r="I128" s="4"/>
      <c r="J128" s="4">
        <f t="shared" ref="J128:J133" si="8">J127-H128</f>
        <v>104000</v>
      </c>
      <c r="K128" s="4"/>
    </row>
    <row r="129" spans="1:12">
      <c r="A129" s="18"/>
      <c r="B129" s="2"/>
      <c r="C129" s="2"/>
      <c r="D129" s="2"/>
      <c r="E129" s="4"/>
      <c r="F129" s="4"/>
      <c r="G129" s="40" t="s">
        <v>626</v>
      </c>
      <c r="H129" s="4">
        <v>30580</v>
      </c>
      <c r="I129" s="4"/>
      <c r="J129" s="4">
        <f t="shared" si="8"/>
        <v>73420</v>
      </c>
      <c r="K129" s="4"/>
    </row>
    <row r="130" spans="1:12">
      <c r="A130" s="18"/>
      <c r="B130" s="2"/>
      <c r="C130" s="2"/>
      <c r="D130" s="2"/>
      <c r="E130" s="4"/>
      <c r="F130" s="4"/>
      <c r="G130" s="40"/>
      <c r="H130" s="4">
        <v>30280</v>
      </c>
      <c r="I130" s="4"/>
      <c r="J130" s="4">
        <f t="shared" si="8"/>
        <v>43140</v>
      </c>
      <c r="K130" s="4"/>
    </row>
    <row r="131" spans="1:12">
      <c r="A131" s="18"/>
      <c r="B131" s="2"/>
      <c r="C131" s="2"/>
      <c r="D131" s="2"/>
      <c r="E131" s="4"/>
      <c r="F131" s="4"/>
      <c r="G131" s="40" t="s">
        <v>721</v>
      </c>
      <c r="H131" s="4">
        <v>33160</v>
      </c>
      <c r="I131" s="4"/>
      <c r="J131" s="4">
        <f t="shared" si="8"/>
        <v>9980</v>
      </c>
      <c r="K131" s="4"/>
    </row>
    <row r="132" spans="1:12">
      <c r="A132" s="18"/>
      <c r="B132" s="2"/>
      <c r="C132" s="2"/>
      <c r="D132" s="2"/>
      <c r="E132" s="4"/>
      <c r="F132" s="4"/>
      <c r="G132" s="40"/>
      <c r="H132" s="4"/>
      <c r="I132" s="4"/>
      <c r="J132" s="4">
        <f t="shared" si="8"/>
        <v>9980</v>
      </c>
      <c r="K132" s="4"/>
    </row>
    <row r="133" spans="1:12">
      <c r="A133" s="18"/>
      <c r="B133" s="2"/>
      <c r="C133" s="2"/>
      <c r="D133" s="2"/>
      <c r="E133" s="4"/>
      <c r="F133" s="4"/>
      <c r="G133" s="40"/>
      <c r="H133" s="4"/>
      <c r="I133" s="4"/>
      <c r="J133" s="4">
        <f t="shared" si="8"/>
        <v>9980</v>
      </c>
      <c r="K133" s="4"/>
    </row>
    <row r="134" spans="1:12">
      <c r="A134" s="55"/>
      <c r="B134" s="56" t="s">
        <v>347</v>
      </c>
      <c r="C134" s="56"/>
      <c r="D134" s="56"/>
      <c r="E134" s="57"/>
      <c r="F134" s="57"/>
      <c r="G134" s="118"/>
      <c r="H134" s="57">
        <f>SUM(H126:H133)</f>
        <v>190020</v>
      </c>
      <c r="I134" s="57">
        <v>7550</v>
      </c>
      <c r="J134" s="57">
        <f>+I134*H134</f>
        <v>1434651000</v>
      </c>
      <c r="K134" s="57">
        <f>755000000*2</f>
        <v>1510000000</v>
      </c>
      <c r="L134" s="189">
        <f>+K134-J134</f>
        <v>75349000</v>
      </c>
    </row>
    <row r="135" spans="1:12">
      <c r="A135" s="18"/>
      <c r="B135" s="2" t="s">
        <v>481</v>
      </c>
      <c r="C135" s="2" t="s">
        <v>639</v>
      </c>
      <c r="D135" s="2" t="s">
        <v>640</v>
      </c>
      <c r="E135" s="4">
        <f>30000+30000+30000</f>
        <v>90000</v>
      </c>
      <c r="F135" s="4">
        <v>6400</v>
      </c>
      <c r="G135" s="40"/>
      <c r="H135" s="4"/>
      <c r="I135" s="4"/>
      <c r="J135" s="4"/>
      <c r="K135" s="4"/>
    </row>
    <row r="136" spans="1:12">
      <c r="A136" s="18"/>
      <c r="B136" s="2" t="s">
        <v>651</v>
      </c>
      <c r="C136" s="2"/>
      <c r="D136" s="2"/>
      <c r="E136" s="4"/>
      <c r="F136" s="4"/>
      <c r="G136" s="40" t="s">
        <v>652</v>
      </c>
      <c r="H136" s="4">
        <v>30040</v>
      </c>
      <c r="I136" s="4">
        <f>+E135-H136</f>
        <v>59960</v>
      </c>
      <c r="J136" s="4"/>
      <c r="K136" s="4"/>
    </row>
    <row r="137" spans="1:12">
      <c r="A137" s="18"/>
      <c r="B137" s="2"/>
      <c r="C137" s="2"/>
      <c r="D137" s="2"/>
      <c r="E137" s="4"/>
      <c r="F137" s="4"/>
      <c r="G137" s="40" t="s">
        <v>83</v>
      </c>
      <c r="H137" s="4">
        <v>30030</v>
      </c>
      <c r="I137" s="4">
        <f>+I136-H137</f>
        <v>29930</v>
      </c>
      <c r="J137" s="4"/>
      <c r="K137" s="4"/>
    </row>
    <row r="138" spans="1:12">
      <c r="A138" s="18"/>
      <c r="B138" s="2"/>
      <c r="C138" s="2"/>
      <c r="D138" s="2"/>
      <c r="E138" s="4"/>
      <c r="F138" s="4"/>
      <c r="G138" s="40" t="s">
        <v>663</v>
      </c>
      <c r="H138" s="4">
        <v>28970</v>
      </c>
      <c r="I138" s="4">
        <f>+I137-H138</f>
        <v>960</v>
      </c>
      <c r="J138" s="4"/>
      <c r="K138" s="4"/>
    </row>
    <row r="139" spans="1:12">
      <c r="A139" s="55"/>
      <c r="B139" s="56" t="s">
        <v>235</v>
      </c>
      <c r="C139" s="56"/>
      <c r="D139" s="56"/>
      <c r="E139" s="57"/>
      <c r="F139" s="57"/>
      <c r="G139" s="118"/>
      <c r="H139" s="57">
        <f>SUM(H136:H138)</f>
        <v>89040</v>
      </c>
      <c r="I139" s="57"/>
      <c r="J139" s="57"/>
      <c r="K139" s="57"/>
    </row>
    <row r="140" spans="1:12">
      <c r="A140" s="18" t="s">
        <v>13</v>
      </c>
      <c r="B140" s="2" t="s">
        <v>481</v>
      </c>
      <c r="C140" s="2" t="s">
        <v>677</v>
      </c>
      <c r="D140" s="2" t="s">
        <v>43</v>
      </c>
      <c r="E140" s="4">
        <v>100000</v>
      </c>
      <c r="F140" s="4">
        <v>6500</v>
      </c>
      <c r="G140" s="40"/>
      <c r="H140" s="4"/>
      <c r="I140" s="4"/>
      <c r="J140" s="4"/>
      <c r="K140" s="4"/>
    </row>
    <row r="141" spans="1:12">
      <c r="A141" s="18"/>
      <c r="B141" s="2"/>
      <c r="C141" s="2"/>
      <c r="D141" s="2"/>
      <c r="E141" s="4"/>
      <c r="F141" s="4"/>
      <c r="G141" s="40" t="s">
        <v>737</v>
      </c>
      <c r="H141" s="4">
        <v>23530</v>
      </c>
      <c r="I141" s="4">
        <f>+E140-H141</f>
        <v>76470</v>
      </c>
      <c r="J141" s="4"/>
      <c r="K141" s="4"/>
    </row>
    <row r="142" spans="1:12">
      <c r="A142" s="18"/>
      <c r="B142" s="2"/>
      <c r="C142" s="2"/>
      <c r="D142" s="2"/>
      <c r="E142" s="4"/>
      <c r="F142" s="4"/>
      <c r="G142" s="40" t="s">
        <v>749</v>
      </c>
      <c r="H142" s="4">
        <v>13560</v>
      </c>
      <c r="I142" s="4">
        <f>+I141-H142</f>
        <v>62910</v>
      </c>
      <c r="J142" s="4"/>
      <c r="K142" s="4"/>
    </row>
    <row r="143" spans="1:12">
      <c r="A143" s="18"/>
      <c r="B143" s="60"/>
      <c r="C143" s="60"/>
      <c r="D143" s="60"/>
      <c r="E143" s="49"/>
      <c r="F143" s="49"/>
      <c r="G143" s="40" t="s">
        <v>754</v>
      </c>
      <c r="H143" s="4">
        <v>26850</v>
      </c>
      <c r="I143" s="4">
        <f>+I142-H143</f>
        <v>36060</v>
      </c>
      <c r="J143" s="49"/>
      <c r="K143" s="49"/>
    </row>
    <row r="144" spans="1:12">
      <c r="A144" s="18"/>
      <c r="B144" s="60"/>
      <c r="C144" s="60"/>
      <c r="D144" s="60"/>
      <c r="E144" s="49"/>
      <c r="F144" s="49"/>
      <c r="G144" s="40" t="s">
        <v>803</v>
      </c>
      <c r="H144" s="4">
        <v>23840</v>
      </c>
      <c r="I144" s="4">
        <f>+I143-H144</f>
        <v>12220</v>
      </c>
      <c r="J144" s="49"/>
      <c r="K144" s="49"/>
    </row>
    <row r="145" spans="1:11">
      <c r="A145" s="55"/>
      <c r="B145" s="56" t="s">
        <v>235</v>
      </c>
      <c r="C145" s="56"/>
      <c r="D145" s="56"/>
      <c r="E145" s="57"/>
      <c r="F145" s="57"/>
      <c r="G145" s="118"/>
      <c r="H145" s="57">
        <f>SUM(H141:H144)</f>
        <v>87780</v>
      </c>
      <c r="I145" s="57"/>
      <c r="J145" s="57"/>
      <c r="K145" s="57"/>
    </row>
    <row r="146" spans="1:11">
      <c r="A146" s="18"/>
      <c r="B146" s="2"/>
      <c r="C146" s="60" t="s">
        <v>740</v>
      </c>
      <c r="D146" s="60" t="s">
        <v>43</v>
      </c>
      <c r="E146" s="49">
        <v>30000</v>
      </c>
      <c r="F146" s="49">
        <v>6650</v>
      </c>
      <c r="G146" s="40"/>
      <c r="H146" s="4"/>
      <c r="I146" s="4"/>
      <c r="J146" s="4"/>
      <c r="K146" s="4"/>
    </row>
    <row r="147" spans="1:11">
      <c r="A147" s="18"/>
      <c r="B147" s="2"/>
      <c r="C147" s="60"/>
      <c r="D147" s="60"/>
      <c r="E147" s="49"/>
      <c r="F147" s="49"/>
      <c r="G147" s="40" t="s">
        <v>744</v>
      </c>
      <c r="H147" s="4">
        <v>27980</v>
      </c>
      <c r="I147" s="4"/>
      <c r="J147" s="4"/>
      <c r="K147" s="4"/>
    </row>
    <row r="148" spans="1:11">
      <c r="A148" s="18"/>
      <c r="B148" s="2"/>
      <c r="C148" s="108" t="s">
        <v>760</v>
      </c>
      <c r="D148" s="60" t="s">
        <v>647</v>
      </c>
      <c r="E148" s="49">
        <v>30000</v>
      </c>
      <c r="F148" s="49">
        <v>6800</v>
      </c>
      <c r="G148" s="21"/>
      <c r="H148" s="4"/>
      <c r="I148" s="4"/>
      <c r="J148" s="4"/>
      <c r="K148" s="4"/>
    </row>
    <row r="149" spans="1:11">
      <c r="A149" s="18"/>
      <c r="B149" s="2"/>
      <c r="C149" s="2"/>
      <c r="D149" s="2"/>
      <c r="E149" s="4"/>
      <c r="F149" s="4"/>
      <c r="G149" s="40" t="s">
        <v>749</v>
      </c>
      <c r="H149" s="4">
        <v>29020</v>
      </c>
      <c r="I149" s="4"/>
      <c r="J149" s="4"/>
      <c r="K149" s="4"/>
    </row>
    <row r="150" spans="1:11">
      <c r="A150" s="18"/>
      <c r="B150" s="2"/>
      <c r="C150" s="2" t="s">
        <v>761</v>
      </c>
      <c r="D150" s="60" t="s">
        <v>647</v>
      </c>
      <c r="E150" s="49">
        <v>30000</v>
      </c>
      <c r="F150" s="49">
        <v>7100</v>
      </c>
      <c r="G150" s="21"/>
      <c r="H150" s="4"/>
      <c r="I150" s="4"/>
      <c r="J150" s="4"/>
      <c r="K150" s="4"/>
    </row>
    <row r="151" spans="1:11">
      <c r="A151" s="18"/>
      <c r="B151" s="2"/>
      <c r="C151" s="2"/>
      <c r="D151" s="2"/>
      <c r="E151" s="4"/>
      <c r="F151" s="4"/>
      <c r="G151" s="40" t="s">
        <v>762</v>
      </c>
      <c r="H151" s="4">
        <v>29950</v>
      </c>
      <c r="I151" s="4"/>
      <c r="J151" s="4"/>
      <c r="K151" s="4"/>
    </row>
    <row r="152" spans="1:11">
      <c r="A152" s="18"/>
      <c r="B152" s="2"/>
      <c r="C152" s="2"/>
      <c r="D152" s="2"/>
      <c r="E152" s="4"/>
      <c r="F152" s="4"/>
      <c r="G152" s="21"/>
      <c r="H152" s="4"/>
      <c r="I152" s="4"/>
      <c r="J152" s="4"/>
      <c r="K152" s="4"/>
    </row>
    <row r="153" spans="1:11">
      <c r="A153" s="55"/>
      <c r="B153" s="56" t="s">
        <v>15</v>
      </c>
      <c r="C153" s="56"/>
      <c r="D153" s="56"/>
      <c r="E153" s="57"/>
      <c r="F153" s="57"/>
      <c r="G153" s="58"/>
      <c r="H153" s="57"/>
      <c r="I153" s="57"/>
      <c r="J153" s="57"/>
      <c r="K153" s="57"/>
    </row>
    <row r="154" spans="1:11">
      <c r="A154" s="18"/>
      <c r="B154" s="60"/>
      <c r="C154" s="60"/>
      <c r="D154" s="60"/>
      <c r="E154" s="4"/>
      <c r="F154" s="4"/>
      <c r="G154" s="21"/>
      <c r="H154" s="4"/>
      <c r="I154" s="4"/>
      <c r="J154" s="4"/>
      <c r="K154" s="4"/>
    </row>
    <row r="155" spans="1:11">
      <c r="A155" s="18"/>
      <c r="B155" s="2"/>
      <c r="C155" s="2"/>
      <c r="D155" s="2"/>
      <c r="E155" s="4"/>
      <c r="F155" s="4"/>
      <c r="G155" s="40"/>
      <c r="H155" s="4"/>
      <c r="I155" s="4"/>
      <c r="J155" s="4"/>
      <c r="K155" s="4"/>
    </row>
    <row r="156" spans="1:11">
      <c r="A156" s="18"/>
      <c r="B156" s="2"/>
      <c r="C156" s="2"/>
      <c r="D156" s="2"/>
      <c r="E156" s="4"/>
      <c r="F156" s="4"/>
      <c r="G156" s="21"/>
      <c r="H156" s="4"/>
      <c r="I156" s="4"/>
      <c r="J156" s="4"/>
      <c r="K156" s="4"/>
    </row>
    <row r="157" spans="1:11">
      <c r="A157" s="18"/>
      <c r="B157" s="2"/>
      <c r="C157" s="2"/>
      <c r="D157" s="2"/>
      <c r="E157" s="4"/>
      <c r="F157" s="4"/>
      <c r="G157" s="21"/>
      <c r="H157" s="4"/>
      <c r="I157" s="4"/>
      <c r="J157" s="4"/>
      <c r="K157" s="4"/>
    </row>
    <row r="158" spans="1:11">
      <c r="A158" s="18"/>
      <c r="B158" s="2"/>
      <c r="C158" s="2"/>
      <c r="D158" s="2"/>
      <c r="E158" s="4"/>
      <c r="F158" s="4"/>
      <c r="G158" s="21"/>
      <c r="H158" s="4"/>
      <c r="I158" s="4"/>
      <c r="J158" s="4"/>
      <c r="K158" s="4"/>
    </row>
    <row r="159" spans="1:11">
      <c r="A159" s="18"/>
      <c r="B159" s="2"/>
      <c r="C159" s="2"/>
      <c r="D159" s="2"/>
      <c r="E159" s="4"/>
      <c r="F159" s="4"/>
      <c r="G159" s="21"/>
      <c r="H159" s="4"/>
      <c r="I159" s="4"/>
      <c r="J159" s="4"/>
      <c r="K159" s="4"/>
    </row>
    <row r="160" spans="1:11">
      <c r="A160" s="18"/>
      <c r="B160" s="2"/>
      <c r="C160" s="2"/>
      <c r="D160" s="2"/>
      <c r="E160" s="4"/>
      <c r="F160" s="4"/>
      <c r="G160" s="21"/>
      <c r="H160" s="4"/>
      <c r="I160" s="4"/>
      <c r="J160" s="4"/>
      <c r="K160" s="4"/>
    </row>
    <row r="161" spans="1:11">
      <c r="A161" s="18"/>
      <c r="B161" s="2"/>
      <c r="C161" s="2"/>
      <c r="D161" s="2"/>
      <c r="E161" s="4"/>
      <c r="F161" s="4"/>
      <c r="G161" s="21"/>
      <c r="H161" s="4"/>
      <c r="I161" s="4"/>
      <c r="J161" s="4"/>
      <c r="K161" s="4"/>
    </row>
    <row r="162" spans="1:11">
      <c r="A162" s="18"/>
      <c r="B162" s="2"/>
      <c r="C162" s="2"/>
      <c r="D162" s="2"/>
      <c r="E162" s="4"/>
      <c r="F162" s="4"/>
      <c r="G162" s="21"/>
      <c r="H162" s="4"/>
      <c r="I162" s="4"/>
      <c r="J162" s="4"/>
      <c r="K162" s="4"/>
    </row>
    <row r="163" spans="1:11">
      <c r="A163" s="18"/>
      <c r="B163" s="2"/>
      <c r="C163" s="2"/>
      <c r="D163" s="2"/>
      <c r="E163" s="4"/>
      <c r="F163" s="4"/>
      <c r="G163" s="21"/>
      <c r="H163" s="4"/>
      <c r="I163" s="4"/>
      <c r="J163" s="4"/>
      <c r="K163" s="4"/>
    </row>
    <row r="164" spans="1:11">
      <c r="A164" s="18"/>
      <c r="B164" s="2"/>
      <c r="C164" s="2"/>
      <c r="D164" s="2"/>
      <c r="E164" s="4"/>
      <c r="F164" s="4"/>
      <c r="G164" s="21"/>
      <c r="H164" s="4"/>
      <c r="I164" s="4"/>
      <c r="J164" s="4"/>
      <c r="K164" s="4"/>
    </row>
    <row r="165" spans="1:11">
      <c r="A165" s="18"/>
      <c r="B165" s="2"/>
      <c r="C165" s="2"/>
      <c r="D165" s="2"/>
      <c r="E165" s="4"/>
      <c r="F165" s="4"/>
      <c r="G165" s="21"/>
      <c r="H165" s="4"/>
      <c r="I165" s="4"/>
      <c r="J165" s="4"/>
      <c r="K165" s="4"/>
    </row>
    <row r="166" spans="1:11">
      <c r="A166" s="18"/>
      <c r="B166" s="2"/>
      <c r="C166" s="2"/>
      <c r="D166" s="2"/>
      <c r="E166" s="4"/>
      <c r="F166" s="4"/>
      <c r="G166" s="21"/>
      <c r="H166" s="4"/>
      <c r="I166" s="4"/>
      <c r="J166" s="4"/>
      <c r="K166" s="4"/>
    </row>
    <row r="167" spans="1:11">
      <c r="A167" s="18"/>
      <c r="B167" s="2"/>
      <c r="C167" s="2"/>
      <c r="D167" s="2"/>
      <c r="E167" s="4"/>
      <c r="F167" s="4"/>
      <c r="G167" s="21"/>
      <c r="H167" s="4"/>
      <c r="I167" s="4"/>
      <c r="J167" s="4"/>
      <c r="K167" s="4"/>
    </row>
    <row r="168" spans="1:11">
      <c r="A168" s="18"/>
      <c r="B168" s="2"/>
      <c r="C168" s="2"/>
      <c r="D168" s="2"/>
      <c r="E168" s="4"/>
      <c r="F168" s="4"/>
      <c r="G168" s="21"/>
      <c r="H168" s="4"/>
      <c r="I168" s="4"/>
      <c r="J168" s="4"/>
      <c r="K168" s="4"/>
    </row>
    <row r="169" spans="1:11">
      <c r="A169" s="18"/>
      <c r="B169" s="2"/>
      <c r="C169" s="2"/>
      <c r="D169" s="2"/>
      <c r="E169" s="4"/>
      <c r="F169" s="4"/>
      <c r="G169" s="21"/>
      <c r="H169" s="4"/>
      <c r="I169" s="4"/>
      <c r="J169" s="4"/>
      <c r="K169" s="4"/>
    </row>
    <row r="170" spans="1:11">
      <c r="A170" s="18"/>
      <c r="B170" s="2"/>
      <c r="C170" s="2"/>
      <c r="D170" s="2"/>
      <c r="E170" s="4"/>
      <c r="F170" s="4"/>
      <c r="G170" s="21"/>
      <c r="H170" s="4"/>
      <c r="I170" s="4"/>
      <c r="J170" s="4"/>
      <c r="K170" s="4"/>
    </row>
    <row r="171" spans="1:11">
      <c r="A171" s="18"/>
      <c r="B171" s="2"/>
      <c r="C171" s="2"/>
      <c r="D171" s="2"/>
      <c r="E171" s="4"/>
      <c r="F171" s="4"/>
      <c r="G171" s="21"/>
      <c r="H171" s="4"/>
      <c r="I171" s="4"/>
      <c r="J171" s="4"/>
      <c r="K171" s="4"/>
    </row>
    <row r="172" spans="1:11">
      <c r="A172" s="18"/>
      <c r="B172" s="2"/>
      <c r="C172" s="2"/>
      <c r="D172" s="2"/>
      <c r="E172" s="4"/>
      <c r="F172" s="4"/>
      <c r="G172" s="21"/>
      <c r="H172" s="4"/>
      <c r="I172" s="4"/>
      <c r="J172" s="4"/>
      <c r="K172" s="4"/>
    </row>
    <row r="173" spans="1:11">
      <c r="A173" s="281" t="s">
        <v>0</v>
      </c>
      <c r="B173" s="282"/>
      <c r="C173" s="124"/>
      <c r="D173" s="124"/>
      <c r="E173" s="5">
        <f>SUM(E100:E172)</f>
        <v>829000</v>
      </c>
      <c r="F173" s="5">
        <f>SUM(F100:F172)</f>
        <v>76200</v>
      </c>
      <c r="G173" s="23"/>
      <c r="H173" s="5">
        <f>SUM(H100:H172)</f>
        <v>1224075</v>
      </c>
      <c r="I173" s="5">
        <f>SUM(I100:I172)</f>
        <v>359715</v>
      </c>
      <c r="J173" s="5"/>
      <c r="K173" s="5"/>
    </row>
  </sheetData>
  <mergeCells count="25">
    <mergeCell ref="A110:B110"/>
    <mergeCell ref="A173:B173"/>
    <mergeCell ref="A95:K95"/>
    <mergeCell ref="A96:K96"/>
    <mergeCell ref="A98:A99"/>
    <mergeCell ref="B98:B99"/>
    <mergeCell ref="C98:C99"/>
    <mergeCell ref="D98:D99"/>
    <mergeCell ref="E98:F98"/>
    <mergeCell ref="G98:I98"/>
    <mergeCell ref="J98:K98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24:B24"/>
    <mergeCell ref="A81:B81"/>
    <mergeCell ref="F83:I83"/>
    <mergeCell ref="F86:I86"/>
  </mergeCells>
  <pageMargins left="0.28999999999999998" right="0.28999999999999998" top="0.32" bottom="0.27" header="0.23" footer="0.21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tabSelected="1" workbookViewId="0">
      <pane ySplit="5" topLeftCell="A11" activePane="bottomLeft" state="frozen"/>
      <selection pane="bottomLeft" activeCell="L3" sqref="L3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2" width="20.7109375" style="1" customWidth="1"/>
    <col min="13" max="13" width="20.28515625" style="1" customWidth="1"/>
    <col min="14" max="15" width="15.7109375" style="1" bestFit="1" customWidth="1"/>
    <col min="16" max="16384" width="9.140625" style="1"/>
  </cols>
  <sheetData>
    <row r="1" spans="1:15" ht="34.5" customHeight="1">
      <c r="A1" s="274" t="s">
        <v>884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5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1" t="s">
        <v>886</v>
      </c>
    </row>
    <row r="3" spans="1:15" ht="8.25" customHeight="1"/>
    <row r="4" spans="1:15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276" t="s">
        <v>211</v>
      </c>
      <c r="M4" s="276" t="s">
        <v>212</v>
      </c>
      <c r="N4" s="276" t="s">
        <v>213</v>
      </c>
    </row>
    <row r="5" spans="1:15" s="11" customFormat="1" ht="15" customHeight="1">
      <c r="A5" s="277"/>
      <c r="B5" s="277"/>
      <c r="C5" s="277"/>
      <c r="D5" s="277"/>
      <c r="E5" s="268" t="s">
        <v>9</v>
      </c>
      <c r="F5" s="268" t="s">
        <v>5</v>
      </c>
      <c r="G5" s="20" t="s">
        <v>14</v>
      </c>
      <c r="H5" s="268" t="s">
        <v>9</v>
      </c>
      <c r="I5" s="268" t="s">
        <v>5</v>
      </c>
      <c r="J5" s="268" t="s">
        <v>9</v>
      </c>
      <c r="K5" s="268" t="s">
        <v>5</v>
      </c>
      <c r="L5" s="277"/>
      <c r="M5" s="277"/>
      <c r="N5" s="277"/>
    </row>
    <row r="6" spans="1:15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  <c r="M6" s="2"/>
      <c r="N6" s="2"/>
    </row>
    <row r="7" spans="1:15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  <c r="M7" s="2"/>
      <c r="N7" s="2"/>
    </row>
    <row r="8" spans="1:15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  <c r="M8" s="2"/>
      <c r="N8" s="2"/>
    </row>
    <row r="9" spans="1:15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  <c r="M9" s="2"/>
      <c r="N9" s="2"/>
    </row>
    <row r="10" spans="1:15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  <c r="M10" s="60"/>
      <c r="N10" s="60"/>
    </row>
    <row r="11" spans="1:15" ht="18" customHeight="1">
      <c r="A11" s="18" t="s">
        <v>29</v>
      </c>
      <c r="B11" s="60" t="s">
        <v>883</v>
      </c>
      <c r="C11" s="154"/>
      <c r="D11" s="60" t="s">
        <v>231</v>
      </c>
      <c r="E11" s="49">
        <v>200000</v>
      </c>
      <c r="F11" s="49">
        <v>7500</v>
      </c>
      <c r="G11" s="40"/>
      <c r="H11" s="4"/>
      <c r="I11" s="4"/>
      <c r="J11" s="4"/>
      <c r="K11" s="4"/>
      <c r="L11" s="4"/>
      <c r="M11" s="49"/>
      <c r="N11" s="4"/>
    </row>
    <row r="12" spans="1:15" ht="18" customHeight="1">
      <c r="A12" s="18"/>
      <c r="B12" s="60"/>
      <c r="C12" s="154"/>
      <c r="D12" s="60"/>
      <c r="E12" s="49"/>
      <c r="F12" s="49"/>
      <c r="G12" s="40" t="s">
        <v>243</v>
      </c>
      <c r="H12" s="4">
        <v>27460</v>
      </c>
      <c r="I12" s="4"/>
      <c r="J12" s="4"/>
      <c r="K12" s="4"/>
      <c r="L12" s="4"/>
      <c r="M12" s="49"/>
      <c r="N12" s="4"/>
    </row>
    <row r="13" spans="1:15" ht="18" customHeight="1">
      <c r="A13" s="18"/>
      <c r="B13" s="60"/>
      <c r="C13" s="154"/>
      <c r="D13" s="60"/>
      <c r="E13" s="49"/>
      <c r="F13" s="49"/>
      <c r="G13" s="40"/>
      <c r="H13" s="4">
        <v>27760</v>
      </c>
      <c r="I13" s="4"/>
      <c r="J13" s="4"/>
      <c r="K13" s="4"/>
      <c r="L13" s="4"/>
      <c r="M13" s="49"/>
      <c r="N13" s="4"/>
    </row>
    <row r="14" spans="1:15" ht="18" customHeight="1">
      <c r="A14" s="18"/>
      <c r="B14" s="2"/>
      <c r="C14" s="2"/>
      <c r="D14" s="2"/>
      <c r="E14" s="4"/>
      <c r="F14" s="4"/>
      <c r="G14" s="40"/>
      <c r="H14" s="4">
        <v>29028</v>
      </c>
      <c r="I14" s="4"/>
      <c r="J14" s="4"/>
      <c r="K14" s="4"/>
      <c r="L14" s="4">
        <f t="shared" ref="L14" si="2">+H14*I14</f>
        <v>0</v>
      </c>
      <c r="M14" s="4">
        <f>300000*7800</f>
        <v>2340000000</v>
      </c>
      <c r="N14" s="101" t="s">
        <v>523</v>
      </c>
    </row>
    <row r="15" spans="1:15" ht="18" customHeight="1">
      <c r="A15" s="18"/>
      <c r="B15" s="2"/>
      <c r="C15" s="2"/>
      <c r="D15" s="2"/>
      <c r="E15" s="4"/>
      <c r="F15" s="4"/>
      <c r="G15" s="40"/>
      <c r="H15" s="4"/>
      <c r="I15" s="4"/>
      <c r="J15" s="4"/>
      <c r="K15" s="4"/>
      <c r="L15" s="4"/>
      <c r="M15" s="4"/>
      <c r="N15" s="101"/>
    </row>
    <row r="16" spans="1:15" s="15" customFormat="1" ht="18" customHeight="1">
      <c r="A16" s="291" t="s">
        <v>15</v>
      </c>
      <c r="B16" s="292"/>
      <c r="C16" s="13"/>
      <c r="D16" s="13"/>
      <c r="E16" s="14"/>
      <c r="F16" s="14"/>
      <c r="G16" s="22"/>
      <c r="H16" s="14">
        <f>SUM(H11:H15)</f>
        <v>84248</v>
      </c>
      <c r="I16" s="14"/>
      <c r="J16" s="14"/>
      <c r="K16" s="14"/>
      <c r="L16" s="14">
        <f>+H16*I16</f>
        <v>0</v>
      </c>
      <c r="M16" s="57">
        <f>SUM(M14:M15)</f>
        <v>2340000000</v>
      </c>
      <c r="N16" s="14">
        <f>+M16-L16</f>
        <v>2340000000</v>
      </c>
      <c r="O16" s="120" t="s">
        <v>599</v>
      </c>
    </row>
    <row r="17" spans="1:15" ht="18" customHeight="1">
      <c r="A17" s="18"/>
      <c r="B17" s="60"/>
      <c r="C17" s="60"/>
      <c r="D17" s="60"/>
      <c r="E17" s="49"/>
      <c r="F17" s="49"/>
      <c r="G17" s="61"/>
      <c r="H17" s="49"/>
      <c r="I17" s="49"/>
      <c r="J17" s="49"/>
      <c r="K17" s="49"/>
      <c r="L17" s="49"/>
      <c r="M17" s="49"/>
      <c r="N17" s="102"/>
      <c r="O17" s="50"/>
    </row>
    <row r="18" spans="1:15" ht="18" customHeight="1">
      <c r="A18" s="18"/>
      <c r="B18" s="2"/>
      <c r="C18" s="2"/>
      <c r="D18" s="2"/>
      <c r="E18" s="4"/>
      <c r="F18" s="4"/>
      <c r="G18" s="40"/>
      <c r="H18" s="4"/>
      <c r="I18" s="4"/>
      <c r="J18" s="4"/>
      <c r="K18" s="4"/>
      <c r="L18" s="4"/>
      <c r="M18" s="4">
        <v>142350000</v>
      </c>
      <c r="N18" s="4"/>
      <c r="O18" s="50"/>
    </row>
    <row r="19" spans="1:15" ht="18" customHeight="1">
      <c r="A19" s="18"/>
      <c r="B19" s="2"/>
      <c r="C19" s="2"/>
      <c r="D19" s="2"/>
      <c r="E19" s="4"/>
      <c r="F19" s="4"/>
      <c r="G19" s="40"/>
      <c r="H19" s="4"/>
      <c r="I19" s="4"/>
      <c r="J19" s="4"/>
      <c r="K19" s="4"/>
      <c r="L19" s="4"/>
      <c r="M19" s="4"/>
      <c r="N19" s="4"/>
      <c r="O19" s="50"/>
    </row>
    <row r="20" spans="1:15" ht="18" customHeight="1">
      <c r="A20" s="18"/>
      <c r="B20" s="2"/>
      <c r="C20" s="2"/>
      <c r="D20" s="2"/>
      <c r="E20" s="4"/>
      <c r="F20" s="4"/>
      <c r="G20" s="40"/>
      <c r="H20" s="4"/>
      <c r="I20" s="4"/>
      <c r="J20" s="4"/>
      <c r="K20" s="4"/>
      <c r="L20" s="4"/>
      <c r="M20" s="4"/>
      <c r="N20" s="4"/>
      <c r="O20" s="50"/>
    </row>
    <row r="21" spans="1:15" ht="18" customHeight="1">
      <c r="A21" s="18"/>
      <c r="B21" s="2"/>
      <c r="C21" s="2"/>
      <c r="D21" s="2"/>
      <c r="E21" s="4"/>
      <c r="F21" s="4"/>
      <c r="G21" s="40"/>
      <c r="H21" s="4"/>
      <c r="I21" s="4"/>
      <c r="J21" s="4"/>
      <c r="K21" s="4"/>
      <c r="L21" s="4"/>
      <c r="M21" s="4"/>
      <c r="N21" s="4"/>
      <c r="O21" s="50"/>
    </row>
    <row r="22" spans="1:15" ht="18" customHeight="1">
      <c r="A22" s="18"/>
      <c r="B22" s="2"/>
      <c r="C22" s="2"/>
      <c r="D22" s="2"/>
      <c r="E22" s="4"/>
      <c r="F22" s="4"/>
      <c r="G22" s="40"/>
      <c r="H22" s="4"/>
      <c r="I22" s="4"/>
      <c r="J22" s="4"/>
      <c r="K22" s="4"/>
      <c r="L22" s="4"/>
      <c r="M22" s="4"/>
      <c r="N22" s="4"/>
      <c r="O22" s="50"/>
    </row>
    <row r="23" spans="1:15" ht="18" customHeight="1">
      <c r="A23" s="18"/>
      <c r="B23" s="2"/>
      <c r="C23" s="2"/>
      <c r="D23" s="2"/>
      <c r="E23" s="4"/>
      <c r="F23" s="4"/>
      <c r="G23" s="40"/>
      <c r="H23" s="4"/>
      <c r="I23" s="4"/>
      <c r="J23" s="4"/>
      <c r="K23" s="4"/>
      <c r="L23" s="4">
        <f>+I23*H23</f>
        <v>0</v>
      </c>
      <c r="M23" s="4">
        <v>138150000</v>
      </c>
      <c r="N23" s="4"/>
    </row>
    <row r="24" spans="1:15" ht="18" customHeight="1">
      <c r="A24" s="18"/>
      <c r="B24" s="2"/>
      <c r="C24" s="2"/>
      <c r="D24" s="2"/>
      <c r="E24" s="4"/>
      <c r="F24" s="4"/>
      <c r="G24" s="40"/>
      <c r="H24" s="4"/>
      <c r="I24" s="4"/>
      <c r="J24" s="4"/>
      <c r="K24" s="4"/>
      <c r="L24" s="4"/>
      <c r="M24" s="4"/>
      <c r="N24" s="4"/>
    </row>
    <row r="25" spans="1:15" ht="18" customHeight="1">
      <c r="A25" s="55"/>
      <c r="B25" s="56" t="s">
        <v>92</v>
      </c>
      <c r="C25" s="56"/>
      <c r="D25" s="56"/>
      <c r="E25" s="57"/>
      <c r="F25" s="25"/>
      <c r="G25" s="26"/>
      <c r="H25" s="57">
        <f>SUM(H18:H24)</f>
        <v>0</v>
      </c>
      <c r="I25" s="57">
        <v>6900</v>
      </c>
      <c r="J25" s="57"/>
      <c r="K25" s="57">
        <f t="shared" ref="K25" si="3">SUM(K18:K24)</f>
        <v>0</v>
      </c>
      <c r="L25" s="57">
        <f>H25*I25</f>
        <v>0</v>
      </c>
      <c r="M25" s="57">
        <f>SUM(M18:M24)</f>
        <v>280500000</v>
      </c>
      <c r="N25" s="57">
        <f>M25-L25</f>
        <v>280500000</v>
      </c>
      <c r="O25" s="119"/>
    </row>
    <row r="26" spans="1:15" ht="18" customHeight="1">
      <c r="A26" s="18"/>
      <c r="B26" s="2"/>
      <c r="C26" s="2"/>
      <c r="D26" s="2"/>
      <c r="E26" s="49"/>
      <c r="F26" s="49"/>
      <c r="G26" s="61"/>
      <c r="H26" s="49"/>
      <c r="I26" s="4"/>
      <c r="J26" s="4"/>
      <c r="K26" s="4"/>
      <c r="L26" s="4"/>
      <c r="M26" s="4"/>
      <c r="N26" s="4"/>
    </row>
    <row r="27" spans="1:15" ht="18" customHeight="1">
      <c r="A27" s="18"/>
      <c r="B27" s="2"/>
      <c r="C27" s="2"/>
      <c r="D27" s="2"/>
      <c r="E27" s="4"/>
      <c r="F27" s="4"/>
      <c r="G27" s="40"/>
      <c r="H27" s="4"/>
      <c r="I27" s="4"/>
      <c r="J27" s="4"/>
      <c r="K27" s="4"/>
      <c r="L27" s="4"/>
      <c r="M27" s="4"/>
      <c r="N27" s="4"/>
    </row>
    <row r="28" spans="1:15" ht="18" customHeight="1">
      <c r="A28" s="18"/>
      <c r="B28" s="2"/>
      <c r="C28" s="2"/>
      <c r="D28" s="2"/>
      <c r="E28" s="4"/>
      <c r="F28" s="4"/>
      <c r="G28" s="40"/>
      <c r="H28" s="4"/>
      <c r="I28" s="4"/>
      <c r="J28" s="4"/>
      <c r="K28" s="4"/>
      <c r="L28" s="4"/>
      <c r="M28" s="4"/>
      <c r="N28" s="4"/>
    </row>
    <row r="29" spans="1:15" ht="18" customHeight="1">
      <c r="A29" s="148"/>
      <c r="B29" s="2"/>
      <c r="C29" s="60"/>
      <c r="D29" s="60"/>
      <c r="E29" s="49"/>
      <c r="F29" s="49"/>
      <c r="G29" s="66"/>
      <c r="H29" s="49"/>
      <c r="I29" s="49"/>
      <c r="J29" s="49"/>
      <c r="K29" s="4"/>
      <c r="L29" s="4"/>
      <c r="M29" s="4"/>
      <c r="N29" s="4"/>
    </row>
    <row r="30" spans="1:15" ht="18" customHeight="1">
      <c r="A30" s="148"/>
      <c r="B30" s="2"/>
      <c r="C30" s="2"/>
      <c r="D30" s="2"/>
      <c r="E30" s="4"/>
      <c r="F30" s="4"/>
      <c r="G30" s="40"/>
      <c r="H30" s="4"/>
      <c r="I30" s="4"/>
      <c r="J30" s="4"/>
      <c r="K30" s="4"/>
      <c r="L30" s="4"/>
      <c r="M30" s="4"/>
      <c r="N30" s="4"/>
    </row>
    <row r="31" spans="1:15" ht="18" customHeight="1">
      <c r="A31" s="148"/>
      <c r="B31" s="2"/>
      <c r="C31" s="2"/>
      <c r="D31" s="2"/>
      <c r="E31" s="4"/>
      <c r="F31" s="4"/>
      <c r="G31" s="40"/>
      <c r="H31" s="4"/>
      <c r="I31" s="4"/>
      <c r="J31" s="4"/>
      <c r="K31" s="4"/>
      <c r="L31" s="4"/>
      <c r="M31" s="4"/>
      <c r="N31" s="4"/>
    </row>
    <row r="32" spans="1:15" ht="18" customHeight="1">
      <c r="A32" s="18"/>
      <c r="B32" s="2"/>
      <c r="C32" s="2"/>
      <c r="D32" s="2"/>
      <c r="E32" s="4"/>
      <c r="F32" s="4"/>
      <c r="G32" s="40"/>
      <c r="H32" s="4"/>
      <c r="I32" s="4"/>
      <c r="J32" s="4"/>
      <c r="K32" s="4"/>
      <c r="L32" s="4"/>
      <c r="M32" s="4"/>
      <c r="N32" s="4"/>
    </row>
    <row r="33" spans="1:14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  <c r="L33" s="4"/>
      <c r="M33" s="4"/>
      <c r="N33" s="4"/>
    </row>
    <row r="34" spans="1:14" ht="18" customHeight="1">
      <c r="A34" s="281" t="s">
        <v>0</v>
      </c>
      <c r="B34" s="282"/>
      <c r="C34" s="269"/>
      <c r="D34" s="269"/>
      <c r="E34" s="5">
        <f>SUM(E18:E33)</f>
        <v>0</v>
      </c>
      <c r="F34" s="5"/>
      <c r="G34" s="23"/>
      <c r="H34" s="5">
        <f>SUM(H27:H33)</f>
        <v>0</v>
      </c>
      <c r="I34" s="5"/>
      <c r="J34" s="5"/>
      <c r="K34" s="99"/>
      <c r="L34" s="100">
        <f>H34*I34</f>
        <v>0</v>
      </c>
      <c r="M34" s="14"/>
      <c r="N34" s="100"/>
    </row>
    <row r="35" spans="1:14" s="6" customFormat="1" ht="24.75" customHeight="1">
      <c r="A35" s="16"/>
      <c r="B35" s="1"/>
      <c r="C35" s="1"/>
      <c r="D35" s="1"/>
      <c r="E35" s="3"/>
      <c r="F35" s="3"/>
      <c r="G35" s="19"/>
      <c r="H35" s="3"/>
      <c r="I35" s="3"/>
      <c r="J35" s="3"/>
      <c r="K35" s="3"/>
    </row>
    <row r="36" spans="1:14">
      <c r="F36" s="270" t="s">
        <v>1</v>
      </c>
      <c r="G36" s="270"/>
      <c r="H36" s="270"/>
      <c r="I36" s="270"/>
      <c r="J36" s="1"/>
      <c r="K36" s="8"/>
    </row>
    <row r="39" spans="1:14">
      <c r="F39" s="271"/>
      <c r="G39" s="271"/>
      <c r="H39" s="271"/>
      <c r="I39" s="271"/>
      <c r="J39" s="1"/>
      <c r="K39" s="1"/>
    </row>
  </sheetData>
  <mergeCells count="17">
    <mergeCell ref="F36:I36"/>
    <mergeCell ref="F39:I39"/>
    <mergeCell ref="L4:L5"/>
    <mergeCell ref="M4:M5"/>
    <mergeCell ref="N4:N5"/>
    <mergeCell ref="A10:B10"/>
    <mergeCell ref="A16:B16"/>
    <mergeCell ref="A34:B34"/>
    <mergeCell ref="A1:K1"/>
    <mergeCell ref="A2:K2"/>
    <mergeCell ref="A4:A5"/>
    <mergeCell ref="B4:B5"/>
    <mergeCell ref="C4:C5"/>
    <mergeCell ref="D4:D5"/>
    <mergeCell ref="E4:F4"/>
    <mergeCell ref="G4:I4"/>
    <mergeCell ref="J4:K4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100"/>
  <sheetViews>
    <sheetView workbookViewId="0">
      <pane ySplit="5" topLeftCell="A80" activePane="bottomLeft" state="frozen"/>
      <selection pane="bottomLeft" activeCell="N89" sqref="N89"/>
    </sheetView>
  </sheetViews>
  <sheetFormatPr defaultRowHeight="15"/>
  <cols>
    <col min="1" max="1" width="9" style="16" customWidth="1"/>
    <col min="2" max="2" width="11" style="1" customWidth="1"/>
    <col min="3" max="3" width="10.140625" style="1" customWidth="1"/>
    <col min="4" max="4" width="10.28515625" style="1" customWidth="1"/>
    <col min="5" max="6" width="11.7109375" style="3" customWidth="1"/>
    <col min="7" max="7" width="11.7109375" style="19" customWidth="1"/>
    <col min="8" max="8" width="11.7109375" style="3" customWidth="1"/>
    <col min="9" max="9" width="11.5703125" style="3" customWidth="1"/>
    <col min="10" max="10" width="16.140625" style="3" customWidth="1"/>
    <col min="11" max="11" width="10.42578125" style="3" customWidth="1"/>
    <col min="12" max="12" width="17" style="1" customWidth="1"/>
    <col min="13" max="13" width="16.5703125" style="1" customWidth="1"/>
    <col min="14" max="14" width="18.28515625" style="1" customWidth="1"/>
    <col min="15" max="16384" width="9.140625" style="1"/>
  </cols>
  <sheetData>
    <row r="1" spans="1:13" ht="34.5" customHeight="1">
      <c r="A1" s="274" t="s">
        <v>46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1" customHeight="1">
      <c r="A2" s="275" t="s">
        <v>541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8.25" customHeight="1"/>
    <row r="4" spans="1:13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71" t="s">
        <v>125</v>
      </c>
      <c r="M4" s="11" t="s">
        <v>604</v>
      </c>
    </row>
    <row r="5" spans="1:13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  <c r="L5" s="71"/>
    </row>
    <row r="6" spans="1:13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2"/>
    </row>
    <row r="7" spans="1:13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2"/>
    </row>
    <row r="8" spans="1:13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2"/>
    </row>
    <row r="9" spans="1:13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2"/>
    </row>
    <row r="10" spans="1:13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60"/>
    </row>
    <row r="11" spans="1:13" ht="18" hidden="1" customHeight="1">
      <c r="A11" s="18" t="s">
        <v>13</v>
      </c>
      <c r="B11" s="2" t="s">
        <v>32</v>
      </c>
      <c r="C11" s="2" t="s">
        <v>33</v>
      </c>
      <c r="D11" s="2" t="s">
        <v>34</v>
      </c>
      <c r="E11" s="4">
        <v>600000</v>
      </c>
      <c r="F11" s="4">
        <v>6000</v>
      </c>
      <c r="G11" s="21"/>
      <c r="H11" s="4"/>
      <c r="I11" s="4">
        <v>6000</v>
      </c>
      <c r="J11" s="4">
        <f>E11-H11</f>
        <v>600000</v>
      </c>
      <c r="K11" s="4">
        <f>F11</f>
        <v>6000</v>
      </c>
      <c r="L11" s="2"/>
    </row>
    <row r="12" spans="1:13" ht="18" hidden="1" customHeight="1">
      <c r="A12" s="33"/>
      <c r="B12" s="2" t="s">
        <v>32</v>
      </c>
      <c r="C12" s="2" t="s">
        <v>52</v>
      </c>
      <c r="D12" s="2" t="s">
        <v>34</v>
      </c>
      <c r="E12" s="4">
        <v>600000</v>
      </c>
      <c r="F12" s="4">
        <v>6000</v>
      </c>
      <c r="G12" s="21">
        <v>43934</v>
      </c>
      <c r="H12" s="4">
        <v>49510</v>
      </c>
      <c r="I12" s="4">
        <v>6000</v>
      </c>
      <c r="J12" s="4">
        <f t="shared" ref="J12:J19" si="2">J11-H12</f>
        <v>550490</v>
      </c>
      <c r="K12" s="4">
        <f t="shared" ref="K12:K21" si="3">F12</f>
        <v>6000</v>
      </c>
      <c r="L12" s="2" t="s">
        <v>51</v>
      </c>
    </row>
    <row r="13" spans="1:13" ht="18" hidden="1" customHeight="1">
      <c r="A13" s="18"/>
      <c r="B13" s="2" t="s">
        <v>32</v>
      </c>
      <c r="C13" s="2" t="s">
        <v>53</v>
      </c>
      <c r="D13" s="2" t="s">
        <v>34</v>
      </c>
      <c r="E13" s="4">
        <v>600000</v>
      </c>
      <c r="F13" s="4">
        <v>6000</v>
      </c>
      <c r="G13" s="21">
        <v>43936</v>
      </c>
      <c r="H13" s="4">
        <v>51460</v>
      </c>
      <c r="I13" s="4">
        <v>6000</v>
      </c>
      <c r="J13" s="4">
        <f t="shared" si="2"/>
        <v>499030</v>
      </c>
      <c r="K13" s="4">
        <f t="shared" si="3"/>
        <v>6000</v>
      </c>
      <c r="L13" s="2" t="s">
        <v>57</v>
      </c>
    </row>
    <row r="14" spans="1:13" ht="18" hidden="1" customHeight="1">
      <c r="A14" s="18"/>
      <c r="B14" s="2" t="s">
        <v>32</v>
      </c>
      <c r="C14" s="2" t="s">
        <v>54</v>
      </c>
      <c r="D14" s="2" t="s">
        <v>34</v>
      </c>
      <c r="E14" s="4">
        <v>600000</v>
      </c>
      <c r="F14" s="4">
        <v>6000</v>
      </c>
      <c r="G14" s="21">
        <v>43937</v>
      </c>
      <c r="H14" s="4">
        <v>55560</v>
      </c>
      <c r="I14" s="4">
        <v>6000</v>
      </c>
      <c r="J14" s="4">
        <f t="shared" si="2"/>
        <v>443470</v>
      </c>
      <c r="K14" s="4">
        <f t="shared" si="3"/>
        <v>6000</v>
      </c>
      <c r="L14" s="2" t="s">
        <v>57</v>
      </c>
    </row>
    <row r="15" spans="1:13" ht="18" hidden="1" customHeight="1">
      <c r="A15" s="18"/>
      <c r="B15" s="2" t="s">
        <v>32</v>
      </c>
      <c r="C15" s="2" t="s">
        <v>55</v>
      </c>
      <c r="D15" s="2" t="s">
        <v>34</v>
      </c>
      <c r="E15" s="4">
        <v>600000</v>
      </c>
      <c r="F15" s="4">
        <v>6000</v>
      </c>
      <c r="G15" s="21">
        <v>43939</v>
      </c>
      <c r="H15" s="4">
        <v>53480</v>
      </c>
      <c r="I15" s="4">
        <v>6000</v>
      </c>
      <c r="J15" s="4">
        <f t="shared" si="2"/>
        <v>389990</v>
      </c>
      <c r="K15" s="4">
        <f t="shared" si="3"/>
        <v>6000</v>
      </c>
      <c r="L15" s="2"/>
    </row>
    <row r="16" spans="1:13" ht="18" hidden="1" customHeight="1">
      <c r="A16" s="18"/>
      <c r="B16" s="2" t="s">
        <v>32</v>
      </c>
      <c r="C16" s="2" t="s">
        <v>56</v>
      </c>
      <c r="D16" s="2" t="s">
        <v>34</v>
      </c>
      <c r="E16" s="4">
        <v>600000</v>
      </c>
      <c r="F16" s="4">
        <v>6000</v>
      </c>
      <c r="G16" s="21">
        <v>43941</v>
      </c>
      <c r="H16" s="4">
        <v>53880</v>
      </c>
      <c r="I16" s="4">
        <v>6000</v>
      </c>
      <c r="J16" s="4">
        <f t="shared" si="2"/>
        <v>336110</v>
      </c>
      <c r="K16" s="4">
        <f t="shared" si="3"/>
        <v>6000</v>
      </c>
      <c r="L16" s="2"/>
    </row>
    <row r="17" spans="1:13" ht="18" hidden="1" customHeight="1">
      <c r="A17" s="18"/>
      <c r="B17" s="2" t="s">
        <v>32</v>
      </c>
      <c r="C17" s="2" t="s">
        <v>65</v>
      </c>
      <c r="D17" s="2" t="s">
        <v>34</v>
      </c>
      <c r="E17" s="4">
        <v>600000</v>
      </c>
      <c r="F17" s="4">
        <v>6000</v>
      </c>
      <c r="G17" s="21">
        <v>43942</v>
      </c>
      <c r="H17" s="4">
        <v>55540</v>
      </c>
      <c r="I17" s="4">
        <v>6000</v>
      </c>
      <c r="J17" s="4">
        <f t="shared" si="2"/>
        <v>280570</v>
      </c>
      <c r="K17" s="4">
        <f t="shared" si="3"/>
        <v>6000</v>
      </c>
      <c r="L17" s="2"/>
    </row>
    <row r="18" spans="1:13" ht="18" hidden="1" customHeight="1">
      <c r="A18" s="18"/>
      <c r="B18" s="2" t="s">
        <v>32</v>
      </c>
      <c r="C18" s="2" t="s">
        <v>66</v>
      </c>
      <c r="D18" s="2" t="s">
        <v>34</v>
      </c>
      <c r="E18" s="4">
        <v>600000</v>
      </c>
      <c r="F18" s="4">
        <v>6000</v>
      </c>
      <c r="G18" s="21">
        <v>43944</v>
      </c>
      <c r="H18" s="4">
        <v>52400</v>
      </c>
      <c r="I18" s="4">
        <v>6000</v>
      </c>
      <c r="J18" s="4">
        <f t="shared" si="2"/>
        <v>228170</v>
      </c>
      <c r="K18" s="4">
        <f t="shared" si="3"/>
        <v>6000</v>
      </c>
      <c r="L18" s="2"/>
    </row>
    <row r="19" spans="1:13" ht="18" hidden="1" customHeight="1">
      <c r="A19" s="18"/>
      <c r="B19" s="2" t="s">
        <v>32</v>
      </c>
      <c r="C19" s="2" t="s">
        <v>67</v>
      </c>
      <c r="D19" s="2" t="s">
        <v>34</v>
      </c>
      <c r="E19" s="4">
        <v>600000</v>
      </c>
      <c r="F19" s="4">
        <v>6000</v>
      </c>
      <c r="G19" s="21">
        <v>43946</v>
      </c>
      <c r="H19" s="4">
        <v>52840</v>
      </c>
      <c r="I19" s="4">
        <v>6000</v>
      </c>
      <c r="J19" s="4">
        <f t="shared" si="2"/>
        <v>175330</v>
      </c>
      <c r="K19" s="4">
        <f t="shared" si="3"/>
        <v>6000</v>
      </c>
      <c r="L19" s="2"/>
    </row>
    <row r="20" spans="1:13" ht="18" hidden="1" customHeight="1">
      <c r="A20" s="18"/>
      <c r="B20" s="2" t="s">
        <v>32</v>
      </c>
      <c r="C20" s="2" t="s">
        <v>68</v>
      </c>
      <c r="D20" s="2" t="s">
        <v>34</v>
      </c>
      <c r="E20" s="4">
        <v>600000</v>
      </c>
      <c r="F20" s="4">
        <v>6000</v>
      </c>
      <c r="G20" s="21"/>
      <c r="H20" s="4"/>
      <c r="I20" s="4">
        <v>6000</v>
      </c>
      <c r="J20" s="4"/>
      <c r="K20" s="4">
        <f>F19</f>
        <v>6000</v>
      </c>
      <c r="L20" s="2"/>
    </row>
    <row r="21" spans="1:13" ht="18" hidden="1" customHeight="1">
      <c r="A21" s="18"/>
      <c r="B21" s="2" t="s">
        <v>32</v>
      </c>
      <c r="C21" s="2" t="s">
        <v>56</v>
      </c>
      <c r="D21" s="2" t="s">
        <v>34</v>
      </c>
      <c r="E21" s="4">
        <v>600000</v>
      </c>
      <c r="F21" s="4">
        <v>6000</v>
      </c>
      <c r="G21" s="21"/>
      <c r="H21" s="4"/>
      <c r="I21" s="4">
        <v>6000</v>
      </c>
      <c r="J21" s="4"/>
      <c r="K21" s="4">
        <f t="shared" si="3"/>
        <v>6000</v>
      </c>
      <c r="L21" s="2"/>
    </row>
    <row r="22" spans="1:13" s="15" customFormat="1" ht="18" hidden="1" customHeight="1">
      <c r="A22" s="291" t="s">
        <v>15</v>
      </c>
      <c r="B22" s="292"/>
      <c r="C22" s="13"/>
      <c r="D22" s="13"/>
      <c r="E22" s="14">
        <v>600000</v>
      </c>
      <c r="F22" s="14"/>
      <c r="G22" s="22"/>
      <c r="H22" s="14">
        <f>SUM(H11:H21)</f>
        <v>424670</v>
      </c>
      <c r="I22" s="14"/>
      <c r="J22" s="14">
        <f>E22-H22</f>
        <v>175330</v>
      </c>
      <c r="K22" s="14"/>
      <c r="L22" s="60"/>
    </row>
    <row r="23" spans="1:13" ht="18" hidden="1" customHeight="1">
      <c r="A23" s="18"/>
      <c r="B23" s="2" t="s">
        <v>32</v>
      </c>
      <c r="C23" s="2" t="s">
        <v>113</v>
      </c>
      <c r="D23" s="2" t="s">
        <v>34</v>
      </c>
      <c r="E23" s="4">
        <v>1000000</v>
      </c>
      <c r="F23" s="4">
        <v>5000</v>
      </c>
      <c r="G23" s="40" t="s">
        <v>114</v>
      </c>
      <c r="H23" s="4">
        <v>27560</v>
      </c>
      <c r="I23" s="4">
        <v>5000</v>
      </c>
      <c r="J23" s="4">
        <f>+E23-H23</f>
        <v>972440</v>
      </c>
      <c r="K23" s="4" t="s">
        <v>126</v>
      </c>
      <c r="L23" s="2"/>
      <c r="M23" s="50">
        <f>+H23*I23</f>
        <v>137800000</v>
      </c>
    </row>
    <row r="24" spans="1:13" ht="18" hidden="1" customHeight="1">
      <c r="A24" s="18"/>
      <c r="B24" s="2"/>
      <c r="C24" s="2"/>
      <c r="D24" s="2"/>
      <c r="E24" s="4"/>
      <c r="F24" s="4"/>
      <c r="G24" s="40" t="s">
        <v>109</v>
      </c>
      <c r="H24" s="4">
        <v>27510</v>
      </c>
      <c r="I24" s="4">
        <v>5000</v>
      </c>
      <c r="J24" s="4">
        <f>+J23-H24</f>
        <v>944930</v>
      </c>
      <c r="K24" s="4"/>
      <c r="L24" s="2"/>
      <c r="M24" s="50">
        <f t="shared" ref="M24:M52" si="4">+H24*I24</f>
        <v>137550000</v>
      </c>
    </row>
    <row r="25" spans="1:13" ht="18" hidden="1" customHeight="1">
      <c r="A25" s="18"/>
      <c r="B25" s="2"/>
      <c r="C25" s="2"/>
      <c r="D25" s="2"/>
      <c r="E25" s="4"/>
      <c r="F25" s="4"/>
      <c r="G25" s="40" t="s">
        <v>109</v>
      </c>
      <c r="H25" s="4">
        <v>26340</v>
      </c>
      <c r="I25" s="4">
        <v>5000</v>
      </c>
      <c r="J25" s="4">
        <f t="shared" ref="J25:J52" si="5">+J24-H25</f>
        <v>918590</v>
      </c>
      <c r="K25" s="4"/>
      <c r="L25" s="72">
        <v>407050000</v>
      </c>
      <c r="M25" s="50">
        <f t="shared" si="4"/>
        <v>131700000</v>
      </c>
    </row>
    <row r="26" spans="1:13" ht="18" hidden="1" customHeight="1">
      <c r="A26" s="18"/>
      <c r="B26" s="2"/>
      <c r="C26" s="2"/>
      <c r="D26" s="2"/>
      <c r="E26" s="4"/>
      <c r="F26" s="4"/>
      <c r="G26" s="40" t="s">
        <v>124</v>
      </c>
      <c r="H26" s="4">
        <v>26580</v>
      </c>
      <c r="I26" s="4">
        <v>5000</v>
      </c>
      <c r="J26" s="4">
        <f t="shared" si="5"/>
        <v>892010</v>
      </c>
      <c r="K26" s="4"/>
      <c r="L26" s="4">
        <v>810000000</v>
      </c>
      <c r="M26" s="50">
        <f t="shared" si="4"/>
        <v>132900000</v>
      </c>
    </row>
    <row r="27" spans="1:13" ht="18" hidden="1" customHeight="1">
      <c r="A27" s="18"/>
      <c r="B27" s="2"/>
      <c r="C27" s="2"/>
      <c r="D27" s="2"/>
      <c r="E27" s="4"/>
      <c r="F27" s="4"/>
      <c r="G27" s="40" t="s">
        <v>129</v>
      </c>
      <c r="H27" s="4">
        <v>25580</v>
      </c>
      <c r="I27" s="4">
        <v>5000</v>
      </c>
      <c r="J27" s="4">
        <f t="shared" si="5"/>
        <v>866430</v>
      </c>
      <c r="K27" s="4"/>
      <c r="L27" s="2"/>
      <c r="M27" s="50">
        <f t="shared" si="4"/>
        <v>127900000</v>
      </c>
    </row>
    <row r="28" spans="1:13" ht="18" hidden="1" customHeight="1">
      <c r="A28" s="18"/>
      <c r="B28" s="2"/>
      <c r="C28" s="2"/>
      <c r="D28" s="2"/>
      <c r="E28" s="4"/>
      <c r="F28" s="4"/>
      <c r="G28" s="40" t="s">
        <v>135</v>
      </c>
      <c r="H28" s="4">
        <v>26900</v>
      </c>
      <c r="I28" s="4">
        <v>5000</v>
      </c>
      <c r="J28" s="4">
        <f t="shared" si="5"/>
        <v>839530</v>
      </c>
      <c r="K28" s="4"/>
      <c r="L28" s="2"/>
      <c r="M28" s="50">
        <f t="shared" si="4"/>
        <v>134500000</v>
      </c>
    </row>
    <row r="29" spans="1:13" ht="18" hidden="1" customHeight="1">
      <c r="A29" s="18"/>
      <c r="B29" s="2"/>
      <c r="C29" s="2"/>
      <c r="D29" s="2"/>
      <c r="E29" s="4"/>
      <c r="F29" s="4"/>
      <c r="G29" s="40" t="s">
        <v>135</v>
      </c>
      <c r="H29" s="4">
        <v>27130</v>
      </c>
      <c r="I29" s="4">
        <v>5000</v>
      </c>
      <c r="J29" s="4">
        <f t="shared" si="5"/>
        <v>812400</v>
      </c>
      <c r="K29" s="4"/>
      <c r="L29" s="2"/>
      <c r="M29" s="50">
        <f t="shared" si="4"/>
        <v>135650000</v>
      </c>
    </row>
    <row r="30" spans="1:13" ht="18" hidden="1" customHeight="1">
      <c r="A30" s="18"/>
      <c r="B30" s="2"/>
      <c r="C30" s="2"/>
      <c r="D30" s="2"/>
      <c r="E30" s="4"/>
      <c r="F30" s="4"/>
      <c r="G30" s="40" t="s">
        <v>136</v>
      </c>
      <c r="H30" s="4">
        <v>27970</v>
      </c>
      <c r="I30" s="4">
        <v>5000</v>
      </c>
      <c r="J30" s="4">
        <f t="shared" si="5"/>
        <v>784430</v>
      </c>
      <c r="K30" s="4"/>
      <c r="L30" s="2"/>
      <c r="M30" s="50">
        <f t="shared" si="4"/>
        <v>139850000</v>
      </c>
    </row>
    <row r="31" spans="1:13" ht="18" hidden="1" customHeight="1">
      <c r="A31" s="18"/>
      <c r="B31" s="2"/>
      <c r="C31" s="2"/>
      <c r="D31" s="2"/>
      <c r="E31" s="4"/>
      <c r="F31" s="4"/>
      <c r="G31" s="40" t="s">
        <v>137</v>
      </c>
      <c r="H31" s="4">
        <v>27650</v>
      </c>
      <c r="I31" s="4">
        <v>5000</v>
      </c>
      <c r="J31" s="4">
        <f t="shared" si="5"/>
        <v>756780</v>
      </c>
      <c r="K31" s="4"/>
      <c r="L31" s="2"/>
      <c r="M31" s="50">
        <f t="shared" si="4"/>
        <v>138250000</v>
      </c>
    </row>
    <row r="32" spans="1:13" ht="18" hidden="1" customHeight="1">
      <c r="A32" s="18"/>
      <c r="B32" s="2"/>
      <c r="C32" s="2"/>
      <c r="D32" s="2"/>
      <c r="E32" s="4"/>
      <c r="F32" s="4"/>
      <c r="G32" s="40" t="s">
        <v>144</v>
      </c>
      <c r="H32" s="4">
        <v>25970</v>
      </c>
      <c r="I32" s="4">
        <v>5000</v>
      </c>
      <c r="J32" s="4">
        <f t="shared" si="5"/>
        <v>730810</v>
      </c>
      <c r="K32" s="4"/>
      <c r="L32" s="4"/>
      <c r="M32" s="50">
        <f t="shared" si="4"/>
        <v>129850000</v>
      </c>
    </row>
    <row r="33" spans="1:14" ht="18" hidden="1" customHeight="1">
      <c r="A33" s="18"/>
      <c r="B33" s="2"/>
      <c r="C33" s="2"/>
      <c r="D33" s="2"/>
      <c r="E33" s="4"/>
      <c r="F33" s="4"/>
      <c r="G33" s="40" t="s">
        <v>143</v>
      </c>
      <c r="H33" s="4">
        <v>26990</v>
      </c>
      <c r="I33" s="4">
        <v>5000</v>
      </c>
      <c r="J33" s="4">
        <f t="shared" si="5"/>
        <v>703820</v>
      </c>
      <c r="K33" s="4"/>
      <c r="L33" s="4">
        <v>650000000</v>
      </c>
      <c r="M33" s="50">
        <f t="shared" si="4"/>
        <v>134950000</v>
      </c>
    </row>
    <row r="34" spans="1:14" ht="18" hidden="1" customHeight="1">
      <c r="A34" s="18"/>
      <c r="B34" s="2"/>
      <c r="C34" s="2"/>
      <c r="D34" s="2"/>
      <c r="E34" s="4"/>
      <c r="F34" s="4"/>
      <c r="G34" s="40" t="s">
        <v>143</v>
      </c>
      <c r="H34" s="4">
        <v>27340</v>
      </c>
      <c r="I34" s="4">
        <v>5000</v>
      </c>
      <c r="J34" s="4">
        <f t="shared" si="5"/>
        <v>676480</v>
      </c>
      <c r="K34" s="4"/>
      <c r="L34" s="2"/>
      <c r="M34" s="50">
        <f t="shared" si="4"/>
        <v>136700000</v>
      </c>
    </row>
    <row r="35" spans="1:14" ht="18" hidden="1" customHeight="1">
      <c r="A35" s="18"/>
      <c r="B35" s="2"/>
      <c r="C35" s="2"/>
      <c r="D35" s="2"/>
      <c r="E35" s="4"/>
      <c r="F35" s="4"/>
      <c r="G35" s="40" t="s">
        <v>143</v>
      </c>
      <c r="H35" s="4">
        <v>27100</v>
      </c>
      <c r="I35" s="4">
        <v>5000</v>
      </c>
      <c r="J35" s="4">
        <f t="shared" si="5"/>
        <v>649380</v>
      </c>
      <c r="K35" s="4"/>
      <c r="L35" s="2"/>
      <c r="M35" s="50">
        <f t="shared" si="4"/>
        <v>135500000</v>
      </c>
    </row>
    <row r="36" spans="1:14" ht="18" hidden="1" customHeight="1">
      <c r="A36" s="18"/>
      <c r="B36" s="2"/>
      <c r="C36" s="2"/>
      <c r="D36" s="2"/>
      <c r="E36" s="4"/>
      <c r="F36" s="4"/>
      <c r="G36" s="40" t="s">
        <v>145</v>
      </c>
      <c r="H36" s="4">
        <v>27230</v>
      </c>
      <c r="I36" s="4">
        <v>5000</v>
      </c>
      <c r="J36" s="4">
        <f t="shared" si="5"/>
        <v>622150</v>
      </c>
      <c r="K36" s="4"/>
      <c r="L36" s="4">
        <v>426000000</v>
      </c>
      <c r="M36" s="50">
        <f t="shared" si="4"/>
        <v>136150000</v>
      </c>
    </row>
    <row r="37" spans="1:14" ht="18" hidden="1" customHeight="1">
      <c r="A37" s="18"/>
      <c r="B37" s="2"/>
      <c r="C37" s="2"/>
      <c r="D37" s="2"/>
      <c r="E37" s="4"/>
      <c r="F37" s="4"/>
      <c r="G37" s="40" t="s">
        <v>145</v>
      </c>
      <c r="H37" s="4">
        <v>26550</v>
      </c>
      <c r="I37" s="4">
        <v>5000</v>
      </c>
      <c r="J37" s="4">
        <f t="shared" si="5"/>
        <v>595600</v>
      </c>
      <c r="K37" s="4"/>
      <c r="L37" s="4"/>
      <c r="M37" s="50">
        <f t="shared" si="4"/>
        <v>132750000</v>
      </c>
    </row>
    <row r="38" spans="1:14" ht="18" hidden="1" customHeight="1">
      <c r="A38" s="18"/>
      <c r="B38" s="2"/>
      <c r="C38" s="2"/>
      <c r="D38" s="2"/>
      <c r="E38" s="4"/>
      <c r="F38" s="4"/>
      <c r="G38" s="40" t="s">
        <v>146</v>
      </c>
      <c r="H38" s="4">
        <v>26370</v>
      </c>
      <c r="I38" s="4">
        <v>5000</v>
      </c>
      <c r="J38" s="4">
        <f t="shared" si="5"/>
        <v>569230</v>
      </c>
      <c r="K38" s="4"/>
      <c r="L38" s="4"/>
      <c r="M38" s="50">
        <f t="shared" si="4"/>
        <v>131850000</v>
      </c>
    </row>
    <row r="39" spans="1:14" ht="18" hidden="1" customHeight="1">
      <c r="A39" s="18"/>
      <c r="B39" s="2"/>
      <c r="C39" s="2"/>
      <c r="D39" s="2"/>
      <c r="E39" s="4"/>
      <c r="F39" s="4"/>
      <c r="G39" s="40" t="s">
        <v>146</v>
      </c>
      <c r="H39" s="4">
        <v>26530</v>
      </c>
      <c r="I39" s="4">
        <v>5000</v>
      </c>
      <c r="J39" s="4">
        <f t="shared" si="5"/>
        <v>542700</v>
      </c>
      <c r="K39" s="4"/>
      <c r="L39" s="4"/>
      <c r="M39" s="50">
        <f t="shared" si="4"/>
        <v>132650000</v>
      </c>
    </row>
    <row r="40" spans="1:14" ht="18" hidden="1" customHeight="1">
      <c r="A40" s="18"/>
      <c r="B40" s="2"/>
      <c r="C40" s="2"/>
      <c r="D40" s="2"/>
      <c r="E40" s="4"/>
      <c r="F40" s="4"/>
      <c r="G40" s="40" t="s">
        <v>166</v>
      </c>
      <c r="H40" s="4">
        <v>26670</v>
      </c>
      <c r="I40" s="4">
        <v>5000</v>
      </c>
      <c r="J40" s="4">
        <f t="shared" si="5"/>
        <v>516030</v>
      </c>
      <c r="K40" s="4"/>
      <c r="L40" s="4">
        <v>274000000</v>
      </c>
      <c r="M40" s="50">
        <f t="shared" si="4"/>
        <v>133350000</v>
      </c>
      <c r="N40" s="77">
        <v>44127</v>
      </c>
    </row>
    <row r="41" spans="1:14" ht="18" hidden="1" customHeight="1">
      <c r="A41" s="18"/>
      <c r="B41" s="2"/>
      <c r="C41" s="2"/>
      <c r="D41" s="2"/>
      <c r="E41" s="4"/>
      <c r="F41" s="4"/>
      <c r="G41" s="40" t="s">
        <v>155</v>
      </c>
      <c r="H41" s="4">
        <v>26250</v>
      </c>
      <c r="I41" s="4">
        <v>5000</v>
      </c>
      <c r="J41" s="4">
        <f t="shared" si="5"/>
        <v>489780</v>
      </c>
      <c r="K41" s="4"/>
      <c r="L41" s="4"/>
      <c r="M41" s="50">
        <f t="shared" si="4"/>
        <v>131250000</v>
      </c>
    </row>
    <row r="42" spans="1:14" ht="18" hidden="1" customHeight="1">
      <c r="A42" s="18"/>
      <c r="B42" s="2"/>
      <c r="C42" s="2"/>
      <c r="D42" s="2"/>
      <c r="E42" s="4"/>
      <c r="F42" s="4"/>
      <c r="G42" s="40" t="s">
        <v>195</v>
      </c>
      <c r="H42" s="4">
        <v>25570</v>
      </c>
      <c r="I42" s="4">
        <v>5000</v>
      </c>
      <c r="J42" s="4">
        <f t="shared" si="5"/>
        <v>464210</v>
      </c>
      <c r="K42" s="4"/>
      <c r="L42" s="4">
        <v>258500000</v>
      </c>
      <c r="M42" s="50">
        <f t="shared" si="4"/>
        <v>127850000</v>
      </c>
      <c r="N42" s="92" t="s">
        <v>170</v>
      </c>
    </row>
    <row r="43" spans="1:14" ht="18" hidden="1" customHeight="1">
      <c r="A43" s="18"/>
      <c r="B43" s="2"/>
      <c r="C43" s="2"/>
      <c r="D43" s="2"/>
      <c r="E43" s="4"/>
      <c r="F43" s="4"/>
      <c r="G43" s="40" t="s">
        <v>171</v>
      </c>
      <c r="H43" s="4">
        <v>26450</v>
      </c>
      <c r="I43" s="4">
        <v>5000</v>
      </c>
      <c r="J43" s="4">
        <f t="shared" si="5"/>
        <v>437760</v>
      </c>
      <c r="K43" s="4"/>
      <c r="L43" s="4"/>
      <c r="M43" s="50">
        <f t="shared" si="4"/>
        <v>132250000</v>
      </c>
    </row>
    <row r="44" spans="1:14" ht="18" hidden="1" customHeight="1">
      <c r="A44" s="18"/>
      <c r="B44" s="2"/>
      <c r="C44" s="2"/>
      <c r="D44" s="2"/>
      <c r="E44" s="4"/>
      <c r="F44" s="4"/>
      <c r="G44" s="40" t="s">
        <v>175</v>
      </c>
      <c r="H44" s="4">
        <v>27220</v>
      </c>
      <c r="I44" s="4">
        <v>5000</v>
      </c>
      <c r="J44" s="4">
        <f t="shared" si="5"/>
        <v>410540</v>
      </c>
      <c r="K44" s="4"/>
      <c r="L44" s="4">
        <v>273500000</v>
      </c>
      <c r="M44" s="50">
        <f t="shared" si="4"/>
        <v>136100000</v>
      </c>
      <c r="N44" s="92" t="s">
        <v>174</v>
      </c>
    </row>
    <row r="45" spans="1:14" ht="18" hidden="1" customHeight="1">
      <c r="A45" s="18"/>
      <c r="B45" s="2"/>
      <c r="C45" s="2"/>
      <c r="D45" s="2"/>
      <c r="E45" s="4"/>
      <c r="F45" s="4"/>
      <c r="G45" s="40" t="s">
        <v>194</v>
      </c>
      <c r="H45" s="4">
        <v>26830</v>
      </c>
      <c r="I45" s="4">
        <v>5000</v>
      </c>
      <c r="J45" s="4">
        <f t="shared" si="5"/>
        <v>383710</v>
      </c>
      <c r="K45" s="4"/>
      <c r="L45" s="4"/>
      <c r="M45" s="50">
        <f t="shared" si="4"/>
        <v>134150000</v>
      </c>
      <c r="N45" s="92"/>
    </row>
    <row r="46" spans="1:14" ht="18" hidden="1" customHeight="1">
      <c r="A46" s="18"/>
      <c r="B46" s="2"/>
      <c r="C46" s="2"/>
      <c r="D46" s="2"/>
      <c r="E46" s="4"/>
      <c r="F46" s="4"/>
      <c r="G46" s="40" t="s">
        <v>238</v>
      </c>
      <c r="H46" s="4">
        <v>26560</v>
      </c>
      <c r="I46" s="4">
        <v>5000</v>
      </c>
      <c r="J46" s="4">
        <f t="shared" si="5"/>
        <v>357150</v>
      </c>
      <c r="K46" s="4"/>
      <c r="L46" s="4">
        <v>270000000</v>
      </c>
      <c r="M46" s="50">
        <f t="shared" si="4"/>
        <v>132800000</v>
      </c>
      <c r="N46" s="92" t="s">
        <v>239</v>
      </c>
    </row>
    <row r="47" spans="1:14" ht="18" hidden="1" customHeight="1">
      <c r="A47" s="18"/>
      <c r="B47" s="2"/>
      <c r="C47" s="2"/>
      <c r="D47" s="2"/>
      <c r="E47" s="4"/>
      <c r="F47" s="4"/>
      <c r="G47" s="21"/>
      <c r="H47" s="4">
        <v>26540</v>
      </c>
      <c r="I47" s="4">
        <v>5000</v>
      </c>
      <c r="J47" s="4">
        <f t="shared" si="5"/>
        <v>330610</v>
      </c>
      <c r="K47" s="4"/>
      <c r="L47" s="4"/>
      <c r="M47" s="50">
        <f t="shared" si="4"/>
        <v>132700000</v>
      </c>
      <c r="N47" s="92"/>
    </row>
    <row r="48" spans="1:14" ht="18" hidden="1" customHeight="1">
      <c r="A48" s="18"/>
      <c r="B48" s="2"/>
      <c r="C48" s="2"/>
      <c r="D48" s="2"/>
      <c r="E48" s="4"/>
      <c r="F48" s="4"/>
      <c r="G48" s="40" t="s">
        <v>253</v>
      </c>
      <c r="H48" s="4">
        <v>27290</v>
      </c>
      <c r="I48" s="4">
        <v>5000</v>
      </c>
      <c r="J48" s="4">
        <f t="shared" si="5"/>
        <v>303320</v>
      </c>
      <c r="K48" s="4"/>
      <c r="L48" s="4">
        <v>119000000</v>
      </c>
      <c r="M48" s="50">
        <f t="shared" si="4"/>
        <v>136450000</v>
      </c>
      <c r="N48" s="92" t="s">
        <v>254</v>
      </c>
    </row>
    <row r="49" spans="1:14" ht="18" hidden="1" customHeight="1">
      <c r="A49" s="18"/>
      <c r="B49" s="2"/>
      <c r="C49" s="2"/>
      <c r="D49" s="2"/>
      <c r="E49" s="4"/>
      <c r="F49" s="4"/>
      <c r="G49" s="21"/>
      <c r="H49" s="4"/>
      <c r="I49" s="4">
        <v>5000</v>
      </c>
      <c r="J49" s="4">
        <f t="shared" si="5"/>
        <v>303320</v>
      </c>
      <c r="K49" s="4"/>
      <c r="L49" s="4"/>
      <c r="M49" s="50">
        <f t="shared" si="4"/>
        <v>0</v>
      </c>
      <c r="N49" s="92"/>
    </row>
    <row r="50" spans="1:14" ht="18" hidden="1" customHeight="1">
      <c r="A50" s="18"/>
      <c r="B50" s="2"/>
      <c r="C50" s="2"/>
      <c r="D50" s="2"/>
      <c r="E50" s="4"/>
      <c r="F50" s="4"/>
      <c r="G50" s="21"/>
      <c r="H50" s="4"/>
      <c r="I50" s="4">
        <v>5000</v>
      </c>
      <c r="J50" s="4">
        <f t="shared" si="5"/>
        <v>303320</v>
      </c>
      <c r="K50" s="4"/>
      <c r="L50" s="4"/>
      <c r="M50" s="50">
        <f t="shared" si="4"/>
        <v>0</v>
      </c>
      <c r="N50" s="92"/>
    </row>
    <row r="51" spans="1:14" ht="18" hidden="1" customHeight="1">
      <c r="A51" s="18"/>
      <c r="B51" s="2"/>
      <c r="C51" s="2"/>
      <c r="D51" s="2"/>
      <c r="E51" s="4"/>
      <c r="F51" s="4"/>
      <c r="G51" s="21"/>
      <c r="H51" s="4"/>
      <c r="I51" s="4">
        <v>5000</v>
      </c>
      <c r="J51" s="4">
        <f t="shared" si="5"/>
        <v>303320</v>
      </c>
      <c r="K51" s="4"/>
      <c r="L51" s="4"/>
      <c r="M51" s="50">
        <f t="shared" si="4"/>
        <v>0</v>
      </c>
    </row>
    <row r="52" spans="1:14" ht="18" hidden="1" customHeight="1">
      <c r="A52" s="18"/>
      <c r="B52" s="2"/>
      <c r="C52" s="2"/>
      <c r="D52" s="2"/>
      <c r="E52" s="4"/>
      <c r="F52" s="4"/>
      <c r="G52" s="21"/>
      <c r="H52" s="4"/>
      <c r="I52" s="4">
        <v>5000</v>
      </c>
      <c r="J52" s="4">
        <f t="shared" si="5"/>
        <v>303320</v>
      </c>
      <c r="K52" s="4"/>
      <c r="L52" s="4"/>
      <c r="M52" s="50">
        <f t="shared" si="4"/>
        <v>0</v>
      </c>
    </row>
    <row r="53" spans="1:14" ht="18" hidden="1" customHeight="1">
      <c r="A53" s="55" t="s">
        <v>138</v>
      </c>
      <c r="B53" s="56"/>
      <c r="C53" s="56"/>
      <c r="D53" s="56"/>
      <c r="E53" s="57"/>
      <c r="F53" s="57"/>
      <c r="G53" s="58"/>
      <c r="H53" s="57">
        <f>SUM(H23:H52)</f>
        <v>696680</v>
      </c>
      <c r="I53" s="57">
        <v>5000</v>
      </c>
      <c r="J53" s="57"/>
      <c r="K53" s="57">
        <f t="shared" ref="K53:L53" si="6">SUM(K23:K52)</f>
        <v>0</v>
      </c>
      <c r="L53" s="57">
        <f t="shared" si="6"/>
        <v>3488050000</v>
      </c>
      <c r="M53" s="75">
        <f>H53*I53</f>
        <v>3483400000</v>
      </c>
      <c r="N53" s="75">
        <f>L53-M53</f>
        <v>4650000</v>
      </c>
    </row>
    <row r="54" spans="1:14" ht="18" hidden="1" customHeight="1">
      <c r="A54" s="18"/>
      <c r="B54" s="60"/>
      <c r="C54" s="60">
        <v>15012021</v>
      </c>
      <c r="D54" s="60" t="s">
        <v>34</v>
      </c>
      <c r="E54" s="49">
        <v>200000</v>
      </c>
      <c r="F54" s="49">
        <v>6500</v>
      </c>
      <c r="G54" s="61"/>
      <c r="H54" s="49"/>
      <c r="I54" s="49"/>
      <c r="J54" s="49"/>
      <c r="K54" s="49"/>
      <c r="L54" s="49"/>
    </row>
    <row r="55" spans="1:14" ht="18" hidden="1" customHeight="1">
      <c r="A55" s="18"/>
      <c r="B55" s="2"/>
      <c r="C55" s="2"/>
      <c r="D55" s="2"/>
      <c r="E55" s="4"/>
      <c r="F55" s="4"/>
      <c r="G55" s="40" t="s">
        <v>346</v>
      </c>
      <c r="H55" s="4">
        <v>26950</v>
      </c>
      <c r="I55" s="4">
        <v>6500</v>
      </c>
      <c r="J55" s="4">
        <f>+E54-H55</f>
        <v>173050</v>
      </c>
      <c r="K55" s="4">
        <f>+I55*H55</f>
        <v>175175000</v>
      </c>
      <c r="L55" s="2"/>
    </row>
    <row r="56" spans="1:14" ht="18" hidden="1" customHeight="1">
      <c r="A56" s="18"/>
      <c r="B56" s="2"/>
      <c r="C56" s="2"/>
      <c r="D56" s="2"/>
      <c r="E56" s="4"/>
      <c r="F56" s="4"/>
      <c r="G56" s="40" t="s">
        <v>348</v>
      </c>
      <c r="H56" s="4">
        <v>25450</v>
      </c>
      <c r="I56" s="4">
        <v>6500</v>
      </c>
      <c r="J56" s="4">
        <f>+J55-H56</f>
        <v>147600</v>
      </c>
      <c r="K56" s="4">
        <f t="shared" ref="K56:K62" si="7">+I56*H56</f>
        <v>165425000</v>
      </c>
      <c r="L56" s="4">
        <v>338000000</v>
      </c>
      <c r="M56" s="92" t="s">
        <v>341</v>
      </c>
    </row>
    <row r="57" spans="1:14" ht="18" hidden="1" customHeight="1">
      <c r="A57" s="18"/>
      <c r="B57" s="2"/>
      <c r="C57" s="2"/>
      <c r="D57" s="2"/>
      <c r="E57" s="4"/>
      <c r="F57" s="4"/>
      <c r="G57" s="40" t="s">
        <v>352</v>
      </c>
      <c r="H57" s="4">
        <v>29890</v>
      </c>
      <c r="I57" s="4">
        <v>6500</v>
      </c>
      <c r="J57" s="4">
        <f t="shared" ref="J57:J66" si="8">+J56-H57</f>
        <v>117710</v>
      </c>
      <c r="K57" s="4">
        <f t="shared" si="7"/>
        <v>194285000</v>
      </c>
      <c r="L57" s="4">
        <v>338000000</v>
      </c>
      <c r="M57" s="92" t="s">
        <v>350</v>
      </c>
    </row>
    <row r="58" spans="1:14" ht="18" hidden="1" customHeight="1">
      <c r="A58" s="18"/>
      <c r="B58" s="2"/>
      <c r="C58" s="2"/>
      <c r="D58" s="2"/>
      <c r="E58" s="4"/>
      <c r="F58" s="4"/>
      <c r="G58" s="21"/>
      <c r="H58" s="25">
        <v>25470</v>
      </c>
      <c r="I58" s="25">
        <v>6500</v>
      </c>
      <c r="J58" s="4">
        <f t="shared" si="8"/>
        <v>92240</v>
      </c>
      <c r="K58" s="4">
        <f t="shared" si="7"/>
        <v>165555000</v>
      </c>
      <c r="L58" s="4"/>
      <c r="M58" s="1" t="s">
        <v>353</v>
      </c>
    </row>
    <row r="59" spans="1:14" ht="18" hidden="1" customHeight="1">
      <c r="A59" s="18"/>
      <c r="B59" s="2"/>
      <c r="C59" s="2"/>
      <c r="D59" s="2"/>
      <c r="E59" s="4"/>
      <c r="F59" s="4"/>
      <c r="G59" s="40" t="s">
        <v>362</v>
      </c>
      <c r="H59" s="4">
        <v>26780</v>
      </c>
      <c r="I59" s="4">
        <v>6500</v>
      </c>
      <c r="J59" s="4">
        <f t="shared" si="8"/>
        <v>65460</v>
      </c>
      <c r="K59" s="4">
        <f t="shared" si="7"/>
        <v>174070000</v>
      </c>
      <c r="L59" s="4">
        <v>650000000</v>
      </c>
      <c r="M59" s="147" t="s">
        <v>361</v>
      </c>
    </row>
    <row r="60" spans="1:14" ht="18" hidden="1" customHeight="1">
      <c r="A60" s="18"/>
      <c r="B60" s="2"/>
      <c r="C60" s="2"/>
      <c r="D60" s="2"/>
      <c r="E60" s="4"/>
      <c r="F60" s="4"/>
      <c r="G60" s="21"/>
      <c r="H60" s="4">
        <v>27480</v>
      </c>
      <c r="I60" s="4">
        <v>6500</v>
      </c>
      <c r="J60" s="4">
        <f t="shared" si="8"/>
        <v>37980</v>
      </c>
      <c r="K60" s="4">
        <f t="shared" si="7"/>
        <v>178620000</v>
      </c>
      <c r="L60" s="4"/>
      <c r="M60" s="1" t="s">
        <v>353</v>
      </c>
    </row>
    <row r="61" spans="1:14" ht="18" hidden="1" customHeight="1">
      <c r="A61" s="18"/>
      <c r="B61" s="2"/>
      <c r="C61" s="2"/>
      <c r="D61" s="2"/>
      <c r="E61" s="4"/>
      <c r="F61" s="4"/>
      <c r="G61" s="40" t="s">
        <v>363</v>
      </c>
      <c r="H61" s="4">
        <v>27220</v>
      </c>
      <c r="I61" s="4">
        <v>6500</v>
      </c>
      <c r="J61" s="4">
        <f t="shared" si="8"/>
        <v>10760</v>
      </c>
      <c r="K61" s="4">
        <f t="shared" si="7"/>
        <v>176930000</v>
      </c>
      <c r="L61" s="4"/>
    </row>
    <row r="62" spans="1:14" ht="18" hidden="1" customHeight="1">
      <c r="A62" s="18"/>
      <c r="B62" s="2"/>
      <c r="C62" s="2"/>
      <c r="D62" s="2"/>
      <c r="E62" s="4"/>
      <c r="F62" s="4"/>
      <c r="G62" s="21"/>
      <c r="H62" s="4">
        <v>28030</v>
      </c>
      <c r="I62" s="4">
        <v>6500</v>
      </c>
      <c r="J62" s="4">
        <f t="shared" si="8"/>
        <v>-17270</v>
      </c>
      <c r="K62" s="4">
        <f t="shared" si="7"/>
        <v>182195000</v>
      </c>
      <c r="L62" s="4"/>
    </row>
    <row r="63" spans="1:14" ht="18" hidden="1" customHeight="1">
      <c r="A63" s="18"/>
      <c r="B63" s="2"/>
      <c r="C63" s="2"/>
      <c r="D63" s="2"/>
      <c r="E63" s="4"/>
      <c r="F63" s="4"/>
      <c r="G63" s="21"/>
      <c r="H63" s="4"/>
      <c r="I63" s="4">
        <v>6500</v>
      </c>
      <c r="J63" s="4">
        <f t="shared" si="8"/>
        <v>-17270</v>
      </c>
      <c r="K63" s="4"/>
      <c r="L63" s="4"/>
    </row>
    <row r="64" spans="1:14" ht="18" hidden="1" customHeight="1">
      <c r="A64" s="18"/>
      <c r="B64" s="2"/>
      <c r="C64" s="2"/>
      <c r="D64" s="2"/>
      <c r="E64" s="4"/>
      <c r="F64" s="4"/>
      <c r="G64" s="21"/>
      <c r="H64" s="4"/>
      <c r="I64" s="4">
        <v>6500</v>
      </c>
      <c r="J64" s="4">
        <f t="shared" si="8"/>
        <v>-17270</v>
      </c>
      <c r="K64" s="4"/>
      <c r="L64" s="4"/>
    </row>
    <row r="65" spans="1:14" ht="18" hidden="1" customHeight="1">
      <c r="A65" s="18"/>
      <c r="B65" s="2"/>
      <c r="C65" s="2"/>
      <c r="D65" s="2"/>
      <c r="E65" s="4"/>
      <c r="F65" s="4"/>
      <c r="G65" s="21"/>
      <c r="H65" s="4"/>
      <c r="I65" s="4">
        <v>6500</v>
      </c>
      <c r="J65" s="4">
        <f t="shared" si="8"/>
        <v>-17270</v>
      </c>
      <c r="K65" s="4"/>
      <c r="L65" s="4"/>
    </row>
    <row r="66" spans="1:14" ht="18" hidden="1" customHeight="1">
      <c r="A66" s="18"/>
      <c r="B66" s="2"/>
      <c r="C66" s="2"/>
      <c r="D66" s="2"/>
      <c r="E66" s="4"/>
      <c r="F66" s="4"/>
      <c r="G66" s="21"/>
      <c r="H66" s="4"/>
      <c r="I66" s="4">
        <v>6500</v>
      </c>
      <c r="J66" s="4">
        <f t="shared" si="8"/>
        <v>-17270</v>
      </c>
      <c r="K66" s="4"/>
      <c r="L66" s="4"/>
    </row>
    <row r="67" spans="1:14" s="15" customFormat="1" ht="18" hidden="1" customHeight="1">
      <c r="A67" s="55"/>
      <c r="B67" s="56" t="s">
        <v>347</v>
      </c>
      <c r="C67" s="56"/>
      <c r="D67" s="56"/>
      <c r="E67" s="57"/>
      <c r="F67" s="57"/>
      <c r="G67" s="58"/>
      <c r="H67" s="57">
        <f>SUM(H55:H66)</f>
        <v>217270</v>
      </c>
      <c r="I67" s="57">
        <v>6500</v>
      </c>
      <c r="J67" s="57">
        <f>+I67*H67</f>
        <v>1412255000</v>
      </c>
      <c r="K67" s="57"/>
      <c r="L67" s="142">
        <f>SUM(L54:L66)</f>
        <v>1326000000</v>
      </c>
      <c r="M67" s="120">
        <f>+L67-J67</f>
        <v>-86255000</v>
      </c>
      <c r="N67" s="120">
        <f>+M67+N53</f>
        <v>-81605000</v>
      </c>
    </row>
    <row r="68" spans="1:14" ht="18" customHeight="1">
      <c r="A68" s="18" t="s">
        <v>13</v>
      </c>
      <c r="B68" s="2" t="s">
        <v>591</v>
      </c>
      <c r="C68" s="60"/>
      <c r="D68" s="60" t="s">
        <v>34</v>
      </c>
      <c r="E68" s="49">
        <v>220000</v>
      </c>
      <c r="F68" s="49">
        <v>7000</v>
      </c>
      <c r="G68" s="61"/>
      <c r="H68" s="49"/>
      <c r="I68" s="49"/>
      <c r="J68" s="49"/>
      <c r="K68" s="49"/>
      <c r="L68" s="60"/>
    </row>
    <row r="69" spans="1:14" ht="18" customHeight="1">
      <c r="A69" s="18"/>
      <c r="B69" s="2"/>
      <c r="C69" s="2"/>
      <c r="D69" s="2"/>
      <c r="E69" s="4"/>
      <c r="F69" s="4"/>
      <c r="G69" s="40" t="s">
        <v>437</v>
      </c>
      <c r="H69" s="4">
        <v>28520</v>
      </c>
      <c r="I69" s="4">
        <v>7000</v>
      </c>
      <c r="J69" s="4">
        <f>+E68-H69</f>
        <v>191480</v>
      </c>
      <c r="K69" s="4"/>
      <c r="L69" s="49">
        <v>700000000</v>
      </c>
      <c r="N69" s="50"/>
    </row>
    <row r="70" spans="1:14" ht="18" customHeight="1">
      <c r="A70" s="18"/>
      <c r="B70" s="2"/>
      <c r="C70" s="2"/>
      <c r="D70" s="2"/>
      <c r="E70" s="4"/>
      <c r="F70" s="4"/>
      <c r="G70" s="21"/>
      <c r="H70" s="4">
        <v>27410</v>
      </c>
      <c r="I70" s="4">
        <v>7000</v>
      </c>
      <c r="J70" s="4">
        <f>+J69-H70</f>
        <v>164070</v>
      </c>
      <c r="K70" s="4"/>
      <c r="L70" s="4"/>
      <c r="N70" s="50"/>
    </row>
    <row r="71" spans="1:14" ht="18" customHeight="1">
      <c r="A71" s="18"/>
      <c r="B71" s="2"/>
      <c r="C71" s="2"/>
      <c r="D71" s="2"/>
      <c r="E71" s="4"/>
      <c r="F71" s="4"/>
      <c r="G71" s="21"/>
      <c r="H71" s="4">
        <v>27250</v>
      </c>
      <c r="I71" s="4">
        <v>7000</v>
      </c>
      <c r="J71" s="4">
        <f t="shared" ref="J71:J76" si="9">+J70-H71</f>
        <v>136820</v>
      </c>
      <c r="K71" s="4"/>
      <c r="L71" s="49">
        <v>700000000</v>
      </c>
      <c r="M71" s="1" t="s">
        <v>608</v>
      </c>
      <c r="N71" s="119">
        <f t="shared" ref="N71" si="10">+H71*I71</f>
        <v>190750000</v>
      </c>
    </row>
    <row r="72" spans="1:14" ht="18" customHeight="1">
      <c r="A72" s="18"/>
      <c r="B72" s="2"/>
      <c r="C72" s="2"/>
      <c r="D72" s="2"/>
      <c r="E72" s="4"/>
      <c r="F72" s="4"/>
      <c r="G72" s="40" t="s">
        <v>529</v>
      </c>
      <c r="H72" s="4">
        <v>28770</v>
      </c>
      <c r="I72" s="4">
        <v>7000</v>
      </c>
      <c r="J72" s="4">
        <f t="shared" si="9"/>
        <v>108050</v>
      </c>
      <c r="K72" s="4"/>
      <c r="L72" s="4"/>
      <c r="N72" s="50"/>
    </row>
    <row r="73" spans="1:14" ht="18" customHeight="1">
      <c r="A73" s="18"/>
      <c r="B73" s="2"/>
      <c r="C73" s="2"/>
      <c r="D73" s="2"/>
      <c r="E73" s="4"/>
      <c r="F73" s="4"/>
      <c r="G73" s="40" t="s">
        <v>530</v>
      </c>
      <c r="H73" s="4">
        <v>28870</v>
      </c>
      <c r="I73" s="4">
        <v>7000</v>
      </c>
      <c r="J73" s="4">
        <f t="shared" si="9"/>
        <v>79180</v>
      </c>
      <c r="K73" s="4"/>
      <c r="L73" s="4"/>
      <c r="N73" s="50"/>
    </row>
    <row r="74" spans="1:14" ht="18" customHeight="1">
      <c r="A74" s="18"/>
      <c r="B74" s="2"/>
      <c r="C74" s="2"/>
      <c r="D74" s="2"/>
      <c r="E74" s="4"/>
      <c r="F74" s="4"/>
      <c r="G74" s="40" t="s">
        <v>544</v>
      </c>
      <c r="H74" s="4">
        <v>27790</v>
      </c>
      <c r="I74" s="4">
        <v>7000</v>
      </c>
      <c r="J74" s="4">
        <f t="shared" si="9"/>
        <v>51390</v>
      </c>
      <c r="K74" s="4"/>
      <c r="L74" s="2"/>
      <c r="N74" s="3"/>
    </row>
    <row r="75" spans="1:14" ht="18" customHeight="1">
      <c r="A75" s="18"/>
      <c r="B75" s="2"/>
      <c r="C75" s="2"/>
      <c r="D75" s="2"/>
      <c r="E75" s="4"/>
      <c r="F75" s="4"/>
      <c r="G75" s="40" t="s">
        <v>545</v>
      </c>
      <c r="H75" s="4">
        <v>28220</v>
      </c>
      <c r="I75" s="4">
        <v>7000</v>
      </c>
      <c r="J75" s="4">
        <f t="shared" si="9"/>
        <v>23170</v>
      </c>
      <c r="K75" s="4"/>
      <c r="L75" s="49">
        <v>140000000</v>
      </c>
      <c r="N75" s="3"/>
    </row>
    <row r="76" spans="1:14" ht="18" customHeight="1">
      <c r="A76" s="18"/>
      <c r="B76" s="2"/>
      <c r="C76" s="2"/>
      <c r="D76" s="2"/>
      <c r="E76" s="4"/>
      <c r="F76" s="4"/>
      <c r="G76" s="40" t="s">
        <v>547</v>
      </c>
      <c r="H76" s="4">
        <v>29270</v>
      </c>
      <c r="I76" s="4">
        <v>7000</v>
      </c>
      <c r="J76" s="4">
        <f t="shared" si="9"/>
        <v>-6100</v>
      </c>
      <c r="K76" s="4"/>
      <c r="L76" s="49">
        <v>42700000</v>
      </c>
      <c r="N76" s="3"/>
    </row>
    <row r="77" spans="1:14" ht="18" customHeight="1">
      <c r="A77" s="293" t="s">
        <v>0</v>
      </c>
      <c r="B77" s="294"/>
      <c r="C77" s="295"/>
      <c r="D77" s="56"/>
      <c r="E77" s="57"/>
      <c r="F77" s="57"/>
      <c r="G77" s="118"/>
      <c r="H77" s="57">
        <f>SUM(H69:H76)</f>
        <v>226100</v>
      </c>
      <c r="I77" s="57">
        <v>7000</v>
      </c>
      <c r="J77" s="57">
        <f>+I77*H77</f>
        <v>1582700000</v>
      </c>
      <c r="K77" s="57"/>
      <c r="L77" s="142">
        <f>SUM(L69:L76)</f>
        <v>1582700000</v>
      </c>
      <c r="M77" s="50">
        <f>+L77-J77</f>
        <v>0</v>
      </c>
      <c r="N77" s="3"/>
    </row>
    <row r="78" spans="1:14" ht="18" customHeight="1">
      <c r="A78" s="18" t="s">
        <v>13</v>
      </c>
      <c r="B78" s="60" t="s">
        <v>591</v>
      </c>
      <c r="C78" s="60"/>
      <c r="D78" s="60" t="s">
        <v>34</v>
      </c>
      <c r="E78" s="4">
        <v>55000</v>
      </c>
      <c r="F78" s="4">
        <v>8300</v>
      </c>
      <c r="G78" s="40"/>
      <c r="H78" s="4"/>
      <c r="I78" s="4"/>
      <c r="J78" s="4"/>
      <c r="K78" s="4"/>
      <c r="L78" s="2"/>
      <c r="N78" s="3"/>
    </row>
    <row r="79" spans="1:14" ht="18" customHeight="1">
      <c r="A79" s="18"/>
      <c r="B79" s="2"/>
      <c r="C79" s="2"/>
      <c r="D79" s="2"/>
      <c r="E79" s="4"/>
      <c r="F79" s="4"/>
      <c r="G79" s="40" t="s">
        <v>590</v>
      </c>
      <c r="H79" s="4">
        <v>26550</v>
      </c>
      <c r="I79" s="4">
        <v>8300</v>
      </c>
      <c r="J79" s="4">
        <f>+E78-H79</f>
        <v>28450</v>
      </c>
      <c r="K79" s="4"/>
      <c r="L79" s="49">
        <f>8300*55000</f>
        <v>456500000</v>
      </c>
      <c r="M79" s="92" t="s">
        <v>579</v>
      </c>
      <c r="N79" s="3"/>
    </row>
    <row r="80" spans="1:14" ht="18" customHeight="1">
      <c r="A80" s="18"/>
      <c r="B80" s="2"/>
      <c r="C80" s="2"/>
      <c r="D80" s="2"/>
      <c r="E80" s="4"/>
      <c r="F80" s="4"/>
      <c r="G80" s="40"/>
      <c r="H80" s="4">
        <v>25180</v>
      </c>
      <c r="I80" s="4">
        <v>8300</v>
      </c>
      <c r="J80" s="4">
        <f>J79-H80</f>
        <v>3270</v>
      </c>
      <c r="K80" s="4"/>
      <c r="L80" s="2"/>
      <c r="N80" s="3"/>
    </row>
    <row r="81" spans="1:14" ht="18" customHeight="1">
      <c r="A81" s="55"/>
      <c r="B81" s="56" t="s">
        <v>0</v>
      </c>
      <c r="C81" s="56"/>
      <c r="D81" s="56"/>
      <c r="E81" s="57"/>
      <c r="F81" s="57"/>
      <c r="G81" s="118"/>
      <c r="H81" s="57">
        <f>SUM(H79:H80)</f>
        <v>51730</v>
      </c>
      <c r="I81" s="57">
        <v>8300</v>
      </c>
      <c r="J81" s="57">
        <f>+I81*H81</f>
        <v>429359000</v>
      </c>
      <c r="K81" s="57"/>
      <c r="L81" s="57">
        <f>SUM(L78:L80)</f>
        <v>456500000</v>
      </c>
      <c r="M81" s="50"/>
      <c r="N81" s="3"/>
    </row>
    <row r="82" spans="1:14" ht="18" customHeight="1">
      <c r="A82" s="18"/>
      <c r="B82" s="2"/>
      <c r="C82" s="2"/>
      <c r="D82" s="60" t="s">
        <v>34</v>
      </c>
      <c r="E82" s="49">
        <v>250000</v>
      </c>
      <c r="F82" s="49">
        <v>7000</v>
      </c>
      <c r="G82" s="66"/>
      <c r="H82" s="49"/>
      <c r="I82" s="49"/>
      <c r="J82" s="49"/>
      <c r="K82" s="49"/>
      <c r="L82" s="60"/>
      <c r="N82" s="3"/>
    </row>
    <row r="83" spans="1:14" ht="18" customHeight="1">
      <c r="A83" s="18"/>
      <c r="B83" s="2"/>
      <c r="C83" s="2"/>
      <c r="D83" s="2"/>
      <c r="E83" s="4"/>
      <c r="F83" s="4"/>
      <c r="G83" s="40" t="s">
        <v>603</v>
      </c>
      <c r="H83" s="4">
        <v>26540</v>
      </c>
      <c r="I83" s="4">
        <v>7000</v>
      </c>
      <c r="J83" s="4">
        <f>+E82-H83</f>
        <v>223460</v>
      </c>
      <c r="K83" s="4"/>
      <c r="L83" s="49">
        <v>189000000</v>
      </c>
      <c r="M83" s="92" t="s">
        <v>605</v>
      </c>
      <c r="N83" s="3"/>
    </row>
    <row r="84" spans="1:14" ht="18" customHeight="1">
      <c r="A84" s="18"/>
      <c r="B84" s="2"/>
      <c r="C84" s="2"/>
      <c r="D84" s="2"/>
      <c r="E84" s="4"/>
      <c r="F84" s="4"/>
      <c r="G84" s="40" t="s">
        <v>626</v>
      </c>
      <c r="H84" s="4">
        <v>27000</v>
      </c>
      <c r="I84" s="4">
        <v>7000</v>
      </c>
      <c r="J84" s="4">
        <f>+J83-H84</f>
        <v>196460</v>
      </c>
      <c r="K84" s="4"/>
      <c r="L84" s="4">
        <v>159000000</v>
      </c>
      <c r="N84" s="50"/>
    </row>
    <row r="85" spans="1:14" ht="18" customHeight="1">
      <c r="A85" s="18"/>
      <c r="B85" s="2"/>
      <c r="C85" s="2"/>
      <c r="D85" s="2"/>
      <c r="E85" s="4"/>
      <c r="F85" s="4"/>
      <c r="G85" s="40" t="s">
        <v>707</v>
      </c>
      <c r="H85" s="4">
        <v>27340</v>
      </c>
      <c r="I85" s="4">
        <v>7000</v>
      </c>
      <c r="J85" s="4">
        <f t="shared" ref="J85:J90" si="11">+J84-H85</f>
        <v>169120</v>
      </c>
      <c r="K85" s="4"/>
      <c r="L85" s="2"/>
      <c r="N85" s="50"/>
    </row>
    <row r="86" spans="1:14" ht="18" customHeight="1">
      <c r="A86" s="18"/>
      <c r="B86" s="2"/>
      <c r="C86" s="2"/>
      <c r="D86" s="2"/>
      <c r="E86" s="4"/>
      <c r="F86" s="4"/>
      <c r="G86" s="40"/>
      <c r="H86" s="4"/>
      <c r="I86" s="4"/>
      <c r="J86" s="4">
        <f t="shared" si="11"/>
        <v>169120</v>
      </c>
      <c r="K86" s="4"/>
      <c r="L86" s="2"/>
    </row>
    <row r="87" spans="1:14" ht="18" customHeight="1">
      <c r="A87" s="18"/>
      <c r="B87" s="2"/>
      <c r="C87" s="2"/>
      <c r="D87" s="2"/>
      <c r="E87" s="4"/>
      <c r="F87" s="4"/>
      <c r="G87" s="40"/>
      <c r="H87" s="4"/>
      <c r="I87" s="4"/>
      <c r="J87" s="4">
        <f t="shared" si="11"/>
        <v>169120</v>
      </c>
      <c r="K87" s="4"/>
      <c r="L87" s="2"/>
    </row>
    <row r="88" spans="1:14" ht="18" customHeight="1">
      <c r="A88" s="18"/>
      <c r="B88" s="2"/>
      <c r="C88" s="2"/>
      <c r="D88" s="2"/>
      <c r="E88" s="4"/>
      <c r="F88" s="4"/>
      <c r="G88" s="40"/>
      <c r="H88" s="4"/>
      <c r="I88" s="4"/>
      <c r="J88" s="4">
        <f t="shared" si="11"/>
        <v>169120</v>
      </c>
      <c r="K88" s="4"/>
      <c r="L88" s="2"/>
    </row>
    <row r="89" spans="1:14" ht="18" customHeight="1">
      <c r="A89" s="18"/>
      <c r="B89" s="2"/>
      <c r="C89" s="2"/>
      <c r="D89" s="2"/>
      <c r="E89" s="4"/>
      <c r="F89" s="4"/>
      <c r="G89" s="40"/>
      <c r="H89" s="4"/>
      <c r="I89" s="4"/>
      <c r="J89" s="4">
        <f t="shared" si="11"/>
        <v>169120</v>
      </c>
      <c r="K89" s="4"/>
      <c r="L89" s="2"/>
    </row>
    <row r="90" spans="1:14" ht="18" customHeight="1">
      <c r="A90" s="18"/>
      <c r="B90" s="2"/>
      <c r="C90" s="2"/>
      <c r="D90" s="2"/>
      <c r="E90" s="4"/>
      <c r="F90" s="4"/>
      <c r="G90" s="40"/>
      <c r="H90" s="4"/>
      <c r="I90" s="4"/>
      <c r="J90" s="4">
        <f t="shared" si="11"/>
        <v>169120</v>
      </c>
      <c r="K90" s="4"/>
      <c r="L90" s="2"/>
    </row>
    <row r="91" spans="1:14" ht="18" customHeight="1">
      <c r="A91" s="55"/>
      <c r="B91" s="56" t="s">
        <v>235</v>
      </c>
      <c r="C91" s="56"/>
      <c r="D91" s="56"/>
      <c r="E91" s="57"/>
      <c r="F91" s="57"/>
      <c r="G91" s="118"/>
      <c r="H91" s="57">
        <f>SUM(H83:H90)</f>
        <v>80880</v>
      </c>
      <c r="I91" s="57">
        <v>7000</v>
      </c>
      <c r="J91" s="57">
        <f>(+I91*H91)+J81</f>
        <v>995519000</v>
      </c>
      <c r="K91" s="57"/>
      <c r="L91" s="142">
        <f>SUM(L83:L90)+L81</f>
        <v>804500000</v>
      </c>
      <c r="M91" s="50">
        <f>+L91-J91</f>
        <v>-191019000</v>
      </c>
      <c r="N91" s="50"/>
    </row>
    <row r="92" spans="1:14" ht="18" customHeight="1">
      <c r="A92" s="18"/>
      <c r="B92" s="2"/>
      <c r="C92" s="2"/>
      <c r="D92" s="2"/>
      <c r="E92" s="4"/>
      <c r="F92" s="4"/>
      <c r="G92" s="21"/>
      <c r="H92" s="4"/>
      <c r="I92" s="4"/>
      <c r="J92" s="4"/>
      <c r="K92" s="4"/>
      <c r="L92" s="2"/>
      <c r="M92" s="50">
        <f>L77+L91</f>
        <v>2387200000</v>
      </c>
      <c r="N92" s="50">
        <f>J77+J91</f>
        <v>2578219000</v>
      </c>
    </row>
    <row r="93" spans="1:14" ht="18" customHeight="1">
      <c r="A93" s="18"/>
      <c r="B93" s="2"/>
      <c r="C93" s="2"/>
      <c r="D93" s="2"/>
      <c r="E93" s="4"/>
      <c r="F93" s="4"/>
      <c r="G93" s="21"/>
      <c r="H93" s="4"/>
      <c r="I93" s="4"/>
      <c r="J93" s="4"/>
      <c r="K93" s="4"/>
      <c r="L93" s="2"/>
      <c r="N93" s="50">
        <f>+N92-M92</f>
        <v>191019000</v>
      </c>
    </row>
    <row r="94" spans="1:14" ht="18" customHeight="1">
      <c r="A94" s="18"/>
      <c r="B94" s="2"/>
      <c r="C94" s="2"/>
      <c r="D94" s="2"/>
      <c r="E94" s="4"/>
      <c r="F94" s="4"/>
      <c r="G94" s="21"/>
      <c r="H94" s="4"/>
      <c r="I94" s="4"/>
      <c r="J94" s="4"/>
      <c r="K94" s="4"/>
      <c r="L94" s="2"/>
    </row>
    <row r="95" spans="1:14" ht="18" customHeight="1">
      <c r="A95" s="281" t="s">
        <v>0</v>
      </c>
      <c r="B95" s="282"/>
      <c r="C95" s="10"/>
      <c r="D95" s="10"/>
      <c r="E95" s="5"/>
      <c r="F95" s="5"/>
      <c r="G95" s="5"/>
      <c r="H95" s="5"/>
      <c r="I95" s="5"/>
      <c r="J95" s="5"/>
      <c r="K95" s="5"/>
      <c r="L95" s="5"/>
    </row>
    <row r="96" spans="1:14" s="6" customFormat="1" ht="24.75" customHeight="1">
      <c r="A96" s="296"/>
      <c r="B96" s="297"/>
      <c r="C96" s="297"/>
      <c r="D96" s="297"/>
      <c r="E96" s="297"/>
      <c r="F96" s="297"/>
      <c r="G96" s="297"/>
      <c r="H96" s="297"/>
      <c r="I96" s="298"/>
      <c r="J96" s="4"/>
      <c r="K96" s="4"/>
      <c r="L96" s="186">
        <f>L95-J95</f>
        <v>0</v>
      </c>
    </row>
    <row r="97" spans="6:11">
      <c r="F97" s="270" t="s">
        <v>1</v>
      </c>
      <c r="G97" s="270"/>
      <c r="H97" s="270"/>
      <c r="I97" s="270"/>
      <c r="J97" s="1"/>
      <c r="K97" s="8"/>
    </row>
    <row r="100" spans="6:11">
      <c r="F100" s="271"/>
      <c r="G100" s="271"/>
      <c r="H100" s="271"/>
      <c r="I100" s="271"/>
      <c r="J100" s="1"/>
      <c r="K100" s="1"/>
    </row>
  </sheetData>
  <mergeCells count="16">
    <mergeCell ref="A10:B10"/>
    <mergeCell ref="A22:B22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95:B95"/>
    <mergeCell ref="F97:I97"/>
    <mergeCell ref="F100:I100"/>
    <mergeCell ref="A96:I96"/>
    <mergeCell ref="A77:C77"/>
  </mergeCells>
  <pageMargins left="0.28999999999999998" right="0.28999999999999998" top="0.32" bottom="0.27" header="0.23" footer="0.21"/>
  <pageSetup paperSize="9" scale="9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0"/>
  <sheetViews>
    <sheetView workbookViewId="0">
      <pane ySplit="5" topLeftCell="A52" activePane="bottomLeft" state="frozen"/>
      <selection pane="bottomLeft" activeCell="I61" sqref="I61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47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222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hidden="1" customHeight="1">
      <c r="A11" s="18" t="s">
        <v>13</v>
      </c>
      <c r="B11" s="2" t="s">
        <v>35</v>
      </c>
      <c r="C11" s="2" t="s">
        <v>36</v>
      </c>
      <c r="D11" s="2" t="s">
        <v>37</v>
      </c>
      <c r="E11" s="4">
        <v>300000</v>
      </c>
      <c r="F11" s="4">
        <v>6400</v>
      </c>
      <c r="G11" s="21">
        <v>43924</v>
      </c>
      <c r="H11" s="4">
        <v>138110</v>
      </c>
      <c r="I11" s="4">
        <v>6400</v>
      </c>
      <c r="J11" s="4">
        <f>E11-H11</f>
        <v>161890</v>
      </c>
      <c r="K11" s="4">
        <f>F11</f>
        <v>6400</v>
      </c>
    </row>
    <row r="12" spans="1:11" ht="18" hidden="1" customHeight="1">
      <c r="A12" s="18" t="s">
        <v>13</v>
      </c>
      <c r="B12" s="2" t="s">
        <v>35</v>
      </c>
      <c r="C12" s="2" t="s">
        <v>36</v>
      </c>
      <c r="D12" s="2" t="s">
        <v>37</v>
      </c>
      <c r="E12" s="4">
        <v>300000</v>
      </c>
      <c r="F12" s="4">
        <v>6400</v>
      </c>
      <c r="G12" s="21">
        <v>43938</v>
      </c>
      <c r="H12" s="4">
        <v>30710</v>
      </c>
      <c r="I12" s="4">
        <v>6400</v>
      </c>
      <c r="J12" s="4">
        <f>J11-H12</f>
        <v>131180</v>
      </c>
      <c r="K12" s="4">
        <v>6400</v>
      </c>
    </row>
    <row r="13" spans="1:11" ht="18" hidden="1" customHeight="1">
      <c r="A13" s="18" t="s">
        <v>13</v>
      </c>
      <c r="B13" s="2" t="s">
        <v>35</v>
      </c>
      <c r="C13" s="2" t="s">
        <v>36</v>
      </c>
      <c r="D13" s="2" t="s">
        <v>37</v>
      </c>
      <c r="E13" s="4">
        <v>300000</v>
      </c>
      <c r="F13" s="4">
        <v>6400</v>
      </c>
      <c r="G13" s="21">
        <v>43950</v>
      </c>
      <c r="H13" s="4">
        <v>29900</v>
      </c>
      <c r="I13" s="4">
        <v>6400</v>
      </c>
      <c r="J13" s="4">
        <f>J12-H13</f>
        <v>101280</v>
      </c>
      <c r="K13" s="4">
        <v>6400</v>
      </c>
    </row>
    <row r="14" spans="1:11" ht="18" hidden="1" customHeight="1">
      <c r="A14" s="18" t="s">
        <v>13</v>
      </c>
      <c r="B14" s="2" t="s">
        <v>35</v>
      </c>
      <c r="C14" s="2" t="s">
        <v>36</v>
      </c>
      <c r="D14" s="2" t="s">
        <v>37</v>
      </c>
      <c r="E14" s="4">
        <v>300000</v>
      </c>
      <c r="F14" s="4">
        <v>6400</v>
      </c>
      <c r="G14" s="21">
        <v>43959</v>
      </c>
      <c r="H14" s="4">
        <v>30470</v>
      </c>
      <c r="I14" s="4">
        <v>6400</v>
      </c>
      <c r="J14" s="4">
        <f>J13-H14</f>
        <v>70810</v>
      </c>
      <c r="K14" s="4">
        <v>6400</v>
      </c>
    </row>
    <row r="15" spans="1:11" ht="18" hidden="1" customHeight="1">
      <c r="A15" s="18" t="s">
        <v>13</v>
      </c>
      <c r="B15" s="2" t="s">
        <v>35</v>
      </c>
      <c r="C15" s="2" t="s">
        <v>36</v>
      </c>
      <c r="D15" s="2" t="s">
        <v>37</v>
      </c>
      <c r="E15" s="4">
        <v>300000</v>
      </c>
      <c r="F15" s="4">
        <v>6400</v>
      </c>
      <c r="G15" s="21">
        <v>43966</v>
      </c>
      <c r="H15" s="4">
        <v>25440</v>
      </c>
      <c r="I15" s="4">
        <v>6400</v>
      </c>
      <c r="J15" s="4">
        <f>J14-H15</f>
        <v>45370</v>
      </c>
      <c r="K15" s="4">
        <v>6400</v>
      </c>
    </row>
    <row r="16" spans="1:11" ht="18" hidden="1" customHeight="1">
      <c r="A16" s="18" t="s">
        <v>13</v>
      </c>
      <c r="B16" s="2" t="s">
        <v>35</v>
      </c>
      <c r="C16" s="2" t="s">
        <v>36</v>
      </c>
      <c r="D16" s="2" t="s">
        <v>37</v>
      </c>
      <c r="E16" s="4">
        <v>300000</v>
      </c>
      <c r="F16" s="4">
        <v>6400</v>
      </c>
      <c r="G16" s="21">
        <v>43980</v>
      </c>
      <c r="H16" s="4">
        <v>29210</v>
      </c>
      <c r="I16" s="4">
        <v>6400</v>
      </c>
      <c r="J16" s="4">
        <f>J15-H16</f>
        <v>16160</v>
      </c>
      <c r="K16" s="4">
        <v>6400</v>
      </c>
    </row>
    <row r="17" spans="1:11" ht="18" hidden="1" customHeight="1">
      <c r="A17" s="18" t="s">
        <v>13</v>
      </c>
      <c r="B17" s="2" t="s">
        <v>35</v>
      </c>
      <c r="C17" s="2" t="s">
        <v>36</v>
      </c>
      <c r="D17" s="2" t="s">
        <v>37</v>
      </c>
      <c r="E17" s="4">
        <v>300000</v>
      </c>
      <c r="F17" s="4">
        <v>6400</v>
      </c>
      <c r="G17" s="21"/>
      <c r="H17" s="4"/>
      <c r="I17" s="4"/>
      <c r="J17" s="4"/>
      <c r="K17" s="4"/>
    </row>
    <row r="18" spans="1:11" s="15" customFormat="1" ht="18" hidden="1" customHeight="1">
      <c r="A18" s="291" t="s">
        <v>15</v>
      </c>
      <c r="B18" s="292"/>
      <c r="C18" s="13"/>
      <c r="D18" s="13"/>
      <c r="E18" s="14">
        <f>E11</f>
        <v>300000</v>
      </c>
      <c r="F18" s="14"/>
      <c r="G18" s="22"/>
      <c r="H18" s="14">
        <f>SUM(H11:H17)</f>
        <v>283840</v>
      </c>
      <c r="I18" s="14"/>
      <c r="J18" s="14">
        <f>E18-H18</f>
        <v>16160</v>
      </c>
      <c r="K18" s="14"/>
    </row>
    <row r="19" spans="1:11" ht="18" hidden="1" customHeight="1">
      <c r="A19" s="18" t="s">
        <v>13</v>
      </c>
      <c r="B19" s="2" t="s">
        <v>35</v>
      </c>
      <c r="C19" s="2" t="s">
        <v>36</v>
      </c>
      <c r="D19" s="2" t="s">
        <v>37</v>
      </c>
      <c r="E19" s="4">
        <v>200000</v>
      </c>
      <c r="F19" s="4">
        <v>6750</v>
      </c>
      <c r="G19" s="21">
        <v>43987</v>
      </c>
      <c r="H19" s="4">
        <v>29600</v>
      </c>
      <c r="I19" s="4">
        <v>6750</v>
      </c>
      <c r="J19" s="4">
        <f>E19-H19</f>
        <v>170400</v>
      </c>
      <c r="K19" s="4">
        <v>6750</v>
      </c>
    </row>
    <row r="20" spans="1:11" ht="18" hidden="1" customHeight="1">
      <c r="A20" s="18" t="s">
        <v>13</v>
      </c>
      <c r="B20" s="2" t="s">
        <v>35</v>
      </c>
      <c r="C20" s="2" t="s">
        <v>36</v>
      </c>
      <c r="D20" s="2" t="s">
        <v>37</v>
      </c>
      <c r="E20" s="4">
        <v>200000</v>
      </c>
      <c r="F20" s="4">
        <v>6750</v>
      </c>
      <c r="G20" s="21">
        <v>43993</v>
      </c>
      <c r="H20" s="4">
        <v>29850</v>
      </c>
      <c r="I20" s="4">
        <v>6750</v>
      </c>
      <c r="J20" s="4">
        <f>J19-H20</f>
        <v>140550</v>
      </c>
      <c r="K20" s="4">
        <v>6750</v>
      </c>
    </row>
    <row r="21" spans="1:11" ht="18" hidden="1" customHeight="1">
      <c r="A21" s="18" t="s">
        <v>13</v>
      </c>
      <c r="B21" s="2" t="s">
        <v>35</v>
      </c>
      <c r="C21" s="2" t="s">
        <v>36</v>
      </c>
      <c r="D21" s="2" t="s">
        <v>37</v>
      </c>
      <c r="E21" s="4">
        <v>200000</v>
      </c>
      <c r="F21" s="4">
        <v>6750</v>
      </c>
      <c r="G21" s="40">
        <v>43999</v>
      </c>
      <c r="H21" s="4">
        <v>27120</v>
      </c>
      <c r="I21" s="4">
        <v>6750</v>
      </c>
      <c r="J21" s="4">
        <f>J20-H21</f>
        <v>113430</v>
      </c>
      <c r="K21" s="4"/>
    </row>
    <row r="22" spans="1:11" ht="18" hidden="1" customHeight="1">
      <c r="A22" s="18" t="s">
        <v>13</v>
      </c>
      <c r="B22" s="2" t="s">
        <v>35</v>
      </c>
      <c r="C22" s="2" t="s">
        <v>36</v>
      </c>
      <c r="D22" s="2" t="s">
        <v>37</v>
      </c>
      <c r="E22" s="4">
        <v>200000</v>
      </c>
      <c r="F22" s="4">
        <v>6750</v>
      </c>
      <c r="G22" s="40">
        <v>44005</v>
      </c>
      <c r="H22" s="4">
        <v>28650</v>
      </c>
      <c r="I22" s="4">
        <v>6750</v>
      </c>
      <c r="J22" s="4">
        <f t="shared" ref="J22:J25" si="2">J21-H22</f>
        <v>84780</v>
      </c>
      <c r="K22" s="4"/>
    </row>
    <row r="23" spans="1:11" ht="18" hidden="1" customHeight="1">
      <c r="A23" s="18" t="s">
        <v>13</v>
      </c>
      <c r="B23" s="2" t="s">
        <v>35</v>
      </c>
      <c r="C23" s="2" t="s">
        <v>36</v>
      </c>
      <c r="D23" s="2" t="s">
        <v>37</v>
      </c>
      <c r="E23" s="4">
        <v>200000</v>
      </c>
      <c r="F23" s="4">
        <v>6750</v>
      </c>
      <c r="G23" s="21">
        <v>44009</v>
      </c>
      <c r="H23" s="4">
        <v>28100</v>
      </c>
      <c r="I23" s="4">
        <v>6750</v>
      </c>
      <c r="J23" s="4">
        <f t="shared" si="2"/>
        <v>56680</v>
      </c>
      <c r="K23" s="4"/>
    </row>
    <row r="24" spans="1:11" ht="18" hidden="1" customHeight="1">
      <c r="A24" s="18" t="s">
        <v>13</v>
      </c>
      <c r="B24" s="2" t="s">
        <v>35</v>
      </c>
      <c r="C24" s="2" t="s">
        <v>36</v>
      </c>
      <c r="D24" s="2" t="s">
        <v>37</v>
      </c>
      <c r="E24" s="4">
        <v>200000</v>
      </c>
      <c r="F24" s="4">
        <v>6750</v>
      </c>
      <c r="G24" s="21">
        <v>44019</v>
      </c>
      <c r="H24" s="4">
        <v>31350</v>
      </c>
      <c r="I24" s="4">
        <v>6750</v>
      </c>
      <c r="J24" s="4">
        <f t="shared" si="2"/>
        <v>25330</v>
      </c>
      <c r="K24" s="4"/>
    </row>
    <row r="25" spans="1:11" ht="18" hidden="1" customHeight="1">
      <c r="A25" s="18"/>
      <c r="B25" s="2" t="s">
        <v>35</v>
      </c>
      <c r="C25" s="2" t="s">
        <v>36</v>
      </c>
      <c r="D25" s="2" t="s">
        <v>37</v>
      </c>
      <c r="E25" s="4"/>
      <c r="F25" s="4"/>
      <c r="G25" s="21">
        <v>44027</v>
      </c>
      <c r="H25" s="4">
        <v>28830</v>
      </c>
      <c r="I25" s="4">
        <v>6750</v>
      </c>
      <c r="J25" s="4">
        <f t="shared" si="2"/>
        <v>-3500</v>
      </c>
      <c r="K25" s="4"/>
    </row>
    <row r="26" spans="1:11" ht="18" customHeight="1">
      <c r="A26" s="55"/>
      <c r="B26" s="24"/>
      <c r="C26" s="24"/>
      <c r="D26" s="24"/>
      <c r="E26" s="25"/>
      <c r="F26" s="25"/>
      <c r="G26" s="26"/>
      <c r="H26" s="25"/>
      <c r="I26" s="25"/>
      <c r="J26" s="25"/>
      <c r="K26" s="25"/>
    </row>
    <row r="27" spans="1:11" ht="18" customHeight="1">
      <c r="A27" s="18" t="s">
        <v>13</v>
      </c>
      <c r="B27" s="60" t="s">
        <v>35</v>
      </c>
      <c r="C27" s="60"/>
      <c r="D27" s="60" t="s">
        <v>37</v>
      </c>
      <c r="E27" s="49">
        <v>200000</v>
      </c>
      <c r="F27" s="49">
        <v>7750</v>
      </c>
      <c r="G27" s="61"/>
      <c r="H27" s="49"/>
      <c r="I27" s="49"/>
      <c r="J27" s="49"/>
      <c r="K27" s="49"/>
    </row>
    <row r="28" spans="1:11" ht="18" customHeight="1">
      <c r="A28" s="18"/>
      <c r="B28" s="2"/>
      <c r="C28" s="2"/>
      <c r="D28" s="2"/>
      <c r="E28" s="4"/>
      <c r="F28" s="4"/>
      <c r="G28" s="40" t="s">
        <v>285</v>
      </c>
      <c r="H28" s="4">
        <f>29910-17021</f>
        <v>12889</v>
      </c>
      <c r="I28" s="4">
        <v>7750</v>
      </c>
      <c r="J28" s="49">
        <f>+E27-H28</f>
        <v>187111</v>
      </c>
      <c r="K28" s="4"/>
    </row>
    <row r="29" spans="1:11" ht="18" customHeight="1">
      <c r="A29" s="18"/>
      <c r="B29" s="2"/>
      <c r="C29" s="2"/>
      <c r="D29" s="2"/>
      <c r="E29" s="4"/>
      <c r="F29" s="4"/>
      <c r="G29" s="40" t="s">
        <v>307</v>
      </c>
      <c r="H29" s="4">
        <v>33515</v>
      </c>
      <c r="I29" s="4"/>
      <c r="J29" s="49">
        <f>J28-H29</f>
        <v>153596</v>
      </c>
      <c r="K29" s="4"/>
    </row>
    <row r="30" spans="1:11" ht="18" customHeight="1">
      <c r="A30" s="18"/>
      <c r="B30" s="2"/>
      <c r="C30" s="2"/>
      <c r="D30" s="2"/>
      <c r="E30" s="4"/>
      <c r="F30" s="4"/>
      <c r="G30" s="40" t="s">
        <v>323</v>
      </c>
      <c r="H30" s="4">
        <v>31360</v>
      </c>
      <c r="I30" s="4"/>
      <c r="J30" s="49">
        <f t="shared" ref="J30:J35" si="3">J29-H30</f>
        <v>122236</v>
      </c>
      <c r="K30" s="4"/>
    </row>
    <row r="31" spans="1:11" ht="18" customHeight="1">
      <c r="A31" s="18"/>
      <c r="B31" s="2"/>
      <c r="C31" s="2"/>
      <c r="D31" s="2"/>
      <c r="E31" s="4"/>
      <c r="F31" s="4"/>
      <c r="G31" s="40" t="s">
        <v>328</v>
      </c>
      <c r="H31" s="4">
        <v>33825</v>
      </c>
      <c r="I31" s="4"/>
      <c r="J31" s="49">
        <f t="shared" si="3"/>
        <v>88411</v>
      </c>
      <c r="K31" s="4"/>
    </row>
    <row r="32" spans="1:11" ht="18" customHeight="1">
      <c r="A32" s="18"/>
      <c r="B32" s="2"/>
      <c r="C32" s="2"/>
      <c r="D32" s="2"/>
      <c r="E32" s="4"/>
      <c r="F32" s="4"/>
      <c r="G32" s="40" t="s">
        <v>340</v>
      </c>
      <c r="H32" s="4">
        <v>32845</v>
      </c>
      <c r="I32" s="4"/>
      <c r="J32" s="49">
        <f t="shared" si="3"/>
        <v>55566</v>
      </c>
      <c r="K32" s="4"/>
    </row>
    <row r="33" spans="1:12" ht="18" customHeight="1">
      <c r="A33" s="18"/>
      <c r="B33" s="2"/>
      <c r="C33" s="2"/>
      <c r="D33" s="2"/>
      <c r="E33" s="4"/>
      <c r="F33" s="4"/>
      <c r="G33" s="40" t="s">
        <v>343</v>
      </c>
      <c r="H33" s="4">
        <v>32290</v>
      </c>
      <c r="I33" s="4"/>
      <c r="J33" s="49">
        <f t="shared" si="3"/>
        <v>23276</v>
      </c>
      <c r="K33" s="4"/>
    </row>
    <row r="34" spans="1:12" ht="18" customHeight="1">
      <c r="A34" s="18"/>
      <c r="B34" s="2"/>
      <c r="C34" s="2"/>
      <c r="D34" s="2"/>
      <c r="E34" s="4"/>
      <c r="F34" s="4"/>
      <c r="G34" s="40" t="s">
        <v>348</v>
      </c>
      <c r="H34" s="4">
        <v>33310</v>
      </c>
      <c r="I34" s="4"/>
      <c r="J34" s="49">
        <f t="shared" si="3"/>
        <v>-10034</v>
      </c>
      <c r="K34" s="4"/>
    </row>
    <row r="35" spans="1:12" ht="18" customHeight="1">
      <c r="A35" s="18"/>
      <c r="B35" s="2"/>
      <c r="C35" s="2"/>
      <c r="D35" s="2"/>
      <c r="E35" s="4"/>
      <c r="F35" s="4"/>
      <c r="G35" s="21"/>
      <c r="H35" s="4"/>
      <c r="I35" s="4"/>
      <c r="J35" s="49">
        <f t="shared" si="3"/>
        <v>-10034</v>
      </c>
      <c r="K35" s="4"/>
    </row>
    <row r="36" spans="1:12" ht="18" customHeight="1">
      <c r="A36" s="55" t="s">
        <v>13</v>
      </c>
      <c r="B36" s="60" t="s">
        <v>35</v>
      </c>
      <c r="C36" s="60"/>
      <c r="D36" s="60" t="s">
        <v>37</v>
      </c>
      <c r="E36" s="57">
        <v>100000</v>
      </c>
      <c r="F36" s="57">
        <v>8450</v>
      </c>
      <c r="G36" s="58"/>
      <c r="H36" s="57"/>
      <c r="I36" s="57"/>
      <c r="J36" s="57"/>
      <c r="K36" s="4"/>
    </row>
    <row r="37" spans="1:12" ht="18" customHeight="1">
      <c r="A37" s="18"/>
      <c r="B37" s="2"/>
      <c r="C37" s="2"/>
      <c r="D37" s="2"/>
      <c r="E37" s="4"/>
      <c r="F37" s="4"/>
      <c r="G37" s="40" t="s">
        <v>389</v>
      </c>
      <c r="H37" s="4">
        <v>17320</v>
      </c>
      <c r="I37" s="4">
        <v>8450</v>
      </c>
      <c r="J37" s="49">
        <f>+E36-H37</f>
        <v>82680</v>
      </c>
      <c r="K37" s="4"/>
    </row>
    <row r="38" spans="1:12" ht="18" customHeight="1">
      <c r="A38" s="18"/>
      <c r="B38" s="2"/>
      <c r="C38" s="2"/>
      <c r="D38" s="2"/>
      <c r="E38" s="4"/>
      <c r="F38" s="4"/>
      <c r="G38" s="40" t="s">
        <v>393</v>
      </c>
      <c r="H38" s="4">
        <v>33175</v>
      </c>
      <c r="I38" s="4">
        <v>8450</v>
      </c>
      <c r="J38" s="49">
        <f>+J37-H38</f>
        <v>49505</v>
      </c>
      <c r="K38" s="4"/>
    </row>
    <row r="39" spans="1:12" ht="18" customHeight="1">
      <c r="A39" s="18"/>
      <c r="B39" s="2"/>
      <c r="C39" s="2"/>
      <c r="D39" s="2"/>
      <c r="E39" s="4"/>
      <c r="F39" s="4"/>
      <c r="G39" s="40" t="s">
        <v>397</v>
      </c>
      <c r="H39" s="4">
        <v>39890</v>
      </c>
      <c r="I39" s="4">
        <v>8450</v>
      </c>
      <c r="J39" s="49">
        <f t="shared" ref="J39" si="4">+J38-H39</f>
        <v>9615</v>
      </c>
      <c r="K39" s="4"/>
      <c r="L39" s="1" t="s">
        <v>524</v>
      </c>
    </row>
    <row r="40" spans="1:12" ht="18" customHeight="1">
      <c r="A40" s="14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2" ht="18" customHeight="1">
      <c r="A41" s="55" t="s">
        <v>13</v>
      </c>
      <c r="B41" s="56" t="s">
        <v>723</v>
      </c>
      <c r="C41" s="24"/>
      <c r="D41" s="60" t="s">
        <v>37</v>
      </c>
      <c r="E41" s="57">
        <v>35000</v>
      </c>
      <c r="F41" s="57">
        <v>8700</v>
      </c>
      <c r="G41" s="26"/>
      <c r="H41" s="25"/>
      <c r="I41" s="25"/>
      <c r="J41" s="57"/>
      <c r="K41" s="25"/>
    </row>
    <row r="42" spans="1:12" ht="18" customHeight="1">
      <c r="A42" s="18"/>
      <c r="B42" s="2"/>
      <c r="C42" s="2"/>
      <c r="D42" s="2"/>
      <c r="E42" s="4"/>
      <c r="F42" s="4"/>
      <c r="G42" s="40" t="s">
        <v>724</v>
      </c>
      <c r="H42" s="4">
        <v>41955</v>
      </c>
      <c r="I42" s="4"/>
      <c r="J42" s="49"/>
      <c r="K42" s="4"/>
    </row>
    <row r="43" spans="1:12" ht="18" customHeight="1">
      <c r="A43" s="18"/>
      <c r="B43" s="2"/>
      <c r="C43" s="2"/>
      <c r="D43" s="2"/>
      <c r="E43" s="4"/>
      <c r="F43" s="4"/>
      <c r="G43" s="21"/>
      <c r="H43" s="4"/>
      <c r="I43" s="4"/>
      <c r="J43" s="49"/>
      <c r="K43" s="4"/>
    </row>
    <row r="44" spans="1:12" ht="18" customHeight="1">
      <c r="A44" s="55" t="s">
        <v>13</v>
      </c>
      <c r="B44" s="56" t="s">
        <v>723</v>
      </c>
      <c r="C44" s="24"/>
      <c r="D44" s="60" t="s">
        <v>37</v>
      </c>
      <c r="E44" s="57">
        <v>450000</v>
      </c>
      <c r="F44" s="57">
        <v>8700</v>
      </c>
      <c r="G44" s="26"/>
      <c r="H44" s="25"/>
      <c r="I44" s="25"/>
      <c r="J44" s="57"/>
      <c r="K44" s="25"/>
    </row>
    <row r="45" spans="1:12" ht="18" customHeight="1">
      <c r="A45" s="18"/>
      <c r="B45" s="2" t="s">
        <v>806</v>
      </c>
      <c r="C45" s="2"/>
      <c r="D45" s="2"/>
      <c r="E45" s="4"/>
      <c r="F45" s="4"/>
      <c r="G45" s="40" t="s">
        <v>817</v>
      </c>
      <c r="H45" s="4">
        <v>37860</v>
      </c>
      <c r="I45" s="4">
        <f>+E44-H45</f>
        <v>412140</v>
      </c>
      <c r="J45" s="49"/>
      <c r="K45" s="4"/>
    </row>
    <row r="46" spans="1:12" ht="18" customHeight="1">
      <c r="A46" s="18"/>
      <c r="B46" s="2"/>
      <c r="C46" s="2"/>
      <c r="D46" s="2"/>
      <c r="E46" s="4"/>
      <c r="F46" s="4"/>
      <c r="G46" s="40" t="s">
        <v>141</v>
      </c>
      <c r="H46" s="4">
        <v>38790</v>
      </c>
      <c r="I46" s="4">
        <f>+I45-H45</f>
        <v>374280</v>
      </c>
      <c r="J46" s="49"/>
      <c r="K46" s="4"/>
    </row>
    <row r="47" spans="1:12" ht="18" customHeight="1">
      <c r="A47" s="18"/>
      <c r="B47" s="2"/>
      <c r="C47" s="2"/>
      <c r="D47" s="2"/>
      <c r="E47" s="4"/>
      <c r="F47" s="4"/>
      <c r="G47" s="40" t="s">
        <v>833</v>
      </c>
      <c r="H47" s="4">
        <v>36410</v>
      </c>
      <c r="I47" s="4">
        <f t="shared" ref="I47:I57" si="5">+I46-H46</f>
        <v>335490</v>
      </c>
      <c r="J47" s="49"/>
      <c r="K47" s="4"/>
    </row>
    <row r="48" spans="1:12" ht="18" customHeight="1">
      <c r="A48" s="18"/>
      <c r="B48" s="2"/>
      <c r="C48" s="2"/>
      <c r="D48" s="2"/>
      <c r="E48" s="4"/>
      <c r="F48" s="4"/>
      <c r="G48" s="40" t="s">
        <v>147</v>
      </c>
      <c r="H48" s="4">
        <v>39410</v>
      </c>
      <c r="I48" s="4">
        <f t="shared" si="5"/>
        <v>299080</v>
      </c>
      <c r="J48" s="49"/>
      <c r="K48" s="4"/>
    </row>
    <row r="49" spans="1:11" ht="18" customHeight="1">
      <c r="A49" s="18"/>
      <c r="B49" s="2"/>
      <c r="C49" s="2"/>
      <c r="D49" s="2"/>
      <c r="E49" s="4"/>
      <c r="F49" s="4"/>
      <c r="G49" s="40" t="s">
        <v>158</v>
      </c>
      <c r="H49" s="4">
        <v>35710</v>
      </c>
      <c r="I49" s="4">
        <f t="shared" si="5"/>
        <v>259670</v>
      </c>
      <c r="J49" s="49"/>
      <c r="K49" s="4"/>
    </row>
    <row r="50" spans="1:11" ht="18" customHeight="1">
      <c r="A50" s="18"/>
      <c r="B50" s="2"/>
      <c r="C50" s="2"/>
      <c r="D50" s="2"/>
      <c r="E50" s="4"/>
      <c r="F50" s="4"/>
      <c r="G50" s="40" t="s">
        <v>169</v>
      </c>
      <c r="H50" s="4">
        <v>35900</v>
      </c>
      <c r="I50" s="4">
        <f t="shared" si="5"/>
        <v>223960</v>
      </c>
      <c r="J50" s="49"/>
      <c r="K50" s="4"/>
    </row>
    <row r="51" spans="1:11" ht="18" customHeight="1">
      <c r="A51" s="18"/>
      <c r="B51" s="2"/>
      <c r="C51" s="2"/>
      <c r="D51" s="2"/>
      <c r="E51" s="4"/>
      <c r="F51" s="4"/>
      <c r="G51" s="40" t="s">
        <v>171</v>
      </c>
      <c r="H51" s="4">
        <v>38970</v>
      </c>
      <c r="I51" s="4">
        <f t="shared" si="5"/>
        <v>188060</v>
      </c>
      <c r="J51" s="49"/>
      <c r="K51" s="4"/>
    </row>
    <row r="52" spans="1:11" ht="18" customHeight="1">
      <c r="A52" s="18"/>
      <c r="B52" s="2"/>
      <c r="C52" s="2"/>
      <c r="D52" s="2"/>
      <c r="E52" s="4"/>
      <c r="F52" s="4"/>
      <c r="G52" s="40" t="s">
        <v>217</v>
      </c>
      <c r="H52" s="4">
        <v>39580</v>
      </c>
      <c r="I52" s="4">
        <f t="shared" si="5"/>
        <v>149090</v>
      </c>
      <c r="J52" s="49"/>
      <c r="K52" s="4"/>
    </row>
    <row r="53" spans="1:11" ht="18" customHeight="1">
      <c r="A53" s="18"/>
      <c r="B53" s="2"/>
      <c r="C53" s="2"/>
      <c r="D53" s="2"/>
      <c r="E53" s="4"/>
      <c r="F53" s="4"/>
      <c r="G53" s="40" t="s">
        <v>242</v>
      </c>
      <c r="H53" s="4">
        <v>40350</v>
      </c>
      <c r="I53" s="4">
        <f t="shared" si="5"/>
        <v>109510</v>
      </c>
      <c r="J53" s="49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>
        <f t="shared" si="5"/>
        <v>69160</v>
      </c>
      <c r="J54" s="49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>
        <f t="shared" si="5"/>
        <v>69160</v>
      </c>
      <c r="J55" s="49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>
        <f t="shared" si="5"/>
        <v>69160</v>
      </c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>
        <f t="shared" si="5"/>
        <v>69160</v>
      </c>
      <c r="J57" s="4"/>
      <c r="K57" s="4"/>
    </row>
    <row r="58" spans="1:11" ht="18" customHeight="1">
      <c r="A58" s="161"/>
      <c r="B58" s="167" t="s">
        <v>235</v>
      </c>
      <c r="C58" s="167"/>
      <c r="D58" s="167"/>
      <c r="E58" s="168"/>
      <c r="F58" s="168"/>
      <c r="G58" s="232"/>
      <c r="H58" s="168">
        <f>SUM(H45:H57)</f>
        <v>342980</v>
      </c>
      <c r="I58" s="168"/>
      <c r="J58" s="168"/>
      <c r="K58" s="168"/>
    </row>
    <row r="59" spans="1:11" ht="18" customHeight="1">
      <c r="A59" s="18"/>
      <c r="B59" s="60"/>
      <c r="C59" s="2"/>
      <c r="D59" s="64" t="s">
        <v>877</v>
      </c>
      <c r="E59" s="4">
        <v>12000</v>
      </c>
      <c r="F59" s="4">
        <v>16500</v>
      </c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40" t="s">
        <v>236</v>
      </c>
      <c r="H60" s="4">
        <v>6005</v>
      </c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40" t="s">
        <v>250</v>
      </c>
      <c r="H61" s="4">
        <v>8000</v>
      </c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1" ht="18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customHeight="1">
      <c r="A65" s="281" t="s">
        <v>0</v>
      </c>
      <c r="B65" s="282"/>
      <c r="C65" s="10"/>
      <c r="D65" s="10"/>
      <c r="E65" s="5">
        <f>SUM(E6:E64)</f>
        <v>4397000</v>
      </c>
      <c r="F65" s="5">
        <f>SUM(F6:F64)</f>
        <v>135400</v>
      </c>
      <c r="G65" s="23"/>
      <c r="H65" s="5">
        <f>SUM(H6:H64)</f>
        <v>1813519</v>
      </c>
      <c r="I65" s="5">
        <f>SUM(I6:I64)</f>
        <v>2746670</v>
      </c>
      <c r="J65" s="5"/>
      <c r="K65" s="5"/>
    </row>
    <row r="66" spans="1:11" s="6" customFormat="1" ht="24.75" customHeight="1">
      <c r="A66" s="16"/>
      <c r="B66" s="1"/>
      <c r="C66" s="1"/>
      <c r="D66" s="1"/>
      <c r="E66" s="3"/>
      <c r="F66" s="3"/>
      <c r="G66" s="19"/>
      <c r="H66" s="3"/>
      <c r="I66" s="3"/>
      <c r="J66" s="3"/>
      <c r="K66" s="3"/>
    </row>
    <row r="67" spans="1:11">
      <c r="F67" s="270" t="s">
        <v>1</v>
      </c>
      <c r="G67" s="270"/>
      <c r="H67" s="270"/>
      <c r="I67" s="270"/>
      <c r="J67" s="1"/>
      <c r="K67" s="8"/>
    </row>
    <row r="70" spans="1:11">
      <c r="F70" s="271"/>
      <c r="G70" s="271"/>
      <c r="H70" s="271"/>
      <c r="I70" s="271"/>
      <c r="J70" s="1"/>
      <c r="K70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18:B18"/>
    <mergeCell ref="A65:B65"/>
    <mergeCell ref="F67:I67"/>
    <mergeCell ref="F70:I70"/>
  </mergeCells>
  <pageMargins left="0.28999999999999998" right="0.28999999999999998" top="0.32" bottom="0.27" header="0.23" footer="0.21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71"/>
  <sheetViews>
    <sheetView workbookViewId="0">
      <pane ySplit="5" topLeftCell="A6" activePane="bottomLeft" state="frozen"/>
      <selection pane="bottomLeft" activeCell="L2" sqref="L2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48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13</v>
      </c>
      <c r="B11" s="2" t="s">
        <v>38</v>
      </c>
      <c r="C11" s="2"/>
      <c r="D11" s="2" t="s">
        <v>37</v>
      </c>
      <c r="E11" s="4">
        <v>100000</v>
      </c>
      <c r="F11" s="4">
        <v>6750</v>
      </c>
      <c r="G11" s="21">
        <v>43929</v>
      </c>
      <c r="H11" s="4">
        <v>20810</v>
      </c>
      <c r="I11" s="4">
        <v>6750</v>
      </c>
      <c r="J11" s="4">
        <f>E11-H11</f>
        <v>79190</v>
      </c>
      <c r="K11" s="4">
        <f>F11</f>
        <v>6750</v>
      </c>
    </row>
    <row r="12" spans="1:11" ht="18" customHeight="1">
      <c r="A12" s="18"/>
      <c r="B12" s="2" t="s">
        <v>38</v>
      </c>
      <c r="C12" s="2"/>
      <c r="D12" s="2" t="s">
        <v>37</v>
      </c>
      <c r="E12" s="4">
        <v>100000</v>
      </c>
      <c r="F12" s="4">
        <v>6750</v>
      </c>
      <c r="G12" s="21">
        <v>43931</v>
      </c>
      <c r="H12" s="4">
        <v>12070</v>
      </c>
      <c r="I12" s="4">
        <v>6750</v>
      </c>
      <c r="J12" s="4">
        <f>J11-H12</f>
        <v>67120</v>
      </c>
      <c r="K12" s="4">
        <f t="shared" ref="K12:K20" si="2">F12</f>
        <v>6750</v>
      </c>
    </row>
    <row r="13" spans="1:11" ht="18" customHeight="1">
      <c r="A13" s="18"/>
      <c r="B13" s="2" t="s">
        <v>38</v>
      </c>
      <c r="C13" s="2"/>
      <c r="D13" s="2" t="s">
        <v>37</v>
      </c>
      <c r="E13" s="4">
        <v>100000</v>
      </c>
      <c r="F13" s="4">
        <v>6750</v>
      </c>
      <c r="G13" s="21">
        <v>43935</v>
      </c>
      <c r="H13" s="4">
        <v>12200</v>
      </c>
      <c r="I13" s="4">
        <v>6750</v>
      </c>
      <c r="J13" s="4">
        <f>J12-H13</f>
        <v>54920</v>
      </c>
      <c r="K13" s="4">
        <f t="shared" si="2"/>
        <v>6750</v>
      </c>
    </row>
    <row r="14" spans="1:11" ht="18" customHeight="1">
      <c r="A14" s="18"/>
      <c r="B14" s="2" t="s">
        <v>38</v>
      </c>
      <c r="C14" s="2"/>
      <c r="D14" s="2" t="s">
        <v>37</v>
      </c>
      <c r="E14" s="4">
        <v>100000</v>
      </c>
      <c r="F14" s="4">
        <v>6750</v>
      </c>
      <c r="G14" s="21">
        <v>43973</v>
      </c>
      <c r="H14" s="4">
        <v>9240</v>
      </c>
      <c r="I14" s="4">
        <v>6750</v>
      </c>
      <c r="J14" s="4">
        <f>J13-H14</f>
        <v>45680</v>
      </c>
      <c r="K14" s="4">
        <f t="shared" si="2"/>
        <v>6750</v>
      </c>
    </row>
    <row r="15" spans="1:11" ht="18" customHeight="1">
      <c r="A15" s="18"/>
      <c r="B15" s="2" t="s">
        <v>38</v>
      </c>
      <c r="C15" s="2"/>
      <c r="D15" s="2" t="s">
        <v>37</v>
      </c>
      <c r="E15" s="4">
        <v>100000</v>
      </c>
      <c r="F15" s="4">
        <v>6750</v>
      </c>
      <c r="G15" s="21">
        <v>43974</v>
      </c>
      <c r="H15" s="4">
        <v>11350</v>
      </c>
      <c r="I15" s="4">
        <v>6750</v>
      </c>
      <c r="J15" s="4">
        <f>J14-H15</f>
        <v>34330</v>
      </c>
      <c r="K15" s="4">
        <f t="shared" si="2"/>
        <v>6750</v>
      </c>
    </row>
    <row r="16" spans="1:11" ht="18" customHeight="1">
      <c r="A16" s="18"/>
      <c r="B16" s="2" t="s">
        <v>38</v>
      </c>
      <c r="C16" s="2"/>
      <c r="D16" s="2" t="s">
        <v>37</v>
      </c>
      <c r="E16" s="4">
        <v>100000</v>
      </c>
      <c r="F16" s="4">
        <v>6750</v>
      </c>
      <c r="G16" s="21">
        <v>43978</v>
      </c>
      <c r="H16" s="4">
        <v>9910</v>
      </c>
      <c r="I16" s="4">
        <v>6750</v>
      </c>
      <c r="J16" s="4">
        <f>J15-H16</f>
        <v>24420</v>
      </c>
      <c r="K16" s="4">
        <v>6750</v>
      </c>
    </row>
    <row r="17" spans="1:11" ht="18" customHeight="1">
      <c r="A17" s="18"/>
      <c r="B17" s="2" t="s">
        <v>38</v>
      </c>
      <c r="C17" s="2"/>
      <c r="D17" s="2" t="s">
        <v>37</v>
      </c>
      <c r="E17" s="4">
        <v>100000</v>
      </c>
      <c r="F17" s="4">
        <v>6750</v>
      </c>
      <c r="G17" s="21"/>
      <c r="H17" s="4"/>
      <c r="I17" s="4">
        <v>6750</v>
      </c>
      <c r="J17" s="4"/>
      <c r="K17" s="4">
        <v>6750</v>
      </c>
    </row>
    <row r="18" spans="1:11" ht="18" customHeight="1">
      <c r="A18" s="18"/>
      <c r="B18" s="2" t="s">
        <v>38</v>
      </c>
      <c r="C18" s="2"/>
      <c r="D18" s="2" t="s">
        <v>37</v>
      </c>
      <c r="E18" s="4">
        <v>100000</v>
      </c>
      <c r="F18" s="4">
        <v>6750</v>
      </c>
      <c r="G18" s="21"/>
      <c r="H18" s="4"/>
      <c r="I18" s="4">
        <v>6750</v>
      </c>
      <c r="J18" s="4"/>
      <c r="K18" s="4">
        <v>6750</v>
      </c>
    </row>
    <row r="19" spans="1:11" ht="18" customHeight="1">
      <c r="A19" s="18"/>
      <c r="B19" s="2" t="s">
        <v>38</v>
      </c>
      <c r="C19" s="2"/>
      <c r="D19" s="2" t="s">
        <v>37</v>
      </c>
      <c r="E19" s="4">
        <v>100000</v>
      </c>
      <c r="F19" s="4">
        <v>6750</v>
      </c>
      <c r="G19" s="21"/>
      <c r="H19" s="4"/>
      <c r="I19" s="4">
        <v>6750</v>
      </c>
      <c r="J19" s="4"/>
      <c r="K19" s="4">
        <v>6750</v>
      </c>
    </row>
    <row r="20" spans="1:11" ht="18" customHeight="1">
      <c r="A20" s="18"/>
      <c r="B20" s="2" t="s">
        <v>38</v>
      </c>
      <c r="C20" s="2"/>
      <c r="D20" s="2" t="s">
        <v>37</v>
      </c>
      <c r="E20" s="4">
        <v>100000</v>
      </c>
      <c r="F20" s="4">
        <v>6750</v>
      </c>
      <c r="G20" s="21"/>
      <c r="H20" s="4"/>
      <c r="I20" s="4">
        <v>6750</v>
      </c>
      <c r="J20" s="4"/>
      <c r="K20" s="4">
        <f t="shared" si="2"/>
        <v>6750</v>
      </c>
    </row>
    <row r="21" spans="1:11" s="15" customFormat="1" ht="18" customHeight="1">
      <c r="A21" s="291" t="s">
        <v>15</v>
      </c>
      <c r="B21" s="292"/>
      <c r="C21" s="13"/>
      <c r="D21" s="13"/>
      <c r="E21" s="14">
        <v>100000</v>
      </c>
      <c r="F21" s="14"/>
      <c r="G21" s="22"/>
      <c r="H21" s="14">
        <f>SUM(H11:H20)</f>
        <v>75580</v>
      </c>
      <c r="I21" s="14"/>
      <c r="J21" s="14">
        <f>E21-H21</f>
        <v>24420</v>
      </c>
      <c r="K21" s="14"/>
    </row>
    <row r="22" spans="1:11" ht="18" customHeight="1">
      <c r="A22" s="18"/>
      <c r="B22" s="2"/>
      <c r="C22" s="2"/>
      <c r="D22" s="2"/>
      <c r="E22" s="4"/>
      <c r="F22" s="4"/>
      <c r="G22" s="21"/>
      <c r="H22" s="4"/>
      <c r="I22" s="4"/>
      <c r="J22" s="4"/>
      <c r="K22" s="4"/>
    </row>
    <row r="23" spans="1:11" ht="18" customHeight="1">
      <c r="A23" s="18"/>
      <c r="B23" s="2"/>
      <c r="C23" s="2"/>
      <c r="D23" s="2"/>
      <c r="E23" s="4"/>
      <c r="F23" s="4"/>
      <c r="G23" s="21"/>
      <c r="H23" s="4"/>
      <c r="I23" s="4"/>
      <c r="J23" s="4"/>
      <c r="K23" s="4"/>
    </row>
    <row r="24" spans="1:11" ht="18" customHeight="1">
      <c r="A24" s="18"/>
      <c r="B24" s="2"/>
      <c r="C24" s="2"/>
      <c r="D24" s="2"/>
      <c r="E24" s="4"/>
      <c r="F24" s="4"/>
      <c r="G24" s="21"/>
      <c r="H24" s="4"/>
      <c r="I24" s="4"/>
      <c r="J24" s="4"/>
      <c r="K24" s="4"/>
    </row>
    <row r="25" spans="1:11" ht="18" customHeight="1">
      <c r="A25" s="18"/>
      <c r="B25" s="2"/>
      <c r="C25" s="2"/>
      <c r="D25" s="2"/>
      <c r="E25" s="4"/>
      <c r="F25" s="4"/>
      <c r="G25" s="21"/>
      <c r="H25" s="4"/>
      <c r="I25" s="4"/>
      <c r="J25" s="4"/>
      <c r="K25" s="4"/>
    </row>
    <row r="26" spans="1:11" ht="18" customHeight="1">
      <c r="A26" s="18"/>
      <c r="B26" s="2"/>
      <c r="C26" s="2"/>
      <c r="D26" s="2"/>
      <c r="E26" s="4"/>
      <c r="F26" s="4"/>
      <c r="G26" s="21"/>
      <c r="H26" s="4"/>
      <c r="I26" s="4"/>
      <c r="J26" s="4"/>
      <c r="K26" s="4"/>
    </row>
    <row r="27" spans="1:11" ht="18" customHeight="1">
      <c r="A27" s="18"/>
      <c r="B27" s="2"/>
      <c r="C27" s="2"/>
      <c r="D27" s="2"/>
      <c r="E27" s="4"/>
      <c r="F27" s="4"/>
      <c r="G27" s="21"/>
      <c r="H27" s="4"/>
      <c r="I27" s="4"/>
      <c r="J27" s="4"/>
      <c r="K27" s="4"/>
    </row>
    <row r="28" spans="1:11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</row>
    <row r="29" spans="1:11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</row>
    <row r="30" spans="1:11" ht="18" customHeight="1">
      <c r="A30" s="18"/>
      <c r="B30" s="2"/>
      <c r="C30" s="2"/>
      <c r="D30" s="2"/>
      <c r="E30" s="4"/>
      <c r="F30" s="4"/>
      <c r="G30" s="21"/>
      <c r="H30" s="4"/>
      <c r="I30" s="4"/>
      <c r="J30" s="4"/>
      <c r="K30" s="4"/>
    </row>
    <row r="31" spans="1:11" ht="18" customHeight="1">
      <c r="A31" s="18"/>
      <c r="B31" s="2"/>
      <c r="C31" s="2"/>
      <c r="D31" s="2"/>
      <c r="E31" s="4"/>
      <c r="F31" s="4"/>
      <c r="G31" s="21"/>
      <c r="H31" s="4"/>
      <c r="I31" s="4"/>
      <c r="J31" s="4"/>
      <c r="K31" s="4"/>
    </row>
    <row r="32" spans="1:11" ht="18" customHeight="1">
      <c r="A32" s="18"/>
      <c r="B32" s="2"/>
      <c r="C32" s="2"/>
      <c r="D32" s="2"/>
      <c r="E32" s="4"/>
      <c r="F32" s="4"/>
      <c r="G32" s="21"/>
      <c r="H32" s="4"/>
      <c r="I32" s="4"/>
      <c r="J32" s="4"/>
      <c r="K32" s="4"/>
    </row>
    <row r="33" spans="1:11" ht="18" customHeight="1">
      <c r="A33" s="18"/>
      <c r="B33" s="2"/>
      <c r="C33" s="2"/>
      <c r="D33" s="2"/>
      <c r="E33" s="4"/>
      <c r="F33" s="4"/>
      <c r="G33" s="21"/>
      <c r="H33" s="4"/>
      <c r="I33" s="4"/>
      <c r="J33" s="4"/>
      <c r="K33" s="4"/>
    </row>
    <row r="34" spans="1:11" ht="18" customHeight="1">
      <c r="A34" s="18"/>
      <c r="B34" s="2"/>
      <c r="C34" s="2"/>
      <c r="D34" s="2"/>
      <c r="E34" s="4"/>
      <c r="F34" s="4"/>
      <c r="G34" s="21"/>
      <c r="H34" s="4"/>
      <c r="I34" s="4"/>
      <c r="J34" s="4"/>
      <c r="K34" s="4"/>
    </row>
    <row r="35" spans="1:11" ht="18" customHeight="1">
      <c r="A35" s="18"/>
      <c r="B35" s="2"/>
      <c r="C35" s="2"/>
      <c r="D35" s="2"/>
      <c r="E35" s="4"/>
      <c r="F35" s="4"/>
      <c r="G35" s="21"/>
      <c r="H35" s="4"/>
      <c r="I35" s="4"/>
      <c r="J35" s="4"/>
      <c r="K35" s="4"/>
    </row>
    <row r="36" spans="1:11" ht="18" customHeight="1">
      <c r="A36" s="18"/>
      <c r="B36" s="2"/>
      <c r="C36" s="2"/>
      <c r="D36" s="2"/>
      <c r="E36" s="4"/>
      <c r="F36" s="4"/>
      <c r="G36" s="21"/>
      <c r="H36" s="4"/>
      <c r="I36" s="4"/>
      <c r="J36" s="4"/>
      <c r="K36" s="4"/>
    </row>
    <row r="37" spans="1:11" ht="18" customHeight="1">
      <c r="A37" s="18"/>
      <c r="B37" s="2"/>
      <c r="C37" s="2"/>
      <c r="D37" s="2"/>
      <c r="E37" s="4"/>
      <c r="F37" s="4"/>
      <c r="G37" s="21"/>
      <c r="H37" s="4"/>
      <c r="I37" s="4"/>
      <c r="J37" s="4"/>
      <c r="K37" s="4"/>
    </row>
    <row r="38" spans="1:11" ht="18" customHeight="1">
      <c r="A38" s="18"/>
      <c r="B38" s="2"/>
      <c r="C38" s="2"/>
      <c r="D38" s="2"/>
      <c r="E38" s="4"/>
      <c r="F38" s="4"/>
      <c r="G38" s="21"/>
      <c r="H38" s="4"/>
      <c r="I38" s="4"/>
      <c r="J38" s="4"/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8"/>
      <c r="B42" s="2"/>
      <c r="C42" s="2"/>
      <c r="D42" s="2"/>
      <c r="E42" s="4"/>
      <c r="F42" s="4"/>
      <c r="G42" s="21"/>
      <c r="H42" s="4"/>
      <c r="I42" s="4"/>
      <c r="J42" s="4"/>
      <c r="K42" s="4"/>
    </row>
    <row r="43" spans="1:11" ht="18" customHeight="1">
      <c r="A43" s="18"/>
      <c r="B43" s="2"/>
      <c r="C43" s="2"/>
      <c r="D43" s="2"/>
      <c r="E43" s="4"/>
      <c r="F43" s="4"/>
      <c r="G43" s="2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21"/>
      <c r="H44" s="4"/>
      <c r="I44" s="4"/>
      <c r="J44" s="4"/>
      <c r="K44" s="4"/>
    </row>
    <row r="45" spans="1:11" ht="18" customHeight="1">
      <c r="A45" s="18"/>
      <c r="B45" s="2"/>
      <c r="C45" s="2"/>
      <c r="D45" s="2"/>
      <c r="E45" s="4"/>
      <c r="F45" s="4"/>
      <c r="G45" s="21"/>
      <c r="H45" s="4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21"/>
      <c r="H46" s="4"/>
      <c r="I46" s="4"/>
      <c r="J46" s="4"/>
      <c r="K46" s="4"/>
    </row>
    <row r="47" spans="1:11" ht="18" customHeight="1">
      <c r="A47" s="18"/>
      <c r="B47" s="2"/>
      <c r="C47" s="2"/>
      <c r="D47" s="2"/>
      <c r="E47" s="4"/>
      <c r="F47" s="4"/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/>
      <c r="H48" s="4"/>
      <c r="I48" s="4"/>
      <c r="J48" s="4"/>
      <c r="K48" s="4"/>
    </row>
    <row r="49" spans="1:11" ht="18" customHeight="1">
      <c r="A49" s="18"/>
      <c r="B49" s="2"/>
      <c r="C49" s="2"/>
      <c r="D49" s="2"/>
      <c r="E49" s="4"/>
      <c r="F49" s="4"/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21"/>
      <c r="H50" s="4"/>
      <c r="I50" s="4"/>
      <c r="J50" s="4"/>
      <c r="K50" s="4"/>
    </row>
    <row r="51" spans="1:11" ht="18" customHeight="1">
      <c r="A51" s="18"/>
      <c r="B51" s="2"/>
      <c r="C51" s="2"/>
      <c r="D51" s="2"/>
      <c r="E51" s="4"/>
      <c r="F51" s="4"/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21"/>
      <c r="H52" s="4"/>
      <c r="I52" s="4"/>
      <c r="J52" s="4"/>
      <c r="K52" s="4"/>
    </row>
    <row r="53" spans="1:11" ht="18" customHeight="1">
      <c r="A53" s="18"/>
      <c r="B53" s="2"/>
      <c r="C53" s="2"/>
      <c r="D53" s="2"/>
      <c r="E53" s="4"/>
      <c r="F53" s="4"/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21"/>
      <c r="H54" s="4"/>
      <c r="I54" s="4"/>
      <c r="J54" s="4"/>
      <c r="K54" s="4"/>
    </row>
    <row r="55" spans="1:11" ht="18" customHeight="1">
      <c r="A55" s="18"/>
      <c r="B55" s="2"/>
      <c r="C55" s="2"/>
      <c r="D55" s="2"/>
      <c r="E55" s="4"/>
      <c r="F55" s="4"/>
      <c r="G55" s="21"/>
      <c r="H55" s="4"/>
      <c r="I55" s="4"/>
      <c r="J55" s="4"/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/>
      <c r="B57" s="2"/>
      <c r="C57" s="2"/>
      <c r="D57" s="2"/>
      <c r="E57" s="4"/>
      <c r="F57" s="4"/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21"/>
      <c r="H58" s="4"/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21"/>
      <c r="H59" s="4"/>
      <c r="I59" s="4"/>
      <c r="J59" s="4"/>
      <c r="K59" s="4"/>
    </row>
    <row r="60" spans="1:11" ht="18" customHeight="1">
      <c r="A60" s="18"/>
      <c r="B60" s="2"/>
      <c r="C60" s="2"/>
      <c r="D60" s="2"/>
      <c r="E60" s="4"/>
      <c r="F60" s="4"/>
      <c r="G60" s="21"/>
      <c r="H60" s="4"/>
      <c r="I60" s="4"/>
      <c r="J60" s="4"/>
      <c r="K60" s="4"/>
    </row>
    <row r="61" spans="1:11" ht="18" customHeight="1">
      <c r="A61" s="18"/>
      <c r="B61" s="2"/>
      <c r="C61" s="2"/>
      <c r="D61" s="2"/>
      <c r="E61" s="4"/>
      <c r="F61" s="4"/>
      <c r="G61" s="21"/>
      <c r="H61" s="4"/>
      <c r="I61" s="4"/>
      <c r="J61" s="4"/>
      <c r="K61" s="4"/>
    </row>
    <row r="62" spans="1:11" ht="18" customHeight="1">
      <c r="A62" s="18"/>
      <c r="B62" s="2"/>
      <c r="C62" s="2"/>
      <c r="D62" s="2"/>
      <c r="E62" s="4"/>
      <c r="F62" s="4"/>
      <c r="G62" s="21"/>
      <c r="H62" s="4"/>
      <c r="I62" s="4"/>
      <c r="J62" s="4"/>
      <c r="K62" s="4"/>
    </row>
    <row r="63" spans="1:11" ht="18" customHeight="1">
      <c r="A63" s="18"/>
      <c r="B63" s="2"/>
      <c r="C63" s="2"/>
      <c r="D63" s="2"/>
      <c r="E63" s="4"/>
      <c r="F63" s="4"/>
      <c r="G63" s="21"/>
      <c r="H63" s="4"/>
      <c r="I63" s="4"/>
      <c r="J63" s="4"/>
      <c r="K63" s="4"/>
    </row>
    <row r="64" spans="1:11" ht="18" customHeight="1">
      <c r="A64" s="18"/>
      <c r="B64" s="2"/>
      <c r="C64" s="2"/>
      <c r="D64" s="2"/>
      <c r="E64" s="4"/>
      <c r="F64" s="4"/>
      <c r="G64" s="21"/>
      <c r="H64" s="4"/>
      <c r="I64" s="4"/>
      <c r="J64" s="4"/>
      <c r="K64" s="4"/>
    </row>
    <row r="65" spans="1:11" ht="18" customHeight="1">
      <c r="A65" s="18"/>
      <c r="B65" s="2"/>
      <c r="C65" s="2"/>
      <c r="D65" s="2"/>
      <c r="E65" s="4"/>
      <c r="F65" s="4"/>
      <c r="G65" s="21"/>
      <c r="H65" s="4"/>
      <c r="I65" s="4"/>
      <c r="J65" s="4"/>
      <c r="K65" s="4"/>
    </row>
    <row r="66" spans="1:11" ht="18" customHeight="1">
      <c r="A66" s="281" t="s">
        <v>0</v>
      </c>
      <c r="B66" s="282"/>
      <c r="C66" s="10"/>
      <c r="D66" s="10"/>
      <c r="E66" s="5">
        <f>SUM(E6:E65)</f>
        <v>1100000</v>
      </c>
      <c r="F66" s="5">
        <f>SUM(F6:F65)</f>
        <v>67500</v>
      </c>
      <c r="G66" s="23"/>
      <c r="H66" s="5">
        <f>SUM(H6:H65)</f>
        <v>151160</v>
      </c>
      <c r="I66" s="5">
        <f>SUM(I6:I65)</f>
        <v>67500</v>
      </c>
      <c r="J66" s="5"/>
      <c r="K66" s="5"/>
    </row>
    <row r="67" spans="1:11" s="6" customFormat="1" ht="24.75" customHeight="1">
      <c r="A67" s="16"/>
      <c r="B67" s="1"/>
      <c r="C67" s="1"/>
      <c r="D67" s="1"/>
      <c r="E67" s="3"/>
      <c r="F67" s="3"/>
      <c r="G67" s="19"/>
      <c r="H67" s="3"/>
      <c r="I67" s="3"/>
      <c r="J67" s="3"/>
      <c r="K67" s="3"/>
    </row>
    <row r="68" spans="1:11">
      <c r="F68" s="270" t="s">
        <v>1</v>
      </c>
      <c r="G68" s="270"/>
      <c r="H68" s="270"/>
      <c r="I68" s="270"/>
      <c r="J68" s="1"/>
      <c r="K68" s="8"/>
    </row>
    <row r="71" spans="1:11">
      <c r="F71" s="271"/>
      <c r="G71" s="271"/>
      <c r="H71" s="271"/>
      <c r="I71" s="271"/>
      <c r="J71" s="1"/>
      <c r="K71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21:B21"/>
    <mergeCell ref="A66:B66"/>
    <mergeCell ref="F68:I68"/>
    <mergeCell ref="F71:I71"/>
  </mergeCells>
  <pageMargins left="0.28999999999999998" right="0.28999999999999998" top="0.32" bottom="0.27" header="0.23" footer="0.21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185"/>
  <sheetViews>
    <sheetView topLeftCell="A99" workbookViewId="0">
      <pane ySplit="6" topLeftCell="A160" activePane="bottomLeft" state="frozen"/>
      <selection activeCell="A99" sqref="A99"/>
      <selection pane="bottomLeft" activeCell="I167" sqref="I167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8" width="19" style="3" customWidth="1"/>
    <col min="9" max="9" width="14.28515625" style="3" customWidth="1"/>
    <col min="10" max="10" width="16.140625" style="3" customWidth="1"/>
    <col min="11" max="11" width="14.28515625" style="3" customWidth="1"/>
    <col min="12" max="12" width="17.5703125" style="3" customWidth="1"/>
    <col min="13" max="13" width="29.7109375" style="1" customWidth="1"/>
    <col min="14" max="14" width="15.5703125" style="1" bestFit="1" customWidth="1"/>
    <col min="15" max="16384" width="9.140625" style="1"/>
  </cols>
  <sheetData>
    <row r="1" spans="1:13" ht="34.5" hidden="1" customHeight="1">
      <c r="A1" s="274" t="s">
        <v>45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80"/>
    </row>
    <row r="2" spans="1:13" ht="21" hidden="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81"/>
    </row>
    <row r="3" spans="1:13" ht="8.25" hidden="1" customHeight="1"/>
    <row r="4" spans="1:13" s="11" customFormat="1" ht="15" hidden="1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  <c r="L4" s="82"/>
    </row>
    <row r="5" spans="1:13" s="11" customFormat="1" ht="15" hidden="1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  <c r="L5" s="83"/>
    </row>
    <row r="6" spans="1:13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  <c r="L6" s="84"/>
    </row>
    <row r="7" spans="1:13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  <c r="L7" s="84"/>
    </row>
    <row r="8" spans="1:13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  <c r="L8" s="84"/>
    </row>
    <row r="9" spans="1:13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  <c r="L9" s="84"/>
    </row>
    <row r="10" spans="1:13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85"/>
    </row>
    <row r="11" spans="1:13" ht="18" hidden="1" customHeight="1">
      <c r="A11" s="18" t="s">
        <v>13</v>
      </c>
      <c r="B11" s="2" t="s">
        <v>26</v>
      </c>
      <c r="C11" s="2" t="s">
        <v>27</v>
      </c>
      <c r="D11" s="2" t="s">
        <v>28</v>
      </c>
      <c r="E11" s="4">
        <v>200000</v>
      </c>
      <c r="F11" s="4">
        <v>9430</v>
      </c>
      <c r="G11" s="21">
        <v>43922</v>
      </c>
      <c r="H11" s="4">
        <v>33470</v>
      </c>
      <c r="I11" s="4">
        <v>9430</v>
      </c>
      <c r="J11" s="4">
        <v>0</v>
      </c>
      <c r="K11" s="4">
        <f>F11</f>
        <v>9430</v>
      </c>
      <c r="L11" s="84"/>
      <c r="M11" s="1" t="s">
        <v>31</v>
      </c>
    </row>
    <row r="12" spans="1:13" ht="18" hidden="1" customHeight="1">
      <c r="A12" s="18" t="s">
        <v>29</v>
      </c>
      <c r="B12" s="2" t="s">
        <v>26</v>
      </c>
      <c r="C12" s="2" t="s">
        <v>30</v>
      </c>
      <c r="D12" s="2" t="s">
        <v>28</v>
      </c>
      <c r="E12" s="4">
        <v>67000</v>
      </c>
      <c r="F12" s="4">
        <v>9430</v>
      </c>
      <c r="G12" s="21">
        <v>43928</v>
      </c>
      <c r="H12" s="4">
        <v>61500</v>
      </c>
      <c r="I12" s="4">
        <v>9430</v>
      </c>
      <c r="J12" s="4">
        <f t="shared" ref="J12:J13" si="2">E12-H12</f>
        <v>5500</v>
      </c>
      <c r="K12" s="4">
        <f t="shared" ref="K12:K13" si="3">F12</f>
        <v>9430</v>
      </c>
      <c r="L12" s="84"/>
    </row>
    <row r="13" spans="1:13" ht="18" hidden="1" customHeight="1">
      <c r="A13" s="18" t="s">
        <v>29</v>
      </c>
      <c r="B13" s="2" t="s">
        <v>26</v>
      </c>
      <c r="C13" s="2" t="s">
        <v>30</v>
      </c>
      <c r="D13" s="2" t="s">
        <v>28</v>
      </c>
      <c r="E13" s="4">
        <v>100000</v>
      </c>
      <c r="F13" s="4">
        <v>9430</v>
      </c>
      <c r="G13" s="21">
        <v>43931</v>
      </c>
      <c r="H13" s="4">
        <v>33520</v>
      </c>
      <c r="I13" s="4">
        <v>9430</v>
      </c>
      <c r="J13" s="4">
        <f t="shared" si="2"/>
        <v>66480</v>
      </c>
      <c r="K13" s="4">
        <f t="shared" si="3"/>
        <v>9430</v>
      </c>
      <c r="L13" s="84"/>
    </row>
    <row r="14" spans="1:13" ht="18" hidden="1" customHeight="1">
      <c r="A14" s="18"/>
      <c r="B14" s="2"/>
      <c r="C14" s="2" t="s">
        <v>30</v>
      </c>
      <c r="D14" s="2" t="s">
        <v>28</v>
      </c>
      <c r="E14" s="4">
        <v>100000</v>
      </c>
      <c r="F14" s="4">
        <v>9430</v>
      </c>
      <c r="G14" s="21">
        <v>43936</v>
      </c>
      <c r="H14" s="4">
        <v>34720</v>
      </c>
      <c r="I14" s="4">
        <v>9430</v>
      </c>
      <c r="J14" s="4">
        <f>J12+J13-H14</f>
        <v>37260</v>
      </c>
      <c r="K14" s="4"/>
      <c r="L14" s="84"/>
    </row>
    <row r="15" spans="1:13" ht="18" hidden="1" customHeight="1">
      <c r="A15" s="18"/>
      <c r="B15" s="2"/>
      <c r="C15" s="2" t="s">
        <v>30</v>
      </c>
      <c r="D15" s="2" t="s">
        <v>28</v>
      </c>
      <c r="E15" s="4">
        <v>100000</v>
      </c>
      <c r="F15" s="4">
        <v>9430</v>
      </c>
      <c r="G15" s="21">
        <v>43943</v>
      </c>
      <c r="H15" s="4">
        <v>35280</v>
      </c>
      <c r="I15" s="4">
        <v>9430</v>
      </c>
      <c r="J15" s="4">
        <f>J14-H15</f>
        <v>1980</v>
      </c>
      <c r="K15" s="4"/>
      <c r="L15" s="84"/>
    </row>
    <row r="16" spans="1:13" ht="18" hidden="1" customHeight="1">
      <c r="A16" s="18"/>
      <c r="B16" s="2"/>
      <c r="C16" s="2" t="s">
        <v>30</v>
      </c>
      <c r="D16" s="2" t="s">
        <v>28</v>
      </c>
      <c r="E16" s="4"/>
      <c r="F16" s="4">
        <v>9430</v>
      </c>
      <c r="G16" s="21"/>
      <c r="H16" s="4"/>
      <c r="I16" s="4"/>
      <c r="J16" s="4"/>
      <c r="K16" s="4"/>
      <c r="L16" s="84"/>
    </row>
    <row r="17" spans="1:12" s="15" customFormat="1" ht="18" hidden="1" customHeight="1">
      <c r="A17" s="291" t="s">
        <v>15</v>
      </c>
      <c r="B17" s="292"/>
      <c r="C17" s="13"/>
      <c r="D17" s="13"/>
      <c r="E17" s="14">
        <v>200000</v>
      </c>
      <c r="F17" s="14"/>
      <c r="G17" s="22"/>
      <c r="H17" s="14">
        <f>SUM(H11:H16)</f>
        <v>198490</v>
      </c>
      <c r="I17" s="14"/>
      <c r="J17" s="14">
        <f>E17-H17</f>
        <v>1510</v>
      </c>
      <c r="K17" s="14"/>
      <c r="L17" s="85"/>
    </row>
    <row r="18" spans="1:12" ht="18" hidden="1" customHeight="1">
      <c r="A18" s="18" t="s">
        <v>29</v>
      </c>
      <c r="B18" s="2" t="s">
        <v>26</v>
      </c>
      <c r="C18" s="2" t="s">
        <v>81</v>
      </c>
      <c r="D18" s="2" t="s">
        <v>28</v>
      </c>
      <c r="E18" s="4">
        <v>67000</v>
      </c>
      <c r="F18" s="4">
        <v>9700</v>
      </c>
      <c r="G18" s="21">
        <v>43950</v>
      </c>
      <c r="H18" s="4">
        <v>34780</v>
      </c>
      <c r="I18" s="4">
        <v>9700</v>
      </c>
      <c r="J18" s="4">
        <f>E18-H18</f>
        <v>32220</v>
      </c>
      <c r="K18" s="4">
        <v>9700</v>
      </c>
      <c r="L18" s="84"/>
    </row>
    <row r="19" spans="1:12" ht="18" hidden="1" customHeight="1">
      <c r="A19" s="18"/>
      <c r="B19" s="2" t="s">
        <v>26</v>
      </c>
      <c r="C19" s="2" t="s">
        <v>81</v>
      </c>
      <c r="D19" s="2" t="s">
        <v>28</v>
      </c>
      <c r="E19" s="4">
        <v>70000</v>
      </c>
      <c r="F19" s="4">
        <v>8970</v>
      </c>
      <c r="G19" s="21">
        <v>44007</v>
      </c>
      <c r="H19" s="4">
        <v>34740</v>
      </c>
      <c r="I19" s="4">
        <v>8750</v>
      </c>
      <c r="J19" s="4">
        <f>+E19-H19</f>
        <v>35260</v>
      </c>
      <c r="K19" s="4"/>
      <c r="L19" s="84"/>
    </row>
    <row r="20" spans="1:12" ht="18" hidden="1" customHeight="1">
      <c r="A20" s="18"/>
      <c r="B20" s="2"/>
      <c r="C20" s="2" t="s">
        <v>81</v>
      </c>
      <c r="D20" s="2" t="s">
        <v>28</v>
      </c>
      <c r="E20" s="4">
        <v>70000</v>
      </c>
      <c r="F20" s="4"/>
      <c r="G20" s="40">
        <v>44008</v>
      </c>
      <c r="H20" s="4">
        <v>33780</v>
      </c>
      <c r="I20" s="4">
        <v>8750</v>
      </c>
      <c r="J20" s="25">
        <f>J19-H20</f>
        <v>1480</v>
      </c>
      <c r="K20" s="4"/>
      <c r="L20" s="84"/>
    </row>
    <row r="21" spans="1:12" ht="18" hidden="1" customHeight="1">
      <c r="A21" s="51"/>
      <c r="B21" s="52" t="s">
        <v>15</v>
      </c>
      <c r="C21" s="52"/>
      <c r="D21" s="52"/>
      <c r="E21" s="53"/>
      <c r="F21" s="53"/>
      <c r="G21" s="54"/>
      <c r="H21" s="53">
        <f>SUM(H18:H20)</f>
        <v>103300</v>
      </c>
      <c r="I21" s="53"/>
      <c r="J21" s="53">
        <f t="shared" ref="J21" si="4">SUM(J18:J20)</f>
        <v>68960</v>
      </c>
      <c r="K21" s="53"/>
      <c r="L21" s="86"/>
    </row>
    <row r="22" spans="1:12" ht="18" hidden="1" customHeight="1">
      <c r="A22" s="18" t="s">
        <v>13</v>
      </c>
      <c r="B22" s="2" t="s">
        <v>26</v>
      </c>
      <c r="C22" s="2" t="s">
        <v>90</v>
      </c>
      <c r="D22" s="2" t="s">
        <v>28</v>
      </c>
      <c r="E22" s="49">
        <v>500000</v>
      </c>
      <c r="F22" s="4">
        <v>8950</v>
      </c>
      <c r="G22" s="21">
        <v>44047</v>
      </c>
      <c r="H22" s="4">
        <v>32610</v>
      </c>
      <c r="I22" s="4">
        <v>8950</v>
      </c>
      <c r="J22" s="4">
        <f>+E22-H22</f>
        <v>467390</v>
      </c>
      <c r="K22" s="4"/>
      <c r="L22" s="84"/>
    </row>
    <row r="23" spans="1:12" ht="18" hidden="1" customHeight="1">
      <c r="A23" s="18"/>
      <c r="B23" s="2"/>
      <c r="C23" s="2"/>
      <c r="D23" s="2"/>
      <c r="E23" s="4"/>
      <c r="F23" s="4"/>
      <c r="G23" s="21">
        <v>44050</v>
      </c>
      <c r="H23" s="4">
        <v>33720</v>
      </c>
      <c r="I23" s="4">
        <v>8950</v>
      </c>
      <c r="J23" s="4">
        <f>J22-H23</f>
        <v>433670</v>
      </c>
      <c r="K23" s="4"/>
      <c r="L23" s="84"/>
    </row>
    <row r="24" spans="1:12" ht="18" hidden="1" customHeight="1">
      <c r="A24" s="18"/>
      <c r="B24" s="2"/>
      <c r="C24" s="2"/>
      <c r="D24" s="2"/>
      <c r="E24" s="4"/>
      <c r="F24" s="4"/>
      <c r="G24" s="21">
        <v>44051</v>
      </c>
      <c r="H24" s="4">
        <v>33050</v>
      </c>
      <c r="I24" s="4">
        <v>8950</v>
      </c>
      <c r="J24" s="4">
        <f t="shared" ref="J24:J35" si="5">J23-H24</f>
        <v>400620</v>
      </c>
      <c r="K24" s="4"/>
      <c r="L24" s="84"/>
    </row>
    <row r="25" spans="1:12" ht="18" hidden="1" customHeight="1">
      <c r="A25" s="18"/>
      <c r="B25" s="2"/>
      <c r="C25" s="2"/>
      <c r="D25" s="2"/>
      <c r="E25" s="4"/>
      <c r="F25" s="4"/>
      <c r="G25" s="21">
        <v>44052</v>
      </c>
      <c r="H25" s="4">
        <f>32280+34110</f>
        <v>66390</v>
      </c>
      <c r="I25" s="4">
        <v>8950</v>
      </c>
      <c r="J25" s="4">
        <f t="shared" si="5"/>
        <v>334230</v>
      </c>
      <c r="K25" s="4"/>
      <c r="L25" s="84"/>
    </row>
    <row r="26" spans="1:12" ht="18" hidden="1" customHeight="1">
      <c r="A26" s="18"/>
      <c r="B26" s="2"/>
      <c r="C26" s="2"/>
      <c r="D26" s="2"/>
      <c r="E26" s="4"/>
      <c r="F26" s="4"/>
      <c r="G26" s="21">
        <v>44054</v>
      </c>
      <c r="H26" s="4">
        <v>32240</v>
      </c>
      <c r="I26" s="4">
        <v>8950</v>
      </c>
      <c r="J26" s="4">
        <f t="shared" si="5"/>
        <v>301990</v>
      </c>
      <c r="K26" s="4"/>
      <c r="L26" s="84"/>
    </row>
    <row r="27" spans="1:12" ht="18" hidden="1" customHeight="1">
      <c r="A27" s="18"/>
      <c r="B27" s="2"/>
      <c r="C27" s="2"/>
      <c r="D27" s="2"/>
      <c r="E27" s="4"/>
      <c r="F27" s="4"/>
      <c r="G27" s="21">
        <v>44061</v>
      </c>
      <c r="H27" s="4">
        <v>33210</v>
      </c>
      <c r="I27" s="4">
        <v>8950</v>
      </c>
      <c r="J27" s="4">
        <f t="shared" si="5"/>
        <v>268780</v>
      </c>
      <c r="K27" s="4"/>
      <c r="L27" s="84"/>
    </row>
    <row r="28" spans="1:12" ht="18" hidden="1" customHeight="1">
      <c r="A28" s="18"/>
      <c r="B28" s="2"/>
      <c r="C28" s="2"/>
      <c r="D28" s="2"/>
      <c r="E28" s="4"/>
      <c r="F28" s="4"/>
      <c r="G28" s="21">
        <v>44063</v>
      </c>
      <c r="H28" s="4">
        <v>33100</v>
      </c>
      <c r="I28" s="4">
        <v>8950</v>
      </c>
      <c r="J28" s="4">
        <f t="shared" si="5"/>
        <v>235680</v>
      </c>
      <c r="K28" s="4"/>
      <c r="L28" s="84"/>
    </row>
    <row r="29" spans="1:12" ht="18" hidden="1" customHeight="1">
      <c r="A29" s="18"/>
      <c r="B29" s="2"/>
      <c r="C29" s="2"/>
      <c r="D29" s="2"/>
      <c r="E29" s="4"/>
      <c r="F29" s="4"/>
      <c r="G29" s="40">
        <v>44068</v>
      </c>
      <c r="H29" s="4">
        <v>35550</v>
      </c>
      <c r="I29" s="4">
        <v>8950</v>
      </c>
      <c r="J29" s="4">
        <f t="shared" si="5"/>
        <v>200130</v>
      </c>
      <c r="K29" s="4"/>
      <c r="L29" s="84"/>
    </row>
    <row r="30" spans="1:12" ht="18" hidden="1" customHeight="1">
      <c r="A30" s="18"/>
      <c r="B30" s="2"/>
      <c r="C30" s="2"/>
      <c r="D30" s="2"/>
      <c r="E30" s="4"/>
      <c r="F30" s="4"/>
      <c r="G30" s="21">
        <v>44069</v>
      </c>
      <c r="H30" s="4">
        <v>31450</v>
      </c>
      <c r="I30" s="4">
        <v>8950</v>
      </c>
      <c r="J30" s="4">
        <f t="shared" si="5"/>
        <v>168680</v>
      </c>
      <c r="K30" s="4"/>
      <c r="L30" s="84"/>
    </row>
    <row r="31" spans="1:12" ht="18" hidden="1" customHeight="1">
      <c r="A31" s="18"/>
      <c r="B31" s="2"/>
      <c r="C31" s="2"/>
      <c r="D31" s="2"/>
      <c r="E31" s="4"/>
      <c r="F31" s="4"/>
      <c r="G31" s="21">
        <v>44071</v>
      </c>
      <c r="H31" s="4">
        <v>32700</v>
      </c>
      <c r="I31" s="4">
        <v>8950</v>
      </c>
      <c r="J31" s="4">
        <f t="shared" si="5"/>
        <v>135980</v>
      </c>
      <c r="K31" s="4"/>
      <c r="L31" s="84"/>
    </row>
    <row r="32" spans="1:12" ht="18" hidden="1" customHeight="1">
      <c r="A32" s="18"/>
      <c r="B32" s="2"/>
      <c r="C32" s="2"/>
      <c r="D32" s="2"/>
      <c r="E32" s="4"/>
      <c r="F32" s="4"/>
      <c r="G32" s="21">
        <v>44071</v>
      </c>
      <c r="H32" s="4">
        <v>33460</v>
      </c>
      <c r="I32" s="4">
        <v>8950</v>
      </c>
      <c r="J32" s="4">
        <f t="shared" si="5"/>
        <v>102520</v>
      </c>
      <c r="K32" s="4"/>
      <c r="L32" s="84"/>
    </row>
    <row r="33" spans="1:12" ht="18" hidden="1" customHeight="1">
      <c r="A33" s="18"/>
      <c r="B33" s="2"/>
      <c r="C33" s="2"/>
      <c r="D33" s="2"/>
      <c r="E33" s="4"/>
      <c r="F33" s="4"/>
      <c r="G33" s="21">
        <v>44074</v>
      </c>
      <c r="H33" s="4">
        <v>29800</v>
      </c>
      <c r="I33" s="4"/>
      <c r="J33" s="4">
        <f t="shared" si="5"/>
        <v>72720</v>
      </c>
      <c r="K33" s="4"/>
      <c r="L33" s="84"/>
    </row>
    <row r="34" spans="1:12" ht="18" hidden="1" customHeight="1">
      <c r="A34" s="18"/>
      <c r="B34" s="2"/>
      <c r="C34" s="2"/>
      <c r="D34" s="2"/>
      <c r="E34" s="4"/>
      <c r="F34" s="4"/>
      <c r="G34" s="21">
        <v>44077</v>
      </c>
      <c r="H34" s="4">
        <v>30330</v>
      </c>
      <c r="I34" s="4"/>
      <c r="J34" s="4">
        <f t="shared" si="5"/>
        <v>42390</v>
      </c>
      <c r="K34" s="4"/>
      <c r="L34" s="84"/>
    </row>
    <row r="35" spans="1:12" ht="18" hidden="1" customHeight="1">
      <c r="A35" s="18"/>
      <c r="B35" s="2"/>
      <c r="C35" s="2"/>
      <c r="D35" s="2"/>
      <c r="E35" s="4"/>
      <c r="F35" s="4"/>
      <c r="G35" s="40"/>
      <c r="H35" s="4"/>
      <c r="I35" s="4"/>
      <c r="J35" s="4">
        <f t="shared" si="5"/>
        <v>42390</v>
      </c>
      <c r="K35" s="4"/>
      <c r="L35" s="84"/>
    </row>
    <row r="36" spans="1:12" ht="18" hidden="1" customHeight="1">
      <c r="A36" s="55"/>
      <c r="B36" s="56" t="s">
        <v>92</v>
      </c>
      <c r="C36" s="56"/>
      <c r="D36" s="56"/>
      <c r="E36" s="57"/>
      <c r="F36" s="57"/>
      <c r="G36" s="58"/>
      <c r="H36" s="57">
        <f>SUM(H22:H35)</f>
        <v>457610</v>
      </c>
      <c r="I36" s="57"/>
      <c r="J36" s="57"/>
      <c r="K36" s="57"/>
      <c r="L36" s="87"/>
    </row>
    <row r="37" spans="1:12" ht="18" hidden="1" customHeight="1">
      <c r="A37" s="18" t="s">
        <v>13</v>
      </c>
      <c r="B37" s="60" t="s">
        <v>26</v>
      </c>
      <c r="C37" s="60" t="s">
        <v>91</v>
      </c>
      <c r="D37" s="60" t="s">
        <v>28</v>
      </c>
      <c r="E37" s="49">
        <v>500000</v>
      </c>
      <c r="F37" s="49">
        <v>8850</v>
      </c>
      <c r="G37" s="21"/>
      <c r="H37" s="4"/>
      <c r="I37" s="4"/>
      <c r="J37" s="4"/>
      <c r="K37" s="4"/>
      <c r="L37" s="84"/>
    </row>
    <row r="38" spans="1:12" ht="18" hidden="1" customHeight="1">
      <c r="A38" s="18"/>
      <c r="B38" s="2"/>
      <c r="C38" s="2"/>
      <c r="D38" s="2"/>
      <c r="E38" s="4"/>
      <c r="F38" s="4"/>
      <c r="G38" s="40" t="s">
        <v>109</v>
      </c>
      <c r="H38" s="4">
        <v>34010</v>
      </c>
      <c r="I38" s="4">
        <v>8850</v>
      </c>
      <c r="J38" s="4">
        <f>E37-H38</f>
        <v>465990</v>
      </c>
      <c r="K38" s="4"/>
      <c r="L38" s="84"/>
    </row>
    <row r="39" spans="1:12" ht="18" hidden="1" customHeight="1">
      <c r="A39" s="18"/>
      <c r="B39" s="2"/>
      <c r="C39" s="2"/>
      <c r="D39" s="2"/>
      <c r="E39" s="4"/>
      <c r="F39" s="4"/>
      <c r="G39" s="40" t="s">
        <v>112</v>
      </c>
      <c r="H39" s="4">
        <v>33520</v>
      </c>
      <c r="I39" s="4">
        <v>8850</v>
      </c>
      <c r="J39" s="4">
        <f>J38-H39</f>
        <v>432470</v>
      </c>
      <c r="K39" s="4"/>
      <c r="L39" s="84"/>
    </row>
    <row r="40" spans="1:12" ht="18" hidden="1" customHeight="1">
      <c r="A40" s="18"/>
      <c r="B40" s="2"/>
      <c r="C40" s="2"/>
      <c r="D40" s="2"/>
      <c r="E40" s="4"/>
      <c r="F40" s="4"/>
      <c r="G40" s="40" t="s">
        <v>123</v>
      </c>
      <c r="H40" s="4">
        <v>33080</v>
      </c>
      <c r="I40" s="4">
        <v>8850</v>
      </c>
      <c r="J40" s="4">
        <f>J39-H40</f>
        <v>399390</v>
      </c>
      <c r="K40" s="4"/>
      <c r="L40" s="84"/>
    </row>
    <row r="41" spans="1:12" ht="18" hidden="1" customHeight="1">
      <c r="A41" s="18"/>
      <c r="B41" s="2"/>
      <c r="C41" s="2"/>
      <c r="D41" s="2"/>
      <c r="E41" s="4"/>
      <c r="F41" s="4"/>
      <c r="G41" s="40" t="s">
        <v>131</v>
      </c>
      <c r="H41" s="4">
        <v>31870</v>
      </c>
      <c r="I41" s="4"/>
      <c r="J41" s="4">
        <f t="shared" ref="J41:J51" si="6">J40-H41</f>
        <v>367520</v>
      </c>
      <c r="K41" s="4"/>
      <c r="L41" s="84"/>
    </row>
    <row r="42" spans="1:12" ht="18" hidden="1" customHeight="1">
      <c r="A42" s="18"/>
      <c r="B42" s="2"/>
      <c r="C42" s="2"/>
      <c r="D42" s="2"/>
      <c r="E42" s="4"/>
      <c r="F42" s="4"/>
      <c r="G42" s="40" t="s">
        <v>131</v>
      </c>
      <c r="H42" s="4">
        <v>33530</v>
      </c>
      <c r="I42" s="4"/>
      <c r="J42" s="4">
        <f t="shared" si="6"/>
        <v>333990</v>
      </c>
      <c r="K42" s="4"/>
      <c r="L42" s="84"/>
    </row>
    <row r="43" spans="1:12" ht="18" hidden="1" customHeight="1">
      <c r="A43" s="18"/>
      <c r="B43" s="2"/>
      <c r="C43" s="2"/>
      <c r="D43" s="2"/>
      <c r="E43" s="4"/>
      <c r="F43" s="4"/>
      <c r="G43" s="40" t="s">
        <v>134</v>
      </c>
      <c r="H43" s="4">
        <v>36420</v>
      </c>
      <c r="I43" s="4"/>
      <c r="J43" s="4">
        <f t="shared" si="6"/>
        <v>297570</v>
      </c>
      <c r="K43" s="4"/>
      <c r="L43" s="84"/>
    </row>
    <row r="44" spans="1:12" ht="18" hidden="1" customHeight="1">
      <c r="A44" s="18"/>
      <c r="B44" s="2"/>
      <c r="C44" s="2"/>
      <c r="D44" s="2"/>
      <c r="E44" s="4"/>
      <c r="F44" s="4"/>
      <c r="G44" s="40" t="s">
        <v>139</v>
      </c>
      <c r="H44" s="4">
        <v>33470</v>
      </c>
      <c r="I44" s="4"/>
      <c r="J44" s="4">
        <f t="shared" si="6"/>
        <v>264100</v>
      </c>
      <c r="K44" s="4"/>
      <c r="L44" s="84"/>
    </row>
    <row r="45" spans="1:12" ht="18" hidden="1" customHeight="1">
      <c r="A45" s="18"/>
      <c r="B45" s="2"/>
      <c r="C45" s="2"/>
      <c r="D45" s="2"/>
      <c r="E45" s="4"/>
      <c r="F45" s="4"/>
      <c r="G45" s="40" t="s">
        <v>140</v>
      </c>
      <c r="H45" s="4">
        <v>32610</v>
      </c>
      <c r="I45" s="4"/>
      <c r="J45" s="4">
        <f t="shared" si="6"/>
        <v>231490</v>
      </c>
      <c r="K45" s="4"/>
      <c r="L45" s="84"/>
    </row>
    <row r="46" spans="1:12" ht="18" hidden="1" customHeight="1">
      <c r="A46" s="18"/>
      <c r="B46" s="2"/>
      <c r="C46" s="2"/>
      <c r="D46" s="2"/>
      <c r="E46" s="4"/>
      <c r="F46" s="4"/>
      <c r="G46" s="40" t="s">
        <v>141</v>
      </c>
      <c r="H46" s="4">
        <v>36640</v>
      </c>
      <c r="I46" s="4"/>
      <c r="J46" s="4">
        <f t="shared" si="6"/>
        <v>194850</v>
      </c>
      <c r="K46" s="4"/>
      <c r="L46" s="84"/>
    </row>
    <row r="47" spans="1:12" ht="18" hidden="1" customHeight="1">
      <c r="A47" s="18"/>
      <c r="B47" s="2"/>
      <c r="C47" s="2"/>
      <c r="D47" s="2"/>
      <c r="E47" s="4"/>
      <c r="F47" s="4"/>
      <c r="G47" s="40" t="s">
        <v>145</v>
      </c>
      <c r="H47" s="4">
        <v>33380</v>
      </c>
      <c r="I47" s="4"/>
      <c r="J47" s="4">
        <f t="shared" si="6"/>
        <v>161470</v>
      </c>
      <c r="K47" s="4"/>
      <c r="L47" s="84"/>
    </row>
    <row r="48" spans="1:12" ht="18" hidden="1" customHeight="1">
      <c r="A48" s="18"/>
      <c r="B48" s="2"/>
      <c r="C48" s="2"/>
      <c r="D48" s="2"/>
      <c r="E48" s="4"/>
      <c r="F48" s="4"/>
      <c r="G48" s="40" t="s">
        <v>145</v>
      </c>
      <c r="H48" s="4">
        <v>35510</v>
      </c>
      <c r="I48" s="4"/>
      <c r="J48" s="4">
        <f t="shared" si="6"/>
        <v>125960</v>
      </c>
      <c r="K48" s="4"/>
      <c r="L48" s="84"/>
    </row>
    <row r="49" spans="1:13" ht="18" hidden="1" customHeight="1">
      <c r="A49" s="18"/>
      <c r="B49" s="2"/>
      <c r="C49" s="2"/>
      <c r="D49" s="2"/>
      <c r="E49" s="4"/>
      <c r="F49" s="4"/>
      <c r="G49" s="40" t="s">
        <v>147</v>
      </c>
      <c r="H49" s="4">
        <v>32560</v>
      </c>
      <c r="I49" s="4"/>
      <c r="J49" s="4">
        <f t="shared" si="6"/>
        <v>93400</v>
      </c>
      <c r="K49" s="4"/>
      <c r="L49" s="84"/>
    </row>
    <row r="50" spans="1:13" ht="18" hidden="1" customHeight="1">
      <c r="A50" s="18"/>
      <c r="B50" s="2"/>
      <c r="C50" s="2"/>
      <c r="D50" s="2"/>
      <c r="E50" s="4"/>
      <c r="F50" s="4"/>
      <c r="G50" s="40" t="s">
        <v>147</v>
      </c>
      <c r="H50" s="4">
        <v>32280</v>
      </c>
      <c r="I50" s="4"/>
      <c r="J50" s="4">
        <f t="shared" si="6"/>
        <v>61120</v>
      </c>
      <c r="K50" s="4"/>
      <c r="L50" s="84"/>
    </row>
    <row r="51" spans="1:13" ht="18" hidden="1" customHeight="1">
      <c r="A51" s="18"/>
      <c r="B51" s="2"/>
      <c r="C51" s="2"/>
      <c r="D51" s="2"/>
      <c r="E51" s="4"/>
      <c r="F51" s="4"/>
      <c r="G51" s="78" t="s">
        <v>148</v>
      </c>
      <c r="H51" s="25">
        <v>24300</v>
      </c>
      <c r="I51" s="25"/>
      <c r="J51" s="25">
        <f t="shared" si="6"/>
        <v>36820</v>
      </c>
      <c r="K51" s="4"/>
      <c r="L51" s="84"/>
    </row>
    <row r="52" spans="1:13" ht="18" hidden="1" customHeight="1">
      <c r="A52" s="18"/>
      <c r="B52" s="2"/>
      <c r="C52" s="2"/>
      <c r="D52" s="2"/>
      <c r="E52" s="4"/>
      <c r="F52" s="4"/>
      <c r="G52" s="78"/>
      <c r="H52" s="57">
        <f>SUM(H38:H51)</f>
        <v>463180</v>
      </c>
      <c r="I52" s="25"/>
      <c r="J52" s="25"/>
      <c r="K52" s="4"/>
      <c r="L52" s="84"/>
    </row>
    <row r="53" spans="1:13" ht="18" hidden="1" customHeight="1">
      <c r="A53" s="18" t="s">
        <v>13</v>
      </c>
      <c r="B53" s="60" t="s">
        <v>26</v>
      </c>
      <c r="C53" s="60" t="s">
        <v>152</v>
      </c>
      <c r="D53" s="60" t="s">
        <v>28</v>
      </c>
      <c r="E53" s="49">
        <v>500000</v>
      </c>
      <c r="F53" s="49">
        <v>11150</v>
      </c>
      <c r="G53" s="21"/>
      <c r="H53" s="49"/>
      <c r="I53" s="4"/>
      <c r="J53" s="4"/>
      <c r="K53" s="4"/>
      <c r="L53" s="84"/>
      <c r="M53" s="1" t="s">
        <v>162</v>
      </c>
    </row>
    <row r="54" spans="1:13" ht="18" hidden="1" customHeight="1">
      <c r="A54" s="18"/>
      <c r="B54" s="2"/>
      <c r="C54" s="2"/>
      <c r="D54" s="2"/>
      <c r="E54" s="4"/>
      <c r="F54" s="4"/>
      <c r="G54" s="40" t="s">
        <v>161</v>
      </c>
      <c r="H54" s="4">
        <v>30720</v>
      </c>
      <c r="I54" s="4">
        <v>11150</v>
      </c>
      <c r="J54" s="49">
        <f>+E53-H54</f>
        <v>469280</v>
      </c>
      <c r="K54" s="4"/>
      <c r="L54" s="84">
        <f>H54*I54</f>
        <v>342528000</v>
      </c>
      <c r="M54" s="1" t="s">
        <v>163</v>
      </c>
    </row>
    <row r="55" spans="1:13" ht="18" hidden="1" customHeight="1">
      <c r="A55" s="18"/>
      <c r="B55" s="2"/>
      <c r="C55" s="2"/>
      <c r="D55" s="2"/>
      <c r="E55" s="4"/>
      <c r="F55" s="4"/>
      <c r="G55" s="40" t="s">
        <v>168</v>
      </c>
      <c r="H55" s="4">
        <v>33550</v>
      </c>
      <c r="I55" s="4">
        <v>11150</v>
      </c>
      <c r="J55" s="49">
        <f>+J54-H55</f>
        <v>435730</v>
      </c>
      <c r="K55" s="4"/>
      <c r="L55" s="84">
        <f t="shared" ref="L55:L69" si="7">H55*I55</f>
        <v>374082500</v>
      </c>
      <c r="M55" s="1" t="s">
        <v>163</v>
      </c>
    </row>
    <row r="56" spans="1:13" ht="18" hidden="1" customHeight="1">
      <c r="A56" s="18"/>
      <c r="B56" s="2"/>
      <c r="C56" s="2"/>
      <c r="D56" s="2"/>
      <c r="E56" s="4"/>
      <c r="F56" s="4"/>
      <c r="G56" s="40" t="s">
        <v>169</v>
      </c>
      <c r="H56" s="4">
        <v>34090</v>
      </c>
      <c r="I56" s="4">
        <v>11150</v>
      </c>
      <c r="J56" s="49">
        <f t="shared" ref="J56:J69" si="8">+J55-H56</f>
        <v>401640</v>
      </c>
      <c r="K56" s="4"/>
      <c r="L56" s="84">
        <f t="shared" si="7"/>
        <v>380103500</v>
      </c>
      <c r="M56" s="1" t="s">
        <v>163</v>
      </c>
    </row>
    <row r="57" spans="1:13" ht="18" hidden="1" customHeight="1">
      <c r="A57" s="18"/>
      <c r="B57" s="2"/>
      <c r="C57" s="2"/>
      <c r="D57" s="2"/>
      <c r="E57" s="4"/>
      <c r="F57" s="4"/>
      <c r="G57" s="40" t="s">
        <v>169</v>
      </c>
      <c r="H57" s="4">
        <v>35170</v>
      </c>
      <c r="I57" s="4">
        <v>11150</v>
      </c>
      <c r="J57" s="49">
        <f t="shared" si="8"/>
        <v>366470</v>
      </c>
      <c r="K57" s="4"/>
      <c r="L57" s="84">
        <f t="shared" si="7"/>
        <v>392145500</v>
      </c>
      <c r="M57" s="1" t="s">
        <v>29</v>
      </c>
    </row>
    <row r="58" spans="1:13" ht="18" hidden="1" customHeight="1">
      <c r="A58" s="18"/>
      <c r="B58" s="2"/>
      <c r="C58" s="2"/>
      <c r="D58" s="2"/>
      <c r="E58" s="4"/>
      <c r="F58" s="4"/>
      <c r="G58" s="40" t="s">
        <v>170</v>
      </c>
      <c r="H58" s="4">
        <v>31180</v>
      </c>
      <c r="I58" s="4">
        <v>11150</v>
      </c>
      <c r="J58" s="49">
        <f t="shared" si="8"/>
        <v>335290</v>
      </c>
      <c r="K58" s="4"/>
      <c r="L58" s="84">
        <f t="shared" si="7"/>
        <v>347657000</v>
      </c>
      <c r="M58" s="1" t="s">
        <v>163</v>
      </c>
    </row>
    <row r="59" spans="1:13" ht="18" hidden="1" customHeight="1">
      <c r="A59" s="18"/>
      <c r="B59" s="2"/>
      <c r="C59" s="2"/>
      <c r="D59" s="2"/>
      <c r="E59" s="4"/>
      <c r="F59" s="4"/>
      <c r="G59" s="40" t="s">
        <v>171</v>
      </c>
      <c r="H59" s="4">
        <f>32370-2420</f>
        <v>29950</v>
      </c>
      <c r="I59" s="4">
        <v>11150</v>
      </c>
      <c r="J59" s="49">
        <f t="shared" si="8"/>
        <v>305340</v>
      </c>
      <c r="K59" s="4"/>
      <c r="L59" s="84">
        <f t="shared" si="7"/>
        <v>333942500</v>
      </c>
      <c r="M59" s="1" t="s">
        <v>29</v>
      </c>
    </row>
    <row r="60" spans="1:13" ht="18" hidden="1" customHeight="1">
      <c r="A60" s="18"/>
      <c r="B60" s="2"/>
      <c r="C60" s="2"/>
      <c r="D60" s="2"/>
      <c r="E60" s="4"/>
      <c r="F60" s="4"/>
      <c r="G60" s="40" t="s">
        <v>172</v>
      </c>
      <c r="H60" s="4">
        <v>15890</v>
      </c>
      <c r="I60" s="4">
        <v>11150</v>
      </c>
      <c r="J60" s="49">
        <f t="shared" si="8"/>
        <v>289450</v>
      </c>
      <c r="K60" s="4"/>
      <c r="L60" s="84">
        <f t="shared" si="7"/>
        <v>177173500</v>
      </c>
      <c r="M60" s="1" t="s">
        <v>29</v>
      </c>
    </row>
    <row r="61" spans="1:13" ht="18" hidden="1" customHeight="1">
      <c r="A61" s="18"/>
      <c r="B61" s="2"/>
      <c r="C61" s="2"/>
      <c r="D61" s="2"/>
      <c r="E61" s="4"/>
      <c r="F61" s="4"/>
      <c r="G61" s="40" t="s">
        <v>172</v>
      </c>
      <c r="H61" s="4">
        <v>19630</v>
      </c>
      <c r="I61" s="4">
        <v>11150</v>
      </c>
      <c r="J61" s="49">
        <f t="shared" si="8"/>
        <v>269820</v>
      </c>
      <c r="K61" s="4"/>
      <c r="L61" s="84">
        <f t="shared" si="7"/>
        <v>218874500</v>
      </c>
      <c r="M61" s="1" t="s">
        <v>163</v>
      </c>
    </row>
    <row r="62" spans="1:13" ht="18" hidden="1" customHeight="1">
      <c r="A62" s="18"/>
      <c r="B62" s="2"/>
      <c r="C62" s="2"/>
      <c r="D62" s="2"/>
      <c r="E62" s="4"/>
      <c r="F62" s="4"/>
      <c r="G62" s="40" t="s">
        <v>171</v>
      </c>
      <c r="H62" s="4">
        <v>31890</v>
      </c>
      <c r="I62" s="4">
        <v>11150</v>
      </c>
      <c r="J62" s="49">
        <f t="shared" si="8"/>
        <v>237930</v>
      </c>
      <c r="K62" s="4"/>
      <c r="L62" s="84">
        <f t="shared" si="7"/>
        <v>355573500</v>
      </c>
      <c r="M62" s="1" t="s">
        <v>163</v>
      </c>
    </row>
    <row r="63" spans="1:13" ht="18" hidden="1" customHeight="1">
      <c r="A63" s="18"/>
      <c r="B63" s="2"/>
      <c r="C63" s="2"/>
      <c r="D63" s="2"/>
      <c r="E63" s="4"/>
      <c r="F63" s="4"/>
      <c r="G63" s="40" t="s">
        <v>204</v>
      </c>
      <c r="H63" s="4">
        <v>35250</v>
      </c>
      <c r="I63" s="4">
        <v>11150</v>
      </c>
      <c r="J63" s="49">
        <f t="shared" si="8"/>
        <v>202680</v>
      </c>
      <c r="K63" s="4"/>
      <c r="L63" s="84">
        <f t="shared" si="7"/>
        <v>393037500</v>
      </c>
    </row>
    <row r="64" spans="1:13" ht="18" hidden="1" customHeight="1">
      <c r="A64" s="18"/>
      <c r="B64" s="2"/>
      <c r="C64" s="2"/>
      <c r="D64" s="2"/>
      <c r="E64" s="4"/>
      <c r="F64" s="4"/>
      <c r="G64" s="40" t="s">
        <v>217</v>
      </c>
      <c r="H64" s="4">
        <v>33440</v>
      </c>
      <c r="I64" s="4">
        <v>11150</v>
      </c>
      <c r="J64" s="49">
        <f t="shared" si="8"/>
        <v>169240</v>
      </c>
      <c r="K64" s="4"/>
      <c r="L64" s="84">
        <f t="shared" si="7"/>
        <v>372856000</v>
      </c>
    </row>
    <row r="65" spans="1:13" ht="18" hidden="1" customHeight="1">
      <c r="A65" s="18"/>
      <c r="B65" s="2"/>
      <c r="C65" s="2"/>
      <c r="D65" s="2"/>
      <c r="E65" s="4"/>
      <c r="F65" s="4"/>
      <c r="G65" s="40" t="s">
        <v>228</v>
      </c>
      <c r="H65" s="4">
        <v>32700</v>
      </c>
      <c r="I65" s="4">
        <v>11150</v>
      </c>
      <c r="J65" s="49">
        <f t="shared" si="8"/>
        <v>136540</v>
      </c>
      <c r="K65" s="4"/>
      <c r="L65" s="84">
        <f t="shared" si="7"/>
        <v>364605000</v>
      </c>
    </row>
    <row r="66" spans="1:13" ht="18" hidden="1" customHeight="1">
      <c r="A66" s="18"/>
      <c r="B66" s="2"/>
      <c r="C66" s="2"/>
      <c r="D66" s="2"/>
      <c r="E66" s="4"/>
      <c r="F66" s="4"/>
      <c r="G66" s="40" t="s">
        <v>233</v>
      </c>
      <c r="H66" s="4">
        <v>32980</v>
      </c>
      <c r="I66" s="4">
        <v>11150</v>
      </c>
      <c r="J66" s="49">
        <f t="shared" si="8"/>
        <v>103560</v>
      </c>
      <c r="K66" s="4"/>
      <c r="L66" s="84">
        <f t="shared" si="7"/>
        <v>367727000</v>
      </c>
    </row>
    <row r="67" spans="1:13" ht="18" hidden="1" customHeight="1">
      <c r="A67" s="18"/>
      <c r="B67" s="2"/>
      <c r="C67" s="2"/>
      <c r="D67" s="2"/>
      <c r="E67" s="4"/>
      <c r="F67" s="4"/>
      <c r="G67" s="40" t="s">
        <v>234</v>
      </c>
      <c r="H67" s="4">
        <v>33490</v>
      </c>
      <c r="I67" s="4">
        <v>11150</v>
      </c>
      <c r="J67" s="49">
        <f t="shared" si="8"/>
        <v>70070</v>
      </c>
      <c r="K67" s="4"/>
      <c r="L67" s="84">
        <f t="shared" si="7"/>
        <v>373413500</v>
      </c>
    </row>
    <row r="68" spans="1:13" ht="18" hidden="1" customHeight="1">
      <c r="A68" s="18"/>
      <c r="B68" s="2"/>
      <c r="C68" s="2"/>
      <c r="D68" s="2"/>
      <c r="E68" s="4"/>
      <c r="F68" s="4"/>
      <c r="G68" s="40"/>
      <c r="H68" s="4">
        <v>31100</v>
      </c>
      <c r="I68" s="4">
        <v>11150</v>
      </c>
      <c r="J68" s="49">
        <f t="shared" si="8"/>
        <v>38970</v>
      </c>
      <c r="K68" s="4"/>
      <c r="L68" s="84">
        <f t="shared" si="7"/>
        <v>346765000</v>
      </c>
    </row>
    <row r="69" spans="1:13" ht="18" hidden="1" customHeight="1">
      <c r="A69" s="18"/>
      <c r="B69" s="2"/>
      <c r="C69" s="2"/>
      <c r="D69" s="2"/>
      <c r="E69" s="4"/>
      <c r="F69" s="4"/>
      <c r="G69" s="40"/>
      <c r="H69" s="4"/>
      <c r="I69" s="4">
        <v>11150</v>
      </c>
      <c r="J69" s="49">
        <f t="shared" si="8"/>
        <v>38970</v>
      </c>
      <c r="K69" s="4"/>
      <c r="L69" s="84">
        <f t="shared" si="7"/>
        <v>0</v>
      </c>
    </row>
    <row r="70" spans="1:13" ht="18" hidden="1" customHeight="1">
      <c r="A70" s="55"/>
      <c r="B70" s="56"/>
      <c r="C70" s="56"/>
      <c r="D70" s="56"/>
      <c r="E70" s="57"/>
      <c r="F70" s="57"/>
      <c r="G70" s="58"/>
      <c r="H70" s="57">
        <f>SUM(H54:H69)</f>
        <v>461030</v>
      </c>
      <c r="I70" s="57">
        <v>11150</v>
      </c>
      <c r="J70" s="57"/>
      <c r="K70" s="57"/>
      <c r="L70" s="113">
        <v>1100000000</v>
      </c>
    </row>
    <row r="71" spans="1:13" ht="18" hidden="1" customHeight="1">
      <c r="A71" s="18" t="s">
        <v>13</v>
      </c>
      <c r="B71" s="60" t="s">
        <v>248</v>
      </c>
      <c r="C71" s="60"/>
      <c r="D71" s="60" t="s">
        <v>249</v>
      </c>
      <c r="E71" s="49">
        <v>100000</v>
      </c>
      <c r="F71" s="49">
        <v>12450</v>
      </c>
      <c r="G71" s="61"/>
      <c r="H71" s="49"/>
      <c r="I71" s="49"/>
      <c r="J71" s="49"/>
      <c r="K71" s="49"/>
      <c r="L71" s="84"/>
    </row>
    <row r="72" spans="1:13" ht="18" hidden="1" customHeight="1">
      <c r="A72" s="18"/>
      <c r="B72" s="2"/>
      <c r="C72" s="2"/>
      <c r="D72" s="2"/>
      <c r="E72" s="4"/>
      <c r="F72" s="4"/>
      <c r="G72" s="40" t="s">
        <v>250</v>
      </c>
      <c r="H72" s="4">
        <v>37080</v>
      </c>
      <c r="I72" s="4">
        <v>12450</v>
      </c>
      <c r="J72" s="49">
        <f>E71-I72</f>
        <v>87550</v>
      </c>
      <c r="K72" s="4"/>
      <c r="L72" s="84"/>
    </row>
    <row r="73" spans="1:13" ht="18" hidden="1" customHeight="1">
      <c r="A73" s="18"/>
      <c r="B73" s="2"/>
      <c r="C73" s="2"/>
      <c r="D73" s="2"/>
      <c r="E73" s="4"/>
      <c r="F73" s="4"/>
      <c r="G73" s="40" t="s">
        <v>251</v>
      </c>
      <c r="H73" s="4">
        <v>36590</v>
      </c>
      <c r="I73" s="4"/>
      <c r="J73" s="49">
        <f>J72-H73</f>
        <v>50960</v>
      </c>
      <c r="K73" s="4"/>
      <c r="L73" s="84"/>
    </row>
    <row r="74" spans="1:13" ht="18" hidden="1" customHeight="1">
      <c r="A74" s="18"/>
      <c r="B74" s="2"/>
      <c r="C74" s="2"/>
      <c r="D74" s="2"/>
      <c r="E74" s="4"/>
      <c r="F74" s="4"/>
      <c r="G74" s="78" t="s">
        <v>252</v>
      </c>
      <c r="H74" s="25">
        <v>34840</v>
      </c>
      <c r="I74" s="25"/>
      <c r="J74" s="57">
        <f t="shared" ref="J74" si="9">J73-H74</f>
        <v>16120</v>
      </c>
      <c r="K74" s="4"/>
      <c r="L74" s="84"/>
    </row>
    <row r="75" spans="1:13" ht="18" hidden="1" customHeight="1">
      <c r="A75" s="18"/>
      <c r="B75" s="2"/>
      <c r="C75" s="2"/>
      <c r="D75" s="60" t="s">
        <v>249</v>
      </c>
      <c r="E75" s="49">
        <v>100000</v>
      </c>
      <c r="F75" s="49">
        <v>12300</v>
      </c>
      <c r="G75" s="40"/>
      <c r="H75" s="4"/>
      <c r="I75" s="4"/>
      <c r="J75" s="49"/>
      <c r="K75" s="4"/>
      <c r="L75" s="84"/>
    </row>
    <row r="76" spans="1:13" ht="18" hidden="1" customHeight="1">
      <c r="A76" s="18"/>
      <c r="B76" s="2"/>
      <c r="C76" s="2"/>
      <c r="D76" s="2"/>
      <c r="E76" s="4"/>
      <c r="F76" s="4"/>
      <c r="G76" s="40" t="s">
        <v>257</v>
      </c>
      <c r="H76" s="4">
        <v>32830</v>
      </c>
      <c r="I76" s="4"/>
      <c r="J76" s="49">
        <f>+E75-H76</f>
        <v>67170</v>
      </c>
      <c r="K76" s="4"/>
      <c r="L76" s="84"/>
    </row>
    <row r="77" spans="1:13" ht="18" hidden="1" customHeight="1">
      <c r="A77" s="18"/>
      <c r="B77" s="2"/>
      <c r="C77" s="2"/>
      <c r="D77" s="2"/>
      <c r="E77" s="4"/>
      <c r="F77" s="4"/>
      <c r="G77" s="40" t="s">
        <v>262</v>
      </c>
      <c r="H77" s="4">
        <v>36390</v>
      </c>
      <c r="I77" s="4"/>
      <c r="J77" s="49">
        <f>+J76-H77</f>
        <v>30780</v>
      </c>
      <c r="K77" s="4"/>
      <c r="L77" s="84"/>
    </row>
    <row r="78" spans="1:13" ht="18" hidden="1" customHeight="1">
      <c r="A78" s="18"/>
      <c r="B78" s="2"/>
      <c r="C78" s="2"/>
      <c r="D78" s="2"/>
      <c r="E78" s="4"/>
      <c r="F78" s="4"/>
      <c r="G78" s="21"/>
      <c r="H78" s="4"/>
      <c r="I78" s="4"/>
      <c r="J78" s="49"/>
      <c r="K78" s="4"/>
      <c r="L78" s="84"/>
    </row>
    <row r="79" spans="1:13" ht="18" hidden="1" customHeight="1">
      <c r="A79" s="18"/>
      <c r="B79" s="2"/>
      <c r="C79" s="2"/>
      <c r="D79" s="60" t="s">
        <v>249</v>
      </c>
      <c r="E79" s="49">
        <v>100000</v>
      </c>
      <c r="F79" s="49">
        <v>12450</v>
      </c>
      <c r="G79" s="61"/>
      <c r="H79" s="49"/>
      <c r="I79" s="49"/>
      <c r="J79" s="49">
        <f t="shared" ref="J79:J89" si="10">+J78-H78</f>
        <v>0</v>
      </c>
      <c r="K79" s="49"/>
      <c r="L79" s="113" t="s">
        <v>274</v>
      </c>
      <c r="M79" s="15"/>
    </row>
    <row r="80" spans="1:13" ht="18" hidden="1" customHeight="1">
      <c r="A80" s="18"/>
      <c r="B80" s="2"/>
      <c r="C80" s="2"/>
      <c r="D80" s="2"/>
      <c r="E80" s="4"/>
      <c r="F80" s="4"/>
      <c r="G80" s="40" t="s">
        <v>278</v>
      </c>
      <c r="H80" s="4">
        <v>34120</v>
      </c>
      <c r="I80" s="4"/>
      <c r="J80" s="49">
        <f t="shared" si="10"/>
        <v>0</v>
      </c>
      <c r="K80" s="4"/>
      <c r="L80" s="84"/>
    </row>
    <row r="81" spans="1:14" ht="18" hidden="1" customHeight="1">
      <c r="A81" s="18"/>
      <c r="B81" s="2"/>
      <c r="C81" s="2"/>
      <c r="D81" s="2"/>
      <c r="E81" s="4"/>
      <c r="F81" s="4"/>
      <c r="G81" s="40" t="s">
        <v>281</v>
      </c>
      <c r="H81" s="4">
        <v>32230</v>
      </c>
      <c r="I81" s="4"/>
      <c r="J81" s="49"/>
      <c r="K81" s="4"/>
      <c r="L81" s="84"/>
    </row>
    <row r="82" spans="1:14" ht="18" hidden="1" customHeight="1">
      <c r="A82" s="18"/>
      <c r="B82" s="2"/>
      <c r="C82" s="2"/>
      <c r="D82" s="2"/>
      <c r="E82" s="4"/>
      <c r="F82" s="4"/>
      <c r="G82" s="40" t="s">
        <v>285</v>
      </c>
      <c r="H82" s="4">
        <v>31070</v>
      </c>
      <c r="I82" s="4"/>
      <c r="J82" s="49"/>
      <c r="K82" s="4"/>
      <c r="L82" s="84"/>
    </row>
    <row r="83" spans="1:14" ht="18" hidden="1" customHeight="1">
      <c r="A83" s="18"/>
      <c r="B83" s="2"/>
      <c r="C83" s="2"/>
      <c r="D83" s="2"/>
      <c r="E83" s="4"/>
      <c r="F83" s="4"/>
      <c r="G83" s="21"/>
      <c r="H83" s="4"/>
      <c r="I83" s="4"/>
      <c r="J83" s="49"/>
      <c r="K83" s="4"/>
      <c r="L83" s="84"/>
    </row>
    <row r="84" spans="1:14" ht="18" hidden="1" customHeight="1">
      <c r="A84" s="18"/>
      <c r="B84" s="2"/>
      <c r="C84" s="2"/>
      <c r="D84" s="2"/>
      <c r="E84" s="4"/>
      <c r="F84" s="4"/>
      <c r="G84" s="21"/>
      <c r="H84" s="4"/>
      <c r="I84" s="4"/>
      <c r="J84" s="49"/>
      <c r="K84" s="4"/>
      <c r="L84" s="84"/>
    </row>
    <row r="85" spans="1:14" ht="18" hidden="1" customHeight="1">
      <c r="A85" s="18"/>
      <c r="B85" s="2"/>
      <c r="C85" s="2"/>
      <c r="D85" s="2"/>
      <c r="E85" s="4"/>
      <c r="F85" s="4"/>
      <c r="G85" s="21"/>
      <c r="H85" s="4"/>
      <c r="I85" s="4"/>
      <c r="J85" s="49"/>
      <c r="K85" s="4"/>
      <c r="L85" s="84"/>
    </row>
    <row r="86" spans="1:14" ht="18" hidden="1" customHeight="1">
      <c r="A86" s="18"/>
      <c r="B86" s="2"/>
      <c r="C86" s="2"/>
      <c r="D86" s="2"/>
      <c r="E86" s="4"/>
      <c r="F86" s="4"/>
      <c r="G86" s="21"/>
      <c r="H86" s="4"/>
      <c r="I86" s="4"/>
      <c r="J86" s="49"/>
      <c r="K86" s="4"/>
      <c r="L86" s="84"/>
    </row>
    <row r="87" spans="1:14" ht="18" hidden="1" customHeight="1">
      <c r="A87" s="18"/>
      <c r="B87" s="2"/>
      <c r="C87" s="2"/>
      <c r="D87" s="2"/>
      <c r="E87" s="4"/>
      <c r="F87" s="4"/>
      <c r="G87" s="21"/>
      <c r="H87" s="4"/>
      <c r="I87" s="4"/>
      <c r="J87" s="49">
        <f>+J80-H80</f>
        <v>-34120</v>
      </c>
      <c r="K87" s="4"/>
      <c r="L87" s="84"/>
    </row>
    <row r="88" spans="1:14" ht="18" hidden="1" customHeight="1">
      <c r="A88" s="18"/>
      <c r="B88" s="2"/>
      <c r="C88" s="2"/>
      <c r="D88" s="2"/>
      <c r="E88" s="4"/>
      <c r="F88" s="4"/>
      <c r="G88" s="21"/>
      <c r="H88" s="4"/>
      <c r="I88" s="4"/>
      <c r="J88" s="49">
        <f t="shared" si="10"/>
        <v>-34120</v>
      </c>
      <c r="K88" s="4"/>
      <c r="L88" s="84"/>
    </row>
    <row r="89" spans="1:14" ht="18" hidden="1" customHeight="1">
      <c r="A89" s="18"/>
      <c r="B89" s="2"/>
      <c r="C89" s="2"/>
      <c r="D89" s="2"/>
      <c r="E89" s="4"/>
      <c r="F89" s="4"/>
      <c r="G89" s="21"/>
      <c r="H89" s="4"/>
      <c r="I89" s="4"/>
      <c r="J89" s="49">
        <f t="shared" si="10"/>
        <v>-34120</v>
      </c>
      <c r="K89" s="4"/>
      <c r="L89" s="84"/>
      <c r="M89" s="1" t="s">
        <v>205</v>
      </c>
    </row>
    <row r="90" spans="1:14" ht="18" hidden="1" customHeight="1">
      <c r="A90" s="281" t="s">
        <v>0</v>
      </c>
      <c r="B90" s="282"/>
      <c r="C90" s="10"/>
      <c r="D90" s="10"/>
      <c r="E90" s="5"/>
      <c r="F90" s="5">
        <v>12450</v>
      </c>
      <c r="G90" s="23"/>
      <c r="H90" s="5">
        <f>SUM(H80:H89)</f>
        <v>97420</v>
      </c>
      <c r="I90" s="5">
        <v>12450</v>
      </c>
      <c r="J90" s="5"/>
      <c r="K90" s="5"/>
      <c r="L90" s="88">
        <f>+H90*I90</f>
        <v>1212879000</v>
      </c>
      <c r="M90" s="75">
        <f>4115000000+1150000000+799500000</f>
        <v>6064500000</v>
      </c>
      <c r="N90" s="50">
        <f>+M90-L90</f>
        <v>4851621000</v>
      </c>
    </row>
    <row r="91" spans="1:14" s="6" customFormat="1" ht="24.75" hidden="1" customHeight="1">
      <c r="A91" s="16"/>
      <c r="B91" s="1"/>
      <c r="C91" s="1"/>
      <c r="D91" s="1"/>
      <c r="E91" s="3"/>
      <c r="F91" s="3"/>
      <c r="G91" s="19"/>
      <c r="H91" s="75"/>
      <c r="I91" s="3"/>
      <c r="J91" s="3"/>
      <c r="K91" s="3"/>
      <c r="L91" s="3"/>
    </row>
    <row r="92" spans="1:14" hidden="1">
      <c r="F92" s="270" t="s">
        <v>1</v>
      </c>
      <c r="G92" s="270"/>
      <c r="H92" s="270"/>
      <c r="I92" s="270"/>
      <c r="J92" s="1"/>
      <c r="K92" s="8"/>
      <c r="L92" s="8"/>
    </row>
    <row r="93" spans="1:14" ht="10.5" customHeight="1"/>
    <row r="94" spans="1:14" hidden="1"/>
    <row r="95" spans="1:14" hidden="1">
      <c r="F95" s="271"/>
      <c r="G95" s="271"/>
      <c r="H95" s="271"/>
      <c r="I95" s="271"/>
      <c r="J95" s="1"/>
      <c r="K95" s="1"/>
      <c r="L95" s="1"/>
    </row>
    <row r="96" spans="1:14" hidden="1"/>
    <row r="97" spans="1:12" hidden="1"/>
    <row r="98" spans="1:12" hidden="1"/>
    <row r="100" spans="1:12" ht="22.5">
      <c r="A100" s="274" t="s">
        <v>45</v>
      </c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</row>
    <row r="101" spans="1:12">
      <c r="A101" s="275" t="s">
        <v>222</v>
      </c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</row>
    <row r="103" spans="1:12">
      <c r="A103" s="276" t="s">
        <v>11</v>
      </c>
      <c r="B103" s="276" t="s">
        <v>3</v>
      </c>
      <c r="C103" s="276" t="s">
        <v>10</v>
      </c>
      <c r="D103" s="276" t="s">
        <v>8</v>
      </c>
      <c r="E103" s="278" t="s">
        <v>4</v>
      </c>
      <c r="F103" s="278"/>
      <c r="G103" s="288" t="s">
        <v>6</v>
      </c>
      <c r="H103" s="289"/>
      <c r="I103" s="290"/>
      <c r="J103" s="279" t="s">
        <v>7</v>
      </c>
      <c r="K103" s="280"/>
    </row>
    <row r="104" spans="1:12">
      <c r="A104" s="277"/>
      <c r="B104" s="277"/>
      <c r="C104" s="277"/>
      <c r="D104" s="277"/>
      <c r="E104" s="125" t="s">
        <v>9</v>
      </c>
      <c r="F104" s="125" t="s">
        <v>5</v>
      </c>
      <c r="G104" s="20" t="s">
        <v>14</v>
      </c>
      <c r="H104" s="125" t="s">
        <v>9</v>
      </c>
      <c r="I104" s="125" t="s">
        <v>5</v>
      </c>
      <c r="J104" s="125" t="s">
        <v>9</v>
      </c>
      <c r="K104" s="125" t="s">
        <v>5</v>
      </c>
    </row>
    <row r="105" spans="1:12">
      <c r="A105" s="18" t="s">
        <v>13</v>
      </c>
      <c r="B105" s="2" t="s">
        <v>26</v>
      </c>
      <c r="C105" s="2" t="s">
        <v>349</v>
      </c>
      <c r="D105" s="2" t="s">
        <v>209</v>
      </c>
      <c r="E105" s="4">
        <v>100000</v>
      </c>
      <c r="F105" s="4">
        <v>12600</v>
      </c>
      <c r="G105" s="21"/>
      <c r="H105" s="4"/>
      <c r="I105" s="4"/>
      <c r="J105" s="4"/>
      <c r="K105" s="4"/>
      <c r="L105" s="3" t="s">
        <v>306</v>
      </c>
    </row>
    <row r="106" spans="1:12">
      <c r="A106" s="18"/>
      <c r="B106" s="2" t="s">
        <v>26</v>
      </c>
      <c r="C106" s="2"/>
      <c r="D106" s="2"/>
      <c r="E106" s="4"/>
      <c r="F106" s="4"/>
      <c r="G106" s="40" t="s">
        <v>342</v>
      </c>
      <c r="H106" s="4">
        <v>33160</v>
      </c>
      <c r="I106" s="4"/>
      <c r="J106" s="4"/>
      <c r="K106" s="4"/>
    </row>
    <row r="107" spans="1:12">
      <c r="A107" s="18"/>
      <c r="B107" s="2" t="s">
        <v>26</v>
      </c>
      <c r="C107" s="2"/>
      <c r="D107" s="2"/>
      <c r="E107" s="4"/>
      <c r="F107" s="4"/>
      <c r="G107" s="40" t="s">
        <v>344</v>
      </c>
      <c r="H107" s="4">
        <v>32290</v>
      </c>
      <c r="I107" s="4"/>
      <c r="J107" s="4"/>
      <c r="K107" s="4"/>
    </row>
    <row r="108" spans="1:12">
      <c r="A108" s="18"/>
      <c r="B108" s="2"/>
      <c r="C108" s="2"/>
      <c r="D108" s="2"/>
      <c r="E108" s="4"/>
      <c r="F108" s="4"/>
      <c r="G108" s="40" t="s">
        <v>348</v>
      </c>
      <c r="H108" s="4">
        <v>31160</v>
      </c>
      <c r="I108" s="4"/>
      <c r="J108" s="4"/>
      <c r="K108" s="4"/>
    </row>
    <row r="109" spans="1:12">
      <c r="A109" s="18"/>
      <c r="B109" s="2"/>
      <c r="C109" s="2"/>
      <c r="D109" s="2"/>
      <c r="E109" s="4"/>
      <c r="F109" s="4"/>
      <c r="G109" s="21"/>
      <c r="H109" s="4"/>
      <c r="I109" s="4"/>
      <c r="J109" s="4"/>
      <c r="K109" s="4"/>
    </row>
    <row r="110" spans="1:12">
      <c r="A110" s="18"/>
      <c r="B110" s="2"/>
      <c r="C110" s="2"/>
      <c r="D110" s="2"/>
      <c r="E110" s="4"/>
      <c r="F110" s="4"/>
      <c r="G110" s="21"/>
      <c r="H110" s="4"/>
      <c r="I110" s="4"/>
      <c r="J110" s="4"/>
      <c r="K110" s="4"/>
    </row>
    <row r="111" spans="1:12">
      <c r="A111" s="291" t="s">
        <v>15</v>
      </c>
      <c r="B111" s="292"/>
      <c r="C111" s="13"/>
      <c r="D111" s="13"/>
      <c r="E111" s="14"/>
      <c r="F111" s="14"/>
      <c r="G111" s="22"/>
      <c r="H111" s="14">
        <f>SUM(H106:H110)</f>
        <v>96610</v>
      </c>
      <c r="I111" s="14"/>
      <c r="J111" s="14"/>
      <c r="K111" s="14"/>
    </row>
    <row r="112" spans="1:12">
      <c r="A112" s="18" t="s">
        <v>13</v>
      </c>
      <c r="B112" s="60" t="s">
        <v>26</v>
      </c>
      <c r="C112" s="60"/>
      <c r="D112" s="60" t="s">
        <v>28</v>
      </c>
      <c r="E112" s="49">
        <v>100000</v>
      </c>
      <c r="F112" s="49">
        <v>13850</v>
      </c>
      <c r="G112" s="61"/>
      <c r="H112" s="49"/>
      <c r="I112" s="49"/>
      <c r="J112" s="49"/>
      <c r="K112" s="49"/>
    </row>
    <row r="113" spans="1:12">
      <c r="A113" s="18"/>
      <c r="B113" s="2" t="s">
        <v>26</v>
      </c>
      <c r="C113" s="2"/>
      <c r="D113" s="2"/>
      <c r="E113" s="4"/>
      <c r="F113" s="4"/>
      <c r="G113" s="40" t="s">
        <v>350</v>
      </c>
      <c r="H113" s="4">
        <v>33980</v>
      </c>
      <c r="I113" s="4"/>
      <c r="J113" s="4"/>
      <c r="K113" s="4"/>
    </row>
    <row r="114" spans="1:12">
      <c r="A114" s="18"/>
      <c r="B114" s="2"/>
      <c r="C114" s="2"/>
      <c r="D114" s="2"/>
      <c r="E114" s="4"/>
      <c r="F114" s="4"/>
      <c r="G114" s="40" t="s">
        <v>354</v>
      </c>
      <c r="H114" s="4">
        <v>33640</v>
      </c>
      <c r="I114" s="4"/>
      <c r="J114" s="4"/>
      <c r="K114" s="4"/>
    </row>
    <row r="115" spans="1:12">
      <c r="A115" s="18"/>
      <c r="B115" s="2"/>
      <c r="C115" s="2"/>
      <c r="D115" s="2"/>
      <c r="E115" s="4"/>
      <c r="F115" s="4"/>
      <c r="G115" s="40" t="s">
        <v>352</v>
      </c>
      <c r="H115" s="4">
        <v>34170</v>
      </c>
      <c r="I115" s="4"/>
      <c r="J115" s="4"/>
      <c r="K115" s="4"/>
    </row>
    <row r="116" spans="1:12">
      <c r="A116" s="18"/>
      <c r="B116" s="2"/>
      <c r="C116" s="2"/>
      <c r="D116" s="2"/>
      <c r="E116" s="4"/>
      <c r="F116" s="4"/>
      <c r="G116" s="21"/>
      <c r="H116" s="4"/>
      <c r="I116" s="4"/>
      <c r="J116" s="4"/>
      <c r="K116" s="4"/>
    </row>
    <row r="117" spans="1:12">
      <c r="A117" s="18"/>
      <c r="B117" s="2"/>
      <c r="C117" s="2"/>
      <c r="D117" s="2"/>
      <c r="E117" s="4"/>
      <c r="F117" s="4"/>
      <c r="G117" s="40"/>
      <c r="H117" s="4"/>
      <c r="I117" s="4"/>
      <c r="J117" s="25"/>
      <c r="K117" s="4"/>
    </row>
    <row r="118" spans="1:12">
      <c r="A118" s="51"/>
      <c r="B118" s="52" t="s">
        <v>15</v>
      </c>
      <c r="C118" s="52"/>
      <c r="D118" s="52"/>
      <c r="E118" s="53"/>
      <c r="F118" s="53"/>
      <c r="G118" s="54"/>
      <c r="H118" s="53">
        <f>SUM(H113:H117)</f>
        <v>101790</v>
      </c>
      <c r="I118" s="53">
        <v>13850</v>
      </c>
      <c r="J118" s="53">
        <f>+I118*H118</f>
        <v>1409791500</v>
      </c>
      <c r="K118" s="53">
        <f>+L118-J118</f>
        <v>-109791500</v>
      </c>
      <c r="L118" s="3">
        <v>1300000000</v>
      </c>
    </row>
    <row r="119" spans="1:12">
      <c r="A119" s="18" t="s">
        <v>13</v>
      </c>
      <c r="B119" s="60" t="s">
        <v>26</v>
      </c>
      <c r="C119" s="60" t="s">
        <v>407</v>
      </c>
      <c r="D119" s="60" t="s">
        <v>28</v>
      </c>
      <c r="E119" s="49">
        <v>100000</v>
      </c>
      <c r="F119" s="49">
        <v>12150</v>
      </c>
      <c r="G119" s="61"/>
      <c r="H119" s="4"/>
      <c r="I119" s="4"/>
      <c r="J119" s="4"/>
      <c r="K119" s="4"/>
    </row>
    <row r="120" spans="1:12">
      <c r="A120" s="18"/>
      <c r="B120" s="2"/>
      <c r="C120" s="2"/>
      <c r="D120" s="2"/>
      <c r="E120" s="4"/>
      <c r="F120" s="4"/>
      <c r="G120" s="40" t="s">
        <v>408</v>
      </c>
      <c r="H120" s="4">
        <v>33620</v>
      </c>
      <c r="I120" s="4">
        <f>+E119-H120</f>
        <v>66380</v>
      </c>
      <c r="J120" s="4"/>
      <c r="K120" s="4"/>
    </row>
    <row r="121" spans="1:12">
      <c r="A121" s="18"/>
      <c r="B121" s="2"/>
      <c r="C121" s="2"/>
      <c r="D121" s="2"/>
      <c r="E121" s="4"/>
      <c r="F121" s="4"/>
      <c r="G121" s="40" t="s">
        <v>411</v>
      </c>
      <c r="H121" s="4">
        <v>34280</v>
      </c>
      <c r="I121" s="4">
        <f>+I120-H121</f>
        <v>32100</v>
      </c>
      <c r="J121" s="4"/>
      <c r="K121" s="4"/>
    </row>
    <row r="122" spans="1:12">
      <c r="A122" s="18"/>
      <c r="B122" s="2"/>
      <c r="C122" s="2"/>
      <c r="D122" s="2"/>
      <c r="E122" s="4"/>
      <c r="F122" s="4"/>
      <c r="G122" s="40" t="s">
        <v>419</v>
      </c>
      <c r="H122" s="4">
        <v>32640</v>
      </c>
      <c r="I122" s="4">
        <f>+I121-H122</f>
        <v>-540</v>
      </c>
      <c r="J122" s="4"/>
      <c r="K122" s="4"/>
      <c r="L122" s="3" t="s">
        <v>524</v>
      </c>
    </row>
    <row r="123" spans="1:12">
      <c r="A123" s="18"/>
      <c r="B123" s="190"/>
      <c r="C123" s="190"/>
      <c r="D123" s="190"/>
      <c r="E123" s="191"/>
      <c r="F123" s="191"/>
      <c r="G123" s="192"/>
      <c r="H123" s="191"/>
      <c r="I123" s="191"/>
      <c r="J123" s="191"/>
      <c r="K123" s="191"/>
    </row>
    <row r="124" spans="1:12">
      <c r="A124" s="18" t="s">
        <v>13</v>
      </c>
      <c r="B124" s="60" t="s">
        <v>26</v>
      </c>
      <c r="C124" s="2" t="s">
        <v>638</v>
      </c>
      <c r="D124" s="2" t="s">
        <v>28</v>
      </c>
      <c r="E124" s="4">
        <f>230000</f>
        <v>230000</v>
      </c>
      <c r="F124" s="4">
        <v>11600</v>
      </c>
      <c r="G124" s="40"/>
      <c r="H124" s="4"/>
      <c r="I124" s="4"/>
      <c r="J124" s="4"/>
      <c r="K124" s="4"/>
    </row>
    <row r="125" spans="1:12">
      <c r="A125" s="18"/>
      <c r="B125" s="2"/>
      <c r="C125" s="2"/>
      <c r="D125" s="7" t="s">
        <v>624</v>
      </c>
      <c r="E125" s="4"/>
      <c r="F125" s="4"/>
      <c r="G125" s="40" t="s">
        <v>734</v>
      </c>
      <c r="H125" s="4">
        <v>36870</v>
      </c>
      <c r="I125" s="4"/>
      <c r="J125" s="4">
        <f>+E124-H125</f>
        <v>193130</v>
      </c>
      <c r="K125" s="4"/>
    </row>
    <row r="126" spans="1:12">
      <c r="A126" s="18"/>
      <c r="B126" s="2"/>
      <c r="C126" s="2"/>
      <c r="D126" s="2"/>
      <c r="E126" s="4"/>
      <c r="F126" s="4"/>
      <c r="G126" s="40" t="s">
        <v>745</v>
      </c>
      <c r="H126" s="4">
        <v>34510</v>
      </c>
      <c r="I126" s="4"/>
      <c r="J126" s="4">
        <f>+J125-H126</f>
        <v>158620</v>
      </c>
      <c r="K126" s="4"/>
    </row>
    <row r="127" spans="1:12">
      <c r="A127" s="18"/>
      <c r="B127" s="2"/>
      <c r="C127" s="2"/>
      <c r="D127" s="2"/>
      <c r="E127" s="4"/>
      <c r="F127" s="4"/>
      <c r="G127" s="40" t="s">
        <v>747</v>
      </c>
      <c r="H127" s="4">
        <v>32810</v>
      </c>
      <c r="I127" s="4"/>
      <c r="J127" s="4">
        <f t="shared" ref="J127:J131" si="11">+J126-H127</f>
        <v>125810</v>
      </c>
      <c r="K127" s="4"/>
    </row>
    <row r="128" spans="1:12">
      <c r="A128" s="18"/>
      <c r="B128" s="2"/>
      <c r="C128" s="2"/>
      <c r="D128" s="2"/>
      <c r="E128" s="4"/>
      <c r="F128" s="4"/>
      <c r="G128" s="40" t="s">
        <v>748</v>
      </c>
      <c r="H128" s="4">
        <v>31980</v>
      </c>
      <c r="I128" s="4"/>
      <c r="J128" s="4">
        <f t="shared" si="11"/>
        <v>93830</v>
      </c>
      <c r="K128" s="4"/>
    </row>
    <row r="129" spans="1:11">
      <c r="A129" s="18"/>
      <c r="B129" s="2"/>
      <c r="C129" s="2"/>
      <c r="D129" s="2"/>
      <c r="E129" s="4"/>
      <c r="F129" s="4"/>
      <c r="G129" s="40" t="s">
        <v>752</v>
      </c>
      <c r="H129" s="36">
        <v>34780</v>
      </c>
      <c r="I129" s="4"/>
      <c r="J129" s="4">
        <f t="shared" si="11"/>
        <v>59050</v>
      </c>
      <c r="K129" s="4"/>
    </row>
    <row r="130" spans="1:11">
      <c r="A130" s="18"/>
      <c r="B130" s="2"/>
      <c r="C130" s="2"/>
      <c r="D130" s="2"/>
      <c r="E130" s="4"/>
      <c r="F130" s="4"/>
      <c r="G130" s="40"/>
      <c r="H130" s="36">
        <v>35030</v>
      </c>
      <c r="I130" s="4"/>
      <c r="J130" s="4">
        <f t="shared" si="11"/>
        <v>24020</v>
      </c>
      <c r="K130" s="4"/>
    </row>
    <row r="131" spans="1:11">
      <c r="A131" s="18"/>
      <c r="B131" s="2"/>
      <c r="C131" s="2"/>
      <c r="D131" s="2"/>
      <c r="E131" s="4"/>
      <c r="F131" s="4"/>
      <c r="G131" s="40" t="s">
        <v>756</v>
      </c>
      <c r="H131" s="36">
        <v>33580</v>
      </c>
      <c r="I131" s="4"/>
      <c r="J131" s="4">
        <f t="shared" si="11"/>
        <v>-9560</v>
      </c>
      <c r="K131" s="4"/>
    </row>
    <row r="132" spans="1:11">
      <c r="A132" s="18"/>
      <c r="B132" s="2"/>
      <c r="C132" s="2"/>
      <c r="D132" s="2"/>
      <c r="E132" s="4"/>
      <c r="F132" s="4"/>
      <c r="G132" s="40"/>
      <c r="H132" s="4"/>
      <c r="I132" s="4"/>
      <c r="J132" s="4"/>
      <c r="K132" s="4"/>
    </row>
    <row r="133" spans="1:11">
      <c r="A133" s="55"/>
      <c r="B133" s="56" t="s">
        <v>92</v>
      </c>
      <c r="C133" s="56"/>
      <c r="D133" s="56"/>
      <c r="E133" s="57"/>
      <c r="F133" s="57"/>
      <c r="G133" s="58"/>
      <c r="H133" s="57">
        <f>SUM(H125:H131)</f>
        <v>239560</v>
      </c>
      <c r="I133" s="57"/>
      <c r="J133" s="57"/>
      <c r="K133" s="57"/>
    </row>
    <row r="134" spans="1:11">
      <c r="A134" s="18" t="s">
        <v>13</v>
      </c>
      <c r="B134" s="60" t="s">
        <v>26</v>
      </c>
      <c r="C134" s="60" t="s">
        <v>673</v>
      </c>
      <c r="D134" s="60" t="s">
        <v>28</v>
      </c>
      <c r="E134" s="49">
        <v>200000</v>
      </c>
      <c r="F134" s="49">
        <v>11950</v>
      </c>
      <c r="G134" s="21"/>
      <c r="H134" s="4"/>
      <c r="I134" s="4"/>
      <c r="J134" s="4"/>
      <c r="K134" s="4"/>
    </row>
    <row r="135" spans="1:11">
      <c r="A135" s="18"/>
      <c r="B135" s="2"/>
      <c r="C135" s="2"/>
      <c r="D135" s="2"/>
      <c r="E135" s="4"/>
      <c r="F135" s="4"/>
      <c r="G135" s="40" t="s">
        <v>768</v>
      </c>
      <c r="H135" s="4">
        <v>32520</v>
      </c>
      <c r="I135" s="4"/>
      <c r="J135" s="4">
        <f>+E134-H135</f>
        <v>167480</v>
      </c>
      <c r="K135" s="4"/>
    </row>
    <row r="136" spans="1:11">
      <c r="A136" s="18"/>
      <c r="B136" s="2"/>
      <c r="C136" s="2"/>
      <c r="D136" s="2"/>
      <c r="E136" s="4"/>
      <c r="F136" s="4"/>
      <c r="G136" s="40" t="s">
        <v>770</v>
      </c>
      <c r="H136" s="4">
        <v>35170</v>
      </c>
      <c r="I136" s="4"/>
      <c r="J136" s="4">
        <f>+J135-H136</f>
        <v>132310</v>
      </c>
      <c r="K136" s="4"/>
    </row>
    <row r="137" spans="1:11">
      <c r="A137" s="18"/>
      <c r="B137" s="2"/>
      <c r="C137" s="2"/>
      <c r="D137" s="2"/>
      <c r="E137" s="4"/>
      <c r="F137" s="4"/>
      <c r="G137" s="40" t="s">
        <v>772</v>
      </c>
      <c r="H137" s="36">
        <v>34310</v>
      </c>
      <c r="I137" s="4"/>
      <c r="J137" s="4">
        <f t="shared" ref="J137:J142" si="12">+J136-H137</f>
        <v>98000</v>
      </c>
      <c r="K137" s="4"/>
    </row>
    <row r="138" spans="1:11">
      <c r="A138" s="18"/>
      <c r="B138" s="2"/>
      <c r="C138" s="2"/>
      <c r="D138" s="2"/>
      <c r="E138" s="4"/>
      <c r="F138" s="4"/>
      <c r="G138" s="40" t="s">
        <v>780</v>
      </c>
      <c r="H138" s="4">
        <v>33030</v>
      </c>
      <c r="I138" s="4"/>
      <c r="J138" s="4">
        <f t="shared" si="12"/>
        <v>64970</v>
      </c>
      <c r="K138" s="4"/>
    </row>
    <row r="139" spans="1:11">
      <c r="A139" s="18"/>
      <c r="B139" s="2"/>
      <c r="C139" s="2"/>
      <c r="D139" s="2"/>
      <c r="E139" s="4"/>
      <c r="F139" s="4"/>
      <c r="G139" s="40" t="s">
        <v>786</v>
      </c>
      <c r="H139" s="36">
        <v>31100</v>
      </c>
      <c r="I139" s="4"/>
      <c r="J139" s="4">
        <f t="shared" si="12"/>
        <v>33870</v>
      </c>
      <c r="K139" s="4"/>
    </row>
    <row r="140" spans="1:11">
      <c r="A140" s="18"/>
      <c r="B140" s="2"/>
      <c r="C140" s="2"/>
      <c r="D140" s="2"/>
      <c r="E140" s="4"/>
      <c r="F140" s="4"/>
      <c r="G140" s="40" t="s">
        <v>792</v>
      </c>
      <c r="H140" s="36">
        <v>33570</v>
      </c>
      <c r="I140" s="4"/>
      <c r="J140" s="4">
        <f t="shared" si="12"/>
        <v>300</v>
      </c>
      <c r="K140" s="4"/>
    </row>
    <row r="141" spans="1:11">
      <c r="A141" s="18"/>
      <c r="B141" s="2"/>
      <c r="C141" s="2"/>
      <c r="D141" s="2"/>
      <c r="E141" s="4"/>
      <c r="F141" s="4"/>
      <c r="G141" s="40"/>
      <c r="H141" s="4"/>
      <c r="I141" s="4"/>
      <c r="J141" s="4">
        <f t="shared" si="12"/>
        <v>300</v>
      </c>
      <c r="K141" s="4"/>
    </row>
    <row r="142" spans="1:11">
      <c r="A142" s="55" t="s">
        <v>13</v>
      </c>
      <c r="B142" s="56" t="s">
        <v>248</v>
      </c>
      <c r="C142" s="56" t="s">
        <v>788</v>
      </c>
      <c r="D142" s="56" t="s">
        <v>28</v>
      </c>
      <c r="E142" s="57">
        <v>230000</v>
      </c>
      <c r="F142" s="57">
        <v>11600</v>
      </c>
      <c r="G142" s="118"/>
      <c r="H142" s="57"/>
      <c r="I142" s="57"/>
      <c r="J142" s="57">
        <f t="shared" si="12"/>
        <v>300</v>
      </c>
      <c r="K142" s="4"/>
    </row>
    <row r="143" spans="1:11">
      <c r="A143" s="18"/>
      <c r="B143" s="2"/>
      <c r="C143" s="2"/>
      <c r="D143" s="2"/>
      <c r="E143" s="4"/>
      <c r="F143" s="4"/>
      <c r="G143" s="40" t="s">
        <v>795</v>
      </c>
      <c r="H143" s="4">
        <v>33220</v>
      </c>
      <c r="I143" s="4">
        <v>11600</v>
      </c>
      <c r="J143" s="4">
        <f>+E142-H143</f>
        <v>196780</v>
      </c>
      <c r="K143" s="4"/>
    </row>
    <row r="144" spans="1:11">
      <c r="A144" s="18"/>
      <c r="B144" s="2"/>
      <c r="C144" s="2"/>
      <c r="D144" s="2"/>
      <c r="E144" s="4"/>
      <c r="F144" s="4"/>
      <c r="G144" s="40" t="s">
        <v>799</v>
      </c>
      <c r="H144" s="4">
        <v>34000</v>
      </c>
      <c r="I144" s="4">
        <v>11600</v>
      </c>
      <c r="J144" s="4">
        <f>+J143-H144</f>
        <v>162780</v>
      </c>
      <c r="K144" s="4"/>
    </row>
    <row r="145" spans="1:11">
      <c r="A145" s="18"/>
      <c r="B145" s="2"/>
      <c r="C145" s="2"/>
      <c r="D145" s="2"/>
      <c r="E145" s="4"/>
      <c r="F145" s="4"/>
      <c r="G145" s="40" t="s">
        <v>803</v>
      </c>
      <c r="H145" s="4">
        <v>32220</v>
      </c>
      <c r="I145" s="4">
        <v>11600</v>
      </c>
      <c r="J145" s="4">
        <f t="shared" ref="J145:J151" si="13">+J144-H145</f>
        <v>130560</v>
      </c>
      <c r="K145" s="4"/>
    </row>
    <row r="146" spans="1:11">
      <c r="A146" s="18"/>
      <c r="B146" s="2"/>
      <c r="C146" s="2"/>
      <c r="D146" s="2"/>
      <c r="E146" s="4"/>
      <c r="F146" s="4"/>
      <c r="G146" s="40" t="s">
        <v>804</v>
      </c>
      <c r="H146" s="4">
        <v>30830</v>
      </c>
      <c r="I146" s="4">
        <v>11600</v>
      </c>
      <c r="J146" s="4">
        <f t="shared" si="13"/>
        <v>99730</v>
      </c>
      <c r="K146" s="4"/>
    </row>
    <row r="147" spans="1:11">
      <c r="A147" s="18"/>
      <c r="B147" s="2"/>
      <c r="C147" s="2"/>
      <c r="D147" s="2"/>
      <c r="E147" s="4"/>
      <c r="F147" s="4"/>
      <c r="G147" s="40" t="s">
        <v>117</v>
      </c>
      <c r="H147" s="4">
        <v>32550</v>
      </c>
      <c r="I147" s="4">
        <v>11600</v>
      </c>
      <c r="J147" s="4">
        <f t="shared" si="13"/>
        <v>67180</v>
      </c>
      <c r="K147" s="4"/>
    </row>
    <row r="148" spans="1:11">
      <c r="A148" s="18"/>
      <c r="B148" s="2"/>
      <c r="C148" s="2"/>
      <c r="D148" s="2"/>
      <c r="E148" s="4"/>
      <c r="F148" s="4"/>
      <c r="G148" s="67" t="s">
        <v>808</v>
      </c>
      <c r="H148" s="68">
        <v>33640</v>
      </c>
      <c r="I148" s="4">
        <v>11600</v>
      </c>
      <c r="J148" s="4">
        <f t="shared" si="13"/>
        <v>33540</v>
      </c>
      <c r="K148" s="4"/>
    </row>
    <row r="149" spans="1:11">
      <c r="A149" s="18"/>
      <c r="B149" s="2"/>
      <c r="C149" s="2"/>
      <c r="D149" s="2"/>
      <c r="E149" s="4"/>
      <c r="F149" s="4"/>
      <c r="G149" s="67" t="s">
        <v>141</v>
      </c>
      <c r="H149" s="68">
        <v>33810</v>
      </c>
      <c r="I149" s="4">
        <v>11600</v>
      </c>
      <c r="J149" s="4">
        <f t="shared" si="13"/>
        <v>-270</v>
      </c>
      <c r="K149" s="4"/>
    </row>
    <row r="150" spans="1:11">
      <c r="A150" s="18"/>
      <c r="B150" s="60"/>
      <c r="C150" s="60"/>
      <c r="D150" s="60"/>
      <c r="E150" s="49"/>
      <c r="F150" s="49"/>
      <c r="G150" s="21"/>
      <c r="H150" s="49"/>
      <c r="I150" s="4">
        <v>11600</v>
      </c>
      <c r="J150" s="4">
        <f t="shared" si="13"/>
        <v>-270</v>
      </c>
      <c r="K150" s="4"/>
    </row>
    <row r="151" spans="1:11">
      <c r="A151" s="18"/>
      <c r="B151" s="2"/>
      <c r="C151" s="2"/>
      <c r="D151" s="2"/>
      <c r="E151" s="4"/>
      <c r="F151" s="4"/>
      <c r="G151" s="40"/>
      <c r="H151" s="4"/>
      <c r="I151" s="4">
        <v>11600</v>
      </c>
      <c r="J151" s="4">
        <f t="shared" si="13"/>
        <v>-270</v>
      </c>
      <c r="K151" s="4"/>
    </row>
    <row r="152" spans="1:11">
      <c r="A152" s="128"/>
      <c r="B152" s="24"/>
      <c r="C152" s="24"/>
      <c r="D152" s="24"/>
      <c r="E152" s="25"/>
      <c r="F152" s="25"/>
      <c r="G152" s="78"/>
      <c r="H152" s="57">
        <f>SUM(H143:H151)</f>
        <v>230270</v>
      </c>
      <c r="I152" s="25"/>
      <c r="J152" s="25"/>
      <c r="K152" s="4"/>
    </row>
    <row r="153" spans="1:11">
      <c r="A153" s="18" t="s">
        <v>13</v>
      </c>
      <c r="B153" s="60" t="s">
        <v>668</v>
      </c>
      <c r="C153" s="60"/>
      <c r="D153" s="60" t="s">
        <v>28</v>
      </c>
      <c r="E153" s="49">
        <v>250000</v>
      </c>
      <c r="F153" s="49">
        <v>12050</v>
      </c>
      <c r="G153" s="40"/>
      <c r="H153" s="4"/>
      <c r="I153" s="4"/>
      <c r="J153" s="4"/>
      <c r="K153" s="4"/>
    </row>
    <row r="154" spans="1:11">
      <c r="A154" s="18"/>
      <c r="B154" s="2" t="s">
        <v>820</v>
      </c>
      <c r="C154" s="2"/>
      <c r="D154" s="2"/>
      <c r="E154" s="4"/>
      <c r="F154" s="4"/>
      <c r="G154" s="40" t="s">
        <v>144</v>
      </c>
      <c r="H154" s="4">
        <v>31840</v>
      </c>
      <c r="I154" s="4"/>
      <c r="J154" s="49">
        <f>+E153-H154</f>
        <v>218160</v>
      </c>
      <c r="K154" s="4"/>
    </row>
    <row r="155" spans="1:11">
      <c r="A155" s="18"/>
      <c r="B155" s="2"/>
      <c r="C155" s="2"/>
      <c r="D155" s="2"/>
      <c r="E155" s="4"/>
      <c r="F155" s="4"/>
      <c r="G155" s="40" t="s">
        <v>833</v>
      </c>
      <c r="H155" s="4">
        <v>33310</v>
      </c>
      <c r="I155" s="4"/>
      <c r="J155" s="49">
        <f>+J154-H155</f>
        <v>184850</v>
      </c>
      <c r="K155" s="4"/>
    </row>
    <row r="156" spans="1:11">
      <c r="A156" s="18"/>
      <c r="B156" s="2"/>
      <c r="C156" s="2"/>
      <c r="D156" s="2"/>
      <c r="E156" s="4"/>
      <c r="F156" s="4"/>
      <c r="G156" s="40" t="s">
        <v>145</v>
      </c>
      <c r="H156" s="4">
        <v>32160</v>
      </c>
      <c r="I156" s="4"/>
      <c r="J156" s="49">
        <f t="shared" ref="J156:J162" si="14">+J155-H156</f>
        <v>152690</v>
      </c>
      <c r="K156" s="4"/>
    </row>
    <row r="157" spans="1:11">
      <c r="A157" s="18"/>
      <c r="B157" s="2"/>
      <c r="C157" s="2"/>
      <c r="D157" s="2"/>
      <c r="E157" s="4"/>
      <c r="F157" s="4"/>
      <c r="G157" s="40" t="s">
        <v>147</v>
      </c>
      <c r="H157" s="4">
        <v>34770</v>
      </c>
      <c r="I157" s="4"/>
      <c r="J157" s="49">
        <f t="shared" si="14"/>
        <v>117920</v>
      </c>
      <c r="K157" s="4"/>
    </row>
    <row r="158" spans="1:11">
      <c r="A158" s="18"/>
      <c r="B158" s="2"/>
      <c r="C158" s="2"/>
      <c r="D158" s="2"/>
      <c r="E158" s="4"/>
      <c r="F158" s="4"/>
      <c r="G158" s="40" t="s">
        <v>148</v>
      </c>
      <c r="H158" s="4">
        <v>33370</v>
      </c>
      <c r="I158" s="4"/>
      <c r="J158" s="49">
        <f t="shared" si="14"/>
        <v>84550</v>
      </c>
      <c r="K158" s="4"/>
    </row>
    <row r="159" spans="1:11">
      <c r="A159" s="18"/>
      <c r="B159" s="2"/>
      <c r="C159" s="2"/>
      <c r="D159" s="2"/>
      <c r="E159" s="4"/>
      <c r="F159" s="4"/>
      <c r="G159" s="40" t="s">
        <v>852</v>
      </c>
      <c r="H159" s="4">
        <v>35870</v>
      </c>
      <c r="I159" s="4"/>
      <c r="J159" s="49">
        <f t="shared" si="14"/>
        <v>48680</v>
      </c>
      <c r="K159" s="4"/>
    </row>
    <row r="160" spans="1:11">
      <c r="A160" s="18"/>
      <c r="B160" s="2"/>
      <c r="C160" s="2"/>
      <c r="D160" s="2"/>
      <c r="E160" s="4"/>
      <c r="F160" s="4"/>
      <c r="G160" s="40" t="s">
        <v>156</v>
      </c>
      <c r="H160" s="4">
        <v>37470</v>
      </c>
      <c r="I160" s="4"/>
      <c r="J160" s="49">
        <f t="shared" si="14"/>
        <v>11210</v>
      </c>
      <c r="K160" s="4"/>
    </row>
    <row r="161" spans="1:11">
      <c r="A161" s="18"/>
      <c r="B161" s="2"/>
      <c r="C161" s="2"/>
      <c r="D161" s="2"/>
      <c r="E161" s="4"/>
      <c r="F161" s="4"/>
      <c r="G161" s="40" t="s">
        <v>164</v>
      </c>
      <c r="H161" s="4">
        <v>34060</v>
      </c>
      <c r="I161" s="4"/>
      <c r="J161" s="49">
        <f t="shared" si="14"/>
        <v>-22850</v>
      </c>
      <c r="K161" s="4"/>
    </row>
    <row r="162" spans="1:11">
      <c r="A162" s="18"/>
      <c r="B162" s="2"/>
      <c r="C162" s="2"/>
      <c r="D162" s="2"/>
      <c r="E162" s="4"/>
      <c r="F162" s="4"/>
      <c r="G162" s="40"/>
      <c r="H162" s="4"/>
      <c r="I162" s="4"/>
      <c r="J162" s="49">
        <f t="shared" si="14"/>
        <v>-22850</v>
      </c>
      <c r="K162" s="4"/>
    </row>
    <row r="163" spans="1:11">
      <c r="A163" s="55"/>
      <c r="B163" s="56"/>
      <c r="C163" s="56"/>
      <c r="D163" s="56"/>
      <c r="E163" s="57"/>
      <c r="F163" s="57"/>
      <c r="G163" s="58"/>
      <c r="H163" s="57">
        <f>SUM(H154:H162)</f>
        <v>272850</v>
      </c>
      <c r="I163" s="57"/>
      <c r="J163" s="57"/>
      <c r="K163" s="57"/>
    </row>
    <row r="164" spans="1:11">
      <c r="A164" s="18" t="s">
        <v>13</v>
      </c>
      <c r="B164" s="60" t="s">
        <v>248</v>
      </c>
      <c r="C164" s="60"/>
      <c r="D164" s="60" t="s">
        <v>28</v>
      </c>
      <c r="E164" s="49">
        <v>100000</v>
      </c>
      <c r="F164" s="49">
        <v>11750</v>
      </c>
      <c r="G164" s="61"/>
      <c r="H164" s="49"/>
      <c r="I164" s="49"/>
      <c r="J164" s="49"/>
      <c r="K164" s="49"/>
    </row>
    <row r="165" spans="1:11">
      <c r="A165" s="18"/>
      <c r="B165" s="2" t="s">
        <v>853</v>
      </c>
      <c r="C165" s="2"/>
      <c r="D165" s="2"/>
      <c r="E165" s="4"/>
      <c r="F165" s="4"/>
      <c r="G165" s="40" t="s">
        <v>168</v>
      </c>
      <c r="H165" s="4">
        <v>34870</v>
      </c>
      <c r="I165" s="4"/>
      <c r="J165" s="49">
        <f>+E164-H165</f>
        <v>65130</v>
      </c>
      <c r="K165" s="4"/>
    </row>
    <row r="166" spans="1:11">
      <c r="A166" s="18"/>
      <c r="B166" s="2"/>
      <c r="C166" s="2"/>
      <c r="D166" s="2"/>
      <c r="E166" s="4"/>
      <c r="F166" s="4"/>
      <c r="G166" s="40" t="s">
        <v>170</v>
      </c>
      <c r="H166" s="4">
        <v>33410</v>
      </c>
      <c r="I166" s="4"/>
      <c r="J166" s="49">
        <f>+J165-H166</f>
        <v>31720</v>
      </c>
      <c r="K166" s="4"/>
    </row>
    <row r="167" spans="1:11">
      <c r="A167" s="18"/>
      <c r="B167" s="2"/>
      <c r="C167" s="2"/>
      <c r="D167" s="2"/>
      <c r="E167" s="4"/>
      <c r="F167" s="4"/>
      <c r="G167" s="67" t="s">
        <v>195</v>
      </c>
      <c r="H167" s="68">
        <v>34040</v>
      </c>
      <c r="I167" s="68"/>
      <c r="J167" s="49">
        <f>+J166-H167</f>
        <v>-2320</v>
      </c>
      <c r="K167" s="4"/>
    </row>
    <row r="168" spans="1:11">
      <c r="A168" s="18"/>
      <c r="B168" s="2"/>
      <c r="C168" s="2"/>
      <c r="D168" s="60"/>
      <c r="E168" s="49"/>
      <c r="F168" s="49"/>
      <c r="G168" s="40"/>
      <c r="H168" s="4"/>
      <c r="I168" s="4"/>
      <c r="J168" s="49"/>
      <c r="K168" s="4"/>
    </row>
    <row r="169" spans="1:11">
      <c r="A169" s="18"/>
      <c r="B169" s="2"/>
      <c r="C169" s="2"/>
      <c r="D169" s="2"/>
      <c r="E169" s="4"/>
      <c r="F169" s="4"/>
      <c r="G169" s="40"/>
      <c r="H169" s="4"/>
      <c r="I169" s="4"/>
      <c r="J169" s="49"/>
      <c r="K169" s="4"/>
    </row>
    <row r="170" spans="1:11">
      <c r="A170" s="18"/>
      <c r="B170" s="2"/>
      <c r="C170" s="2"/>
      <c r="D170" s="2"/>
      <c r="E170" s="4"/>
      <c r="F170" s="4"/>
      <c r="G170" s="40"/>
      <c r="H170" s="4"/>
      <c r="I170" s="4"/>
      <c r="J170" s="49"/>
      <c r="K170" s="4"/>
    </row>
    <row r="171" spans="1:11">
      <c r="A171" s="18"/>
      <c r="B171" s="2"/>
      <c r="C171" s="2"/>
      <c r="D171" s="2"/>
      <c r="E171" s="4"/>
      <c r="F171" s="4"/>
      <c r="G171" s="21"/>
      <c r="H171" s="4"/>
      <c r="I171" s="4"/>
      <c r="J171" s="49"/>
      <c r="K171" s="4"/>
    </row>
    <row r="172" spans="1:11">
      <c r="A172" s="18"/>
      <c r="B172" s="2"/>
      <c r="C172" s="2"/>
      <c r="D172" s="60"/>
      <c r="E172" s="49"/>
      <c r="F172" s="49"/>
      <c r="G172" s="61"/>
      <c r="H172" s="49"/>
      <c r="I172" s="49"/>
      <c r="J172" s="49"/>
      <c r="K172" s="49"/>
    </row>
    <row r="173" spans="1:11">
      <c r="A173" s="18"/>
      <c r="B173" s="2"/>
      <c r="C173" s="2"/>
      <c r="D173" s="2"/>
      <c r="E173" s="4"/>
      <c r="F173" s="4"/>
      <c r="G173" s="40"/>
      <c r="H173" s="4"/>
      <c r="I173" s="4"/>
      <c r="J173" s="49"/>
      <c r="K173" s="4"/>
    </row>
    <row r="174" spans="1:11">
      <c r="A174" s="18"/>
      <c r="B174" s="2"/>
      <c r="C174" s="2"/>
      <c r="D174" s="2"/>
      <c r="E174" s="4"/>
      <c r="F174" s="4"/>
      <c r="G174" s="40"/>
      <c r="H174" s="4"/>
      <c r="I174" s="4"/>
      <c r="J174" s="49"/>
      <c r="K174" s="4"/>
    </row>
    <row r="175" spans="1:11">
      <c r="A175" s="128"/>
      <c r="B175" s="24"/>
      <c r="C175" s="24"/>
      <c r="D175" s="24"/>
      <c r="E175" s="25"/>
      <c r="F175" s="25"/>
      <c r="G175" s="78"/>
      <c r="H175" s="25">
        <f>SUM(H165:H174)</f>
        <v>102320</v>
      </c>
      <c r="I175" s="25"/>
      <c r="J175" s="25"/>
      <c r="K175" s="25"/>
    </row>
    <row r="176" spans="1:11">
      <c r="A176" s="18"/>
      <c r="B176" s="2"/>
      <c r="C176" s="2"/>
      <c r="D176" s="2"/>
      <c r="E176" s="4"/>
      <c r="F176" s="4"/>
      <c r="G176" s="21"/>
      <c r="H176" s="4"/>
      <c r="I176" s="4"/>
      <c r="J176" s="49"/>
      <c r="K176" s="4"/>
    </row>
    <row r="177" spans="1:11">
      <c r="A177" s="18"/>
      <c r="B177" s="2"/>
      <c r="C177" s="2"/>
      <c r="D177" s="2"/>
      <c r="E177" s="4"/>
      <c r="F177" s="4"/>
      <c r="G177" s="21"/>
      <c r="H177" s="4"/>
      <c r="I177" s="4"/>
      <c r="J177" s="49"/>
      <c r="K177" s="4"/>
    </row>
    <row r="178" spans="1:11">
      <c r="A178" s="18"/>
      <c r="B178" s="2"/>
      <c r="C178" s="2"/>
      <c r="D178" s="2"/>
      <c r="E178" s="4"/>
      <c r="F178" s="4"/>
      <c r="G178" s="21"/>
      <c r="H178" s="4"/>
      <c r="I178" s="4"/>
      <c r="J178" s="49"/>
      <c r="K178" s="4"/>
    </row>
    <row r="179" spans="1:11">
      <c r="A179" s="18"/>
      <c r="B179" s="2"/>
      <c r="C179" s="2"/>
      <c r="D179" s="2"/>
      <c r="E179" s="4"/>
      <c r="F179" s="4"/>
      <c r="G179" s="21"/>
      <c r="H179" s="4"/>
      <c r="I179" s="4"/>
      <c r="J179" s="49"/>
      <c r="K179" s="4"/>
    </row>
    <row r="180" spans="1:11">
      <c r="A180" s="18"/>
      <c r="B180" s="2"/>
      <c r="C180" s="2"/>
      <c r="D180" s="2"/>
      <c r="E180" s="4"/>
      <c r="F180" s="4"/>
      <c r="G180" s="21"/>
      <c r="H180" s="4"/>
      <c r="I180" s="4"/>
      <c r="J180" s="49"/>
      <c r="K180" s="4"/>
    </row>
    <row r="181" spans="1:11">
      <c r="A181" s="18"/>
      <c r="B181" s="2"/>
      <c r="C181" s="2"/>
      <c r="D181" s="2"/>
      <c r="E181" s="4"/>
      <c r="F181" s="4"/>
      <c r="G181" s="21"/>
      <c r="H181" s="4"/>
      <c r="I181" s="4"/>
      <c r="J181" s="49"/>
      <c r="K181" s="4"/>
    </row>
    <row r="182" spans="1:11">
      <c r="A182" s="18"/>
      <c r="B182" s="2"/>
      <c r="C182" s="2"/>
      <c r="D182" s="2"/>
      <c r="E182" s="4"/>
      <c r="F182" s="4"/>
      <c r="G182" s="21"/>
      <c r="H182" s="4"/>
      <c r="I182" s="4"/>
      <c r="J182" s="49"/>
      <c r="K182" s="4"/>
    </row>
    <row r="183" spans="1:11">
      <c r="A183" s="281" t="s">
        <v>0</v>
      </c>
      <c r="B183" s="282"/>
      <c r="C183" s="124"/>
      <c r="D183" s="124"/>
      <c r="E183" s="5"/>
      <c r="F183" s="5"/>
      <c r="G183" s="23"/>
      <c r="H183" s="5">
        <f>SUM(H173:H182)</f>
        <v>102320</v>
      </c>
      <c r="I183" s="5"/>
      <c r="J183" s="5"/>
      <c r="K183" s="5"/>
    </row>
    <row r="184" spans="1:11">
      <c r="H184" s="75"/>
    </row>
    <row r="185" spans="1:11">
      <c r="F185" s="270" t="s">
        <v>1</v>
      </c>
      <c r="G185" s="270"/>
      <c r="H185" s="270"/>
      <c r="I185" s="270"/>
      <c r="J185" s="1"/>
      <c r="K185" s="8"/>
    </row>
  </sheetData>
  <mergeCells count="26">
    <mergeCell ref="A111:B111"/>
    <mergeCell ref="A183:B183"/>
    <mergeCell ref="F185:I185"/>
    <mergeCell ref="A100:K100"/>
    <mergeCell ref="A101:K101"/>
    <mergeCell ref="A103:A104"/>
    <mergeCell ref="B103:B104"/>
    <mergeCell ref="C103:C104"/>
    <mergeCell ref="D103:D104"/>
    <mergeCell ref="E103:F103"/>
    <mergeCell ref="G103:I103"/>
    <mergeCell ref="J103:K103"/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17:B17"/>
    <mergeCell ref="A90:B90"/>
    <mergeCell ref="F92:I92"/>
    <mergeCell ref="F95:I95"/>
  </mergeCells>
  <pageMargins left="0.28999999999999998" right="0.28999999999999998" top="0.32" bottom="0.27" header="0.23" footer="0.21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6"/>
  <sheetViews>
    <sheetView workbookViewId="0">
      <pane ySplit="5" topLeftCell="A56" activePane="bottomLeft" state="frozen"/>
      <selection pane="bottomLeft" activeCell="F62" sqref="F62"/>
    </sheetView>
  </sheetViews>
  <sheetFormatPr defaultRowHeight="15"/>
  <cols>
    <col min="1" max="1" width="11.85546875" style="16" customWidth="1"/>
    <col min="2" max="2" width="24.85546875" style="1" customWidth="1"/>
    <col min="3" max="3" width="12.7109375" style="1" customWidth="1"/>
    <col min="4" max="4" width="13.85546875" style="1" customWidth="1"/>
    <col min="5" max="6" width="14.28515625" style="3" customWidth="1"/>
    <col min="7" max="7" width="14.28515625" style="19" customWidth="1"/>
    <col min="8" max="11" width="14.28515625" style="3" customWidth="1"/>
    <col min="12" max="16384" width="9.140625" style="1"/>
  </cols>
  <sheetData>
    <row r="1" spans="1:11" ht="34.5" customHeight="1">
      <c r="A1" s="274" t="s">
        <v>49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21" customHeight="1">
      <c r="A2" s="275" t="s">
        <v>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8.25" customHeight="1"/>
    <row r="4" spans="1:11" s="11" customFormat="1" ht="15" customHeight="1">
      <c r="A4" s="276" t="s">
        <v>11</v>
      </c>
      <c r="B4" s="276" t="s">
        <v>3</v>
      </c>
      <c r="C4" s="276" t="s">
        <v>10</v>
      </c>
      <c r="D4" s="276" t="s">
        <v>8</v>
      </c>
      <c r="E4" s="278" t="s">
        <v>4</v>
      </c>
      <c r="F4" s="278"/>
      <c r="G4" s="288" t="s">
        <v>6</v>
      </c>
      <c r="H4" s="289"/>
      <c r="I4" s="290"/>
      <c r="J4" s="279" t="s">
        <v>7</v>
      </c>
      <c r="K4" s="280"/>
    </row>
    <row r="5" spans="1:11" s="11" customFormat="1" ht="15" customHeight="1">
      <c r="A5" s="277"/>
      <c r="B5" s="277"/>
      <c r="C5" s="277"/>
      <c r="D5" s="277"/>
      <c r="E5" s="12" t="s">
        <v>9</v>
      </c>
      <c r="F5" s="12" t="s">
        <v>5</v>
      </c>
      <c r="G5" s="20" t="s">
        <v>14</v>
      </c>
      <c r="H5" s="12" t="s">
        <v>9</v>
      </c>
      <c r="I5" s="12" t="s">
        <v>5</v>
      </c>
      <c r="J5" s="12" t="s">
        <v>9</v>
      </c>
      <c r="K5" s="12" t="s">
        <v>5</v>
      </c>
    </row>
    <row r="6" spans="1:11" ht="18" hidden="1" customHeight="1">
      <c r="A6" s="17" t="s">
        <v>12</v>
      </c>
      <c r="B6" s="2"/>
      <c r="C6" s="2"/>
      <c r="D6" s="2"/>
      <c r="E6" s="4"/>
      <c r="F6" s="4"/>
      <c r="G6" s="21"/>
      <c r="H6" s="4"/>
      <c r="I6" s="4">
        <f>F6</f>
        <v>0</v>
      </c>
      <c r="J6" s="4">
        <f>E6-H6</f>
        <v>0</v>
      </c>
      <c r="K6" s="4">
        <f>I6</f>
        <v>0</v>
      </c>
    </row>
    <row r="7" spans="1:11" ht="18" hidden="1" customHeight="1">
      <c r="A7" s="18"/>
      <c r="B7" s="2"/>
      <c r="C7" s="2"/>
      <c r="D7" s="2"/>
      <c r="E7" s="4"/>
      <c r="F7" s="4"/>
      <c r="G7" s="21"/>
      <c r="H7" s="4"/>
      <c r="I7" s="4"/>
      <c r="J7" s="4">
        <f>J6-H7</f>
        <v>0</v>
      </c>
      <c r="K7" s="4"/>
    </row>
    <row r="8" spans="1:11" ht="18" hidden="1" customHeight="1">
      <c r="A8" s="18"/>
      <c r="B8" s="2"/>
      <c r="C8" s="2"/>
      <c r="D8" s="2"/>
      <c r="E8" s="4"/>
      <c r="F8" s="4"/>
      <c r="G8" s="21"/>
      <c r="H8" s="4"/>
      <c r="I8" s="4"/>
      <c r="J8" s="4">
        <f t="shared" ref="J8:J9" si="0">J7-H8</f>
        <v>0</v>
      </c>
      <c r="K8" s="4"/>
    </row>
    <row r="9" spans="1:11" ht="18" hidden="1" customHeight="1">
      <c r="A9" s="18"/>
      <c r="B9" s="2"/>
      <c r="C9" s="2"/>
      <c r="D9" s="2"/>
      <c r="E9" s="4"/>
      <c r="F9" s="4"/>
      <c r="G9" s="21"/>
      <c r="H9" s="4"/>
      <c r="I9" s="4"/>
      <c r="J9" s="4">
        <f t="shared" si="0"/>
        <v>0</v>
      </c>
      <c r="K9" s="4"/>
    </row>
    <row r="10" spans="1:11" s="15" customFormat="1" ht="18" hidden="1" customHeight="1">
      <c r="A10" s="291" t="s">
        <v>15</v>
      </c>
      <c r="B10" s="292"/>
      <c r="C10" s="13"/>
      <c r="D10" s="13"/>
      <c r="E10" s="14">
        <f>SUM(E6:E9)</f>
        <v>0</v>
      </c>
      <c r="F10" s="14">
        <f t="shared" ref="F10:K10" si="1">SUM(F6:F9)</f>
        <v>0</v>
      </c>
      <c r="G10" s="22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</row>
    <row r="11" spans="1:11" ht="18" customHeight="1">
      <c r="A11" s="18" t="s">
        <v>13</v>
      </c>
      <c r="B11" s="2" t="s">
        <v>39</v>
      </c>
      <c r="C11" s="2" t="s">
        <v>40</v>
      </c>
      <c r="D11" s="2" t="s">
        <v>41</v>
      </c>
      <c r="E11" s="4">
        <v>300000</v>
      </c>
      <c r="F11" s="4">
        <v>7850</v>
      </c>
      <c r="G11" s="21">
        <v>43928</v>
      </c>
      <c r="H11" s="4">
        <v>100850</v>
      </c>
      <c r="I11" s="4">
        <f>F11</f>
        <v>7850</v>
      </c>
      <c r="J11" s="4">
        <f>E11-H11</f>
        <v>199150</v>
      </c>
      <c r="K11" s="4">
        <f>F11</f>
        <v>7850</v>
      </c>
    </row>
    <row r="12" spans="1:11" ht="18" customHeight="1">
      <c r="A12" s="18"/>
      <c r="B12" s="2"/>
      <c r="C12" s="2"/>
      <c r="D12" s="2"/>
      <c r="E12" s="4"/>
      <c r="F12" s="4"/>
      <c r="G12" s="21">
        <v>43934</v>
      </c>
      <c r="H12" s="4">
        <v>40750</v>
      </c>
      <c r="I12" s="4">
        <v>7850</v>
      </c>
      <c r="J12" s="4">
        <f t="shared" ref="J12:J18" si="2">J11-H12</f>
        <v>158400</v>
      </c>
      <c r="K12" s="4"/>
    </row>
    <row r="13" spans="1:11" ht="18" customHeight="1">
      <c r="A13" s="18"/>
      <c r="B13" s="2"/>
      <c r="C13" s="2"/>
      <c r="D13" s="2"/>
      <c r="E13" s="4"/>
      <c r="F13" s="4"/>
      <c r="G13" s="21">
        <v>43948</v>
      </c>
      <c r="H13" s="4">
        <v>22980</v>
      </c>
      <c r="I13" s="4">
        <v>7850</v>
      </c>
      <c r="J13" s="4">
        <f t="shared" si="2"/>
        <v>135420</v>
      </c>
      <c r="K13" s="4"/>
    </row>
    <row r="14" spans="1:11" ht="18" customHeight="1">
      <c r="A14" s="18"/>
      <c r="B14" s="2"/>
      <c r="C14" s="2"/>
      <c r="D14" s="2"/>
      <c r="E14" s="4"/>
      <c r="F14" s="4"/>
      <c r="G14" s="21">
        <v>43962</v>
      </c>
      <c r="H14" s="4">
        <v>42920</v>
      </c>
      <c r="I14" s="4">
        <v>7850</v>
      </c>
      <c r="J14" s="4">
        <f t="shared" si="2"/>
        <v>92500</v>
      </c>
      <c r="K14" s="4"/>
    </row>
    <row r="15" spans="1:11" ht="18" customHeight="1">
      <c r="A15" s="18"/>
      <c r="B15" s="2"/>
      <c r="C15" s="2"/>
      <c r="D15" s="2"/>
      <c r="E15" s="4"/>
      <c r="F15" s="4"/>
      <c r="G15" s="21">
        <v>43979</v>
      </c>
      <c r="H15" s="4">
        <v>23060</v>
      </c>
      <c r="I15" s="4">
        <v>7850</v>
      </c>
      <c r="J15" s="4">
        <f t="shared" si="2"/>
        <v>69440</v>
      </c>
      <c r="K15" s="4"/>
    </row>
    <row r="16" spans="1:11" ht="18" customHeight="1">
      <c r="A16" s="18"/>
      <c r="B16" s="2"/>
      <c r="C16" s="2"/>
      <c r="D16" s="2"/>
      <c r="E16" s="4"/>
      <c r="F16" s="4"/>
      <c r="G16" s="21">
        <v>43990</v>
      </c>
      <c r="H16" s="4">
        <v>25340</v>
      </c>
      <c r="I16" s="4">
        <v>7850</v>
      </c>
      <c r="J16" s="4">
        <f t="shared" si="2"/>
        <v>44100</v>
      </c>
      <c r="K16" s="4"/>
    </row>
    <row r="17" spans="1:12" ht="18" customHeight="1">
      <c r="A17" s="18"/>
      <c r="B17" s="2"/>
      <c r="C17" s="2"/>
      <c r="D17" s="2"/>
      <c r="E17" s="4"/>
      <c r="F17" s="4"/>
      <c r="G17" s="21">
        <v>44001</v>
      </c>
      <c r="H17" s="4">
        <v>23000</v>
      </c>
      <c r="I17" s="4">
        <v>7850</v>
      </c>
      <c r="J17" s="4">
        <f t="shared" si="2"/>
        <v>21100</v>
      </c>
      <c r="K17" s="4"/>
    </row>
    <row r="18" spans="1:12" ht="18" customHeight="1">
      <c r="A18" s="38"/>
      <c r="B18" s="39"/>
      <c r="C18" s="2"/>
      <c r="D18" s="2"/>
      <c r="E18" s="4"/>
      <c r="F18" s="4"/>
      <c r="G18" s="21">
        <v>44013</v>
      </c>
      <c r="H18" s="4">
        <v>23670</v>
      </c>
      <c r="I18" s="4">
        <v>7850</v>
      </c>
      <c r="J18" s="4">
        <f t="shared" si="2"/>
        <v>-2570</v>
      </c>
      <c r="K18" s="4"/>
    </row>
    <row r="19" spans="1:12" ht="18" customHeight="1">
      <c r="A19" s="38"/>
      <c r="B19" s="39"/>
      <c r="C19" s="2"/>
      <c r="D19" s="2"/>
      <c r="E19" s="4"/>
      <c r="F19" s="4"/>
      <c r="G19" s="40">
        <v>44023</v>
      </c>
      <c r="H19" s="4">
        <v>22200</v>
      </c>
      <c r="I19" s="4">
        <v>7850</v>
      </c>
      <c r="J19" s="4"/>
      <c r="K19" s="4"/>
    </row>
    <row r="20" spans="1:12" ht="18" customHeight="1">
      <c r="A20" s="38"/>
      <c r="B20" s="39"/>
      <c r="C20" s="2"/>
      <c r="D20" s="2"/>
      <c r="E20" s="4"/>
      <c r="F20" s="4"/>
      <c r="G20" s="21"/>
      <c r="H20" s="4"/>
      <c r="I20" s="4"/>
      <c r="J20" s="4"/>
      <c r="K20" s="4"/>
    </row>
    <row r="21" spans="1:12" s="15" customFormat="1" ht="18" customHeight="1">
      <c r="A21" s="291" t="s">
        <v>15</v>
      </c>
      <c r="B21" s="292"/>
      <c r="C21" s="13"/>
      <c r="D21" s="13"/>
      <c r="E21" s="14">
        <f>SUM(E11:E20)</f>
        <v>300000</v>
      </c>
      <c r="F21" s="14"/>
      <c r="G21" s="14">
        <f t="shared" ref="G21:J21" si="3">SUM(G11:G20)</f>
        <v>395778</v>
      </c>
      <c r="H21" s="14">
        <f t="shared" si="3"/>
        <v>324770</v>
      </c>
      <c r="I21" s="14"/>
      <c r="J21" s="14">
        <f t="shared" si="3"/>
        <v>717540</v>
      </c>
      <c r="K21" s="14"/>
    </row>
    <row r="22" spans="1:12" ht="18" customHeight="1">
      <c r="A22" s="18" t="s">
        <v>13</v>
      </c>
      <c r="B22" s="2" t="s">
        <v>99</v>
      </c>
      <c r="C22" s="2" t="s">
        <v>98</v>
      </c>
      <c r="D22" s="2" t="s">
        <v>41</v>
      </c>
      <c r="E22" s="4">
        <v>125000</v>
      </c>
      <c r="F22" s="4">
        <v>9450</v>
      </c>
      <c r="G22" s="40" t="s">
        <v>97</v>
      </c>
      <c r="H22" s="4">
        <v>23280</v>
      </c>
      <c r="I22" s="4"/>
      <c r="J22" s="4">
        <f>+E22-H22</f>
        <v>101720</v>
      </c>
      <c r="K22" s="4"/>
      <c r="L22" s="1" t="s">
        <v>115</v>
      </c>
    </row>
    <row r="23" spans="1:12" ht="18" customHeight="1">
      <c r="A23" s="18"/>
      <c r="B23" s="2"/>
      <c r="C23" s="2"/>
      <c r="D23" s="2"/>
      <c r="E23" s="4"/>
      <c r="F23" s="4"/>
      <c r="G23" s="40" t="s">
        <v>108</v>
      </c>
      <c r="H23" s="4">
        <v>23120</v>
      </c>
      <c r="I23" s="4"/>
      <c r="J23" s="4">
        <f>+J22-H23</f>
        <v>78600</v>
      </c>
      <c r="K23" s="4"/>
    </row>
    <row r="24" spans="1:12" ht="18" customHeight="1">
      <c r="A24" s="18"/>
      <c r="B24" s="2"/>
      <c r="C24" s="2"/>
      <c r="D24" s="2"/>
      <c r="E24" s="4"/>
      <c r="F24" s="4"/>
      <c r="G24" s="40" t="s">
        <v>116</v>
      </c>
      <c r="H24" s="4">
        <v>19960</v>
      </c>
      <c r="I24" s="4"/>
      <c r="J24" s="4">
        <f t="shared" ref="J24:J26" si="4">+J23-H24</f>
        <v>58640</v>
      </c>
      <c r="K24" s="4"/>
    </row>
    <row r="25" spans="1:12" ht="18" customHeight="1">
      <c r="A25" s="18"/>
      <c r="B25" s="2"/>
      <c r="C25" s="2"/>
      <c r="D25" s="2"/>
      <c r="E25" s="4"/>
      <c r="F25" s="4"/>
      <c r="G25" s="40" t="s">
        <v>118</v>
      </c>
      <c r="H25" s="4">
        <v>39640</v>
      </c>
      <c r="I25" s="4"/>
      <c r="J25" s="4">
        <f t="shared" si="4"/>
        <v>19000</v>
      </c>
      <c r="K25" s="4"/>
    </row>
    <row r="26" spans="1:12" ht="18" customHeight="1">
      <c r="A26" s="18"/>
      <c r="B26" s="2"/>
      <c r="C26" s="2"/>
      <c r="D26" s="2"/>
      <c r="E26" s="4"/>
      <c r="F26" s="4"/>
      <c r="G26" s="40" t="s">
        <v>143</v>
      </c>
      <c r="H26" s="4">
        <v>44820</v>
      </c>
      <c r="I26" s="4"/>
      <c r="J26" s="4">
        <f t="shared" si="4"/>
        <v>-25820</v>
      </c>
      <c r="K26" s="4"/>
    </row>
    <row r="27" spans="1:12" ht="18" customHeight="1">
      <c r="A27" s="18"/>
      <c r="B27" s="2"/>
      <c r="C27" s="2"/>
      <c r="D27" s="2"/>
      <c r="E27" s="4"/>
      <c r="F27" s="4"/>
      <c r="G27" s="21"/>
      <c r="H27" s="4"/>
      <c r="I27" s="4"/>
      <c r="J27" s="4"/>
      <c r="K27" s="4"/>
    </row>
    <row r="28" spans="1:12" ht="18" customHeight="1">
      <c r="A28" s="18"/>
      <c r="B28" s="2"/>
      <c r="C28" s="2"/>
      <c r="D28" s="2"/>
      <c r="E28" s="4"/>
      <c r="F28" s="4"/>
      <c r="G28" s="21"/>
      <c r="H28" s="4"/>
      <c r="I28" s="4"/>
      <c r="J28" s="4"/>
      <c r="K28" s="4"/>
    </row>
    <row r="29" spans="1:12" ht="18" customHeight="1">
      <c r="A29" s="18"/>
      <c r="B29" s="2"/>
      <c r="C29" s="2"/>
      <c r="D29" s="2"/>
      <c r="E29" s="4"/>
      <c r="F29" s="4"/>
      <c r="G29" s="21"/>
      <c r="H29" s="4"/>
      <c r="I29" s="4"/>
      <c r="J29" s="4"/>
      <c r="K29" s="4"/>
    </row>
    <row r="30" spans="1:12" ht="18" customHeight="1">
      <c r="A30" s="55" t="s">
        <v>13</v>
      </c>
      <c r="B30" s="56" t="s">
        <v>313</v>
      </c>
      <c r="C30" s="56"/>
      <c r="D30" s="56" t="s">
        <v>314</v>
      </c>
      <c r="E30" s="57">
        <v>300000</v>
      </c>
      <c r="F30" s="57">
        <v>12000</v>
      </c>
      <c r="G30" s="58"/>
      <c r="H30" s="57"/>
      <c r="I30" s="57"/>
      <c r="J30" s="57"/>
      <c r="K30" s="57"/>
    </row>
    <row r="31" spans="1:12" ht="18" customHeight="1">
      <c r="A31" s="18"/>
      <c r="B31" s="2"/>
      <c r="C31" s="2"/>
      <c r="D31" s="2"/>
      <c r="E31" s="4"/>
      <c r="F31" s="4"/>
      <c r="G31" s="40" t="s">
        <v>312</v>
      </c>
      <c r="H31" s="4">
        <v>22110</v>
      </c>
      <c r="I31" s="4">
        <v>12000</v>
      </c>
      <c r="J31" s="4">
        <f>+E30-H31</f>
        <v>277890</v>
      </c>
      <c r="K31" s="4"/>
    </row>
    <row r="32" spans="1:12" ht="18" customHeight="1">
      <c r="A32" s="18"/>
      <c r="B32" s="2"/>
      <c r="C32" s="2"/>
      <c r="D32" s="2"/>
      <c r="E32" s="4"/>
      <c r="F32" s="4"/>
      <c r="G32" s="40" t="s">
        <v>327</v>
      </c>
      <c r="H32" s="4">
        <v>22490</v>
      </c>
      <c r="I32" s="4">
        <v>12000</v>
      </c>
      <c r="J32" s="4">
        <f>+J31-H32</f>
        <v>255400</v>
      </c>
      <c r="K32" s="4"/>
    </row>
    <row r="33" spans="1:11" ht="18" customHeight="1">
      <c r="A33" s="18"/>
      <c r="B33" s="2"/>
      <c r="C33" s="2"/>
      <c r="D33" s="2"/>
      <c r="E33" s="4"/>
      <c r="F33" s="4"/>
      <c r="G33" s="40" t="s">
        <v>343</v>
      </c>
      <c r="H33" s="4">
        <v>45660</v>
      </c>
      <c r="I33" s="4">
        <v>12000</v>
      </c>
      <c r="J33" s="4">
        <f t="shared" ref="J33:J38" si="5">+J32-H33</f>
        <v>209740</v>
      </c>
      <c r="K33" s="4"/>
    </row>
    <row r="34" spans="1:11" ht="18" customHeight="1">
      <c r="A34" s="18"/>
      <c r="B34" s="2"/>
      <c r="C34" s="2"/>
      <c r="D34" s="2"/>
      <c r="E34" s="4"/>
      <c r="F34" s="4"/>
      <c r="G34" s="40" t="s">
        <v>363</v>
      </c>
      <c r="H34" s="4">
        <v>23240</v>
      </c>
      <c r="I34" s="4">
        <v>12000</v>
      </c>
      <c r="J34" s="4">
        <f t="shared" si="5"/>
        <v>186500</v>
      </c>
      <c r="K34" s="4"/>
    </row>
    <row r="35" spans="1:11" ht="18" customHeight="1">
      <c r="A35" s="18"/>
      <c r="B35" s="2"/>
      <c r="C35" s="2"/>
      <c r="D35" s="2"/>
      <c r="E35" s="4"/>
      <c r="F35" s="4"/>
      <c r="G35" s="40" t="s">
        <v>382</v>
      </c>
      <c r="H35" s="4">
        <v>53560</v>
      </c>
      <c r="I35" s="4">
        <v>12000</v>
      </c>
      <c r="J35" s="4">
        <f t="shared" si="5"/>
        <v>132940</v>
      </c>
      <c r="K35" s="4"/>
    </row>
    <row r="36" spans="1:11" ht="18" customHeight="1">
      <c r="A36" s="18"/>
      <c r="B36" s="2"/>
      <c r="C36" s="2"/>
      <c r="D36" s="2"/>
      <c r="E36" s="4"/>
      <c r="F36" s="4"/>
      <c r="G36" s="40" t="s">
        <v>423</v>
      </c>
      <c r="H36" s="4">
        <v>45580</v>
      </c>
      <c r="I36" s="4">
        <v>12000</v>
      </c>
      <c r="J36" s="4">
        <f t="shared" si="5"/>
        <v>87360</v>
      </c>
      <c r="K36" s="4"/>
    </row>
    <row r="37" spans="1:11" ht="18" customHeight="1">
      <c r="A37" s="18"/>
      <c r="B37" s="2"/>
      <c r="C37" s="2"/>
      <c r="D37" s="2"/>
      <c r="E37" s="4"/>
      <c r="F37" s="4"/>
      <c r="G37" s="40" t="s">
        <v>456</v>
      </c>
      <c r="H37" s="4">
        <v>41990</v>
      </c>
      <c r="I37" s="4">
        <v>12000</v>
      </c>
      <c r="J37" s="4">
        <f t="shared" si="5"/>
        <v>45370</v>
      </c>
      <c r="K37" s="4"/>
    </row>
    <row r="38" spans="1:11" ht="18" customHeight="1">
      <c r="A38" s="18"/>
      <c r="B38" s="2"/>
      <c r="C38" s="2"/>
      <c r="D38" s="2"/>
      <c r="E38" s="4"/>
      <c r="F38" s="4"/>
      <c r="G38" s="40" t="s">
        <v>607</v>
      </c>
      <c r="H38" s="4">
        <v>41405</v>
      </c>
      <c r="I38" s="4">
        <v>12000</v>
      </c>
      <c r="J38" s="4">
        <f t="shared" si="5"/>
        <v>3965</v>
      </c>
      <c r="K38" s="4"/>
    </row>
    <row r="39" spans="1:11" ht="18" customHeight="1">
      <c r="A39" s="18"/>
      <c r="B39" s="2"/>
      <c r="C39" s="2"/>
      <c r="D39" s="2"/>
      <c r="E39" s="4"/>
      <c r="F39" s="4"/>
      <c r="G39" s="21"/>
      <c r="H39" s="4"/>
      <c r="I39" s="4"/>
      <c r="J39" s="4"/>
      <c r="K39" s="4"/>
    </row>
    <row r="40" spans="1:11" ht="18" customHeight="1">
      <c r="A40" s="18"/>
      <c r="B40" s="2"/>
      <c r="C40" s="2"/>
      <c r="D40" s="2"/>
      <c r="E40" s="4"/>
      <c r="F40" s="4"/>
      <c r="G40" s="21"/>
      <c r="H40" s="4"/>
      <c r="I40" s="4"/>
      <c r="J40" s="4"/>
      <c r="K40" s="4"/>
    </row>
    <row r="41" spans="1:11" ht="18" customHeight="1">
      <c r="A41" s="18"/>
      <c r="B41" s="2"/>
      <c r="C41" s="2"/>
      <c r="D41" s="2"/>
      <c r="E41" s="4"/>
      <c r="F41" s="4"/>
      <c r="G41" s="21"/>
      <c r="H41" s="4"/>
      <c r="I41" s="4"/>
      <c r="J41" s="4"/>
      <c r="K41" s="4"/>
    </row>
    <row r="42" spans="1:11" ht="18" customHeight="1">
      <c r="A42" s="128"/>
      <c r="B42" s="24"/>
      <c r="C42" s="24"/>
      <c r="D42" s="24"/>
      <c r="E42" s="25"/>
      <c r="F42" s="25"/>
      <c r="G42" s="26"/>
      <c r="H42" s="57">
        <f>SUM(H31:H41)</f>
        <v>296035</v>
      </c>
      <c r="I42" s="57"/>
      <c r="J42" s="57"/>
      <c r="K42" s="25"/>
    </row>
    <row r="43" spans="1:11" ht="18" customHeight="1">
      <c r="A43" s="18" t="s">
        <v>13</v>
      </c>
      <c r="B43" s="60" t="s">
        <v>486</v>
      </c>
      <c r="C43" s="60" t="s">
        <v>639</v>
      </c>
      <c r="D43" s="60" t="s">
        <v>488</v>
      </c>
      <c r="E43" s="49">
        <v>40000</v>
      </c>
      <c r="F43" s="49">
        <v>13000</v>
      </c>
      <c r="G43" s="61"/>
      <c r="H43" s="4"/>
      <c r="I43" s="4"/>
      <c r="J43" s="4"/>
      <c r="K43" s="4"/>
    </row>
    <row r="44" spans="1:11" ht="18" customHeight="1">
      <c r="A44" s="18"/>
      <c r="B44" s="2"/>
      <c r="C44" s="2"/>
      <c r="D44" s="2"/>
      <c r="E44" s="4"/>
      <c r="F44" s="4"/>
      <c r="G44" s="40" t="s">
        <v>680</v>
      </c>
      <c r="H44" s="4">
        <v>41985</v>
      </c>
      <c r="I44" s="4"/>
      <c r="J44" s="4"/>
      <c r="K44" s="4"/>
    </row>
    <row r="45" spans="1:11" ht="18" customHeight="1">
      <c r="A45" s="18" t="s">
        <v>13</v>
      </c>
      <c r="B45" s="60" t="s">
        <v>486</v>
      </c>
      <c r="C45" s="60" t="s">
        <v>639</v>
      </c>
      <c r="D45" s="60" t="s">
        <v>488</v>
      </c>
      <c r="E45" s="49">
        <v>40000</v>
      </c>
      <c r="F45" s="49">
        <v>12900</v>
      </c>
      <c r="G45" s="61"/>
      <c r="H45" s="49"/>
      <c r="I45" s="4"/>
      <c r="J45" s="4"/>
      <c r="K45" s="4"/>
    </row>
    <row r="46" spans="1:11" ht="18" customHeight="1">
      <c r="A46" s="18"/>
      <c r="B46" s="2"/>
      <c r="C46" s="2"/>
      <c r="D46" s="2"/>
      <c r="E46" s="4"/>
      <c r="F46" s="4"/>
      <c r="G46" s="40" t="s">
        <v>768</v>
      </c>
      <c r="H46" s="4">
        <v>40380</v>
      </c>
      <c r="I46" s="4"/>
      <c r="J46" s="4"/>
      <c r="K46" s="4"/>
    </row>
    <row r="47" spans="1:11" ht="18" customHeight="1">
      <c r="A47" s="18" t="s">
        <v>13</v>
      </c>
      <c r="B47" s="60" t="s">
        <v>486</v>
      </c>
      <c r="C47" s="2" t="s">
        <v>639</v>
      </c>
      <c r="D47" s="60" t="s">
        <v>488</v>
      </c>
      <c r="E47" s="4">
        <v>40000</v>
      </c>
      <c r="F47" s="4">
        <v>12800</v>
      </c>
      <c r="G47" s="21"/>
      <c r="H47" s="4"/>
      <c r="I47" s="4"/>
      <c r="J47" s="4"/>
      <c r="K47" s="4"/>
    </row>
    <row r="48" spans="1:11" ht="18" customHeight="1">
      <c r="A48" s="18"/>
      <c r="B48" s="2"/>
      <c r="C48" s="2"/>
      <c r="D48" s="2"/>
      <c r="E48" s="4"/>
      <c r="F48" s="4"/>
      <c r="G48" s="21" t="s">
        <v>787</v>
      </c>
      <c r="H48" s="4">
        <v>43490</v>
      </c>
      <c r="I48" s="4"/>
      <c r="J48" s="4"/>
      <c r="K48" s="4"/>
    </row>
    <row r="49" spans="1:11" ht="18" customHeight="1">
      <c r="A49" s="18" t="s">
        <v>13</v>
      </c>
      <c r="B49" s="60" t="s">
        <v>486</v>
      </c>
      <c r="C49" s="2"/>
      <c r="D49" s="60" t="s">
        <v>488</v>
      </c>
      <c r="E49" s="4">
        <v>40000</v>
      </c>
      <c r="F49" s="4">
        <v>12800</v>
      </c>
      <c r="G49" s="21"/>
      <c r="H49" s="4"/>
      <c r="I49" s="4"/>
      <c r="J49" s="4"/>
      <c r="K49" s="4"/>
    </row>
    <row r="50" spans="1:11" ht="18" customHeight="1">
      <c r="A50" s="18"/>
      <c r="B50" s="2"/>
      <c r="C50" s="2"/>
      <c r="D50" s="2"/>
      <c r="E50" s="4"/>
      <c r="F50" s="4"/>
      <c r="G50" s="40" t="s">
        <v>153</v>
      </c>
      <c r="H50" s="4">
        <v>33050</v>
      </c>
      <c r="I50" s="4"/>
      <c r="J50" s="4"/>
      <c r="K50" s="4"/>
    </row>
    <row r="51" spans="1:11" ht="18" customHeight="1">
      <c r="A51" s="18" t="s">
        <v>13</v>
      </c>
      <c r="B51" s="60" t="s">
        <v>486</v>
      </c>
      <c r="C51" s="2"/>
      <c r="D51" s="60" t="s">
        <v>488</v>
      </c>
      <c r="E51" s="4">
        <v>40000</v>
      </c>
      <c r="F51" s="4">
        <v>12700</v>
      </c>
      <c r="G51" s="21"/>
      <c r="H51" s="4"/>
      <c r="I51" s="4"/>
      <c r="J51" s="4"/>
      <c r="K51" s="4"/>
    </row>
    <row r="52" spans="1:11" ht="18" customHeight="1">
      <c r="A52" s="18"/>
      <c r="B52" s="2"/>
      <c r="C52" s="2"/>
      <c r="D52" s="2"/>
      <c r="E52" s="4"/>
      <c r="F52" s="4"/>
      <c r="G52" s="40" t="s">
        <v>830</v>
      </c>
      <c r="H52" s="4">
        <v>33910</v>
      </c>
      <c r="I52" s="4"/>
      <c r="J52" s="4"/>
      <c r="K52" s="4"/>
    </row>
    <row r="53" spans="1:11" ht="18" customHeight="1">
      <c r="A53" s="18" t="s">
        <v>13</v>
      </c>
      <c r="B53" s="60" t="s">
        <v>486</v>
      </c>
      <c r="C53" s="2"/>
      <c r="D53" s="60" t="s">
        <v>488</v>
      </c>
      <c r="E53" s="4">
        <f>40000+40000</f>
        <v>80000</v>
      </c>
      <c r="F53" s="4">
        <v>12700</v>
      </c>
      <c r="G53" s="21"/>
      <c r="H53" s="4"/>
      <c r="I53" s="4"/>
      <c r="J53" s="4"/>
      <c r="K53" s="4"/>
    </row>
    <row r="54" spans="1:11" ht="18" customHeight="1">
      <c r="A54" s="18"/>
      <c r="B54" s="2"/>
      <c r="C54" s="2"/>
      <c r="D54" s="2"/>
      <c r="E54" s="4"/>
      <c r="F54" s="4"/>
      <c r="G54" s="40" t="s">
        <v>148</v>
      </c>
      <c r="H54" s="4">
        <v>24950</v>
      </c>
      <c r="I54" s="4"/>
      <c r="J54" s="4">
        <f>E53-H54</f>
        <v>55050</v>
      </c>
      <c r="K54" s="4"/>
    </row>
    <row r="55" spans="1:11" ht="18" customHeight="1">
      <c r="A55" s="18"/>
      <c r="B55" s="2"/>
      <c r="C55" s="2"/>
      <c r="D55" s="2"/>
      <c r="E55" s="4"/>
      <c r="F55" s="4"/>
      <c r="G55" s="40" t="s">
        <v>164</v>
      </c>
      <c r="H55" s="4">
        <v>41770</v>
      </c>
      <c r="I55" s="4"/>
      <c r="J55" s="4">
        <f>J54-H55</f>
        <v>13280</v>
      </c>
      <c r="K55" s="4"/>
    </row>
    <row r="56" spans="1:11" ht="18" customHeight="1">
      <c r="A56" s="18"/>
      <c r="B56" s="2"/>
      <c r="C56" s="2"/>
      <c r="D56" s="2"/>
      <c r="E56" s="4"/>
      <c r="F56" s="4"/>
      <c r="G56" s="21"/>
      <c r="H56" s="4"/>
      <c r="I56" s="4"/>
      <c r="J56" s="4"/>
      <c r="K56" s="4"/>
    </row>
    <row r="57" spans="1:11" ht="18" customHeight="1">
      <c r="A57" s="18" t="s">
        <v>13</v>
      </c>
      <c r="B57" s="60" t="s">
        <v>486</v>
      </c>
      <c r="C57" s="2"/>
      <c r="D57" s="60" t="s">
        <v>488</v>
      </c>
      <c r="E57" s="4">
        <v>40000</v>
      </c>
      <c r="F57" s="4">
        <v>12500</v>
      </c>
      <c r="G57" s="21"/>
      <c r="H57" s="4"/>
      <c r="I57" s="4"/>
      <c r="J57" s="4"/>
      <c r="K57" s="4"/>
    </row>
    <row r="58" spans="1:11" ht="18" customHeight="1">
      <c r="A58" s="18"/>
      <c r="B58" s="2"/>
      <c r="C58" s="2"/>
      <c r="D58" s="2"/>
      <c r="E58" s="4"/>
      <c r="F58" s="4"/>
      <c r="G58" s="40" t="s">
        <v>204</v>
      </c>
      <c r="H58" s="4">
        <v>46930</v>
      </c>
      <c r="I58" s="4"/>
      <c r="J58" s="4"/>
      <c r="K58" s="4"/>
    </row>
    <row r="59" spans="1:11" ht="18" customHeight="1">
      <c r="A59" s="18"/>
      <c r="B59" s="2"/>
      <c r="C59" s="2"/>
      <c r="D59" s="2"/>
      <c r="E59" s="4"/>
      <c r="F59" s="4"/>
      <c r="G59" s="40"/>
      <c r="H59" s="4"/>
      <c r="I59" s="4"/>
      <c r="J59" s="4"/>
      <c r="K59" s="4"/>
    </row>
    <row r="60" spans="1:11" ht="18" customHeight="1">
      <c r="A60" s="18" t="s">
        <v>13</v>
      </c>
      <c r="B60" s="60" t="s">
        <v>486</v>
      </c>
      <c r="C60" s="2"/>
      <c r="D60" s="60" t="s">
        <v>488</v>
      </c>
      <c r="E60" s="49">
        <f>100000*4</f>
        <v>400000</v>
      </c>
      <c r="F60" s="49">
        <v>12400</v>
      </c>
      <c r="G60" s="66"/>
      <c r="H60" s="49"/>
      <c r="I60" s="4"/>
      <c r="J60" s="4"/>
      <c r="K60" s="4"/>
    </row>
    <row r="61" spans="1:11" ht="18" customHeight="1">
      <c r="A61" s="18"/>
      <c r="B61" s="2" t="s">
        <v>872</v>
      </c>
      <c r="C61" s="2"/>
      <c r="D61" s="2"/>
      <c r="E61" s="4"/>
      <c r="F61" s="4"/>
      <c r="G61" s="40" t="s">
        <v>250</v>
      </c>
      <c r="H61" s="4">
        <v>24920</v>
      </c>
      <c r="I61" s="4"/>
      <c r="J61" s="4">
        <f>+E60-H61</f>
        <v>375080</v>
      </c>
      <c r="K61" s="4"/>
    </row>
    <row r="62" spans="1:11" ht="18" customHeight="1">
      <c r="A62" s="18"/>
      <c r="B62" s="2"/>
      <c r="C62" s="2"/>
      <c r="D62" s="2"/>
      <c r="E62" s="4"/>
      <c r="F62" s="4"/>
      <c r="G62" s="40"/>
      <c r="H62" s="4"/>
      <c r="I62" s="4"/>
      <c r="J62" s="4">
        <f>J61-H62</f>
        <v>375080</v>
      </c>
      <c r="K62" s="4"/>
    </row>
    <row r="63" spans="1:11" ht="18" customHeight="1">
      <c r="A63" s="18"/>
      <c r="B63" s="2"/>
      <c r="C63" s="2"/>
      <c r="D63" s="2"/>
      <c r="E63" s="4"/>
      <c r="F63" s="4"/>
      <c r="G63" s="40"/>
      <c r="H63" s="4"/>
      <c r="I63" s="4"/>
      <c r="J63" s="4">
        <f t="shared" ref="J63:J70" si="6">J62-H63</f>
        <v>375080</v>
      </c>
      <c r="K63" s="4"/>
    </row>
    <row r="64" spans="1:11" ht="18" customHeight="1">
      <c r="A64" s="18"/>
      <c r="B64" s="2"/>
      <c r="C64" s="2"/>
      <c r="D64" s="2"/>
      <c r="E64" s="4"/>
      <c r="F64" s="4"/>
      <c r="G64" s="40"/>
      <c r="H64" s="4"/>
      <c r="I64" s="4"/>
      <c r="J64" s="4">
        <f t="shared" si="6"/>
        <v>375080</v>
      </c>
      <c r="K64" s="4"/>
    </row>
    <row r="65" spans="1:11" ht="18" customHeight="1">
      <c r="A65" s="18"/>
      <c r="B65" s="2"/>
      <c r="C65" s="2"/>
      <c r="D65" s="2"/>
      <c r="E65" s="4"/>
      <c r="F65" s="4"/>
      <c r="G65" s="40"/>
      <c r="H65" s="4"/>
      <c r="I65" s="4"/>
      <c r="J65" s="4">
        <f t="shared" si="6"/>
        <v>375080</v>
      </c>
      <c r="K65" s="4"/>
    </row>
    <row r="66" spans="1:11" ht="18" customHeight="1">
      <c r="A66" s="18"/>
      <c r="B66" s="2"/>
      <c r="C66" s="2"/>
      <c r="D66" s="2"/>
      <c r="E66" s="4"/>
      <c r="F66" s="4"/>
      <c r="G66" s="21"/>
      <c r="H66" s="4"/>
      <c r="I66" s="4"/>
      <c r="J66" s="4">
        <f t="shared" si="6"/>
        <v>375080</v>
      </c>
      <c r="K66" s="4"/>
    </row>
    <row r="67" spans="1:11" ht="18" customHeight="1">
      <c r="A67" s="18"/>
      <c r="B67" s="2"/>
      <c r="C67" s="2"/>
      <c r="D67" s="2"/>
      <c r="E67" s="4"/>
      <c r="F67" s="4"/>
      <c r="G67" s="21"/>
      <c r="H67" s="4"/>
      <c r="I67" s="4"/>
      <c r="J67" s="4">
        <f t="shared" si="6"/>
        <v>375080</v>
      </c>
      <c r="K67" s="4"/>
    </row>
    <row r="68" spans="1:11" ht="18" customHeight="1">
      <c r="A68" s="18"/>
      <c r="B68" s="2"/>
      <c r="C68" s="2"/>
      <c r="D68" s="2"/>
      <c r="E68" s="4"/>
      <c r="F68" s="4"/>
      <c r="G68" s="21"/>
      <c r="H68" s="4"/>
      <c r="I68" s="4"/>
      <c r="J68" s="4">
        <f t="shared" si="6"/>
        <v>375080</v>
      </c>
      <c r="K68" s="4"/>
    </row>
    <row r="69" spans="1:11" ht="18" customHeight="1">
      <c r="A69" s="18"/>
      <c r="B69" s="2"/>
      <c r="C69" s="2"/>
      <c r="D69" s="2"/>
      <c r="E69" s="4"/>
      <c r="F69" s="4"/>
      <c r="G69" s="21"/>
      <c r="H69" s="4"/>
      <c r="I69" s="4"/>
      <c r="J69" s="4">
        <f t="shared" si="6"/>
        <v>375080</v>
      </c>
      <c r="K69" s="4"/>
    </row>
    <row r="70" spans="1:11" ht="18" customHeight="1">
      <c r="A70" s="18"/>
      <c r="B70" s="2"/>
      <c r="C70" s="2"/>
      <c r="D70" s="2"/>
      <c r="E70" s="4"/>
      <c r="F70" s="4"/>
      <c r="G70" s="21"/>
      <c r="H70" s="4"/>
      <c r="I70" s="4"/>
      <c r="J70" s="4">
        <f t="shared" si="6"/>
        <v>375080</v>
      </c>
      <c r="K70" s="4"/>
    </row>
    <row r="71" spans="1:11" ht="18" customHeight="1">
      <c r="A71" s="18"/>
      <c r="B71" s="2"/>
      <c r="C71" s="2"/>
      <c r="D71" s="2"/>
      <c r="E71" s="4"/>
      <c r="F71" s="4"/>
      <c r="G71" s="21"/>
      <c r="H71" s="4"/>
      <c r="I71" s="4"/>
      <c r="J71" s="4"/>
      <c r="K71" s="4"/>
    </row>
    <row r="72" spans="1:11" ht="18" customHeight="1">
      <c r="A72" s="128"/>
      <c r="B72" s="56" t="s">
        <v>235</v>
      </c>
      <c r="C72" s="56"/>
      <c r="D72" s="56"/>
      <c r="E72" s="57"/>
      <c r="F72" s="57"/>
      <c r="G72" s="58"/>
      <c r="H72" s="57">
        <f>SUM(H61:H71)</f>
        <v>24920</v>
      </c>
      <c r="I72" s="57"/>
      <c r="J72" s="57"/>
      <c r="K72" s="57"/>
    </row>
    <row r="73" spans="1:11" ht="18" customHeight="1">
      <c r="A73" s="18"/>
      <c r="B73" s="2"/>
      <c r="C73" s="2"/>
      <c r="D73" s="2"/>
      <c r="E73" s="4"/>
      <c r="F73" s="4"/>
      <c r="G73" s="21"/>
      <c r="H73" s="4"/>
      <c r="I73" s="4"/>
      <c r="J73" s="4"/>
      <c r="K73" s="4"/>
    </row>
    <row r="74" spans="1:11" ht="18" customHeight="1">
      <c r="A74" s="18"/>
      <c r="B74" s="2"/>
      <c r="C74" s="2"/>
      <c r="D74" s="2"/>
      <c r="E74" s="4"/>
      <c r="F74" s="4"/>
      <c r="G74" s="21"/>
      <c r="H74" s="4"/>
      <c r="I74" s="4"/>
      <c r="J74" s="4"/>
      <c r="K74" s="4"/>
    </row>
    <row r="75" spans="1:11" ht="18" customHeight="1">
      <c r="A75" s="18"/>
      <c r="B75" s="2"/>
      <c r="C75" s="2"/>
      <c r="D75" s="2"/>
      <c r="E75" s="4"/>
      <c r="F75" s="4"/>
      <c r="G75" s="21"/>
      <c r="H75" s="4"/>
      <c r="I75" s="4"/>
      <c r="J75" s="4"/>
      <c r="K75" s="4"/>
    </row>
    <row r="76" spans="1:11" ht="18" customHeight="1">
      <c r="A76" s="18"/>
      <c r="B76" s="2"/>
      <c r="C76" s="2"/>
      <c r="D76" s="2"/>
      <c r="E76" s="4"/>
      <c r="F76" s="4"/>
      <c r="G76" s="21"/>
      <c r="H76" s="4"/>
      <c r="I76" s="4"/>
      <c r="J76" s="4"/>
      <c r="K76" s="4"/>
    </row>
    <row r="77" spans="1:11" ht="18" customHeight="1">
      <c r="A77" s="18"/>
      <c r="B77" s="2"/>
      <c r="C77" s="2"/>
      <c r="D77" s="2"/>
      <c r="E77" s="4"/>
      <c r="F77" s="4"/>
      <c r="G77" s="21"/>
      <c r="H77" s="4"/>
      <c r="I77" s="4"/>
      <c r="J77" s="4"/>
      <c r="K77" s="4"/>
    </row>
    <row r="78" spans="1:11" ht="18" customHeight="1">
      <c r="A78" s="18"/>
      <c r="B78" s="2"/>
      <c r="C78" s="2"/>
      <c r="D78" s="2"/>
      <c r="E78" s="4"/>
      <c r="F78" s="4"/>
      <c r="G78" s="21"/>
      <c r="H78" s="4"/>
      <c r="I78" s="4"/>
      <c r="J78" s="4"/>
      <c r="K78" s="4"/>
    </row>
    <row r="79" spans="1:11" ht="18" customHeight="1">
      <c r="A79" s="18"/>
      <c r="B79" s="2"/>
      <c r="C79" s="2"/>
      <c r="D79" s="2"/>
      <c r="E79" s="4"/>
      <c r="F79" s="4"/>
      <c r="G79" s="21"/>
      <c r="H79" s="4"/>
      <c r="I79" s="4"/>
      <c r="J79" s="4"/>
      <c r="K79" s="4"/>
    </row>
    <row r="80" spans="1:11" ht="18" customHeight="1">
      <c r="A80" s="18"/>
      <c r="B80" s="2"/>
      <c r="C80" s="2"/>
      <c r="D80" s="2"/>
      <c r="E80" s="4"/>
      <c r="F80" s="4"/>
      <c r="G80" s="21"/>
      <c r="H80" s="4"/>
      <c r="I80" s="4"/>
      <c r="J80" s="4"/>
      <c r="K80" s="4"/>
    </row>
    <row r="81" spans="1:11" ht="18" customHeight="1">
      <c r="A81" s="281" t="s">
        <v>0</v>
      </c>
      <c r="B81" s="282"/>
      <c r="C81" s="10"/>
      <c r="D81" s="10"/>
      <c r="E81" s="5">
        <f>SUM(E6:E80)</f>
        <v>1745000</v>
      </c>
      <c r="F81" s="5">
        <f>SUM(F6:F80)</f>
        <v>131100</v>
      </c>
      <c r="G81" s="23"/>
      <c r="H81" s="5">
        <f>SUM(H6:H80)</f>
        <v>1748735</v>
      </c>
      <c r="I81" s="5">
        <f>SUM(I6:I80)</f>
        <v>166650</v>
      </c>
      <c r="J81" s="5"/>
      <c r="K81" s="5"/>
    </row>
    <row r="82" spans="1:11" s="6" customFormat="1" ht="24.75" customHeight="1">
      <c r="A82" s="16"/>
      <c r="B82" s="1"/>
      <c r="C82" s="1"/>
      <c r="D82" s="1"/>
      <c r="E82" s="3"/>
      <c r="F82" s="3"/>
      <c r="G82" s="19"/>
      <c r="H82" s="3"/>
      <c r="I82" s="3"/>
      <c r="J82" s="3"/>
      <c r="K82" s="3"/>
    </row>
    <row r="83" spans="1:11">
      <c r="F83" s="270" t="s">
        <v>1</v>
      </c>
      <c r="G83" s="270"/>
      <c r="H83" s="270"/>
      <c r="I83" s="270"/>
      <c r="J83" s="1"/>
      <c r="K83" s="8"/>
    </row>
    <row r="86" spans="1:11">
      <c r="F86" s="271"/>
      <c r="G86" s="271"/>
      <c r="H86" s="271"/>
      <c r="I86" s="271"/>
      <c r="J86" s="1"/>
      <c r="K86" s="1"/>
    </row>
  </sheetData>
  <mergeCells count="14">
    <mergeCell ref="A1:K1"/>
    <mergeCell ref="A2:K2"/>
    <mergeCell ref="A4:A5"/>
    <mergeCell ref="B4:B5"/>
    <mergeCell ref="C4:C5"/>
    <mergeCell ref="D4:D5"/>
    <mergeCell ref="E4:F4"/>
    <mergeCell ref="G4:I4"/>
    <mergeCell ref="J4:K4"/>
    <mergeCell ref="A10:B10"/>
    <mergeCell ref="A21:B21"/>
    <mergeCell ref="A81:B81"/>
    <mergeCell ref="F83:I83"/>
    <mergeCell ref="F86:I86"/>
  </mergeCells>
  <pageMargins left="0.28999999999999998" right="0.28999999999999998" top="0.32" bottom="0.27" header="0.23" footer="0.2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THEO DÕI NVL ĐANG LẤY HÀNG </vt:lpstr>
      <vt:lpstr>TH</vt:lpstr>
      <vt:lpstr>Tân Long</vt:lpstr>
      <vt:lpstr>Khai Minh</vt:lpstr>
      <vt:lpstr>Tùng Lâm</vt:lpstr>
      <vt:lpstr>TMBN</vt:lpstr>
      <vt:lpstr>Hưng Gia Nam</vt:lpstr>
      <vt:lpstr>HÀ Thị</vt:lpstr>
      <vt:lpstr>Tedeco- Agrimax</vt:lpstr>
      <vt:lpstr>AP</vt:lpstr>
      <vt:lpstr>Agrimex</vt:lpstr>
      <vt:lpstr>Phuc hưng</vt:lpstr>
      <vt:lpstr>TMBN GIA CÔNG</vt:lpstr>
      <vt:lpstr>HUNG GIA NAM GIA CÔNG</vt:lpstr>
      <vt:lpstr>Minh Việt</vt:lpstr>
      <vt:lpstr>Nhất Thành</vt:lpstr>
      <vt:lpstr>Văn Sơn</vt:lpstr>
      <vt:lpstr>Việt Nam Ấn Độ</vt:lpstr>
      <vt:lpstr>Vi l­îng AVCO</vt:lpstr>
      <vt:lpstr>CKVN</vt:lpstr>
      <vt:lpstr>Mennon</vt:lpstr>
      <vt:lpstr>Nguyễn Danh Sơn </vt:lpstr>
      <vt:lpstr>Tân Quang Minh</vt:lpstr>
      <vt:lpstr>Minh ĐAn</vt:lpstr>
      <vt:lpstr>Hoàng Minh</vt:lpstr>
      <vt:lpstr>Minh Hiền</vt:lpstr>
      <vt:lpstr>Hợp Lực</vt:lpstr>
      <vt:lpstr>Quang Dũng </vt:lpstr>
      <vt:lpstr>Thuận AN</vt:lpstr>
      <vt:lpstr>Intermax</vt:lpstr>
      <vt:lpstr>Japa</vt:lpstr>
      <vt:lpstr>DUOC THU Y GIA CÔNG</vt:lpstr>
      <vt:lpstr>DƯỢC THÚ Ý</vt:lpstr>
      <vt:lpstr>Nông lâm Tâm Phát</vt:lpstr>
      <vt:lpstr>Khang Đạt</vt:lpstr>
      <vt:lpstr>Bảo Lâm</vt:lpstr>
      <vt:lpstr>An Dương</vt:lpstr>
      <vt:lpstr>AFT</vt:lpstr>
      <vt:lpstr>Tâm Phát</vt:lpstr>
      <vt:lpstr>Nguyễn Xuân Hiền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2021-12-20T08:09:43Z</dcterms:modified>
</cp:coreProperties>
</file>