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ria" sheetId="1" r:id="rId4"/>
  </sheets>
  <definedNames/>
  <calcPr/>
</workbook>
</file>

<file path=xl/sharedStrings.xml><?xml version="1.0" encoding="utf-8"?>
<sst xmlns="http://schemas.openxmlformats.org/spreadsheetml/2006/main" count="1135" uniqueCount="289">
  <si>
    <t>Dataset: National Monitoring</t>
  </si>
  <si>
    <t>Indicator</t>
  </si>
  <si>
    <t>Enrolment in primary education, both sexes (number)</t>
  </si>
  <si>
    <t>Time</t>
  </si>
  <si>
    <t>Country</t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</si>
  <si>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</si>
  <si>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</si>
  <si>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</si>
  <si>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</si>
  <si>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</si>
  <si>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</si>
  <si>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</si>
  <si>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</si>
  <si>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</si>
  <si>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</si>
  <si>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</si>
  <si>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</si>
  <si>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</si>
  <si>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</si>
  <si>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</si>
  <si>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</si>
  <si>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</si>
  <si>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</si>
  <si>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</si>
  <si>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</si>
  <si>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</si>
  <si>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</si>
  <si>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</si>
  <si>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</si>
  <si>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</si>
  <si>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</si>
  <si>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</si>
  <si>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</si>
  <si>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</si>
  <si>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</si>
  <si>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</si>
  <si>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</si>
  <si>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</si>
  <si>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</si>
  <si>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</si>
  <si>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</si>
  <si>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</si>
  <si>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</si>
  <si>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</si>
  <si>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</si>
  <si>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</si>
  <si>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</si>
  <si>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</si>
  <si>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</si>
  <si>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</si>
  <si>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</si>
  <si>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</si>
  <si>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</si>
  <si>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</si>
  <si>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</si>
  <si>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</si>
  <si>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</si>
  <si>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</si>
  <si>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</si>
  <si>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</si>
  <si>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</si>
  <si>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</si>
  <si>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</si>
  <si>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</si>
  <si>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</si>
  <si>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</si>
  <si>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</si>
  <si>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</si>
  <si>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</si>
  <si>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</si>
  <si>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</si>
  <si>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</si>
  <si>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</si>
  <si>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</si>
  <si>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</si>
  <si>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</si>
  <si>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</si>
  <si>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</si>
  <si>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</si>
  <si>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</si>
  <si>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</si>
  <si>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</si>
  <si>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</si>
  <si>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</si>
  <si>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</si>
  <si>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</si>
  <si>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</si>
  <si>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</si>
  <si>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</si>
  <si>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</si>
  <si>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</si>
  <si>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</si>
  <si>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</si>
  <si>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</si>
  <si>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</si>
  <si>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</si>
  <si>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</si>
  <si>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</si>
  <si>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</si>
  <si>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</si>
  <si>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</si>
  <si>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</si>
  <si>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</si>
  <si>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</si>
  <si>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</si>
  <si>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</si>
  <si>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</si>
  <si>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</si>
  <si>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</si>
  <si>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</si>
  <si>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</si>
  <si>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</si>
  <si>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</si>
  <si>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</si>
  <si>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</si>
  <si>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</si>
  <si>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</si>
  <si>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</si>
  <si>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</si>
  <si>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</si>
  <si>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</si>
  <si>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</si>
  <si>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</si>
  <si>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</si>
  <si>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</si>
  <si>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</si>
  <si>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</si>
  <si>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</si>
  <si>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</si>
  <si>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</si>
  <si>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</si>
  <si>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</si>
  <si>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</si>
  <si>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</si>
  <si>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</si>
  <si>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</si>
  <si>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</si>
  <si>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</si>
  <si>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</si>
  <si>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</si>
  <si>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</si>
  <si>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</si>
  <si>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</si>
  <si>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</si>
  <si>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</si>
  <si>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</si>
  <si>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</si>
  <si>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</si>
  <si>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</si>
  <si>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</si>
  <si>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</si>
  <si>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</si>
  <si>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</si>
  <si>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</si>
  <si>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</si>
  <si>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</si>
  <si>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</si>
  <si>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</si>
  <si>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</si>
  <si>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</si>
  <si>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</si>
  <si>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</si>
  <si>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</si>
  <si>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</si>
  <si>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</si>
  <si>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</si>
  <si>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</si>
  <si>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</si>
  <si>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</si>
  <si>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</si>
  <si>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</si>
  <si>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</si>
  <si>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</si>
  <si>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</si>
  <si>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</si>
  <si>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</si>
  <si>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</si>
  <si>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</si>
  <si>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</si>
  <si>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</si>
  <si>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</si>
  <si>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</si>
  <si>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</si>
  <si>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</si>
  <si>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</si>
  <si>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</si>
  <si>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</si>
  <si>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</si>
  <si>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</si>
  <si>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</si>
  <si>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</si>
  <si>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</si>
  <si>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</si>
  <si>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</si>
  <si>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</si>
  <si>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</si>
  <si>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</si>
  <si>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</si>
  <si>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</si>
  <si>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</si>
  <si>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</si>
  <si>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</si>
  <si>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</si>
  <si>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</si>
  <si>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</si>
  <si>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</si>
  <si>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</si>
  <si>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</si>
  <si>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</si>
  <si>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</si>
  <si>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</si>
  <si>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</si>
  <si>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</si>
  <si>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</si>
  <si>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</si>
  <si>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</si>
  <si>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</si>
  <si>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</si>
  <si>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</si>
  <si>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</si>
  <si>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</si>
  <si>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</si>
  <si>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</si>
  <si>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</si>
  <si>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</si>
  <si>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</si>
  <si>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</si>
  <si>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</si>
  <si>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</si>
  <si>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</si>
  <si>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</si>
  <si>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</si>
  <si>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</si>
  <si>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</si>
  <si>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</si>
  <si>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</si>
  <si>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</si>
  <si>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</si>
  <si>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</si>
  <si>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</si>
  <si>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</si>
  <si>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</si>
  <si>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</si>
  <si>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</si>
  <si>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</si>
  <si>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</si>
  <si>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</si>
  <si>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</si>
  <si>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>World</t>
  </si>
  <si>
    <t>Landlocked Developing Countries</t>
  </si>
  <si>
    <t>Least Developed Countries</t>
  </si>
  <si>
    <t>Small Island Developing States</t>
  </si>
  <si>
    <t>Africa (Sub-Saharan)</t>
  </si>
  <si>
    <t>Western Asia and Northern Africa</t>
  </si>
  <si>
    <t>Africa (Northern)</t>
  </si>
  <si>
    <t>Asia (Western)</t>
  </si>
  <si>
    <t>Asia (Central and Southern)</t>
  </si>
  <si>
    <t>Asia (Central)</t>
  </si>
  <si>
    <t>Asia (Southern)</t>
  </si>
  <si>
    <t>Asia (Eastern and South-eastern)</t>
  </si>
  <si>
    <t>Asia (Eastern)</t>
  </si>
  <si>
    <t>Asia (South-eastern)</t>
  </si>
  <si>
    <t>Latin America and the Caribbean</t>
  </si>
  <si>
    <t>Oceania</t>
  </si>
  <si>
    <t>Oceania (Australia/New Zealand)</t>
  </si>
  <si>
    <t>Oceania (excl. Australia/New Zealand)</t>
  </si>
  <si>
    <t>Northern America and Europe</t>
  </si>
  <si>
    <t>Europe</t>
  </si>
  <si>
    <t>Northern America</t>
  </si>
  <si>
    <t>UIS Regions</t>
  </si>
  <si>
    <t>Arab States</t>
  </si>
  <si>
    <t>Central and Eastern Europe</t>
  </si>
  <si>
    <t>Central Asia</t>
  </si>
  <si>
    <t>East Asia and the Pacific</t>
  </si>
  <si>
    <t>North America and Western Europe</t>
  </si>
  <si>
    <t>South and West Asia</t>
  </si>
  <si>
    <t>Sub-Saharan Africa</t>
  </si>
  <si>
    <t>World Bank Income Groups</t>
  </si>
  <si>
    <t>Low income countries</t>
  </si>
  <si>
    <t>Lower middle income countries</t>
  </si>
  <si>
    <t>Middle income countries</t>
  </si>
  <si>
    <t>Upper middle income countries</t>
  </si>
  <si>
    <t>High income countries</t>
  </si>
  <si>
    <t>Data extracted on 28 Nov 2020 22:39 UTC (GMT) from UIS.Stat</t>
  </si>
  <si>
    <t>Legend: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</si>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</sst>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u/>
      <sz val="9.0"/>
      <color rgb="FF000080"/>
      <name val="Verdana"/>
    </font>
    <font>
      <b/>
      <u/>
      <sz val="9.0"/>
      <color rgb="FF000080"/>
      <name val="Verdana"/>
    </font>
    <font>
      <color theme="1"/>
      <name val="Arial"/>
    </font>
    <font>
      <b/>
      <sz val="8.0"/>
      <color rgb="FFFFFFFF"/>
      <name val="Verdana"/>
    </font>
    <font/>
    <font>
      <u/>
      <sz val="8.0"/>
      <color rgb="FFFFFFFF"/>
      <name val="Verdana"/>
    </font>
    <font>
      <sz val="8.0"/>
      <color rgb="FFFFFFFF"/>
      <name val="Verdana"/>
    </font>
    <font>
      <b/>
      <sz val="8.0"/>
      <name val="Verdana"/>
    </font>
    <font>
      <b/>
      <sz val="8.0"/>
      <color theme="1"/>
      <name val="Verdana"/>
    </font>
    <font>
      <b/>
      <sz val="9.0"/>
      <color rgb="FFFF0000"/>
      <name val="Arial"/>
    </font>
    <font>
      <sz val="8.0"/>
      <name val="Verdana"/>
    </font>
    <font>
      <sz val="8.0"/>
      <color theme="1"/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sz val="8.0"/>
      <color theme="1"/>
      <name val="Verdana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9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/>
      <bottom style="thin">
        <color rgb="FFC0C0C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ill="1" applyFont="1">
      <alignment horizontal="right" vertical="top"/>
    </xf>
    <xf borderId="4" fillId="2" fontId="4" numFmtId="0" xfId="0" applyAlignment="1" applyBorder="1" applyFont="1">
      <alignment horizontal="right" readingOrder="0" vertical="top"/>
    </xf>
    <xf borderId="5" fillId="0" fontId="5" numFmtId="0" xfId="0" applyBorder="1" applyFont="1"/>
    <xf borderId="6" fillId="2" fontId="6" numFmtId="0" xfId="0" applyAlignment="1" applyBorder="1" applyFont="1">
      <alignment readingOrder="0" vertical="top"/>
    </xf>
    <xf borderId="6" fillId="0" fontId="5" numFmtId="0" xfId="0" applyBorder="1" applyFont="1"/>
    <xf borderId="3" fillId="3" fontId="4" numFmtId="0" xfId="0" applyAlignment="1" applyBorder="1" applyFill="1" applyFont="1">
      <alignment horizontal="right" vertical="bottom"/>
    </xf>
    <xf borderId="4" fillId="3" fontId="4" numFmtId="0" xfId="0" applyAlignment="1" applyBorder="1" applyFont="1">
      <alignment horizontal="right" readingOrder="0"/>
    </xf>
    <xf borderId="7" fillId="3" fontId="7" numFmtId="0" xfId="0" applyAlignment="1" applyBorder="1" applyFont="1">
      <alignment horizontal="center" readingOrder="0" vertical="top"/>
    </xf>
    <xf borderId="3" fillId="4" fontId="8" numFmtId="0" xfId="0" applyAlignment="1" applyBorder="1" applyFill="1" applyFont="1">
      <alignment vertical="bottom"/>
    </xf>
    <xf borderId="3" fillId="4" fontId="9" numFmtId="0" xfId="0" applyAlignment="1" applyBorder="1" applyFont="1">
      <alignment readingOrder="0" vertical="bottom"/>
    </xf>
    <xf borderId="7" fillId="5" fontId="10" numFmtId="0" xfId="0" applyAlignment="1" applyBorder="1" applyFill="1" applyFont="1">
      <alignment horizontal="center" shrinkToFit="0" vertical="bottom" wrapText="0"/>
    </xf>
    <xf borderId="3" fillId="4" fontId="11" numFmtId="0" xfId="0" applyAlignment="1" applyBorder="1" applyFont="1">
      <alignment vertical="top"/>
    </xf>
    <xf borderId="7" fillId="0" fontId="12" numFmtId="0" xfId="0" applyAlignment="1" applyBorder="1" applyFont="1">
      <alignment horizontal="right" readingOrder="0" shrinkToFit="0" vertical="bottom" wrapText="0"/>
    </xf>
    <xf borderId="7" fillId="6" fontId="12" numFmtId="0" xfId="0" applyAlignment="1" applyBorder="1" applyFill="1" applyFont="1">
      <alignment horizontal="right" readingOrder="0" shrinkToFit="0" vertical="bottom" wrapText="0"/>
    </xf>
    <xf borderId="8" fillId="4" fontId="11" numFmtId="0" xfId="0" applyAlignment="1" applyBorder="1" applyFont="1">
      <alignment shrinkToFit="0" vertical="top" wrapText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vertical="bottom"/>
    </xf>
    <xf borderId="0" fillId="0" fontId="15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is.unesco.org/OECDStat_Metadata/ShowMetadata.ashx?Dataset=NATMON_DS&amp;ShowOnWeb=true&amp;Lang=en" TargetMode="External"/><Relationship Id="rId2" Type="http://schemas.openxmlformats.org/officeDocument/2006/relationships/hyperlink" Target="http://data.uis.unesco.org/OECDStat_Metadata/ShowMetadata.ashx?Dataset=NATMON_DS&amp;Coords=%5bNATMON_IND%5d.%5b20062%5d&amp;ShowOnWeb=true&amp;Lang=en" TargetMode="External"/><Relationship Id="rId3" Type="http://schemas.openxmlformats.org/officeDocument/2006/relationships/hyperlink" Target="http://data.uis.unesco.org/" TargetMode="External"/><Relationship Id="rId4" Type="http://schemas.openxmlformats.org/officeDocument/2006/relationships/hyperlink" Target="http://data.uis.unesco.org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4" t="s">
        <v>1</v>
      </c>
      <c r="B2" s="5" t="s">
        <v>1</v>
      </c>
      <c r="C2" s="6"/>
      <c r="D2" s="7" t="s">
        <v>2</v>
      </c>
      <c r="E2" s="8"/>
      <c r="F2" s="8"/>
      <c r="G2" s="8"/>
      <c r="H2" s="8"/>
      <c r="I2" s="8"/>
      <c r="J2" s="6"/>
    </row>
    <row r="3">
      <c r="A3" s="9" t="s">
        <v>3</v>
      </c>
      <c r="B3" s="10" t="s">
        <v>3</v>
      </c>
      <c r="C3" s="6"/>
      <c r="D3" s="11">
        <v>2014.0</v>
      </c>
      <c r="E3" s="11">
        <v>2015.0</v>
      </c>
      <c r="F3" s="11">
        <v>2016.0</v>
      </c>
      <c r="G3" s="11">
        <v>2017.0</v>
      </c>
      <c r="H3" s="11">
        <v>2018.0</v>
      </c>
      <c r="I3" s="11">
        <v>2019.0</v>
      </c>
      <c r="J3" s="11">
        <v>2020.0</v>
      </c>
    </row>
    <row r="4">
      <c r="A4" s="12" t="s">
        <v>4</v>
      </c>
      <c r="B4" s="13" t="str">
        <f>IFERROR(__xludf.DUMMYFUNCTION("GOOGLETRANSLATE(A4,""en"",""es"")"),"País")</f>
        <v>País</v>
      </c>
      <c r="C4" s="14"/>
      <c r="D4" s="14"/>
      <c r="E4" s="14"/>
      <c r="F4" s="14"/>
      <c r="G4" s="14"/>
      <c r="H4" s="14"/>
      <c r="I4" s="14"/>
      <c r="J4" s="14"/>
    </row>
    <row r="5">
      <c r="A5" s="15" t="s">
        <v>5</v>
      </c>
      <c r="B5" s="13" t="str">
        <f>IFERROR(__xludf.DUMMYFUNCTION("GOOGLETRANSLATE(A5,""en"",""es"")"),"Afganistán")</f>
        <v>Afganistán</v>
      </c>
      <c r="C5" s="14"/>
      <c r="D5" s="16">
        <v>6217756.0</v>
      </c>
      <c r="E5" s="16">
        <v>6199329.0</v>
      </c>
      <c r="F5" s="16">
        <v>6265011.0</v>
      </c>
      <c r="G5" s="16">
        <v>6350404.0</v>
      </c>
      <c r="H5" s="16">
        <v>6544906.0</v>
      </c>
      <c r="I5" s="16" t="s">
        <v>6</v>
      </c>
      <c r="J5" s="16" t="s">
        <v>6</v>
      </c>
    </row>
    <row r="6">
      <c r="A6" s="15" t="s">
        <v>7</v>
      </c>
      <c r="B6" s="13" t="str">
        <f>IFERROR(__xludf.DUMMYFUNCTION("GOOGLETRANSLATE(A6,""en"",""es"")"),"Islas Aland")</f>
        <v>Islas Aland</v>
      </c>
      <c r="C6" s="14"/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</row>
    <row r="7">
      <c r="A7" s="15" t="s">
        <v>8</v>
      </c>
      <c r="B7" s="13" t="str">
        <f>IFERROR(__xludf.DUMMYFUNCTION("GOOGLETRANSLATE(A7,""en"",""es"")"),"Albania")</f>
        <v>Albania</v>
      </c>
      <c r="C7" s="14"/>
      <c r="D7" s="16">
        <v>195720.0</v>
      </c>
      <c r="E7" s="16">
        <v>188371.0</v>
      </c>
      <c r="F7" s="16">
        <v>179564.0</v>
      </c>
      <c r="G7" s="16">
        <v>174836.0</v>
      </c>
      <c r="H7" s="16">
        <v>170861.0</v>
      </c>
      <c r="I7" s="16">
        <v>167104.0</v>
      </c>
      <c r="J7" s="16" t="s">
        <v>6</v>
      </c>
    </row>
    <row r="8">
      <c r="A8" s="15" t="s">
        <v>9</v>
      </c>
      <c r="B8" s="13" t="str">
        <f>IFERROR(__xludf.DUMMYFUNCTION("GOOGLETRANSLATE(A8,""en"",""es"")"),"Argelia")</f>
        <v>Argelia</v>
      </c>
      <c r="C8" s="14"/>
      <c r="D8" s="17">
        <v>3765307.0</v>
      </c>
      <c r="E8" s="17">
        <v>3925429.0</v>
      </c>
      <c r="F8" s="17">
        <v>4118362.0</v>
      </c>
      <c r="G8" s="17">
        <v>4283207.0</v>
      </c>
      <c r="H8" s="17">
        <v>4429994.0</v>
      </c>
      <c r="I8" s="17">
        <v>4516571.0</v>
      </c>
      <c r="J8" s="17" t="s">
        <v>6</v>
      </c>
    </row>
    <row r="9">
      <c r="A9" s="15" t="s">
        <v>10</v>
      </c>
      <c r="B9" s="13" t="str">
        <f>IFERROR(__xludf.DUMMYFUNCTION("GOOGLETRANSLATE(A9,""en"",""es"")"),"Samoa Americana")</f>
        <v>Samoa Americana</v>
      </c>
      <c r="C9" s="14"/>
      <c r="D9" s="16" t="s">
        <v>6</v>
      </c>
      <c r="E9" s="16" t="s">
        <v>6</v>
      </c>
      <c r="F9" s="16" t="s">
        <v>6</v>
      </c>
      <c r="G9" s="16" t="s">
        <v>6</v>
      </c>
      <c r="H9" s="16" t="s">
        <v>6</v>
      </c>
      <c r="I9" s="16" t="s">
        <v>6</v>
      </c>
      <c r="J9" s="16" t="s">
        <v>6</v>
      </c>
    </row>
    <row r="10">
      <c r="A10" s="15" t="s">
        <v>11</v>
      </c>
      <c r="B10" s="13" t="str">
        <f>IFERROR(__xludf.DUMMYFUNCTION("GOOGLETRANSLATE(A10,""en"",""es"")"),"Andorra")</f>
        <v>Andorra</v>
      </c>
      <c r="C10" s="14"/>
      <c r="D10" s="17">
        <v>4065.0</v>
      </c>
      <c r="E10" s="17">
        <v>4164.0</v>
      </c>
      <c r="F10" s="17">
        <v>4248.0</v>
      </c>
      <c r="G10" s="17">
        <v>4263.0</v>
      </c>
      <c r="H10" s="17">
        <v>4325.0</v>
      </c>
      <c r="I10" s="17">
        <v>4322.0</v>
      </c>
      <c r="J10" s="17" t="s">
        <v>6</v>
      </c>
    </row>
    <row r="11">
      <c r="A11" s="15" t="s">
        <v>12</v>
      </c>
      <c r="B11" s="13" t="str">
        <f>IFERROR(__xludf.DUMMYFUNCTION("GOOGLETRANSLATE(A11,""en"",""es"")"),"Angola")</f>
        <v>Angola</v>
      </c>
      <c r="C11" s="14"/>
      <c r="D11" s="16" t="s">
        <v>6</v>
      </c>
      <c r="E11" s="16">
        <v>5620915.0</v>
      </c>
      <c r="F11" s="16" t="s">
        <v>6</v>
      </c>
      <c r="G11" s="16" t="s">
        <v>6</v>
      </c>
      <c r="H11" s="16" t="s">
        <v>6</v>
      </c>
      <c r="I11" s="16" t="s">
        <v>6</v>
      </c>
      <c r="J11" s="16" t="s">
        <v>6</v>
      </c>
    </row>
    <row r="12">
      <c r="A12" s="15" t="s">
        <v>13</v>
      </c>
      <c r="B12" s="13" t="str">
        <f>IFERROR(__xludf.DUMMYFUNCTION("GOOGLETRANSLATE(A12,""en"",""es"")"),"Anguilla")</f>
        <v>Anguilla</v>
      </c>
      <c r="C12" s="14"/>
      <c r="D12" s="17" t="s">
        <v>6</v>
      </c>
      <c r="E12" s="17" t="s">
        <v>6</v>
      </c>
      <c r="F12" s="17" t="s">
        <v>6</v>
      </c>
      <c r="G12" s="17" t="s">
        <v>6</v>
      </c>
      <c r="H12" s="17" t="s">
        <v>6</v>
      </c>
      <c r="I12" s="17">
        <v>1512.0</v>
      </c>
      <c r="J12" s="17" t="s">
        <v>6</v>
      </c>
    </row>
    <row r="13">
      <c r="A13" s="18" t="s">
        <v>14</v>
      </c>
      <c r="B13" s="13" t="str">
        <f>IFERROR(__xludf.DUMMYFUNCTION("GOOGLETRANSLATE(A13,""en"",""es"")"),"Antigua y Barbuda")</f>
        <v>Antigua y Barbuda</v>
      </c>
      <c r="C13" s="14"/>
      <c r="D13" s="16">
        <v>10172.0</v>
      </c>
      <c r="E13" s="16">
        <v>10077.0</v>
      </c>
      <c r="F13" s="16" t="s">
        <v>6</v>
      </c>
      <c r="G13" s="16">
        <v>9946.0</v>
      </c>
      <c r="H13" s="16">
        <v>10123.0</v>
      </c>
      <c r="I13" s="16" t="s">
        <v>6</v>
      </c>
      <c r="J13" s="16" t="s">
        <v>6</v>
      </c>
    </row>
    <row r="14">
      <c r="A14" s="15" t="s">
        <v>15</v>
      </c>
      <c r="B14" s="13" t="str">
        <f>IFERROR(__xludf.DUMMYFUNCTION("GOOGLETRANSLATE(A14,""en"",""es"")"),"Argentina")</f>
        <v>Argentina</v>
      </c>
      <c r="C14" s="14"/>
      <c r="D14" s="17">
        <v>4780105.0</v>
      </c>
      <c r="E14" s="17">
        <v>4784446.0</v>
      </c>
      <c r="F14" s="17">
        <v>4775782.0</v>
      </c>
      <c r="G14" s="17">
        <v>4753843.0</v>
      </c>
      <c r="H14" s="17" t="s">
        <v>6</v>
      </c>
      <c r="I14" s="17" t="s">
        <v>6</v>
      </c>
      <c r="J14" s="17" t="s">
        <v>6</v>
      </c>
    </row>
    <row r="15">
      <c r="A15" s="15" t="s">
        <v>16</v>
      </c>
      <c r="B15" s="13" t="str">
        <f>IFERROR(__xludf.DUMMYFUNCTION("GOOGLETRANSLATE(A15,""en"",""es"")"),"Armenia")</f>
        <v>Armenia</v>
      </c>
      <c r="C15" s="14"/>
      <c r="D15" s="16">
        <v>142517.0</v>
      </c>
      <c r="E15" s="16">
        <v>144549.0</v>
      </c>
      <c r="F15" s="16">
        <v>148481.0</v>
      </c>
      <c r="G15" s="16">
        <v>152134.0</v>
      </c>
      <c r="H15" s="16">
        <v>153415.0</v>
      </c>
      <c r="I15" s="16">
        <v>154409.0</v>
      </c>
      <c r="J15" s="16" t="s">
        <v>6</v>
      </c>
    </row>
    <row r="16">
      <c r="A16" s="15" t="s">
        <v>17</v>
      </c>
      <c r="B16" s="13" t="str">
        <f>IFERROR(__xludf.DUMMYFUNCTION("GOOGLETRANSLATE(A16,""en"",""es"")"),"Aruba")</f>
        <v>Aruba</v>
      </c>
      <c r="C16" s="14"/>
      <c r="D16" s="17">
        <v>9816.0</v>
      </c>
      <c r="E16" s="17" t="s">
        <v>6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</row>
    <row r="17">
      <c r="A17" s="15" t="s">
        <v>18</v>
      </c>
      <c r="B17" s="13" t="str">
        <f>IFERROR(__xludf.DUMMYFUNCTION("GOOGLETRANSLATE(A17,""en"",""es"")"),"Australia")</f>
        <v>Australia</v>
      </c>
      <c r="C17" s="14"/>
      <c r="D17" s="16">
        <v>2168531.0</v>
      </c>
      <c r="E17" s="16">
        <v>2140571.0</v>
      </c>
      <c r="F17" s="16">
        <v>2179689.0</v>
      </c>
      <c r="G17" s="16">
        <v>2216779.0</v>
      </c>
      <c r="H17" s="16">
        <v>2247875.0</v>
      </c>
      <c r="I17" s="16" t="s">
        <v>6</v>
      </c>
      <c r="J17" s="16" t="s">
        <v>6</v>
      </c>
    </row>
    <row r="18">
      <c r="A18" s="15" t="s">
        <v>19</v>
      </c>
      <c r="B18" s="13" t="str">
        <f>IFERROR(__xludf.DUMMYFUNCTION("GOOGLETRANSLATE(A18,""en"",""es"")"),"Austria")</f>
        <v>Austria</v>
      </c>
      <c r="C18" s="14"/>
      <c r="D18" s="17">
        <v>327246.8333</v>
      </c>
      <c r="E18" s="17">
        <v>327816.8333</v>
      </c>
      <c r="F18" s="17">
        <v>329031.5</v>
      </c>
      <c r="G18" s="17">
        <v>334933.1667</v>
      </c>
      <c r="H18" s="17">
        <v>339021.8333</v>
      </c>
      <c r="I18" s="17" t="s">
        <v>6</v>
      </c>
      <c r="J18" s="17" t="s">
        <v>6</v>
      </c>
    </row>
    <row r="19">
      <c r="A19" s="15" t="s">
        <v>20</v>
      </c>
      <c r="B19" s="13" t="str">
        <f>IFERROR(__xludf.DUMMYFUNCTION("GOOGLETRANSLATE(A19,""en"",""es"")"),"Azerbaiyán")</f>
        <v>Azerbaiyán</v>
      </c>
      <c r="C19" s="14"/>
      <c r="D19" s="16">
        <v>517708.0</v>
      </c>
      <c r="E19" s="16">
        <v>551118.0</v>
      </c>
      <c r="F19" s="16">
        <v>580980.0</v>
      </c>
      <c r="G19" s="16">
        <v>607391.0</v>
      </c>
      <c r="H19" s="16">
        <v>635153.0</v>
      </c>
      <c r="I19" s="16">
        <v>645392.0</v>
      </c>
      <c r="J19" s="16" t="s">
        <v>6</v>
      </c>
    </row>
    <row r="20">
      <c r="A20" s="15" t="s">
        <v>21</v>
      </c>
      <c r="B20" s="13" t="str">
        <f>IFERROR(__xludf.DUMMYFUNCTION("GOOGLETRANSLATE(A20,""en"",""es"")"),"Bahamas")</f>
        <v>Bahamas</v>
      </c>
      <c r="C20" s="14"/>
      <c r="D20" s="17">
        <v>31705.0</v>
      </c>
      <c r="E20" s="17">
        <v>32719.0</v>
      </c>
      <c r="F20" s="17">
        <v>30655.0</v>
      </c>
      <c r="G20" s="17" t="s">
        <v>6</v>
      </c>
      <c r="H20" s="17">
        <v>29504.0</v>
      </c>
      <c r="I20" s="17" t="s">
        <v>6</v>
      </c>
      <c r="J20" s="17" t="s">
        <v>6</v>
      </c>
    </row>
    <row r="21">
      <c r="A21" s="15" t="s">
        <v>22</v>
      </c>
      <c r="B21" s="13" t="str">
        <f>IFERROR(__xludf.DUMMYFUNCTION("GOOGLETRANSLATE(A21,""en"",""es"")"),"Bahrein")</f>
        <v>Bahrein</v>
      </c>
      <c r="C21" s="14"/>
      <c r="D21" s="16">
        <v>103806.0</v>
      </c>
      <c r="E21" s="16">
        <v>108154.0</v>
      </c>
      <c r="F21" s="16">
        <v>112179.0</v>
      </c>
      <c r="G21" s="16">
        <v>113470.0</v>
      </c>
      <c r="H21" s="16">
        <v>113878.0</v>
      </c>
      <c r="I21" s="16">
        <v>115819.0</v>
      </c>
      <c r="J21" s="16" t="s">
        <v>6</v>
      </c>
    </row>
    <row r="22">
      <c r="A22" s="15" t="s">
        <v>23</v>
      </c>
      <c r="B22" s="13" t="str">
        <f>IFERROR(__xludf.DUMMYFUNCTION("GOOGLETRANSLATE(A22,""en"",""es"")"),"Bangladesh")</f>
        <v>Bangladesh</v>
      </c>
      <c r="C22" s="14"/>
      <c r="D22" s="17" t="s">
        <v>6</v>
      </c>
      <c r="E22" s="17" t="s">
        <v>6</v>
      </c>
      <c r="F22" s="17" t="s">
        <v>6</v>
      </c>
      <c r="G22" s="17">
        <v>1.725135E7</v>
      </c>
      <c r="H22" s="17">
        <v>1.73381E7</v>
      </c>
      <c r="I22" s="17" t="s">
        <v>6</v>
      </c>
      <c r="J22" s="17" t="s">
        <v>6</v>
      </c>
    </row>
    <row r="23">
      <c r="A23" s="15" t="s">
        <v>24</v>
      </c>
      <c r="B23" s="13" t="str">
        <f>IFERROR(__xludf.DUMMYFUNCTION("GOOGLETRANSLATE(A23,""en"",""es"")"),"Barbados")</f>
        <v>Barbados</v>
      </c>
      <c r="C23" s="14"/>
      <c r="D23" s="16">
        <v>21171.0</v>
      </c>
      <c r="E23" s="16">
        <v>20909.0</v>
      </c>
      <c r="F23" s="16">
        <v>20731.0</v>
      </c>
      <c r="G23" s="16">
        <v>20384.0</v>
      </c>
      <c r="H23" s="16">
        <v>20218.0</v>
      </c>
      <c r="I23" s="16">
        <v>19895.0</v>
      </c>
      <c r="J23" s="16" t="s">
        <v>6</v>
      </c>
    </row>
    <row r="24">
      <c r="A24" s="15" t="s">
        <v>25</v>
      </c>
      <c r="B24" s="13" t="str">
        <f>IFERROR(__xludf.DUMMYFUNCTION("GOOGLETRANSLATE(A24,""en"",""es"")"),"Bielorrusia")</f>
        <v>Bielorrusia</v>
      </c>
      <c r="C24" s="14"/>
      <c r="D24" s="17">
        <v>368783.0</v>
      </c>
      <c r="E24" s="17">
        <v>387051.0</v>
      </c>
      <c r="F24" s="17">
        <v>410487.0</v>
      </c>
      <c r="G24" s="17">
        <v>423001.0</v>
      </c>
      <c r="H24" s="17">
        <v>427752.0</v>
      </c>
      <c r="I24" s="17" t="s">
        <v>6</v>
      </c>
      <c r="J24" s="17" t="s">
        <v>6</v>
      </c>
    </row>
    <row r="25">
      <c r="A25" s="15" t="s">
        <v>26</v>
      </c>
      <c r="B25" s="13" t="str">
        <f>IFERROR(__xludf.DUMMYFUNCTION("GOOGLETRANSLATE(A25,""en"",""es"")"),"Bélgica")</f>
        <v>Bélgica</v>
      </c>
      <c r="C25" s="14"/>
      <c r="D25" s="16">
        <v>773568.0</v>
      </c>
      <c r="E25" s="16">
        <v>782606.0</v>
      </c>
      <c r="F25" s="16">
        <v>797390.0</v>
      </c>
      <c r="G25" s="16">
        <v>814974.0</v>
      </c>
      <c r="H25" s="16">
        <v>821236.0</v>
      </c>
      <c r="I25" s="16" t="s">
        <v>6</v>
      </c>
      <c r="J25" s="16" t="s">
        <v>6</v>
      </c>
    </row>
    <row r="26">
      <c r="A26" s="15" t="s">
        <v>27</v>
      </c>
      <c r="B26" s="13" t="str">
        <f>IFERROR(__xludf.DUMMYFUNCTION("GOOGLETRANSLATE(A26,""en"",""es"")"),"Belice")</f>
        <v>Belice</v>
      </c>
      <c r="C26" s="14"/>
      <c r="D26" s="17">
        <v>51978.0</v>
      </c>
      <c r="E26" s="17">
        <v>52072.0</v>
      </c>
      <c r="F26" s="17">
        <v>52333.0</v>
      </c>
      <c r="G26" s="17">
        <v>51512.0</v>
      </c>
      <c r="H26" s="17">
        <v>50764.0</v>
      </c>
      <c r="I26" s="17">
        <v>50388.0</v>
      </c>
      <c r="J26" s="17" t="s">
        <v>6</v>
      </c>
    </row>
    <row r="27">
      <c r="A27" s="15" t="s">
        <v>28</v>
      </c>
      <c r="B27" s="13" t="str">
        <f>IFERROR(__xludf.DUMMYFUNCTION("GOOGLETRANSLATE(A27,""en"",""es"")"),"Benin")</f>
        <v>Benin</v>
      </c>
      <c r="C27" s="14"/>
      <c r="D27" s="16">
        <v>2133330.0</v>
      </c>
      <c r="E27" s="16">
        <v>2238185.0</v>
      </c>
      <c r="F27" s="16">
        <v>2267835.0</v>
      </c>
      <c r="G27" s="16">
        <v>2251555.0</v>
      </c>
      <c r="H27" s="16">
        <v>2223966.0</v>
      </c>
      <c r="I27" s="16">
        <v>2180896.0</v>
      </c>
      <c r="J27" s="16" t="s">
        <v>6</v>
      </c>
    </row>
    <row r="28">
      <c r="A28" s="15" t="s">
        <v>29</v>
      </c>
      <c r="B28" s="13" t="str">
        <f>IFERROR(__xludf.DUMMYFUNCTION("GOOGLETRANSLATE(A28,""en"",""es"")"),"islas Bermudas")</f>
        <v>islas Bermudas</v>
      </c>
      <c r="C28" s="14"/>
      <c r="D28" s="17">
        <v>4100.0</v>
      </c>
      <c r="E28" s="17">
        <v>4147.0</v>
      </c>
      <c r="F28" s="17" t="s">
        <v>6</v>
      </c>
      <c r="G28" s="17" t="s">
        <v>6</v>
      </c>
      <c r="H28" s="17" t="s">
        <v>6</v>
      </c>
      <c r="I28" s="17" t="s">
        <v>6</v>
      </c>
      <c r="J28" s="17" t="s">
        <v>6</v>
      </c>
    </row>
    <row r="29">
      <c r="A29" s="15" t="s">
        <v>30</v>
      </c>
      <c r="B29" s="13" t="str">
        <f>IFERROR(__xludf.DUMMYFUNCTION("GOOGLETRANSLATE(A29,""en"",""es"")"),"Bután")</f>
        <v>Bután</v>
      </c>
      <c r="C29" s="14"/>
      <c r="D29" s="16">
        <v>101667.0</v>
      </c>
      <c r="E29" s="16">
        <v>99291.0</v>
      </c>
      <c r="F29" s="16">
        <v>96654.0</v>
      </c>
      <c r="G29" s="16">
        <v>94184.0</v>
      </c>
      <c r="H29" s="16">
        <v>91768.0</v>
      </c>
      <c r="I29" s="16" t="s">
        <v>6</v>
      </c>
      <c r="J29" s="16">
        <v>94165.0</v>
      </c>
    </row>
    <row r="30">
      <c r="A30" s="18" t="s">
        <v>31</v>
      </c>
      <c r="B30" s="13" t="str">
        <f>IFERROR(__xludf.DUMMYFUNCTION("GOOGLETRANSLATE(A30,""en"",""es"")"),"Bolivia (Estado Plurinacional de)")</f>
        <v>Bolivia (Estado Plurinacional de)</v>
      </c>
      <c r="C30" s="14"/>
      <c r="D30" s="17">
        <v>1345789.0</v>
      </c>
      <c r="E30" s="17">
        <v>1345182.0</v>
      </c>
      <c r="F30" s="17">
        <v>1354038.0</v>
      </c>
      <c r="G30" s="17">
        <v>1368580.0</v>
      </c>
      <c r="H30" s="17">
        <v>1379099.0</v>
      </c>
      <c r="I30" s="17" t="s">
        <v>6</v>
      </c>
      <c r="J30" s="17" t="s">
        <v>6</v>
      </c>
    </row>
    <row r="31">
      <c r="A31" s="18" t="s">
        <v>32</v>
      </c>
      <c r="B31" s="13" t="str">
        <f>IFERROR(__xludf.DUMMYFUNCTION("GOOGLETRANSLATE(A31,""en"",""es"")"),"Bosnia y Herzegovina")</f>
        <v>Bosnia y Herzegovina</v>
      </c>
      <c r="C31" s="14"/>
      <c r="D31" s="16">
        <v>161023.0</v>
      </c>
      <c r="E31" s="16">
        <v>162629.0</v>
      </c>
      <c r="F31" s="16">
        <v>161560.0</v>
      </c>
      <c r="G31" s="16">
        <v>161483.0</v>
      </c>
      <c r="H31" s="16">
        <v>159380.0</v>
      </c>
      <c r="I31" s="16">
        <v>157304.0</v>
      </c>
      <c r="J31" s="16" t="s">
        <v>6</v>
      </c>
    </row>
    <row r="32">
      <c r="A32" s="15" t="s">
        <v>33</v>
      </c>
      <c r="B32" s="13" t="str">
        <f>IFERROR(__xludf.DUMMYFUNCTION("GOOGLETRANSLATE(A32,""en"",""es"")"),"Botswana")</f>
        <v>Botswana</v>
      </c>
      <c r="C32" s="14"/>
      <c r="D32" s="17">
        <v>340700.0</v>
      </c>
      <c r="E32" s="17">
        <v>344618.0</v>
      </c>
      <c r="F32" s="17" t="s">
        <v>6</v>
      </c>
      <c r="G32" s="17" t="s">
        <v>6</v>
      </c>
      <c r="H32" s="17" t="s">
        <v>6</v>
      </c>
      <c r="I32" s="17" t="s">
        <v>6</v>
      </c>
      <c r="J32" s="17" t="s">
        <v>6</v>
      </c>
    </row>
    <row r="33">
      <c r="A33" s="15" t="s">
        <v>34</v>
      </c>
      <c r="B33" s="13" t="str">
        <f>IFERROR(__xludf.DUMMYFUNCTION("GOOGLETRANSLATE(A33,""en"",""es"")"),"Brasil")</f>
        <v>Brasil</v>
      </c>
      <c r="C33" s="14"/>
      <c r="D33" s="16">
        <v>1.6630217E7</v>
      </c>
      <c r="E33" s="16">
        <v>1.6299166E7</v>
      </c>
      <c r="F33" s="16">
        <v>1.6118565E7</v>
      </c>
      <c r="G33" s="16">
        <v>1.6106812E7</v>
      </c>
      <c r="H33" s="16">
        <v>1.5951913E7</v>
      </c>
      <c r="I33" s="16" t="s">
        <v>6</v>
      </c>
      <c r="J33" s="16" t="s">
        <v>6</v>
      </c>
    </row>
    <row r="34">
      <c r="A34" s="18" t="s">
        <v>35</v>
      </c>
      <c r="B34" s="13" t="str">
        <f>IFERROR(__xludf.DUMMYFUNCTION("GOOGLETRANSLATE(A34,""en"",""es"")"),"Islas Vírgenes Británicas")</f>
        <v>Islas Vírgenes Británicas</v>
      </c>
      <c r="C34" s="14"/>
      <c r="D34" s="17">
        <v>3277.0</v>
      </c>
      <c r="E34" s="17">
        <v>3358.0</v>
      </c>
      <c r="F34" s="17">
        <v>3309.0</v>
      </c>
      <c r="G34" s="17">
        <v>3334.0</v>
      </c>
      <c r="H34" s="17">
        <v>2529.0</v>
      </c>
      <c r="I34" s="17" t="s">
        <v>6</v>
      </c>
      <c r="J34" s="17" t="s">
        <v>6</v>
      </c>
    </row>
    <row r="35">
      <c r="A35" s="18" t="s">
        <v>36</v>
      </c>
      <c r="B35" s="13" t="str">
        <f>IFERROR(__xludf.DUMMYFUNCTION("GOOGLETRANSLATE(A35,""en"",""es"")"),"Brunei Darussalam")</f>
        <v>Brunei Darussalam</v>
      </c>
      <c r="C35" s="14"/>
      <c r="D35" s="16">
        <v>41078.0</v>
      </c>
      <c r="E35" s="16">
        <v>40397.0</v>
      </c>
      <c r="F35" s="16">
        <v>40471.0</v>
      </c>
      <c r="G35" s="16">
        <v>39610.0</v>
      </c>
      <c r="H35" s="16">
        <v>39472.0</v>
      </c>
      <c r="I35" s="16">
        <v>39236.0</v>
      </c>
      <c r="J35" s="16" t="s">
        <v>6</v>
      </c>
    </row>
    <row r="36">
      <c r="A36" s="15" t="s">
        <v>37</v>
      </c>
      <c r="B36" s="13" t="str">
        <f>IFERROR(__xludf.DUMMYFUNCTION("GOOGLETRANSLATE(A36,""en"",""es"")"),"Bulgaria")</f>
        <v>Bulgaria</v>
      </c>
      <c r="C36" s="14"/>
      <c r="D36" s="17">
        <v>258840.0</v>
      </c>
      <c r="E36" s="17">
        <v>261793.0</v>
      </c>
      <c r="F36" s="17">
        <v>261969.0</v>
      </c>
      <c r="G36" s="17">
        <v>264503.0</v>
      </c>
      <c r="H36" s="17">
        <v>262735.0</v>
      </c>
      <c r="I36" s="17" t="s">
        <v>6</v>
      </c>
      <c r="J36" s="17" t="s">
        <v>6</v>
      </c>
    </row>
    <row r="37">
      <c r="A37" s="15" t="s">
        <v>38</v>
      </c>
      <c r="B37" s="13" t="str">
        <f>IFERROR(__xludf.DUMMYFUNCTION("GOOGLETRANSLATE(A37,""en"",""es"")"),"Burkina Faso")</f>
        <v>Burkina Faso</v>
      </c>
      <c r="C37" s="14"/>
      <c r="D37" s="16">
        <v>2594024.0</v>
      </c>
      <c r="E37" s="16">
        <v>2706803.0</v>
      </c>
      <c r="F37" s="16">
        <v>2873049.0</v>
      </c>
      <c r="G37" s="16">
        <v>3040802.0</v>
      </c>
      <c r="H37" s="16">
        <v>3206060.0</v>
      </c>
      <c r="I37" s="16">
        <v>3233784.0</v>
      </c>
      <c r="J37" s="16" t="s">
        <v>6</v>
      </c>
    </row>
    <row r="38">
      <c r="A38" s="15" t="s">
        <v>39</v>
      </c>
      <c r="B38" s="13" t="str">
        <f>IFERROR(__xludf.DUMMYFUNCTION("GOOGLETRANSLATE(A38,""en"",""es"")"),"Burundi")</f>
        <v>Burundi</v>
      </c>
      <c r="C38" s="14"/>
      <c r="D38" s="17">
        <v>2046794.0</v>
      </c>
      <c r="E38" s="17">
        <v>2072408.0</v>
      </c>
      <c r="F38" s="17">
        <v>2110429.0</v>
      </c>
      <c r="G38" s="17">
        <v>2126173.0</v>
      </c>
      <c r="H38" s="17">
        <v>2170884.0</v>
      </c>
      <c r="I38" s="17">
        <v>2212532.0</v>
      </c>
      <c r="J38" s="17" t="s">
        <v>6</v>
      </c>
    </row>
    <row r="39">
      <c r="A39" s="15" t="s">
        <v>40</v>
      </c>
      <c r="B39" s="13" t="str">
        <f>IFERROR(__xludf.DUMMYFUNCTION("GOOGLETRANSLATE(A39,""en"",""es"")"),"Camboya")</f>
        <v>Camboya</v>
      </c>
      <c r="C39" s="14"/>
      <c r="D39" s="16">
        <v>2128685.0</v>
      </c>
      <c r="E39" s="16">
        <v>2178916.0</v>
      </c>
      <c r="F39" s="16">
        <v>2105903.0</v>
      </c>
      <c r="G39" s="16">
        <v>2111631.0</v>
      </c>
      <c r="H39" s="16">
        <v>2147313.0</v>
      </c>
      <c r="I39" s="16">
        <v>2163143.0</v>
      </c>
      <c r="J39" s="16" t="s">
        <v>6</v>
      </c>
    </row>
    <row r="40">
      <c r="A40" s="15" t="s">
        <v>41</v>
      </c>
      <c r="B40" s="13" t="str">
        <f>IFERROR(__xludf.DUMMYFUNCTION("GOOGLETRANSLATE(A40,""en"",""es"")"),"Camerún")</f>
        <v>Camerún</v>
      </c>
      <c r="C40" s="14"/>
      <c r="D40" s="17">
        <v>4142775.0</v>
      </c>
      <c r="E40" s="17">
        <v>4369988.0</v>
      </c>
      <c r="F40" s="17">
        <v>4481235.0</v>
      </c>
      <c r="G40" s="17">
        <v>4371381.0</v>
      </c>
      <c r="H40" s="17">
        <v>4201988.0</v>
      </c>
      <c r="I40" s="17">
        <v>4399897.0</v>
      </c>
      <c r="J40" s="17" t="s">
        <v>6</v>
      </c>
    </row>
    <row r="41">
      <c r="A41" s="15" t="s">
        <v>42</v>
      </c>
      <c r="B41" s="13" t="str">
        <f>IFERROR(__xludf.DUMMYFUNCTION("GOOGLETRANSLATE(A41,""en"",""es"")"),"Canadá")</f>
        <v>Canadá</v>
      </c>
      <c r="C41" s="14"/>
      <c r="D41" s="16">
        <v>2249164.0</v>
      </c>
      <c r="E41" s="16">
        <v>2303964.0</v>
      </c>
      <c r="F41" s="16">
        <v>2318914.0</v>
      </c>
      <c r="G41" s="16">
        <v>2364626.0</v>
      </c>
      <c r="H41" s="16">
        <v>2407006.0</v>
      </c>
      <c r="I41" s="16" t="s">
        <v>6</v>
      </c>
      <c r="J41" s="16" t="s">
        <v>6</v>
      </c>
    </row>
    <row r="42">
      <c r="A42" s="15" t="s">
        <v>43</v>
      </c>
      <c r="B42" s="13" t="str">
        <f>IFERROR(__xludf.DUMMYFUNCTION("GOOGLETRANSLATE(A42,""en"",""es"")"),"Cabo Verde")</f>
        <v>Cabo Verde</v>
      </c>
      <c r="C42" s="14"/>
      <c r="D42" s="17">
        <v>67023.0</v>
      </c>
      <c r="E42" s="17">
        <v>65580.0</v>
      </c>
      <c r="F42" s="17">
        <v>64326.0</v>
      </c>
      <c r="G42" s="17">
        <v>63582.0</v>
      </c>
      <c r="H42" s="17">
        <v>64127.0</v>
      </c>
      <c r="I42" s="17" t="s">
        <v>6</v>
      </c>
      <c r="J42" s="17" t="s">
        <v>6</v>
      </c>
    </row>
    <row r="43">
      <c r="A43" s="15" t="s">
        <v>44</v>
      </c>
      <c r="B43" s="13" t="str">
        <f>IFERROR(__xludf.DUMMYFUNCTION("GOOGLETRANSLATE(A43,""en"",""es"")"),"Islas Caimán")</f>
        <v>Islas Caimán</v>
      </c>
      <c r="C43" s="14"/>
      <c r="D43" s="16" t="s">
        <v>6</v>
      </c>
      <c r="E43" s="16" t="s">
        <v>6</v>
      </c>
      <c r="F43" s="16" t="s">
        <v>6</v>
      </c>
      <c r="G43" s="16" t="s">
        <v>6</v>
      </c>
      <c r="H43" s="16">
        <v>4299.0</v>
      </c>
      <c r="I43" s="16" t="s">
        <v>6</v>
      </c>
      <c r="J43" s="16" t="s">
        <v>6</v>
      </c>
    </row>
    <row r="44">
      <c r="A44" s="18" t="s">
        <v>45</v>
      </c>
      <c r="B44" s="13" t="str">
        <f>IFERROR(__xludf.DUMMYFUNCTION("GOOGLETRANSLATE(A44,""en"",""es"")"),"República Centroafricana")</f>
        <v>República Centroafricana</v>
      </c>
      <c r="C44" s="14"/>
      <c r="D44" s="17" t="s">
        <v>6</v>
      </c>
      <c r="E44" s="17" t="s">
        <v>6</v>
      </c>
      <c r="F44" s="17">
        <v>813767.0</v>
      </c>
      <c r="G44" s="17" t="s">
        <v>6</v>
      </c>
      <c r="H44" s="17" t="s">
        <v>6</v>
      </c>
      <c r="I44" s="17" t="s">
        <v>6</v>
      </c>
      <c r="J44" s="17" t="s">
        <v>6</v>
      </c>
    </row>
    <row r="45">
      <c r="A45" s="15" t="s">
        <v>46</v>
      </c>
      <c r="B45" s="13" t="str">
        <f>IFERROR(__xludf.DUMMYFUNCTION("GOOGLETRANSLATE(A45,""en"",""es"")"),"Chad")</f>
        <v>Chad</v>
      </c>
      <c r="C45" s="14"/>
      <c r="D45" s="16">
        <v>2442660.0</v>
      </c>
      <c r="E45" s="16">
        <v>2270104.0</v>
      </c>
      <c r="F45" s="16">
        <v>2213223.0</v>
      </c>
      <c r="G45" s="16">
        <v>2060946.0</v>
      </c>
      <c r="H45" s="16">
        <v>2419675.0</v>
      </c>
      <c r="I45" s="16">
        <v>2468784.0</v>
      </c>
      <c r="J45" s="16" t="s">
        <v>6</v>
      </c>
    </row>
    <row r="46">
      <c r="A46" s="15" t="s">
        <v>47</v>
      </c>
      <c r="B46" s="13" t="str">
        <f>IFERROR(__xludf.DUMMYFUNCTION("GOOGLETRANSLATE(A46,""en"",""es"")"),"Islas del Canal")</f>
        <v>Islas del Canal</v>
      </c>
      <c r="C46" s="14"/>
      <c r="D46" s="17" t="s">
        <v>6</v>
      </c>
      <c r="E46" s="17" t="s">
        <v>6</v>
      </c>
      <c r="F46" s="17" t="s">
        <v>6</v>
      </c>
      <c r="G46" s="17" t="s">
        <v>6</v>
      </c>
      <c r="H46" s="17" t="s">
        <v>6</v>
      </c>
      <c r="I46" s="17" t="s">
        <v>6</v>
      </c>
      <c r="J46" s="17" t="s">
        <v>6</v>
      </c>
    </row>
    <row r="47">
      <c r="A47" s="15" t="s">
        <v>48</v>
      </c>
      <c r="B47" s="13" t="str">
        <f>IFERROR(__xludf.DUMMYFUNCTION("GOOGLETRANSLATE(A47,""en"",""es"")"),"Chile")</f>
        <v>Chile</v>
      </c>
      <c r="C47" s="14"/>
      <c r="D47" s="16">
        <v>1469099.0</v>
      </c>
      <c r="E47" s="16">
        <v>1477538.0</v>
      </c>
      <c r="F47" s="16">
        <v>1493732.0</v>
      </c>
      <c r="G47" s="16">
        <v>1514761.0</v>
      </c>
      <c r="H47" s="16">
        <v>1540085.0</v>
      </c>
      <c r="I47" s="16" t="s">
        <v>6</v>
      </c>
      <c r="J47" s="16" t="s">
        <v>6</v>
      </c>
    </row>
    <row r="48">
      <c r="A48" s="15" t="s">
        <v>49</v>
      </c>
      <c r="B48" s="13" t="str">
        <f>IFERROR(__xludf.DUMMYFUNCTION("GOOGLETRANSLATE(A48,""en"",""es"")"),"China")</f>
        <v>China</v>
      </c>
      <c r="C48" s="14"/>
      <c r="D48" s="17">
        <v>9.5107117E7</v>
      </c>
      <c r="E48" s="17">
        <v>9.5958037E7</v>
      </c>
      <c r="F48" s="17">
        <v>9.8189335E7</v>
      </c>
      <c r="G48" s="17">
        <v>1.00321027E8</v>
      </c>
      <c r="H48" s="17">
        <v>1.01872977E8</v>
      </c>
      <c r="I48" s="17">
        <v>1.04325244E8</v>
      </c>
      <c r="J48" s="17" t="s">
        <v>6</v>
      </c>
    </row>
    <row r="49">
      <c r="A49" s="18" t="s">
        <v>50</v>
      </c>
      <c r="B49" s="13" t="str">
        <f>IFERROR(__xludf.DUMMYFUNCTION("GOOGLETRANSLATE(A49,""en"",""es"")"),"China, Hong Kong, Región Administrativa Especial")</f>
        <v>China, Hong Kong, Región Administrativa Especial</v>
      </c>
      <c r="C49" s="14"/>
      <c r="D49" s="16">
        <v>324171.0</v>
      </c>
      <c r="E49" s="16">
        <v>332531.0</v>
      </c>
      <c r="F49" s="16">
        <v>340932.0</v>
      </c>
      <c r="G49" s="16">
        <v>352469.0</v>
      </c>
      <c r="H49" s="16">
        <v>365732.0</v>
      </c>
      <c r="I49" s="16">
        <v>376310.0</v>
      </c>
      <c r="J49" s="16" t="s">
        <v>6</v>
      </c>
    </row>
    <row r="50">
      <c r="A50" s="18" t="s">
        <v>51</v>
      </c>
      <c r="B50" s="13" t="str">
        <f>IFERROR(__xludf.DUMMYFUNCTION("GOOGLETRANSLATE(A50,""en"",""es"")"),"China, Macao, Región Administrativa Especial")</f>
        <v>China, Macao, Región Administrativa Especial</v>
      </c>
      <c r="C50" s="14"/>
      <c r="D50" s="17">
        <v>22862.0</v>
      </c>
      <c r="E50" s="17">
        <v>24252.0</v>
      </c>
      <c r="F50" s="17">
        <v>26436.0</v>
      </c>
      <c r="G50" s="17">
        <v>28438.0</v>
      </c>
      <c r="H50" s="17">
        <v>30169.0</v>
      </c>
      <c r="I50" s="17">
        <v>32530.0</v>
      </c>
      <c r="J50" s="17" t="s">
        <v>6</v>
      </c>
    </row>
    <row r="51">
      <c r="A51" s="15" t="s">
        <v>52</v>
      </c>
      <c r="B51" s="13" t="str">
        <f>IFERROR(__xludf.DUMMYFUNCTION("GOOGLETRANSLATE(A51,""en"",""es"")"),"Colombia")</f>
        <v>Colombia</v>
      </c>
      <c r="C51" s="14"/>
      <c r="D51" s="16">
        <v>4542644.0</v>
      </c>
      <c r="E51" s="16">
        <v>4479218.0</v>
      </c>
      <c r="F51" s="16">
        <v>4448238.0</v>
      </c>
      <c r="G51" s="16">
        <v>4351705.0</v>
      </c>
      <c r="H51" s="16">
        <v>4303833.0</v>
      </c>
      <c r="I51" s="16" t="s">
        <v>6</v>
      </c>
      <c r="J51" s="16" t="s">
        <v>6</v>
      </c>
    </row>
    <row r="52">
      <c r="A52" s="15" t="s">
        <v>53</v>
      </c>
      <c r="B52" s="13" t="str">
        <f>IFERROR(__xludf.DUMMYFUNCTION("GOOGLETRANSLATE(A52,""en"",""es"")"),"Comoras")</f>
        <v>Comoras</v>
      </c>
      <c r="C52" s="14"/>
      <c r="D52" s="17">
        <v>120381.0</v>
      </c>
      <c r="E52" s="17" t="s">
        <v>6</v>
      </c>
      <c r="F52" s="17" t="s">
        <v>6</v>
      </c>
      <c r="G52" s="17">
        <v>121517.0</v>
      </c>
      <c r="H52" s="17">
        <v>124240.0</v>
      </c>
      <c r="I52" s="17" t="s">
        <v>6</v>
      </c>
      <c r="J52" s="17" t="s">
        <v>6</v>
      </c>
    </row>
    <row r="53">
      <c r="A53" s="15" t="s">
        <v>54</v>
      </c>
      <c r="B53" s="13" t="str">
        <f>IFERROR(__xludf.DUMMYFUNCTION("GOOGLETRANSLATE(A53,""en"",""es"")"),"Congo")</f>
        <v>Congo</v>
      </c>
      <c r="C53" s="14"/>
      <c r="D53" s="16" t="s">
        <v>6</v>
      </c>
      <c r="E53" s="16" t="s">
        <v>6</v>
      </c>
      <c r="F53" s="16" t="s">
        <v>6</v>
      </c>
      <c r="G53" s="16" t="s">
        <v>6</v>
      </c>
      <c r="H53" s="16" t="s">
        <v>6</v>
      </c>
      <c r="I53" s="16" t="s">
        <v>6</v>
      </c>
      <c r="J53" s="16" t="s">
        <v>6</v>
      </c>
    </row>
    <row r="54">
      <c r="A54" s="15" t="s">
        <v>55</v>
      </c>
      <c r="B54" s="13" t="str">
        <f>IFERROR(__xludf.DUMMYFUNCTION("GOOGLETRANSLATE(A54,""en"",""es"")"),"Islas Cook")</f>
        <v>Islas Cook</v>
      </c>
      <c r="C54" s="14"/>
      <c r="D54" s="17">
        <v>1843.0</v>
      </c>
      <c r="E54" s="17">
        <v>1789.0</v>
      </c>
      <c r="F54" s="17">
        <v>1858.0</v>
      </c>
      <c r="G54" s="17" t="s">
        <v>6</v>
      </c>
      <c r="H54" s="17" t="s">
        <v>6</v>
      </c>
      <c r="I54" s="17">
        <v>1871.0</v>
      </c>
      <c r="J54" s="17" t="s">
        <v>6</v>
      </c>
    </row>
    <row r="55">
      <c r="A55" s="15" t="s">
        <v>56</v>
      </c>
      <c r="B55" s="13" t="str">
        <f>IFERROR(__xludf.DUMMYFUNCTION("GOOGLETRANSLATE(A55,""en"",""es"")"),"Costa Rica")</f>
        <v>Costa Rica</v>
      </c>
      <c r="C55" s="14"/>
      <c r="D55" s="16">
        <v>475731.0</v>
      </c>
      <c r="E55" s="16">
        <v>473447.0</v>
      </c>
      <c r="F55" s="16">
        <v>475756.0</v>
      </c>
      <c r="G55" s="16">
        <v>472421.0</v>
      </c>
      <c r="H55" s="16">
        <v>483770.0</v>
      </c>
      <c r="I55" s="16">
        <v>497065.0</v>
      </c>
      <c r="J55" s="16" t="s">
        <v>6</v>
      </c>
    </row>
    <row r="56">
      <c r="A56" s="15" t="s">
        <v>57</v>
      </c>
      <c r="B56" s="13" t="str">
        <f>IFERROR(__xludf.DUMMYFUNCTION("GOOGLETRANSLATE(A56,""en"",""es"")"),"Costa de Marfil")</f>
        <v>Costa de Marfil</v>
      </c>
      <c r="C56" s="14"/>
      <c r="D56" s="17">
        <v>3176874.0</v>
      </c>
      <c r="E56" s="17">
        <v>3370558.0</v>
      </c>
      <c r="F56" s="17">
        <v>3617219.0</v>
      </c>
      <c r="G56" s="17">
        <v>3772136.0</v>
      </c>
      <c r="H56" s="17">
        <v>3900222.0</v>
      </c>
      <c r="I56" s="17">
        <v>4003884.0</v>
      </c>
      <c r="J56" s="17" t="s">
        <v>6</v>
      </c>
    </row>
    <row r="57">
      <c r="A57" s="15" t="s">
        <v>58</v>
      </c>
      <c r="B57" s="13" t="str">
        <f>IFERROR(__xludf.DUMMYFUNCTION("GOOGLETRANSLATE(A57,""en"",""es"")"),"Croacia")</f>
        <v>Croacia</v>
      </c>
      <c r="C57" s="14"/>
      <c r="D57" s="16">
        <v>160819.0</v>
      </c>
      <c r="E57" s="16">
        <v>162355.0</v>
      </c>
      <c r="F57" s="16">
        <v>162519.0</v>
      </c>
      <c r="G57" s="16">
        <v>162955.0</v>
      </c>
      <c r="H57" s="16">
        <v>161740.0</v>
      </c>
      <c r="I57" s="16" t="s">
        <v>6</v>
      </c>
      <c r="J57" s="16" t="s">
        <v>6</v>
      </c>
    </row>
    <row r="58">
      <c r="A58" s="15" t="s">
        <v>59</v>
      </c>
      <c r="B58" s="13" t="str">
        <f>IFERROR(__xludf.DUMMYFUNCTION("GOOGLETRANSLATE(A58,""en"",""es"")"),"Cuba")</f>
        <v>Cuba</v>
      </c>
      <c r="C58" s="14"/>
      <c r="D58" s="17">
        <v>763364.0</v>
      </c>
      <c r="E58" s="17">
        <v>745733.0</v>
      </c>
      <c r="F58" s="17">
        <v>735405.0</v>
      </c>
      <c r="G58" s="17">
        <v>733770.0</v>
      </c>
      <c r="H58" s="17">
        <v>741269.0</v>
      </c>
      <c r="I58" s="17">
        <v>750567.0</v>
      </c>
      <c r="J58" s="17" t="s">
        <v>6</v>
      </c>
    </row>
    <row r="59">
      <c r="A59" s="15" t="s">
        <v>60</v>
      </c>
      <c r="B59" s="13" t="str">
        <f>IFERROR(__xludf.DUMMYFUNCTION("GOOGLETRANSLATE(A59,""en"",""es"")"),"Curaçao")</f>
        <v>Curaçao</v>
      </c>
      <c r="C59" s="14"/>
      <c r="D59" s="16" t="s">
        <v>6</v>
      </c>
      <c r="E59" s="16" t="s">
        <v>6</v>
      </c>
      <c r="F59" s="16" t="s">
        <v>6</v>
      </c>
      <c r="G59" s="16" t="s">
        <v>6</v>
      </c>
      <c r="H59" s="16" t="s">
        <v>6</v>
      </c>
      <c r="I59" s="16" t="s">
        <v>6</v>
      </c>
      <c r="J59" s="16" t="s">
        <v>6</v>
      </c>
    </row>
    <row r="60">
      <c r="A60" s="15" t="s">
        <v>61</v>
      </c>
      <c r="B60" s="13" t="str">
        <f>IFERROR(__xludf.DUMMYFUNCTION("GOOGLETRANSLATE(A60,""en"",""es"")"),"Chipre")</f>
        <v>Chipre</v>
      </c>
      <c r="C60" s="14"/>
      <c r="D60" s="17">
        <v>53129.0</v>
      </c>
      <c r="E60" s="17">
        <v>53773.0</v>
      </c>
      <c r="F60" s="17">
        <v>54541.0</v>
      </c>
      <c r="G60" s="17">
        <v>55862.0</v>
      </c>
      <c r="H60" s="17">
        <v>57079.0</v>
      </c>
      <c r="I60" s="17" t="s">
        <v>6</v>
      </c>
      <c r="J60" s="17" t="s">
        <v>6</v>
      </c>
    </row>
    <row r="61">
      <c r="A61" s="15" t="s">
        <v>62</v>
      </c>
      <c r="B61" s="13" t="str">
        <f>IFERROR(__xludf.DUMMYFUNCTION("GOOGLETRANSLATE(A61,""en"",""es"")"),"Chequia")</f>
        <v>Chequia</v>
      </c>
      <c r="C61" s="14"/>
      <c r="D61" s="16">
        <v>510613.0</v>
      </c>
      <c r="E61" s="16">
        <v>534932.0</v>
      </c>
      <c r="F61" s="16">
        <v>557455.0</v>
      </c>
      <c r="G61" s="16">
        <v>575980.0</v>
      </c>
      <c r="H61" s="16">
        <v>583522.0</v>
      </c>
      <c r="I61" s="16" t="s">
        <v>6</v>
      </c>
      <c r="J61" s="16" t="s">
        <v>6</v>
      </c>
    </row>
    <row r="62">
      <c r="A62" s="18" t="s">
        <v>63</v>
      </c>
      <c r="B62" s="13" t="str">
        <f>IFERROR(__xludf.DUMMYFUNCTION("GOOGLETRANSLATE(A62,""en"",""es"")"),"República Popular Democrática de Corea")</f>
        <v>República Popular Democrática de Corea</v>
      </c>
      <c r="C62" s="14"/>
      <c r="D62" s="17" t="s">
        <v>6</v>
      </c>
      <c r="E62" s="17" t="s">
        <v>6</v>
      </c>
      <c r="F62" s="17" t="s">
        <v>6</v>
      </c>
      <c r="G62" s="17" t="s">
        <v>6</v>
      </c>
      <c r="H62" s="17">
        <v>1507780.0</v>
      </c>
      <c r="I62" s="17" t="s">
        <v>6</v>
      </c>
      <c r="J62" s="17" t="s">
        <v>6</v>
      </c>
    </row>
    <row r="63">
      <c r="A63" s="18" t="s">
        <v>64</v>
      </c>
      <c r="B63" s="13" t="str">
        <f>IFERROR(__xludf.DUMMYFUNCTION("GOOGLETRANSLATE(A63,""en"",""es"")"),"República Democrática del Congo")</f>
        <v>República Democrática del Congo</v>
      </c>
      <c r="C63" s="14"/>
      <c r="D63" s="16">
        <v>1.3534625E7</v>
      </c>
      <c r="E63" s="16">
        <v>1.3763196E7</v>
      </c>
      <c r="F63" s="16" t="s">
        <v>6</v>
      </c>
      <c r="G63" s="16" t="s">
        <v>6</v>
      </c>
      <c r="H63" s="16">
        <v>1.6807014E7</v>
      </c>
      <c r="I63" s="16" t="s">
        <v>6</v>
      </c>
      <c r="J63" s="16" t="s">
        <v>6</v>
      </c>
    </row>
    <row r="64">
      <c r="A64" s="15" t="s">
        <v>65</v>
      </c>
      <c r="B64" s="13" t="str">
        <f>IFERROR(__xludf.DUMMYFUNCTION("GOOGLETRANSLATE(A64,""en"",""es"")"),"Dinamarca")</f>
        <v>Dinamarca</v>
      </c>
      <c r="C64" s="14"/>
      <c r="D64" s="17">
        <v>467484.0</v>
      </c>
      <c r="E64" s="17">
        <v>468536.0</v>
      </c>
      <c r="F64" s="17">
        <v>471787.0</v>
      </c>
      <c r="G64" s="17">
        <v>472523.0</v>
      </c>
      <c r="H64" s="17">
        <v>468362.0</v>
      </c>
      <c r="I64" s="17" t="s">
        <v>6</v>
      </c>
      <c r="J64" s="17" t="s">
        <v>6</v>
      </c>
    </row>
    <row r="65">
      <c r="A65" s="15" t="s">
        <v>66</v>
      </c>
      <c r="B65" s="13" t="str">
        <f>IFERROR(__xludf.DUMMYFUNCTION("GOOGLETRANSLATE(A65,""en"",""es"")"),"Djibouti")</f>
        <v>Djibouti</v>
      </c>
      <c r="C65" s="14"/>
      <c r="D65" s="16">
        <v>64319.0</v>
      </c>
      <c r="E65" s="16">
        <v>62940.0</v>
      </c>
      <c r="F65" s="16">
        <v>61755.0</v>
      </c>
      <c r="G65" s="16">
        <v>61846.0</v>
      </c>
      <c r="H65" s="16">
        <v>62979.0</v>
      </c>
      <c r="I65" s="16">
        <v>68701.0</v>
      </c>
      <c r="J65" s="16">
        <v>69134.0</v>
      </c>
    </row>
    <row r="66">
      <c r="A66" s="15" t="s">
        <v>67</v>
      </c>
      <c r="B66" s="13" t="str">
        <f>IFERROR(__xludf.DUMMYFUNCTION("GOOGLETRANSLATE(A66,""en"",""es"")"),"dominica")</f>
        <v>dominica</v>
      </c>
      <c r="C66" s="14"/>
      <c r="D66" s="17">
        <v>7695.0</v>
      </c>
      <c r="E66" s="17">
        <v>7535.0</v>
      </c>
      <c r="F66" s="17">
        <v>7323.0</v>
      </c>
      <c r="G66" s="17" t="s">
        <v>6</v>
      </c>
      <c r="H66" s="17" t="s">
        <v>6</v>
      </c>
      <c r="I66" s="17">
        <v>6144.0</v>
      </c>
      <c r="J66" s="17" t="s">
        <v>6</v>
      </c>
    </row>
    <row r="67">
      <c r="A67" s="18" t="s">
        <v>68</v>
      </c>
      <c r="B67" s="13" t="str">
        <f>IFERROR(__xludf.DUMMYFUNCTION("GOOGLETRANSLATE(A67,""en"",""es"")"),"República Dominicana")</f>
        <v>República Dominicana</v>
      </c>
      <c r="C67" s="14"/>
      <c r="D67" s="16">
        <v>1267930.0</v>
      </c>
      <c r="E67" s="16">
        <v>1307128.0</v>
      </c>
      <c r="F67" s="16">
        <v>1287118.0</v>
      </c>
      <c r="G67" s="16">
        <v>1253342.0</v>
      </c>
      <c r="H67" s="16">
        <v>1226414.0</v>
      </c>
      <c r="I67" s="16">
        <v>1300211.0</v>
      </c>
      <c r="J67" s="16" t="s">
        <v>6</v>
      </c>
    </row>
    <row r="68">
      <c r="A68" s="15" t="s">
        <v>69</v>
      </c>
      <c r="B68" s="13" t="str">
        <f>IFERROR(__xludf.DUMMYFUNCTION("GOOGLETRANSLATE(A68,""en"",""es"")"),"Ecuador")</f>
        <v>Ecuador</v>
      </c>
      <c r="C68" s="14"/>
      <c r="D68" s="17">
        <v>2093835.0</v>
      </c>
      <c r="E68" s="17">
        <v>1998135.0</v>
      </c>
      <c r="F68" s="17">
        <v>1951188.0</v>
      </c>
      <c r="G68" s="17">
        <v>1929416.0</v>
      </c>
      <c r="H68" s="17">
        <v>1932261.0</v>
      </c>
      <c r="I68" s="17" t="s">
        <v>6</v>
      </c>
      <c r="J68" s="17" t="s">
        <v>6</v>
      </c>
    </row>
    <row r="69">
      <c r="A69" s="15" t="s">
        <v>70</v>
      </c>
      <c r="B69" s="13" t="str">
        <f>IFERROR(__xludf.DUMMYFUNCTION("GOOGLETRANSLATE(A69,""en"",""es"")"),"Egipto")</f>
        <v>Egipto</v>
      </c>
      <c r="C69" s="14"/>
      <c r="D69" s="16">
        <v>1.112803E7</v>
      </c>
      <c r="E69" s="16" t="s">
        <v>6</v>
      </c>
      <c r="F69" s="16">
        <v>1.1764161E7</v>
      </c>
      <c r="G69" s="16">
        <v>1.2161376E7</v>
      </c>
      <c r="H69" s="16">
        <v>1.2643289E7</v>
      </c>
      <c r="I69" s="16">
        <v>1.3265036E7</v>
      </c>
      <c r="J69" s="16" t="s">
        <v>6</v>
      </c>
    </row>
    <row r="70">
      <c r="A70" s="15" t="s">
        <v>71</v>
      </c>
      <c r="B70" s="13" t="str">
        <f>IFERROR(__xludf.DUMMYFUNCTION("GOOGLETRANSLATE(A70,""en"",""es"")"),"El Salvador")</f>
        <v>El Salvador</v>
      </c>
      <c r="C70" s="14"/>
      <c r="D70" s="17">
        <v>777043.0</v>
      </c>
      <c r="E70" s="17">
        <v>741394.0</v>
      </c>
      <c r="F70" s="17">
        <v>711182.0</v>
      </c>
      <c r="G70" s="17">
        <v>678137.0</v>
      </c>
      <c r="H70" s="17">
        <v>662740.0</v>
      </c>
      <c r="I70" s="17" t="s">
        <v>6</v>
      </c>
      <c r="J70" s="17" t="s">
        <v>6</v>
      </c>
    </row>
    <row r="71">
      <c r="A71" s="15" t="s">
        <v>72</v>
      </c>
      <c r="B71" s="13" t="str">
        <f>IFERROR(__xludf.DUMMYFUNCTION("GOOGLETRANSLATE(A71,""en"",""es"")"),"Guinea Ecuatorial")</f>
        <v>Guinea Ecuatorial</v>
      </c>
      <c r="C71" s="14"/>
      <c r="D71" s="16" t="s">
        <v>6</v>
      </c>
      <c r="E71" s="16">
        <v>93396.0</v>
      </c>
      <c r="F71" s="16" t="s">
        <v>6</v>
      </c>
      <c r="G71" s="16" t="s">
        <v>6</v>
      </c>
      <c r="H71" s="16" t="s">
        <v>6</v>
      </c>
      <c r="I71" s="16" t="s">
        <v>6</v>
      </c>
      <c r="J71" s="16" t="s">
        <v>6</v>
      </c>
    </row>
    <row r="72">
      <c r="A72" s="15" t="s">
        <v>73</v>
      </c>
      <c r="B72" s="13" t="str">
        <f>IFERROR(__xludf.DUMMYFUNCTION("GOOGLETRANSLATE(A72,""en"",""es"")"),"Eritrea")</f>
        <v>Eritrea</v>
      </c>
      <c r="C72" s="14"/>
      <c r="D72" s="17">
        <v>361604.0</v>
      </c>
      <c r="E72" s="17">
        <v>361684.0</v>
      </c>
      <c r="F72" s="17" t="s">
        <v>6</v>
      </c>
      <c r="G72" s="17">
        <v>347009.0</v>
      </c>
      <c r="H72" s="17">
        <v>349753.0</v>
      </c>
      <c r="I72" s="17" t="s">
        <v>6</v>
      </c>
      <c r="J72" s="17" t="s">
        <v>6</v>
      </c>
    </row>
    <row r="73">
      <c r="A73" s="15" t="s">
        <v>74</v>
      </c>
      <c r="B73" s="13" t="str">
        <f>IFERROR(__xludf.DUMMYFUNCTION("GOOGLETRANSLATE(A73,""en"",""es"")"),"Estonia")</f>
        <v>Estonia</v>
      </c>
      <c r="C73" s="14"/>
      <c r="D73" s="16">
        <v>77215.0</v>
      </c>
      <c r="E73" s="16">
        <v>79594.0</v>
      </c>
      <c r="F73" s="16">
        <v>82824.0</v>
      </c>
      <c r="G73" s="16">
        <v>85617.0</v>
      </c>
      <c r="H73" s="16">
        <v>88107.0</v>
      </c>
      <c r="I73" s="16" t="s">
        <v>6</v>
      </c>
      <c r="J73" s="16" t="s">
        <v>6</v>
      </c>
    </row>
    <row r="74">
      <c r="A74" s="15" t="s">
        <v>75</v>
      </c>
      <c r="B74" s="13" t="str">
        <f>IFERROR(__xludf.DUMMYFUNCTION("GOOGLETRANSLATE(A74,""en"",""es"")"),"Eswatini")</f>
        <v>Eswatini</v>
      </c>
      <c r="C74" s="14"/>
      <c r="D74" s="17">
        <v>240437.0</v>
      </c>
      <c r="E74" s="17">
        <v>241404.0</v>
      </c>
      <c r="F74" s="17">
        <v>239028.0</v>
      </c>
      <c r="G74" s="17">
        <v>237451.0</v>
      </c>
      <c r="H74" s="17">
        <v>237074.0</v>
      </c>
      <c r="I74" s="17" t="s">
        <v>6</v>
      </c>
      <c r="J74" s="17" t="s">
        <v>6</v>
      </c>
    </row>
    <row r="75">
      <c r="A75" s="15" t="s">
        <v>76</v>
      </c>
      <c r="B75" s="13" t="str">
        <f>IFERROR(__xludf.DUMMYFUNCTION("GOOGLETRANSLATE(A75,""en"",""es"")"),"Etiopía")</f>
        <v>Etiopía</v>
      </c>
      <c r="C75" s="14"/>
      <c r="D75" s="16">
        <v>1.5733276E7</v>
      </c>
      <c r="E75" s="16">
        <v>1.6198047E7</v>
      </c>
      <c r="F75" s="16" t="s">
        <v>6</v>
      </c>
      <c r="G75" s="16" t="s">
        <v>6</v>
      </c>
      <c r="H75" s="16" t="s">
        <v>6</v>
      </c>
      <c r="I75" s="16" t="s">
        <v>6</v>
      </c>
      <c r="J75" s="16" t="s">
        <v>6</v>
      </c>
    </row>
    <row r="76">
      <c r="A76" s="15" t="s">
        <v>77</v>
      </c>
      <c r="B76" s="13" t="str">
        <f>IFERROR(__xludf.DUMMYFUNCTION("GOOGLETRANSLATE(A76,""en"",""es"")"),"Islas Feroe")</f>
        <v>Islas Feroe</v>
      </c>
      <c r="C76" s="14"/>
      <c r="D76" s="17" t="s">
        <v>6</v>
      </c>
      <c r="E76" s="17" t="s">
        <v>6</v>
      </c>
      <c r="F76" s="17" t="s">
        <v>6</v>
      </c>
      <c r="G76" s="17" t="s">
        <v>6</v>
      </c>
      <c r="H76" s="17" t="s">
        <v>6</v>
      </c>
      <c r="I76" s="17" t="s">
        <v>6</v>
      </c>
      <c r="J76" s="17" t="s">
        <v>6</v>
      </c>
    </row>
    <row r="77">
      <c r="A77" s="18" t="s">
        <v>78</v>
      </c>
      <c r="B77" s="13" t="str">
        <f>IFERROR(__xludf.DUMMYFUNCTION("GOOGLETRANSLATE(A77,""en"",""es"")"),"Islas Malvinas (Falkland)")</f>
        <v>Islas Malvinas (Falkland)</v>
      </c>
      <c r="C77" s="14"/>
      <c r="D77" s="16" t="s">
        <v>6</v>
      </c>
      <c r="E77" s="16" t="s">
        <v>6</v>
      </c>
      <c r="F77" s="16" t="s">
        <v>6</v>
      </c>
      <c r="G77" s="16" t="s">
        <v>6</v>
      </c>
      <c r="H77" s="16" t="s">
        <v>6</v>
      </c>
      <c r="I77" s="16" t="s">
        <v>6</v>
      </c>
      <c r="J77" s="16" t="s">
        <v>6</v>
      </c>
    </row>
    <row r="78">
      <c r="A78" s="15" t="s">
        <v>79</v>
      </c>
      <c r="B78" s="13" t="str">
        <f>IFERROR(__xludf.DUMMYFUNCTION("GOOGLETRANSLATE(A78,""en"",""es"")"),"Fiji")</f>
        <v>Fiji</v>
      </c>
      <c r="C78" s="14"/>
      <c r="D78" s="17" t="s">
        <v>6</v>
      </c>
      <c r="E78" s="17">
        <v>108727.0</v>
      </c>
      <c r="F78" s="17">
        <v>110127.0</v>
      </c>
      <c r="G78" s="17" t="s">
        <v>6</v>
      </c>
      <c r="H78" s="17" t="s">
        <v>6</v>
      </c>
      <c r="I78" s="17">
        <v>121666.0</v>
      </c>
      <c r="J78" s="17" t="s">
        <v>6</v>
      </c>
    </row>
    <row r="79">
      <c r="A79" s="15" t="s">
        <v>80</v>
      </c>
      <c r="B79" s="13" t="str">
        <f>IFERROR(__xludf.DUMMYFUNCTION("GOOGLETRANSLATE(A79,""en"",""es"")"),"Finlandia")</f>
        <v>Finlandia</v>
      </c>
      <c r="C79" s="14"/>
      <c r="D79" s="16">
        <v>351766.0</v>
      </c>
      <c r="E79" s="16">
        <v>355231.0</v>
      </c>
      <c r="F79" s="16">
        <v>359635.0</v>
      </c>
      <c r="G79" s="16">
        <v>363990.0</v>
      </c>
      <c r="H79" s="16">
        <v>368852.0</v>
      </c>
      <c r="I79" s="16" t="s">
        <v>6</v>
      </c>
      <c r="J79" s="16" t="s">
        <v>6</v>
      </c>
    </row>
    <row r="80">
      <c r="A80" s="15" t="s">
        <v>81</v>
      </c>
      <c r="B80" s="13" t="str">
        <f>IFERROR(__xludf.DUMMYFUNCTION("GOOGLETRANSLATE(A80,""en"",""es"")"),"Francia")</f>
        <v>Francia</v>
      </c>
      <c r="C80" s="14"/>
      <c r="D80" s="17">
        <v>4188552.0</v>
      </c>
      <c r="E80" s="17">
        <v>4255988.0</v>
      </c>
      <c r="F80" s="17">
        <v>4284172.0</v>
      </c>
      <c r="G80" s="17">
        <v>4309942.0</v>
      </c>
      <c r="H80" s="17">
        <v>4302412.0</v>
      </c>
      <c r="I80" s="17" t="s">
        <v>6</v>
      </c>
      <c r="J80" s="17" t="s">
        <v>6</v>
      </c>
    </row>
    <row r="81">
      <c r="A81" s="15" t="s">
        <v>82</v>
      </c>
      <c r="B81" s="13" t="str">
        <f>IFERROR(__xludf.DUMMYFUNCTION("GOOGLETRANSLATE(A81,""en"",""es"")"),"Guayana francés")</f>
        <v>Guayana francés</v>
      </c>
      <c r="C81" s="14"/>
      <c r="D81" s="16" t="s">
        <v>6</v>
      </c>
      <c r="E81" s="16" t="s">
        <v>6</v>
      </c>
      <c r="F81" s="16" t="s">
        <v>6</v>
      </c>
      <c r="G81" s="16" t="s">
        <v>6</v>
      </c>
      <c r="H81" s="16" t="s">
        <v>6</v>
      </c>
      <c r="I81" s="16" t="s">
        <v>6</v>
      </c>
      <c r="J81" s="16" t="s">
        <v>6</v>
      </c>
    </row>
    <row r="82">
      <c r="A82" s="15" t="s">
        <v>83</v>
      </c>
      <c r="B82" s="13" t="str">
        <f>IFERROR(__xludf.DUMMYFUNCTION("GOOGLETRANSLATE(A82,""en"",""es"")"),"Polinesia francés")</f>
        <v>Polinesia francés</v>
      </c>
      <c r="C82" s="14"/>
      <c r="D82" s="17" t="s">
        <v>6</v>
      </c>
      <c r="E82" s="17" t="s">
        <v>6</v>
      </c>
      <c r="F82" s="17" t="s">
        <v>6</v>
      </c>
      <c r="G82" s="17" t="s">
        <v>6</v>
      </c>
      <c r="H82" s="17" t="s">
        <v>6</v>
      </c>
      <c r="I82" s="17" t="s">
        <v>6</v>
      </c>
      <c r="J82" s="17" t="s">
        <v>6</v>
      </c>
    </row>
    <row r="83">
      <c r="A83" s="15" t="s">
        <v>84</v>
      </c>
      <c r="B83" s="13" t="str">
        <f>IFERROR(__xludf.DUMMYFUNCTION("GOOGLETRANSLATE(A83,""en"",""es"")"),"Gabón")</f>
        <v>Gabón</v>
      </c>
      <c r="C83" s="14"/>
      <c r="D83" s="16" t="s">
        <v>6</v>
      </c>
      <c r="E83" s="16" t="s">
        <v>6</v>
      </c>
      <c r="F83" s="16" t="s">
        <v>6</v>
      </c>
      <c r="G83" s="16" t="s">
        <v>6</v>
      </c>
      <c r="H83" s="16" t="s">
        <v>6</v>
      </c>
      <c r="I83" s="16" t="s">
        <v>6</v>
      </c>
      <c r="J83" s="16" t="s">
        <v>6</v>
      </c>
    </row>
    <row r="84">
      <c r="A84" s="15" t="s">
        <v>85</v>
      </c>
      <c r="B84" s="13" t="str">
        <f>IFERROR(__xludf.DUMMYFUNCTION("GOOGLETRANSLATE(A84,""en"",""es"")"),"Gambia")</f>
        <v>Gambia</v>
      </c>
      <c r="C84" s="14"/>
      <c r="D84" s="17">
        <v>274903.0</v>
      </c>
      <c r="E84" s="17">
        <v>293503.0</v>
      </c>
      <c r="F84" s="17">
        <v>308729.0</v>
      </c>
      <c r="G84" s="17">
        <v>329828.0</v>
      </c>
      <c r="H84" s="17">
        <v>350323.0</v>
      </c>
      <c r="I84" s="17">
        <v>374678.0</v>
      </c>
      <c r="J84" s="17" t="s">
        <v>6</v>
      </c>
    </row>
    <row r="85">
      <c r="A85" s="15" t="s">
        <v>86</v>
      </c>
      <c r="B85" s="13" t="str">
        <f>IFERROR(__xludf.DUMMYFUNCTION("GOOGLETRANSLATE(A85,""en"",""es"")"),"Georgia")</f>
        <v>Georgia</v>
      </c>
      <c r="C85" s="14"/>
      <c r="D85" s="16">
        <v>285329.0</v>
      </c>
      <c r="E85" s="16">
        <v>288541.0</v>
      </c>
      <c r="F85" s="16">
        <v>291447.0</v>
      </c>
      <c r="G85" s="16">
        <v>301094.0</v>
      </c>
      <c r="H85" s="16">
        <v>305368.0</v>
      </c>
      <c r="I85" s="16">
        <v>316542.0</v>
      </c>
      <c r="J85" s="16" t="s">
        <v>6</v>
      </c>
    </row>
    <row r="86">
      <c r="A86" s="15" t="s">
        <v>87</v>
      </c>
      <c r="B86" s="13" t="str">
        <f>IFERROR(__xludf.DUMMYFUNCTION("GOOGLETRANSLATE(A86,""en"",""es"")"),"Alemania")</f>
        <v>Alemania</v>
      </c>
      <c r="C86" s="14"/>
      <c r="D86" s="17">
        <v>2862690.0</v>
      </c>
      <c r="E86" s="17">
        <v>2879394.0</v>
      </c>
      <c r="F86" s="17">
        <v>2895195.0</v>
      </c>
      <c r="G86" s="17">
        <v>2954775.0</v>
      </c>
      <c r="H86" s="17">
        <v>2987112.0</v>
      </c>
      <c r="I86" s="17" t="s">
        <v>6</v>
      </c>
      <c r="J86" s="17" t="s">
        <v>6</v>
      </c>
    </row>
    <row r="87">
      <c r="A87" s="15" t="s">
        <v>88</v>
      </c>
      <c r="B87" s="13" t="str">
        <f>IFERROR(__xludf.DUMMYFUNCTION("GOOGLETRANSLATE(A87,""en"",""es"")"),"Ghana")</f>
        <v>Ghana</v>
      </c>
      <c r="C87" s="14"/>
      <c r="D87" s="16">
        <v>4117152.0</v>
      </c>
      <c r="E87" s="16">
        <v>4342315.0</v>
      </c>
      <c r="F87" s="16">
        <v>4358176.0</v>
      </c>
      <c r="G87" s="16">
        <v>4393061.0</v>
      </c>
      <c r="H87" s="16">
        <v>4401194.0</v>
      </c>
      <c r="I87" s="16">
        <v>4549875.0</v>
      </c>
      <c r="J87" s="16" t="s">
        <v>6</v>
      </c>
    </row>
    <row r="88">
      <c r="A88" s="15" t="s">
        <v>89</v>
      </c>
      <c r="B88" s="13" t="str">
        <f>IFERROR(__xludf.DUMMYFUNCTION("GOOGLETRANSLATE(A88,""en"",""es"")"),"Gibraltar")</f>
        <v>Gibraltar</v>
      </c>
      <c r="C88" s="14"/>
      <c r="D88" s="17" t="s">
        <v>6</v>
      </c>
      <c r="E88" s="17" t="s">
        <v>6</v>
      </c>
      <c r="F88" s="17">
        <v>2796.0</v>
      </c>
      <c r="G88" s="17">
        <v>2834.0</v>
      </c>
      <c r="H88" s="17" t="s">
        <v>6</v>
      </c>
      <c r="I88" s="17">
        <v>2889.0</v>
      </c>
      <c r="J88" s="17" t="s">
        <v>6</v>
      </c>
    </row>
    <row r="89">
      <c r="A89" s="15" t="s">
        <v>90</v>
      </c>
      <c r="B89" s="13" t="str">
        <f>IFERROR(__xludf.DUMMYFUNCTION("GOOGLETRANSLATE(A89,""en"",""es"")"),"Grecia")</f>
        <v>Grecia</v>
      </c>
      <c r="C89" s="14"/>
      <c r="D89" s="16">
        <v>628753.0</v>
      </c>
      <c r="E89" s="16">
        <v>643762.0</v>
      </c>
      <c r="F89" s="16">
        <v>646577.0</v>
      </c>
      <c r="G89" s="16">
        <v>649246.0</v>
      </c>
      <c r="H89" s="16">
        <v>643187.0</v>
      </c>
      <c r="I89" s="16" t="s">
        <v>6</v>
      </c>
      <c r="J89" s="16" t="s">
        <v>6</v>
      </c>
    </row>
    <row r="90">
      <c r="A90" s="15" t="s">
        <v>91</v>
      </c>
      <c r="B90" s="13" t="str">
        <f>IFERROR(__xludf.DUMMYFUNCTION("GOOGLETRANSLATE(A90,""en"",""es"")"),"Groenlandia")</f>
        <v>Groenlandia</v>
      </c>
      <c r="C90" s="14"/>
      <c r="D90" s="17" t="s">
        <v>6</v>
      </c>
      <c r="E90" s="17" t="s">
        <v>6</v>
      </c>
      <c r="F90" s="17" t="s">
        <v>6</v>
      </c>
      <c r="G90" s="17" t="s">
        <v>6</v>
      </c>
      <c r="H90" s="17" t="s">
        <v>6</v>
      </c>
      <c r="I90" s="17" t="s">
        <v>6</v>
      </c>
      <c r="J90" s="17" t="s">
        <v>6</v>
      </c>
    </row>
    <row r="91">
      <c r="A91" s="15" t="s">
        <v>92</v>
      </c>
      <c r="B91" s="13" t="str">
        <f>IFERROR(__xludf.DUMMYFUNCTION("GOOGLETRANSLATE(A91,""en"",""es"")"),"Granada")</f>
        <v>Granada</v>
      </c>
      <c r="C91" s="14"/>
      <c r="D91" s="16">
        <v>13061.0</v>
      </c>
      <c r="E91" s="16">
        <v>13445.0</v>
      </c>
      <c r="F91" s="16">
        <v>13196.0</v>
      </c>
      <c r="G91" s="16">
        <v>13464.0</v>
      </c>
      <c r="H91" s="16">
        <v>13195.0</v>
      </c>
      <c r="I91" s="16" t="s">
        <v>6</v>
      </c>
      <c r="J91" s="16" t="s">
        <v>6</v>
      </c>
    </row>
    <row r="92">
      <c r="A92" s="15" t="s">
        <v>93</v>
      </c>
      <c r="B92" s="13" t="str">
        <f>IFERROR(__xludf.DUMMYFUNCTION("GOOGLETRANSLATE(A92,""en"",""es"")"),"Guadalupe")</f>
        <v>Guadalupe</v>
      </c>
      <c r="C92" s="14"/>
      <c r="D92" s="17" t="s">
        <v>6</v>
      </c>
      <c r="E92" s="17" t="s">
        <v>6</v>
      </c>
      <c r="F92" s="17" t="s">
        <v>6</v>
      </c>
      <c r="G92" s="17" t="s">
        <v>6</v>
      </c>
      <c r="H92" s="17" t="s">
        <v>6</v>
      </c>
      <c r="I92" s="17" t="s">
        <v>6</v>
      </c>
      <c r="J92" s="17" t="s">
        <v>6</v>
      </c>
    </row>
    <row r="93">
      <c r="A93" s="15" t="s">
        <v>94</v>
      </c>
      <c r="B93" s="13" t="str">
        <f>IFERROR(__xludf.DUMMYFUNCTION("GOOGLETRANSLATE(A93,""en"",""es"")"),"Guam")</f>
        <v>Guam</v>
      </c>
      <c r="C93" s="14"/>
      <c r="D93" s="16" t="s">
        <v>6</v>
      </c>
      <c r="E93" s="16" t="s">
        <v>6</v>
      </c>
      <c r="F93" s="16" t="s">
        <v>6</v>
      </c>
      <c r="G93" s="16" t="s">
        <v>6</v>
      </c>
      <c r="H93" s="16" t="s">
        <v>6</v>
      </c>
      <c r="I93" s="16" t="s">
        <v>6</v>
      </c>
      <c r="J93" s="16" t="s">
        <v>6</v>
      </c>
    </row>
    <row r="94">
      <c r="A94" s="15" t="s">
        <v>95</v>
      </c>
      <c r="B94" s="13" t="str">
        <f>IFERROR(__xludf.DUMMYFUNCTION("GOOGLETRANSLATE(A94,""en"",""es"")"),"Guatemala")</f>
        <v>Guatemala</v>
      </c>
      <c r="C94" s="14"/>
      <c r="D94" s="17">
        <v>2417429.0</v>
      </c>
      <c r="E94" s="17">
        <v>2381916.0</v>
      </c>
      <c r="F94" s="17">
        <v>2350849.0</v>
      </c>
      <c r="G94" s="17">
        <v>2348863.0</v>
      </c>
      <c r="H94" s="17">
        <v>2362116.0</v>
      </c>
      <c r="I94" s="17">
        <v>2365800.0</v>
      </c>
      <c r="J94" s="17" t="s">
        <v>6</v>
      </c>
    </row>
    <row r="95">
      <c r="A95" s="15" t="s">
        <v>96</v>
      </c>
      <c r="B95" s="13" t="str">
        <f>IFERROR(__xludf.DUMMYFUNCTION("GOOGLETRANSLATE(A95,""en"",""es"")"),"Guernesey")</f>
        <v>Guernesey</v>
      </c>
      <c r="C95" s="14"/>
      <c r="D95" s="16" t="s">
        <v>6</v>
      </c>
      <c r="E95" s="16" t="s">
        <v>6</v>
      </c>
      <c r="F95" s="16" t="s">
        <v>6</v>
      </c>
      <c r="G95" s="16" t="s">
        <v>6</v>
      </c>
      <c r="H95" s="16" t="s">
        <v>6</v>
      </c>
      <c r="I95" s="16" t="s">
        <v>6</v>
      </c>
      <c r="J95" s="16" t="s">
        <v>6</v>
      </c>
    </row>
    <row r="96">
      <c r="A96" s="15" t="s">
        <v>97</v>
      </c>
      <c r="B96" s="13" t="str">
        <f>IFERROR(__xludf.DUMMYFUNCTION("GOOGLETRANSLATE(A96,""en"",""es"")"),"Guinea")</f>
        <v>Guinea</v>
      </c>
      <c r="C96" s="14"/>
      <c r="D96" s="17">
        <v>1729630.0</v>
      </c>
      <c r="E96" s="17" t="s">
        <v>6</v>
      </c>
      <c r="F96" s="17">
        <v>1776560.0</v>
      </c>
      <c r="G96" s="17" t="s">
        <v>6</v>
      </c>
      <c r="H96" s="17" t="s">
        <v>6</v>
      </c>
      <c r="I96" s="17" t="s">
        <v>6</v>
      </c>
      <c r="J96" s="17" t="s">
        <v>6</v>
      </c>
    </row>
    <row r="97">
      <c r="A97" s="15" t="s">
        <v>98</v>
      </c>
      <c r="B97" s="13" t="str">
        <f>IFERROR(__xludf.DUMMYFUNCTION("GOOGLETRANSLATE(A97,""en"",""es"")"),"Guinea-Bissau")</f>
        <v>Guinea-Bissau</v>
      </c>
      <c r="C97" s="14"/>
      <c r="D97" s="16" t="s">
        <v>6</v>
      </c>
      <c r="E97" s="16" t="s">
        <v>6</v>
      </c>
      <c r="F97" s="16" t="s">
        <v>6</v>
      </c>
      <c r="G97" s="16" t="s">
        <v>6</v>
      </c>
      <c r="H97" s="16" t="s">
        <v>6</v>
      </c>
      <c r="I97" s="16" t="s">
        <v>6</v>
      </c>
      <c r="J97" s="16" t="s">
        <v>6</v>
      </c>
    </row>
    <row r="98">
      <c r="A98" s="15" t="s">
        <v>99</v>
      </c>
      <c r="B98" s="13" t="str">
        <f>IFERROR(__xludf.DUMMYFUNCTION("GOOGLETRANSLATE(A98,""en"",""es"")"),"Guayana")</f>
        <v>Guayana</v>
      </c>
      <c r="C98" s="14"/>
      <c r="D98" s="17" t="s">
        <v>6</v>
      </c>
      <c r="E98" s="17" t="s">
        <v>6</v>
      </c>
      <c r="F98" s="17" t="s">
        <v>6</v>
      </c>
      <c r="G98" s="17" t="s">
        <v>6</v>
      </c>
      <c r="H98" s="17" t="s">
        <v>6</v>
      </c>
      <c r="I98" s="17" t="s">
        <v>6</v>
      </c>
      <c r="J98" s="17" t="s">
        <v>6</v>
      </c>
    </row>
    <row r="99">
      <c r="A99" s="15" t="s">
        <v>100</v>
      </c>
      <c r="B99" s="13" t="str">
        <f>IFERROR(__xludf.DUMMYFUNCTION("GOOGLETRANSLATE(A99,""en"",""es"")"),"Haití")</f>
        <v>Haití</v>
      </c>
      <c r="C99" s="14"/>
      <c r="D99" s="16" t="s">
        <v>6</v>
      </c>
      <c r="E99" s="16" t="s">
        <v>6</v>
      </c>
      <c r="F99" s="16" t="s">
        <v>6</v>
      </c>
      <c r="G99" s="16" t="s">
        <v>6</v>
      </c>
      <c r="H99" s="16" t="s">
        <v>6</v>
      </c>
      <c r="I99" s="16" t="s">
        <v>6</v>
      </c>
      <c r="J99" s="16" t="s">
        <v>6</v>
      </c>
    </row>
    <row r="100">
      <c r="A100" s="15" t="s">
        <v>101</v>
      </c>
      <c r="B100" s="13" t="str">
        <f>IFERROR(__xludf.DUMMYFUNCTION("GOOGLETRANSLATE(A100,""en"",""es"")"),"Santa Sede")</f>
        <v>Santa Sede</v>
      </c>
      <c r="C100" s="14"/>
      <c r="D100" s="17" t="s">
        <v>6</v>
      </c>
      <c r="E100" s="17" t="s">
        <v>6</v>
      </c>
      <c r="F100" s="17" t="s">
        <v>6</v>
      </c>
      <c r="G100" s="17" t="s">
        <v>6</v>
      </c>
      <c r="H100" s="17" t="s">
        <v>6</v>
      </c>
      <c r="I100" s="17" t="s">
        <v>6</v>
      </c>
      <c r="J100" s="17" t="s">
        <v>6</v>
      </c>
    </row>
    <row r="101">
      <c r="A101" s="15" t="s">
        <v>102</v>
      </c>
      <c r="B101" s="13" t="str">
        <f>IFERROR(__xludf.DUMMYFUNCTION("GOOGLETRANSLATE(A101,""en"",""es"")"),"Honduras")</f>
        <v>Honduras</v>
      </c>
      <c r="C101" s="14"/>
      <c r="D101" s="16">
        <v>1150042.0</v>
      </c>
      <c r="E101" s="16">
        <v>1154139.0</v>
      </c>
      <c r="F101" s="16">
        <v>1145093.0</v>
      </c>
      <c r="G101" s="16">
        <v>1123945.0</v>
      </c>
      <c r="H101" s="16" t="s">
        <v>6</v>
      </c>
      <c r="I101" s="16">
        <v>1103956.0</v>
      </c>
      <c r="J101" s="16" t="s">
        <v>6</v>
      </c>
    </row>
    <row r="102">
      <c r="A102" s="15" t="s">
        <v>103</v>
      </c>
      <c r="B102" s="13" t="str">
        <f>IFERROR(__xludf.DUMMYFUNCTION("GOOGLETRANSLATE(A102,""en"",""es"")"),"Hungría")</f>
        <v>Hungría</v>
      </c>
      <c r="C102" s="14"/>
      <c r="D102" s="17">
        <v>393020.0</v>
      </c>
      <c r="E102" s="17">
        <v>395549.0</v>
      </c>
      <c r="F102" s="17">
        <v>394433.0</v>
      </c>
      <c r="G102" s="17">
        <v>390970.0</v>
      </c>
      <c r="H102" s="17">
        <v>373837.0</v>
      </c>
      <c r="I102" s="17" t="s">
        <v>6</v>
      </c>
      <c r="J102" s="17" t="s">
        <v>6</v>
      </c>
    </row>
    <row r="103">
      <c r="A103" s="15" t="s">
        <v>104</v>
      </c>
      <c r="B103" s="13" t="str">
        <f>IFERROR(__xludf.DUMMYFUNCTION("GOOGLETRANSLATE(A103,""en"",""es"")"),"Islandia")</f>
        <v>Islandia</v>
      </c>
      <c r="C103" s="14"/>
      <c r="D103" s="16">
        <v>29892.0</v>
      </c>
      <c r="E103" s="16">
        <v>30422.0</v>
      </c>
      <c r="F103" s="16">
        <v>31194.0</v>
      </c>
      <c r="G103" s="16">
        <v>31981.0</v>
      </c>
      <c r="H103" s="16">
        <v>32421.0</v>
      </c>
      <c r="I103" s="16" t="s">
        <v>6</v>
      </c>
      <c r="J103" s="16" t="s">
        <v>6</v>
      </c>
    </row>
    <row r="104">
      <c r="A104" s="15" t="s">
        <v>105</v>
      </c>
      <c r="B104" s="13" t="str">
        <f>IFERROR(__xludf.DUMMYFUNCTION("GOOGLETRANSLATE(A104,""en"",""es"")"),"India")</f>
        <v>India</v>
      </c>
      <c r="C104" s="14"/>
      <c r="D104" s="17">
        <v>1.37808906E8</v>
      </c>
      <c r="E104" s="17">
        <v>1.38518028E8</v>
      </c>
      <c r="F104" s="17">
        <v>1.45802543E8</v>
      </c>
      <c r="G104" s="17">
        <v>1.43227427E8</v>
      </c>
      <c r="H104" s="17" t="s">
        <v>6</v>
      </c>
      <c r="I104" s="17">
        <v>1.20064163E8</v>
      </c>
      <c r="J104" s="17" t="s">
        <v>6</v>
      </c>
    </row>
    <row r="105">
      <c r="A105" s="15" t="s">
        <v>106</v>
      </c>
      <c r="B105" s="13" t="str">
        <f>IFERROR(__xludf.DUMMYFUNCTION("GOOGLETRANSLATE(A105,""en"",""es"")"),"Indonesia")</f>
        <v>Indonesia</v>
      </c>
      <c r="C105" s="14"/>
      <c r="D105" s="16">
        <v>2.983844E7</v>
      </c>
      <c r="E105" s="16">
        <v>2.9699771E7</v>
      </c>
      <c r="F105" s="16">
        <v>2.9450356E7</v>
      </c>
      <c r="G105" s="16">
        <v>2.9351817E7</v>
      </c>
      <c r="H105" s="16">
        <v>2.9425748E7</v>
      </c>
      <c r="I105" s="16" t="s">
        <v>6</v>
      </c>
      <c r="J105" s="16" t="s">
        <v>6</v>
      </c>
    </row>
    <row r="106">
      <c r="A106" s="18" t="s">
        <v>107</v>
      </c>
      <c r="B106" s="13" t="str">
        <f>IFERROR(__xludf.DUMMYFUNCTION("GOOGLETRANSLATE(A106,""en"",""es"")"),"Irán (República Islámica de)")</f>
        <v>Irán (República Islámica de)</v>
      </c>
      <c r="C106" s="14"/>
      <c r="D106" s="17">
        <v>7441078.0</v>
      </c>
      <c r="E106" s="17">
        <v>7670175.0</v>
      </c>
      <c r="F106" s="17">
        <v>8006278.0</v>
      </c>
      <c r="G106" s="17">
        <v>8171667.0</v>
      </c>
      <c r="H106" s="17" t="s">
        <v>6</v>
      </c>
      <c r="I106" s="17" t="s">
        <v>6</v>
      </c>
      <c r="J106" s="17" t="s">
        <v>6</v>
      </c>
    </row>
    <row r="107">
      <c r="A107" s="15" t="s">
        <v>108</v>
      </c>
      <c r="B107" s="13" t="str">
        <f>IFERROR(__xludf.DUMMYFUNCTION("GOOGLETRANSLATE(A107,""en"",""es"")"),"Irak")</f>
        <v>Irak</v>
      </c>
      <c r="C107" s="14"/>
      <c r="D107" s="16" t="s">
        <v>6</v>
      </c>
      <c r="E107" s="16" t="s">
        <v>6</v>
      </c>
      <c r="F107" s="16" t="s">
        <v>6</v>
      </c>
      <c r="G107" s="16" t="s">
        <v>6</v>
      </c>
      <c r="H107" s="16" t="s">
        <v>6</v>
      </c>
      <c r="I107" s="16" t="s">
        <v>6</v>
      </c>
      <c r="J107" s="16" t="s">
        <v>6</v>
      </c>
    </row>
    <row r="108">
      <c r="A108" s="15" t="s">
        <v>109</v>
      </c>
      <c r="B108" s="13" t="str">
        <f>IFERROR(__xludf.DUMMYFUNCTION("GOOGLETRANSLATE(A108,""en"",""es"")"),"Irlanda")</f>
        <v>Irlanda</v>
      </c>
      <c r="C108" s="14"/>
      <c r="D108" s="17">
        <v>536471.0</v>
      </c>
      <c r="E108" s="17">
        <v>544856.0</v>
      </c>
      <c r="F108" s="17">
        <v>553585.0</v>
      </c>
      <c r="G108" s="17">
        <v>559151.0</v>
      </c>
      <c r="H108" s="17">
        <v>564304.0</v>
      </c>
      <c r="I108" s="17" t="s">
        <v>6</v>
      </c>
      <c r="J108" s="17" t="s">
        <v>6</v>
      </c>
    </row>
    <row r="109">
      <c r="A109" s="15" t="s">
        <v>110</v>
      </c>
      <c r="B109" s="13" t="str">
        <f>IFERROR(__xludf.DUMMYFUNCTION("GOOGLETRANSLATE(A109,""en"",""es"")"),"Isla del hombre")</f>
        <v>Isla del hombre</v>
      </c>
      <c r="C109" s="14"/>
      <c r="D109" s="16" t="s">
        <v>6</v>
      </c>
      <c r="E109" s="16" t="s">
        <v>6</v>
      </c>
      <c r="F109" s="16" t="s">
        <v>6</v>
      </c>
      <c r="G109" s="16" t="s">
        <v>6</v>
      </c>
      <c r="H109" s="16" t="s">
        <v>6</v>
      </c>
      <c r="I109" s="16" t="s">
        <v>6</v>
      </c>
      <c r="J109" s="16" t="s">
        <v>6</v>
      </c>
    </row>
    <row r="110">
      <c r="A110" s="15" t="s">
        <v>111</v>
      </c>
      <c r="B110" s="13" t="str">
        <f>IFERROR(__xludf.DUMMYFUNCTION("GOOGLETRANSLATE(A110,""en"",""es"")"),"Israel")</f>
        <v>Israel</v>
      </c>
      <c r="C110" s="14"/>
      <c r="D110" s="17">
        <v>861699.0</v>
      </c>
      <c r="E110" s="17">
        <v>883706.0</v>
      </c>
      <c r="F110" s="17">
        <v>896526.0</v>
      </c>
      <c r="G110" s="17">
        <v>917118.0</v>
      </c>
      <c r="H110" s="17">
        <v>936214.0</v>
      </c>
      <c r="I110" s="17" t="s">
        <v>6</v>
      </c>
      <c r="J110" s="17" t="s">
        <v>6</v>
      </c>
    </row>
    <row r="111">
      <c r="A111" s="15" t="s">
        <v>112</v>
      </c>
      <c r="B111" s="13" t="str">
        <f>IFERROR(__xludf.DUMMYFUNCTION("GOOGLETRANSLATE(A111,""en"",""es"")"),"Italia")</f>
        <v>Italia</v>
      </c>
      <c r="C111" s="14"/>
      <c r="D111" s="16">
        <v>2862666.0</v>
      </c>
      <c r="E111" s="16">
        <v>2856247.0</v>
      </c>
      <c r="F111" s="16">
        <v>2831821.0</v>
      </c>
      <c r="G111" s="16">
        <v>2902379.0</v>
      </c>
      <c r="H111" s="16">
        <v>2870763.0</v>
      </c>
      <c r="I111" s="16" t="s">
        <v>6</v>
      </c>
      <c r="J111" s="16" t="s">
        <v>6</v>
      </c>
    </row>
    <row r="112">
      <c r="A112" s="15" t="s">
        <v>113</v>
      </c>
      <c r="B112" s="13" t="str">
        <f>IFERROR(__xludf.DUMMYFUNCTION("GOOGLETRANSLATE(A112,""en"",""es"")"),"Jamaica")</f>
        <v>Jamaica</v>
      </c>
      <c r="C112" s="14"/>
      <c r="D112" s="17">
        <v>266201.0</v>
      </c>
      <c r="E112" s="17">
        <v>259449.0</v>
      </c>
      <c r="F112" s="17">
        <v>253196.0</v>
      </c>
      <c r="G112" s="17">
        <v>246972.0</v>
      </c>
      <c r="H112" s="17">
        <v>248836.0</v>
      </c>
      <c r="I112" s="17">
        <v>232694.0</v>
      </c>
      <c r="J112" s="17" t="s">
        <v>6</v>
      </c>
    </row>
    <row r="113">
      <c r="A113" s="15" t="s">
        <v>114</v>
      </c>
      <c r="B113" s="13" t="str">
        <f>IFERROR(__xludf.DUMMYFUNCTION("GOOGLETRANSLATE(A113,""en"",""es"")"),"Japón")</f>
        <v>Japón</v>
      </c>
      <c r="C113" s="14"/>
      <c r="D113" s="16">
        <v>6714539.0</v>
      </c>
      <c r="E113" s="16">
        <v>6638174.0</v>
      </c>
      <c r="F113" s="16">
        <v>6581949.0</v>
      </c>
      <c r="G113" s="16">
        <v>6531731.0</v>
      </c>
      <c r="H113" s="16">
        <v>6504523.0</v>
      </c>
      <c r="I113" s="16" t="s">
        <v>6</v>
      </c>
      <c r="J113" s="16" t="s">
        <v>6</v>
      </c>
    </row>
    <row r="114">
      <c r="A114" s="15" t="s">
        <v>115</v>
      </c>
      <c r="B114" s="13" t="str">
        <f>IFERROR(__xludf.DUMMYFUNCTION("GOOGLETRANSLATE(A114,""en"",""es"")"),"Jersey")</f>
        <v>Jersey</v>
      </c>
      <c r="C114" s="14"/>
      <c r="D114" s="17" t="s">
        <v>6</v>
      </c>
      <c r="E114" s="17" t="s">
        <v>6</v>
      </c>
      <c r="F114" s="17" t="s">
        <v>6</v>
      </c>
      <c r="G114" s="17" t="s">
        <v>6</v>
      </c>
      <c r="H114" s="17" t="s">
        <v>6</v>
      </c>
      <c r="I114" s="17" t="s">
        <v>6</v>
      </c>
      <c r="J114" s="17" t="s">
        <v>6</v>
      </c>
    </row>
    <row r="115">
      <c r="A115" s="15" t="s">
        <v>116</v>
      </c>
      <c r="B115" s="13" t="str">
        <f>IFERROR(__xludf.DUMMYFUNCTION("GOOGLETRANSLATE(A115,""en"",""es"")"),"Jordán")</f>
        <v>Jordán</v>
      </c>
      <c r="C115" s="14"/>
      <c r="D115" s="16">
        <v>979792.0</v>
      </c>
      <c r="E115" s="16" t="s">
        <v>6</v>
      </c>
      <c r="F115" s="16">
        <v>1049674.0</v>
      </c>
      <c r="G115" s="16">
        <v>1106611.0</v>
      </c>
      <c r="H115" s="16">
        <v>1133982.0</v>
      </c>
      <c r="I115" s="16">
        <v>1147202.0</v>
      </c>
      <c r="J115" s="16" t="s">
        <v>6</v>
      </c>
    </row>
    <row r="116">
      <c r="A116" s="15" t="s">
        <v>117</v>
      </c>
      <c r="B116" s="13" t="str">
        <f>IFERROR(__xludf.DUMMYFUNCTION("GOOGLETRANSLATE(A116,""en"",""es"")"),"Kazajstán")</f>
        <v>Kazajstán</v>
      </c>
      <c r="C116" s="14"/>
      <c r="D116" s="17">
        <v>1122282.0</v>
      </c>
      <c r="E116" s="17">
        <v>1196027.0</v>
      </c>
      <c r="F116" s="17">
        <v>1273774.0</v>
      </c>
      <c r="G116" s="17">
        <v>1356500.0</v>
      </c>
      <c r="H116" s="17">
        <v>1406967.0</v>
      </c>
      <c r="I116" s="17">
        <v>1461448.0</v>
      </c>
      <c r="J116" s="17" t="s">
        <v>6</v>
      </c>
    </row>
    <row r="117">
      <c r="A117" s="15" t="s">
        <v>118</v>
      </c>
      <c r="B117" s="13" t="str">
        <f>IFERROR(__xludf.DUMMYFUNCTION("GOOGLETRANSLATE(A117,""en"",""es"")"),"Kenia")</f>
        <v>Kenia</v>
      </c>
      <c r="C117" s="14"/>
      <c r="D117" s="16">
        <v>8158000.0</v>
      </c>
      <c r="E117" s="16">
        <v>8168710.0</v>
      </c>
      <c r="F117" s="16">
        <v>8290450.0</v>
      </c>
      <c r="G117" s="16" t="s">
        <v>6</v>
      </c>
      <c r="H117" s="16" t="s">
        <v>6</v>
      </c>
      <c r="I117" s="16" t="s">
        <v>6</v>
      </c>
      <c r="J117" s="16" t="s">
        <v>6</v>
      </c>
    </row>
    <row r="118">
      <c r="A118" s="15" t="s">
        <v>119</v>
      </c>
      <c r="B118" s="13" t="str">
        <f>IFERROR(__xludf.DUMMYFUNCTION("GOOGLETRANSLATE(A118,""en"",""es"")"),"Kiribati")</f>
        <v>Kiribati</v>
      </c>
      <c r="C118" s="14"/>
      <c r="D118" s="17">
        <v>16192.0</v>
      </c>
      <c r="E118" s="17">
        <v>15915.0</v>
      </c>
      <c r="F118" s="17">
        <v>16880.0</v>
      </c>
      <c r="G118" s="17">
        <v>16695.0</v>
      </c>
      <c r="H118" s="17" t="s">
        <v>6</v>
      </c>
      <c r="I118" s="17" t="s">
        <v>6</v>
      </c>
      <c r="J118" s="17" t="s">
        <v>6</v>
      </c>
    </row>
    <row r="119">
      <c r="A119" s="15" t="s">
        <v>120</v>
      </c>
      <c r="B119" s="13" t="str">
        <f>IFERROR(__xludf.DUMMYFUNCTION("GOOGLETRANSLATE(A119,""en"",""es"")"),"Kuwait")</f>
        <v>Kuwait</v>
      </c>
      <c r="C119" s="14"/>
      <c r="D119" s="16">
        <v>252585.0</v>
      </c>
      <c r="E119" s="16">
        <v>264185.0</v>
      </c>
      <c r="F119" s="16">
        <v>271285.0</v>
      </c>
      <c r="G119" s="16">
        <v>275334.0</v>
      </c>
      <c r="H119" s="16">
        <v>279956.0</v>
      </c>
      <c r="I119" s="16">
        <v>276318.0</v>
      </c>
      <c r="J119" s="16" t="s">
        <v>6</v>
      </c>
    </row>
    <row r="120">
      <c r="A120" s="15" t="s">
        <v>121</v>
      </c>
      <c r="B120" s="13" t="str">
        <f>IFERROR(__xludf.DUMMYFUNCTION("GOOGLETRANSLATE(A120,""en"",""es"")"),"Kirguizistán")</f>
        <v>Kirguizistán</v>
      </c>
      <c r="C120" s="14"/>
      <c r="D120" s="17">
        <v>434642.0</v>
      </c>
      <c r="E120" s="17">
        <v>451212.0</v>
      </c>
      <c r="F120" s="17">
        <v>469852.0</v>
      </c>
      <c r="G120" s="17">
        <v>501011.0</v>
      </c>
      <c r="H120" s="17">
        <v>528627.0</v>
      </c>
      <c r="I120" s="17">
        <v>551210.0</v>
      </c>
      <c r="J120" s="17" t="s">
        <v>6</v>
      </c>
    </row>
    <row r="121">
      <c r="A121" s="18" t="s">
        <v>122</v>
      </c>
      <c r="B121" s="13" t="str">
        <f>IFERROR(__xludf.DUMMYFUNCTION("GOOGLETRANSLATE(A121,""en"",""es"")"),"República Democrática Popular de Lao")</f>
        <v>República Democrática Popular de Lao</v>
      </c>
      <c r="C121" s="14"/>
      <c r="D121" s="16">
        <v>870893.0</v>
      </c>
      <c r="E121" s="16">
        <v>850466.0</v>
      </c>
      <c r="F121" s="16">
        <v>827987.0</v>
      </c>
      <c r="G121" s="16">
        <v>808705.0</v>
      </c>
      <c r="H121" s="16">
        <v>786246.0</v>
      </c>
      <c r="I121" s="16">
        <v>770659.0</v>
      </c>
      <c r="J121" s="16" t="s">
        <v>6</v>
      </c>
    </row>
    <row r="122">
      <c r="A122" s="15" t="s">
        <v>123</v>
      </c>
      <c r="B122" s="13" t="str">
        <f>IFERROR(__xludf.DUMMYFUNCTION("GOOGLETRANSLATE(A122,""en"",""es"")"),"Letonia")</f>
        <v>Letonia</v>
      </c>
      <c r="C122" s="14"/>
      <c r="D122" s="17">
        <v>114660.0</v>
      </c>
      <c r="E122" s="17">
        <v>117303.0</v>
      </c>
      <c r="F122" s="17">
        <v>120308.0</v>
      </c>
      <c r="G122" s="17">
        <v>121506.0</v>
      </c>
      <c r="H122" s="17">
        <v>121674.0</v>
      </c>
      <c r="I122" s="17" t="s">
        <v>6</v>
      </c>
      <c r="J122" s="17" t="s">
        <v>6</v>
      </c>
    </row>
    <row r="123">
      <c r="A123" s="15" t="s">
        <v>124</v>
      </c>
      <c r="B123" s="13" t="str">
        <f>IFERROR(__xludf.DUMMYFUNCTION("GOOGLETRANSLATE(A123,""en"",""es"")"),"Líbano")</f>
        <v>Líbano</v>
      </c>
      <c r="C123" s="14"/>
      <c r="D123" s="16">
        <v>480923.0</v>
      </c>
      <c r="E123" s="16">
        <v>491455.0</v>
      </c>
      <c r="F123" s="16">
        <v>486613.0</v>
      </c>
      <c r="G123" s="16">
        <v>502505.0</v>
      </c>
      <c r="H123" s="16">
        <v>509280.0</v>
      </c>
      <c r="I123" s="16">
        <v>516514.0</v>
      </c>
      <c r="J123" s="16" t="s">
        <v>6</v>
      </c>
    </row>
    <row r="124">
      <c r="A124" s="15" t="s">
        <v>125</v>
      </c>
      <c r="B124" s="13" t="str">
        <f>IFERROR(__xludf.DUMMYFUNCTION("GOOGLETRANSLATE(A124,""en"",""es"")"),"Lesoto")</f>
        <v>Lesoto</v>
      </c>
      <c r="C124" s="14"/>
      <c r="D124" s="17">
        <v>366048.0</v>
      </c>
      <c r="E124" s="17">
        <v>361637.0</v>
      </c>
      <c r="F124" s="17">
        <v>360756.0</v>
      </c>
      <c r="G124" s="17">
        <v>367931.0</v>
      </c>
      <c r="H124" s="17" t="s">
        <v>6</v>
      </c>
      <c r="I124" s="17" t="s">
        <v>6</v>
      </c>
      <c r="J124" s="17" t="s">
        <v>6</v>
      </c>
    </row>
    <row r="125">
      <c r="A125" s="15" t="s">
        <v>126</v>
      </c>
      <c r="B125" s="13" t="str">
        <f>IFERROR(__xludf.DUMMYFUNCTION("GOOGLETRANSLATE(A125,""en"",""es"")"),"Liberia")</f>
        <v>Liberia</v>
      </c>
      <c r="C125" s="14"/>
      <c r="D125" s="16">
        <v>683977.0</v>
      </c>
      <c r="E125" s="16">
        <v>684404.0</v>
      </c>
      <c r="F125" s="16">
        <v>655049.0</v>
      </c>
      <c r="G125" s="16">
        <v>635478.0</v>
      </c>
      <c r="H125" s="16" t="s">
        <v>6</v>
      </c>
      <c r="I125" s="16" t="s">
        <v>6</v>
      </c>
      <c r="J125" s="16" t="s">
        <v>6</v>
      </c>
    </row>
    <row r="126">
      <c r="A126" s="15" t="s">
        <v>127</v>
      </c>
      <c r="B126" s="13" t="str">
        <f>IFERROR(__xludf.DUMMYFUNCTION("GOOGLETRANSLATE(A126,""en"",""es"")"),"Libia")</f>
        <v>Libia</v>
      </c>
      <c r="C126" s="14"/>
      <c r="D126" s="17" t="s">
        <v>6</v>
      </c>
      <c r="E126" s="17" t="s">
        <v>6</v>
      </c>
      <c r="F126" s="17" t="s">
        <v>6</v>
      </c>
      <c r="G126" s="17" t="s">
        <v>6</v>
      </c>
      <c r="H126" s="17" t="s">
        <v>6</v>
      </c>
      <c r="I126" s="17" t="s">
        <v>6</v>
      </c>
      <c r="J126" s="17" t="s">
        <v>6</v>
      </c>
    </row>
    <row r="127">
      <c r="A127" s="15" t="s">
        <v>128</v>
      </c>
      <c r="B127" s="13" t="str">
        <f>IFERROR(__xludf.DUMMYFUNCTION("GOOGLETRANSLATE(A127,""en"",""es"")"),"Liechtenstein")</f>
        <v>Liechtenstein</v>
      </c>
      <c r="C127" s="14"/>
      <c r="D127" s="16">
        <v>1929.0</v>
      </c>
      <c r="E127" s="16">
        <v>1977.0</v>
      </c>
      <c r="F127" s="16">
        <v>1998.0</v>
      </c>
      <c r="G127" s="16">
        <v>2005.0</v>
      </c>
      <c r="H127" s="16">
        <v>1999.0</v>
      </c>
      <c r="I127" s="16" t="s">
        <v>6</v>
      </c>
      <c r="J127" s="16" t="s">
        <v>6</v>
      </c>
    </row>
    <row r="128">
      <c r="A128" s="15" t="s">
        <v>129</v>
      </c>
      <c r="B128" s="13" t="str">
        <f>IFERROR(__xludf.DUMMYFUNCTION("GOOGLETRANSLATE(A128,""en"",""es"")"),"Lituania")</f>
        <v>Lituania</v>
      </c>
      <c r="C128" s="14"/>
      <c r="D128" s="17">
        <v>108115.0</v>
      </c>
      <c r="E128" s="17">
        <v>108038.0</v>
      </c>
      <c r="F128" s="17">
        <v>110193.0</v>
      </c>
      <c r="G128" s="17">
        <v>113881.0</v>
      </c>
      <c r="H128" s="17">
        <v>116626.0</v>
      </c>
      <c r="I128" s="17" t="s">
        <v>6</v>
      </c>
      <c r="J128" s="17" t="s">
        <v>6</v>
      </c>
    </row>
    <row r="129">
      <c r="A129" s="15" t="s">
        <v>130</v>
      </c>
      <c r="B129" s="13" t="str">
        <f>IFERROR(__xludf.DUMMYFUNCTION("GOOGLETRANSLATE(A129,""en"",""es"")"),"Luxemburgo")</f>
        <v>Luxemburgo</v>
      </c>
      <c r="C129" s="14"/>
      <c r="D129" s="16">
        <v>35435.0</v>
      </c>
      <c r="E129" s="16">
        <v>35920.0</v>
      </c>
      <c r="F129" s="16">
        <v>36626.0</v>
      </c>
      <c r="G129" s="16">
        <v>37452.0</v>
      </c>
      <c r="H129" s="16">
        <v>38173.0</v>
      </c>
      <c r="I129" s="16" t="s">
        <v>6</v>
      </c>
      <c r="J129" s="16" t="s">
        <v>6</v>
      </c>
    </row>
    <row r="130">
      <c r="A130" s="15" t="s">
        <v>131</v>
      </c>
      <c r="B130" s="13" t="str">
        <f>IFERROR(__xludf.DUMMYFUNCTION("GOOGLETRANSLATE(A130,""en"",""es"")"),"Madagascar")</f>
        <v>Madagascar</v>
      </c>
      <c r="C130" s="14"/>
      <c r="D130" s="17">
        <v>4610722.0</v>
      </c>
      <c r="E130" s="17">
        <v>4763524.0</v>
      </c>
      <c r="F130" s="17">
        <v>4733726.0</v>
      </c>
      <c r="G130" s="17" t="s">
        <v>6</v>
      </c>
      <c r="H130" s="17">
        <v>4860888.0</v>
      </c>
      <c r="I130" s="17">
        <v>4648600.0</v>
      </c>
      <c r="J130" s="17" t="s">
        <v>6</v>
      </c>
    </row>
    <row r="131">
      <c r="A131" s="15" t="s">
        <v>132</v>
      </c>
      <c r="B131" s="13" t="str">
        <f>IFERROR(__xludf.DUMMYFUNCTION("GOOGLETRANSLATE(A131,""en"",""es"")"),"Malawi")</f>
        <v>Malawi</v>
      </c>
      <c r="C131" s="14"/>
      <c r="D131" s="16">
        <v>4096614.0</v>
      </c>
      <c r="E131" s="16">
        <v>4204502.0</v>
      </c>
      <c r="F131" s="16">
        <v>4280527.0</v>
      </c>
      <c r="G131" s="16">
        <v>4433977.0</v>
      </c>
      <c r="H131" s="16">
        <v>4441839.0</v>
      </c>
      <c r="I131" s="16">
        <v>4593328.0</v>
      </c>
      <c r="J131" s="16" t="s">
        <v>6</v>
      </c>
    </row>
    <row r="132">
      <c r="A132" s="15" t="s">
        <v>133</v>
      </c>
      <c r="B132" s="13" t="str">
        <f>IFERROR(__xludf.DUMMYFUNCTION("GOOGLETRANSLATE(A132,""en"",""es"")"),"Malasia")</f>
        <v>Malasia</v>
      </c>
      <c r="C132" s="14"/>
      <c r="D132" s="17">
        <v>3178364.0</v>
      </c>
      <c r="E132" s="17">
        <v>3107870.0</v>
      </c>
      <c r="F132" s="17">
        <v>3101007.0</v>
      </c>
      <c r="G132" s="17">
        <v>3084630.0</v>
      </c>
      <c r="H132" s="17" t="s">
        <v>6</v>
      </c>
      <c r="I132" s="17" t="s">
        <v>6</v>
      </c>
      <c r="J132" s="17" t="s">
        <v>6</v>
      </c>
    </row>
    <row r="133">
      <c r="A133" s="15" t="s">
        <v>134</v>
      </c>
      <c r="B133" s="13" t="str">
        <f>IFERROR(__xludf.DUMMYFUNCTION("GOOGLETRANSLATE(A133,""en"",""es"")"),"Maldivas")</f>
        <v>Maldivas</v>
      </c>
      <c r="C133" s="14"/>
      <c r="D133" s="16">
        <v>39570.0</v>
      </c>
      <c r="E133" s="16">
        <v>42137.0</v>
      </c>
      <c r="F133" s="16">
        <v>43781.0</v>
      </c>
      <c r="G133" s="16">
        <v>45326.0</v>
      </c>
      <c r="H133" s="16">
        <v>47236.0</v>
      </c>
      <c r="I133" s="16">
        <v>49373.0</v>
      </c>
      <c r="J133" s="16" t="s">
        <v>6</v>
      </c>
    </row>
    <row r="134">
      <c r="A134" s="15" t="s">
        <v>135</v>
      </c>
      <c r="B134" s="13" t="str">
        <f>IFERROR(__xludf.DUMMYFUNCTION("GOOGLETRANSLATE(A134,""en"",""es"")"),"mali")</f>
        <v>mali</v>
      </c>
      <c r="C134" s="14"/>
      <c r="D134" s="17">
        <v>2181617.0</v>
      </c>
      <c r="E134" s="17">
        <v>2227082.0</v>
      </c>
      <c r="F134" s="17">
        <v>2356420.0</v>
      </c>
      <c r="G134" s="17">
        <v>2538502.0</v>
      </c>
      <c r="H134" s="17">
        <v>2477081.0</v>
      </c>
      <c r="I134" s="17" t="s">
        <v>6</v>
      </c>
      <c r="J134" s="17" t="s">
        <v>6</v>
      </c>
    </row>
    <row r="135">
      <c r="A135" s="15" t="s">
        <v>136</v>
      </c>
      <c r="B135" s="13" t="str">
        <f>IFERROR(__xludf.DUMMYFUNCTION("GOOGLETRANSLATE(A135,""en"",""es"")"),"Malta")</f>
        <v>Malta</v>
      </c>
      <c r="C135" s="14"/>
      <c r="D135" s="16">
        <v>24072.0</v>
      </c>
      <c r="E135" s="16">
        <v>24624.0</v>
      </c>
      <c r="F135" s="16">
        <v>25177.0</v>
      </c>
      <c r="G135" s="16">
        <v>25796.0</v>
      </c>
      <c r="H135" s="16">
        <v>26532.0</v>
      </c>
      <c r="I135" s="16" t="s">
        <v>6</v>
      </c>
      <c r="J135" s="16" t="s">
        <v>6</v>
      </c>
    </row>
    <row r="136">
      <c r="A136" s="15" t="s">
        <v>137</v>
      </c>
      <c r="B136" s="13" t="str">
        <f>IFERROR(__xludf.DUMMYFUNCTION("GOOGLETRANSLATE(A136,""en"",""es"")"),"Islas Marshall")</f>
        <v>Islas Marshall</v>
      </c>
      <c r="C136" s="14"/>
      <c r="D136" s="17" t="s">
        <v>6</v>
      </c>
      <c r="E136" s="17">
        <v>8236.0</v>
      </c>
      <c r="F136" s="17">
        <v>7941.0</v>
      </c>
      <c r="G136" s="17" t="s">
        <v>6</v>
      </c>
      <c r="H136" s="17" t="s">
        <v>6</v>
      </c>
      <c r="I136" s="17">
        <v>7234.0</v>
      </c>
      <c r="J136" s="17" t="s">
        <v>6</v>
      </c>
    </row>
    <row r="137">
      <c r="A137" s="15" t="s">
        <v>138</v>
      </c>
      <c r="B137" s="13" t="str">
        <f>IFERROR(__xludf.DUMMYFUNCTION("GOOGLETRANSLATE(A137,""en"",""es"")"),"Martinica")</f>
        <v>Martinica</v>
      </c>
      <c r="C137" s="14"/>
      <c r="D137" s="16" t="s">
        <v>6</v>
      </c>
      <c r="E137" s="16" t="s">
        <v>6</v>
      </c>
      <c r="F137" s="16" t="s">
        <v>6</v>
      </c>
      <c r="G137" s="16" t="s">
        <v>6</v>
      </c>
      <c r="H137" s="16" t="s">
        <v>6</v>
      </c>
      <c r="I137" s="16" t="s">
        <v>6</v>
      </c>
      <c r="J137" s="16" t="s">
        <v>6</v>
      </c>
    </row>
    <row r="138">
      <c r="A138" s="15" t="s">
        <v>139</v>
      </c>
      <c r="B138" s="13" t="str">
        <f>IFERROR(__xludf.DUMMYFUNCTION("GOOGLETRANSLATE(A138,""en"",""es"")"),"Mauritania")</f>
        <v>Mauritania</v>
      </c>
      <c r="C138" s="14"/>
      <c r="D138" s="17">
        <v>592249.0</v>
      </c>
      <c r="E138" s="17">
        <v>632761.0</v>
      </c>
      <c r="F138" s="17">
        <v>601364.0</v>
      </c>
      <c r="G138" s="17">
        <v>616647.0</v>
      </c>
      <c r="H138" s="17">
        <v>655261.0</v>
      </c>
      <c r="I138" s="17">
        <v>677458.0</v>
      </c>
      <c r="J138" s="17" t="s">
        <v>6</v>
      </c>
    </row>
    <row r="139">
      <c r="A139" s="15" t="s">
        <v>140</v>
      </c>
      <c r="B139" s="13" t="str">
        <f>IFERROR(__xludf.DUMMYFUNCTION("GOOGLETRANSLATE(A139,""en"",""es"")"),"Isla mauricio")</f>
        <v>Isla mauricio</v>
      </c>
      <c r="C139" s="14"/>
      <c r="D139" s="16">
        <v>105447.0</v>
      </c>
      <c r="E139" s="16">
        <v>101633.0</v>
      </c>
      <c r="F139" s="16">
        <v>97300.0</v>
      </c>
      <c r="G139" s="16">
        <v>92989.0</v>
      </c>
      <c r="H139" s="16">
        <v>89642.0</v>
      </c>
      <c r="I139" s="16">
        <v>85730.0</v>
      </c>
      <c r="J139" s="16" t="s">
        <v>6</v>
      </c>
    </row>
    <row r="140">
      <c r="A140" s="15" t="s">
        <v>141</v>
      </c>
      <c r="B140" s="13" t="str">
        <f>IFERROR(__xludf.DUMMYFUNCTION("GOOGLETRANSLATE(A140,""en"",""es"")"),"Mayotte")</f>
        <v>Mayotte</v>
      </c>
      <c r="C140" s="14"/>
      <c r="D140" s="17" t="s">
        <v>6</v>
      </c>
      <c r="E140" s="17" t="s">
        <v>6</v>
      </c>
      <c r="F140" s="17" t="s">
        <v>6</v>
      </c>
      <c r="G140" s="17" t="s">
        <v>6</v>
      </c>
      <c r="H140" s="17" t="s">
        <v>6</v>
      </c>
      <c r="I140" s="17" t="s">
        <v>6</v>
      </c>
      <c r="J140" s="17" t="s">
        <v>6</v>
      </c>
    </row>
    <row r="141">
      <c r="A141" s="15" t="s">
        <v>142</v>
      </c>
      <c r="B141" s="13" t="str">
        <f>IFERROR(__xludf.DUMMYFUNCTION("GOOGLETRANSLATE(A141,""en"",""es"")"),"México")</f>
        <v>México</v>
      </c>
      <c r="C141" s="14"/>
      <c r="D141" s="16">
        <v>1.4627368E7</v>
      </c>
      <c r="E141" s="16">
        <v>1.4397928E7</v>
      </c>
      <c r="F141" s="16">
        <v>1.4297027E7</v>
      </c>
      <c r="G141" s="16">
        <v>1.4182288E7</v>
      </c>
      <c r="H141" s="16">
        <v>1.4061377E7</v>
      </c>
      <c r="I141" s="16" t="s">
        <v>6</v>
      </c>
      <c r="J141" s="16" t="s">
        <v>6</v>
      </c>
    </row>
    <row r="142">
      <c r="A142" s="18" t="s">
        <v>143</v>
      </c>
      <c r="B142" s="13" t="str">
        <f>IFERROR(__xludf.DUMMYFUNCTION("GOOGLETRANSLATE(A142,""en"",""es"")"),"Micronesia (Estados Federados de)")</f>
        <v>Micronesia (Estados Federados de)</v>
      </c>
      <c r="C142" s="14"/>
      <c r="D142" s="17">
        <v>14307.0</v>
      </c>
      <c r="E142" s="17">
        <v>13758.0</v>
      </c>
      <c r="F142" s="17">
        <v>13819.0</v>
      </c>
      <c r="G142" s="17" t="s">
        <v>6</v>
      </c>
      <c r="H142" s="17" t="s">
        <v>6</v>
      </c>
      <c r="I142" s="17">
        <v>13819.0</v>
      </c>
      <c r="J142" s="17" t="s">
        <v>6</v>
      </c>
    </row>
    <row r="143">
      <c r="A143" s="15" t="s">
        <v>144</v>
      </c>
      <c r="B143" s="13" t="str">
        <f>IFERROR(__xludf.DUMMYFUNCTION("GOOGLETRANSLATE(A143,""en"",""es"")"),"Mónaco")</f>
        <v>Mónaco</v>
      </c>
      <c r="C143" s="14"/>
      <c r="D143" s="16">
        <v>1752.0</v>
      </c>
      <c r="E143" s="16">
        <v>1959.0</v>
      </c>
      <c r="F143" s="16">
        <v>2001.0</v>
      </c>
      <c r="G143" s="16">
        <v>2018.0</v>
      </c>
      <c r="H143" s="16">
        <v>1981.0</v>
      </c>
      <c r="I143" s="16">
        <v>1989.0</v>
      </c>
      <c r="J143" s="16">
        <v>1971.0</v>
      </c>
    </row>
    <row r="144">
      <c r="A144" s="15" t="s">
        <v>145</v>
      </c>
      <c r="B144" s="13" t="str">
        <f>IFERROR(__xludf.DUMMYFUNCTION("GOOGLETRANSLATE(A144,""en"",""es"")"),"Mongolia")</f>
        <v>Mongolia</v>
      </c>
      <c r="C144" s="14"/>
      <c r="D144" s="17">
        <v>239289.0</v>
      </c>
      <c r="E144" s="17">
        <v>251204.0</v>
      </c>
      <c r="F144" s="17">
        <v>274397.0</v>
      </c>
      <c r="G144" s="17">
        <v>290550.0</v>
      </c>
      <c r="H144" s="17">
        <v>311063.0</v>
      </c>
      <c r="I144" s="17" t="s">
        <v>6</v>
      </c>
      <c r="J144" s="17" t="s">
        <v>6</v>
      </c>
    </row>
    <row r="145">
      <c r="A145" s="15" t="s">
        <v>146</v>
      </c>
      <c r="B145" s="13" t="str">
        <f>IFERROR(__xludf.DUMMYFUNCTION("GOOGLETRANSLATE(A145,""en"",""es"")"),"Montenegro")</f>
        <v>Montenegro</v>
      </c>
      <c r="C145" s="14"/>
      <c r="D145" s="16" t="s">
        <v>6</v>
      </c>
      <c r="E145" s="16">
        <v>37585.0</v>
      </c>
      <c r="F145" s="16">
        <v>37869.0</v>
      </c>
      <c r="G145" s="16">
        <v>38740.0</v>
      </c>
      <c r="H145" s="16">
        <v>39288.0</v>
      </c>
      <c r="I145" s="16">
        <v>39085.0</v>
      </c>
      <c r="J145" s="16" t="s">
        <v>6</v>
      </c>
    </row>
    <row r="146">
      <c r="A146" s="15" t="s">
        <v>147</v>
      </c>
      <c r="B146" s="13" t="str">
        <f>IFERROR(__xludf.DUMMYFUNCTION("GOOGLETRANSLATE(A146,""en"",""es"")"),"Montserrat")</f>
        <v>Montserrat</v>
      </c>
      <c r="C146" s="14"/>
      <c r="D146" s="17">
        <v>439.0</v>
      </c>
      <c r="E146" s="17" t="s">
        <v>6</v>
      </c>
      <c r="F146" s="17">
        <v>477.0</v>
      </c>
      <c r="G146" s="17">
        <v>452.0</v>
      </c>
      <c r="H146" s="17">
        <v>460.0</v>
      </c>
      <c r="I146" s="17">
        <v>438.0</v>
      </c>
      <c r="J146" s="17" t="s">
        <v>6</v>
      </c>
    </row>
    <row r="147">
      <c r="A147" s="15" t="s">
        <v>148</v>
      </c>
      <c r="B147" s="13" t="str">
        <f>IFERROR(__xludf.DUMMYFUNCTION("GOOGLETRANSLATE(A147,""en"",""es"")"),"Marruecos")</f>
        <v>Marruecos</v>
      </c>
      <c r="C147" s="14"/>
      <c r="D147" s="16">
        <v>4030142.0</v>
      </c>
      <c r="E147" s="16">
        <v>4039392.0</v>
      </c>
      <c r="F147" s="16">
        <v>4101743.0</v>
      </c>
      <c r="G147" s="16">
        <v>4210676.0</v>
      </c>
      <c r="H147" s="16">
        <v>4322623.0</v>
      </c>
      <c r="I147" s="16">
        <v>4432229.0</v>
      </c>
      <c r="J147" s="16" t="s">
        <v>6</v>
      </c>
    </row>
    <row r="148">
      <c r="A148" s="15" t="s">
        <v>149</v>
      </c>
      <c r="B148" s="13" t="str">
        <f>IFERROR(__xludf.DUMMYFUNCTION("GOOGLETRANSLATE(A148,""en"",""es"")"),"Mozambique")</f>
        <v>Mozambique</v>
      </c>
      <c r="C148" s="14"/>
      <c r="D148" s="17">
        <v>5705343.0</v>
      </c>
      <c r="E148" s="17">
        <v>5901996.0</v>
      </c>
      <c r="F148" s="17">
        <v>6042936.0</v>
      </c>
      <c r="G148" s="17">
        <v>6138518.0</v>
      </c>
      <c r="H148" s="17">
        <v>6563376.0</v>
      </c>
      <c r="I148" s="17">
        <v>6940864.0</v>
      </c>
      <c r="J148" s="17" t="s">
        <v>6</v>
      </c>
    </row>
    <row r="149">
      <c r="A149" s="15" t="s">
        <v>150</v>
      </c>
      <c r="B149" s="13" t="str">
        <f>IFERROR(__xludf.DUMMYFUNCTION("GOOGLETRANSLATE(A149,""en"",""es"")"),"Myanmar")</f>
        <v>Myanmar</v>
      </c>
      <c r="C149" s="14"/>
      <c r="D149" s="16">
        <v>5177276.0</v>
      </c>
      <c r="E149" s="16" t="s">
        <v>6</v>
      </c>
      <c r="F149" s="16">
        <v>5321524.0</v>
      </c>
      <c r="G149" s="16">
        <v>5388349.0</v>
      </c>
      <c r="H149" s="16">
        <v>5299765.0</v>
      </c>
      <c r="I149" s="16" t="s">
        <v>6</v>
      </c>
      <c r="J149" s="16" t="s">
        <v>6</v>
      </c>
    </row>
    <row r="150">
      <c r="A150" s="15" t="s">
        <v>151</v>
      </c>
      <c r="B150" s="13" t="str">
        <f>IFERROR(__xludf.DUMMYFUNCTION("GOOGLETRANSLATE(A150,""en"",""es"")"),"Namibia")</f>
        <v>Namibia</v>
      </c>
      <c r="C150" s="14"/>
      <c r="D150" s="17" t="s">
        <v>6</v>
      </c>
      <c r="E150" s="17" t="s">
        <v>6</v>
      </c>
      <c r="F150" s="17" t="s">
        <v>6</v>
      </c>
      <c r="G150" s="17">
        <v>476360.0</v>
      </c>
      <c r="H150" s="17">
        <v>490719.0</v>
      </c>
      <c r="I150" s="17" t="s">
        <v>6</v>
      </c>
      <c r="J150" s="17" t="s">
        <v>6</v>
      </c>
    </row>
    <row r="151">
      <c r="A151" s="15" t="s">
        <v>152</v>
      </c>
      <c r="B151" s="13" t="str">
        <f>IFERROR(__xludf.DUMMYFUNCTION("GOOGLETRANSLATE(A151,""en"",""es"")"),"Nauru")</f>
        <v>Nauru</v>
      </c>
      <c r="C151" s="14"/>
      <c r="D151" s="16">
        <v>1578.0</v>
      </c>
      <c r="E151" s="16" t="s">
        <v>6</v>
      </c>
      <c r="F151" s="16">
        <v>1808.0</v>
      </c>
      <c r="G151" s="16" t="s">
        <v>6</v>
      </c>
      <c r="H151" s="16" t="s">
        <v>6</v>
      </c>
      <c r="I151" s="16">
        <v>1856.0</v>
      </c>
      <c r="J151" s="16" t="s">
        <v>6</v>
      </c>
    </row>
    <row r="152">
      <c r="A152" s="15" t="s">
        <v>153</v>
      </c>
      <c r="B152" s="13" t="str">
        <f>IFERROR(__xludf.DUMMYFUNCTION("GOOGLETRANSLATE(A152,""en"",""es"")"),"Nepal")</f>
        <v>Nepal</v>
      </c>
      <c r="C152" s="14"/>
      <c r="D152" s="17">
        <v>4401780.0</v>
      </c>
      <c r="E152" s="17">
        <v>4335355.0</v>
      </c>
      <c r="F152" s="17">
        <v>4264942.0</v>
      </c>
      <c r="G152" s="17">
        <v>4135253.0</v>
      </c>
      <c r="H152" s="17" t="s">
        <v>6</v>
      </c>
      <c r="I152" s="17">
        <v>3970016.0</v>
      </c>
      <c r="J152" s="17" t="s">
        <v>6</v>
      </c>
    </row>
    <row r="153">
      <c r="A153" s="15" t="s">
        <v>154</v>
      </c>
      <c r="B153" s="13" t="str">
        <f>IFERROR(__xludf.DUMMYFUNCTION("GOOGLETRANSLATE(A153,""en"",""es"")"),"Países Bajos")</f>
        <v>Países Bajos</v>
      </c>
      <c r="C153" s="14"/>
      <c r="D153" s="16" t="s">
        <v>6</v>
      </c>
      <c r="E153" s="16">
        <v>1208038.0</v>
      </c>
      <c r="F153" s="16">
        <v>1192268.0</v>
      </c>
      <c r="G153" s="16">
        <v>1181893.0</v>
      </c>
      <c r="H153" s="16">
        <v>1175018.0</v>
      </c>
      <c r="I153" s="16" t="s">
        <v>6</v>
      </c>
      <c r="J153" s="16" t="s">
        <v>6</v>
      </c>
    </row>
    <row r="154">
      <c r="A154" s="18" t="s">
        <v>155</v>
      </c>
      <c r="B154" s="13" t="str">
        <f>IFERROR(__xludf.DUMMYFUNCTION("GOOGLETRANSLATE(A154,""en"",""es"")"),"Antillas Holandesas")</f>
        <v>Antillas Holandesas</v>
      </c>
      <c r="C154" s="14"/>
      <c r="D154" s="17" t="s">
        <v>6</v>
      </c>
      <c r="E154" s="17" t="s">
        <v>6</v>
      </c>
      <c r="F154" s="17" t="s">
        <v>6</v>
      </c>
      <c r="G154" s="17" t="s">
        <v>6</v>
      </c>
      <c r="H154" s="17" t="s">
        <v>6</v>
      </c>
      <c r="I154" s="17" t="s">
        <v>6</v>
      </c>
      <c r="J154" s="17" t="s">
        <v>6</v>
      </c>
    </row>
    <row r="155">
      <c r="A155" s="15" t="s">
        <v>156</v>
      </c>
      <c r="B155" s="13" t="str">
        <f>IFERROR(__xludf.DUMMYFUNCTION("GOOGLETRANSLATE(A155,""en"",""es"")"),"Nueva Caledonia")</f>
        <v>Nueva Caledonia</v>
      </c>
      <c r="C155" s="14"/>
      <c r="D155" s="16" t="s">
        <v>6</v>
      </c>
      <c r="E155" s="16" t="s">
        <v>6</v>
      </c>
      <c r="F155" s="16" t="s">
        <v>6</v>
      </c>
      <c r="G155" s="16" t="s">
        <v>6</v>
      </c>
      <c r="H155" s="16" t="s">
        <v>6</v>
      </c>
      <c r="I155" s="16" t="s">
        <v>6</v>
      </c>
      <c r="J155" s="16" t="s">
        <v>6</v>
      </c>
    </row>
    <row r="156">
      <c r="A156" s="15" t="s">
        <v>157</v>
      </c>
      <c r="B156" s="13" t="str">
        <f>IFERROR(__xludf.DUMMYFUNCTION("GOOGLETRANSLATE(A156,""en"",""es"")"),"Nueva Zelanda")</f>
        <v>Nueva Zelanda</v>
      </c>
      <c r="C156" s="14"/>
      <c r="D156" s="17">
        <v>360206.0</v>
      </c>
      <c r="E156" s="17">
        <v>368306.0</v>
      </c>
      <c r="F156" s="17">
        <v>377073.0</v>
      </c>
      <c r="G156" s="17">
        <v>384251.0</v>
      </c>
      <c r="H156" s="17">
        <v>388279.0</v>
      </c>
      <c r="I156" s="17" t="s">
        <v>6</v>
      </c>
      <c r="J156" s="17" t="s">
        <v>6</v>
      </c>
    </row>
    <row r="157">
      <c r="A157" s="15" t="s">
        <v>158</v>
      </c>
      <c r="B157" s="13" t="str">
        <f>IFERROR(__xludf.DUMMYFUNCTION("GOOGLETRANSLATE(A157,""en"",""es"")"),"Nicaragua")</f>
        <v>Nicaragua</v>
      </c>
      <c r="C157" s="14"/>
      <c r="D157" s="16" t="s">
        <v>6</v>
      </c>
      <c r="E157" s="16" t="s">
        <v>6</v>
      </c>
      <c r="F157" s="16" t="s">
        <v>6</v>
      </c>
      <c r="G157" s="16" t="s">
        <v>6</v>
      </c>
      <c r="H157" s="16" t="s">
        <v>6</v>
      </c>
      <c r="I157" s="16" t="s">
        <v>6</v>
      </c>
      <c r="J157" s="16" t="s">
        <v>6</v>
      </c>
    </row>
    <row r="158">
      <c r="A158" s="15" t="s">
        <v>159</v>
      </c>
      <c r="B158" s="13" t="str">
        <f>IFERROR(__xludf.DUMMYFUNCTION("GOOGLETRANSLATE(A158,""en"",""es"")"),"Níger")</f>
        <v>Níger</v>
      </c>
      <c r="C158" s="14"/>
      <c r="D158" s="17">
        <v>2277021.0</v>
      </c>
      <c r="E158" s="17">
        <v>2444979.0</v>
      </c>
      <c r="F158" s="17">
        <v>2611352.0</v>
      </c>
      <c r="G158" s="17">
        <v>2768305.0</v>
      </c>
      <c r="H158" s="17" t="s">
        <v>6</v>
      </c>
      <c r="I158" s="17">
        <v>2666748.0</v>
      </c>
      <c r="J158" s="17" t="s">
        <v>6</v>
      </c>
    </row>
    <row r="159">
      <c r="A159" s="15" t="s">
        <v>160</v>
      </c>
      <c r="B159" s="13" t="str">
        <f>IFERROR(__xludf.DUMMYFUNCTION("GOOGLETRANSLATE(A159,""en"",""es"")"),"Nigeria")</f>
        <v>Nigeria</v>
      </c>
      <c r="C159" s="14"/>
      <c r="D159" s="16">
        <v>2.5801197E7</v>
      </c>
      <c r="E159" s="16" t="s">
        <v>6</v>
      </c>
      <c r="F159" s="16">
        <v>2.5591181E7</v>
      </c>
      <c r="G159" s="16" t="s">
        <v>6</v>
      </c>
      <c r="H159" s="16" t="s">
        <v>6</v>
      </c>
      <c r="I159" s="16" t="s">
        <v>6</v>
      </c>
      <c r="J159" s="16" t="s">
        <v>6</v>
      </c>
    </row>
    <row r="160">
      <c r="A160" s="15" t="s">
        <v>161</v>
      </c>
      <c r="B160" s="13" t="str">
        <f>IFERROR(__xludf.DUMMYFUNCTION("GOOGLETRANSLATE(A160,""en"",""es"")"),"Niue")</f>
        <v>Niue</v>
      </c>
      <c r="C160" s="14"/>
      <c r="D160" s="17">
        <v>202.0</v>
      </c>
      <c r="E160" s="17">
        <v>207.0</v>
      </c>
      <c r="F160" s="17">
        <v>201.0</v>
      </c>
      <c r="G160" s="17" t="s">
        <v>6</v>
      </c>
      <c r="H160" s="17" t="s">
        <v>6</v>
      </c>
      <c r="I160" s="17">
        <v>217.0</v>
      </c>
      <c r="J160" s="17" t="s">
        <v>6</v>
      </c>
    </row>
    <row r="161">
      <c r="A161" s="15" t="s">
        <v>162</v>
      </c>
      <c r="B161" s="13" t="str">
        <f>IFERROR(__xludf.DUMMYFUNCTION("GOOGLETRANSLATE(A161,""en"",""es"")"),"Isla Norfolk")</f>
        <v>Isla Norfolk</v>
      </c>
      <c r="C161" s="14"/>
      <c r="D161" s="16" t="s">
        <v>6</v>
      </c>
      <c r="E161" s="16" t="s">
        <v>6</v>
      </c>
      <c r="F161" s="16" t="s">
        <v>6</v>
      </c>
      <c r="G161" s="16" t="s">
        <v>6</v>
      </c>
      <c r="H161" s="16" t="s">
        <v>6</v>
      </c>
      <c r="I161" s="16" t="s">
        <v>6</v>
      </c>
      <c r="J161" s="16" t="s">
        <v>6</v>
      </c>
    </row>
    <row r="162">
      <c r="A162" s="15" t="s">
        <v>163</v>
      </c>
      <c r="B162" s="13" t="str">
        <f>IFERROR(__xludf.DUMMYFUNCTION("GOOGLETRANSLATE(A162,""en"",""es"")"),"Norte Macedonia")</f>
        <v>Norte Macedonia</v>
      </c>
      <c r="C162" s="14"/>
      <c r="D162" s="17">
        <v>108254.0</v>
      </c>
      <c r="E162" s="17">
        <v>108827.0</v>
      </c>
      <c r="F162" s="17" t="s">
        <v>6</v>
      </c>
      <c r="G162" s="17">
        <v>109121.0</v>
      </c>
      <c r="H162" s="17">
        <v>109818.0</v>
      </c>
      <c r="I162" s="17" t="s">
        <v>6</v>
      </c>
      <c r="J162" s="17" t="s">
        <v>6</v>
      </c>
    </row>
    <row r="163">
      <c r="A163" s="18" t="s">
        <v>164</v>
      </c>
      <c r="B163" s="13" t="str">
        <f>IFERROR(__xludf.DUMMYFUNCTION("GOOGLETRANSLATE(A163,""en"",""es"")"),"Islas Marianas del Norte")</f>
        <v>Islas Marianas del Norte</v>
      </c>
      <c r="C163" s="14"/>
      <c r="D163" s="16" t="s">
        <v>6</v>
      </c>
      <c r="E163" s="16" t="s">
        <v>6</v>
      </c>
      <c r="F163" s="16" t="s">
        <v>6</v>
      </c>
      <c r="G163" s="16" t="s">
        <v>6</v>
      </c>
      <c r="H163" s="16" t="s">
        <v>6</v>
      </c>
      <c r="I163" s="16" t="s">
        <v>6</v>
      </c>
      <c r="J163" s="16" t="s">
        <v>6</v>
      </c>
    </row>
    <row r="164">
      <c r="A164" s="15" t="s">
        <v>165</v>
      </c>
      <c r="B164" s="13" t="str">
        <f>IFERROR(__xludf.DUMMYFUNCTION("GOOGLETRANSLATE(A164,""en"",""es"")"),"Noruega")</f>
        <v>Noruega</v>
      </c>
      <c r="C164" s="14"/>
      <c r="D164" s="17">
        <v>425917.0</v>
      </c>
      <c r="E164" s="17">
        <v>430864.0</v>
      </c>
      <c r="F164" s="17">
        <v>438387.0</v>
      </c>
      <c r="G164" s="17">
        <v>444638.0</v>
      </c>
      <c r="H164" s="17">
        <v>447355.0</v>
      </c>
      <c r="I164" s="17" t="s">
        <v>6</v>
      </c>
      <c r="J164" s="17" t="s">
        <v>6</v>
      </c>
    </row>
    <row r="165">
      <c r="A165" s="15" t="s">
        <v>166</v>
      </c>
      <c r="B165" s="13" t="str">
        <f>IFERROR(__xludf.DUMMYFUNCTION("GOOGLETRANSLATE(A165,""en"",""es"")"),"Omán")</f>
        <v>Omán</v>
      </c>
      <c r="C165" s="14"/>
      <c r="D165" s="16">
        <v>337038.0</v>
      </c>
      <c r="E165" s="16">
        <v>350544.0</v>
      </c>
      <c r="F165" s="16">
        <v>368141.0</v>
      </c>
      <c r="G165" s="16">
        <v>384001.0</v>
      </c>
      <c r="H165" s="16">
        <v>278745.0</v>
      </c>
      <c r="I165" s="16">
        <v>290045.0</v>
      </c>
      <c r="J165" s="16" t="s">
        <v>6</v>
      </c>
    </row>
    <row r="166">
      <c r="A166" s="15" t="s">
        <v>167</v>
      </c>
      <c r="B166" s="13" t="str">
        <f>IFERROR(__xludf.DUMMYFUNCTION("GOOGLETRANSLATE(A166,""en"",""es"")"),"Pakistán")</f>
        <v>Pakistán</v>
      </c>
      <c r="C166" s="14"/>
      <c r="D166" s="17">
        <v>1.9431565E7</v>
      </c>
      <c r="E166" s="17">
        <v>1.9846822E7</v>
      </c>
      <c r="F166" s="17">
        <v>2.1550582E7</v>
      </c>
      <c r="G166" s="17">
        <v>2.1686451E7</v>
      </c>
      <c r="H166" s="17">
        <v>2.2931305E7</v>
      </c>
      <c r="I166" s="17">
        <v>2.3557724E7</v>
      </c>
      <c r="J166" s="17" t="s">
        <v>6</v>
      </c>
    </row>
    <row r="167">
      <c r="A167" s="15" t="s">
        <v>168</v>
      </c>
      <c r="B167" s="13" t="str">
        <f>IFERROR(__xludf.DUMMYFUNCTION("GOOGLETRANSLATE(A167,""en"",""es"")"),"Palau")</f>
        <v>Palau</v>
      </c>
      <c r="C167" s="14"/>
      <c r="D167" s="16">
        <v>1639.0</v>
      </c>
      <c r="E167" s="16" t="s">
        <v>6</v>
      </c>
      <c r="F167" s="16" t="s">
        <v>6</v>
      </c>
      <c r="G167" s="16" t="s">
        <v>6</v>
      </c>
      <c r="H167" s="16" t="s">
        <v>6</v>
      </c>
      <c r="I167" s="16" t="s">
        <v>6</v>
      </c>
      <c r="J167" s="16" t="s">
        <v>6</v>
      </c>
    </row>
    <row r="168">
      <c r="A168" s="15" t="s">
        <v>169</v>
      </c>
      <c r="B168" s="13" t="str">
        <f>IFERROR(__xludf.DUMMYFUNCTION("GOOGLETRANSLATE(A168,""en"",""es"")"),"Palestina")</f>
        <v>Palestina</v>
      </c>
      <c r="C168" s="14"/>
      <c r="D168" s="17">
        <v>442476.0</v>
      </c>
      <c r="E168" s="17">
        <v>450182.0</v>
      </c>
      <c r="F168" s="17">
        <v>459463.0</v>
      </c>
      <c r="G168" s="17">
        <v>477204.0</v>
      </c>
      <c r="H168" s="17">
        <v>488184.0</v>
      </c>
      <c r="I168" s="17">
        <v>497002.0</v>
      </c>
      <c r="J168" s="17" t="s">
        <v>6</v>
      </c>
    </row>
    <row r="169">
      <c r="A169" s="15" t="s">
        <v>170</v>
      </c>
      <c r="B169" s="13" t="str">
        <f>IFERROR(__xludf.DUMMYFUNCTION("GOOGLETRANSLATE(A169,""en"",""es"")"),"Panamá")</f>
        <v>Panamá</v>
      </c>
      <c r="C169" s="14"/>
      <c r="D169" s="16">
        <v>426637.0</v>
      </c>
      <c r="E169" s="16">
        <v>417556.0</v>
      </c>
      <c r="F169" s="16">
        <v>408961.0</v>
      </c>
      <c r="G169" s="16">
        <v>418852.0</v>
      </c>
      <c r="H169" s="16" t="s">
        <v>6</v>
      </c>
      <c r="I169" s="16" t="s">
        <v>6</v>
      </c>
      <c r="J169" s="16" t="s">
        <v>6</v>
      </c>
    </row>
    <row r="170">
      <c r="A170" s="18" t="s">
        <v>171</v>
      </c>
      <c r="B170" s="13" t="str">
        <f>IFERROR(__xludf.DUMMYFUNCTION("GOOGLETRANSLATE(A170,""en"",""es"")"),"Papúa Nueva Guinea")</f>
        <v>Papúa Nueva Guinea</v>
      </c>
      <c r="C170" s="14"/>
      <c r="D170" s="17" t="s">
        <v>6</v>
      </c>
      <c r="E170" s="17" t="s">
        <v>6</v>
      </c>
      <c r="F170" s="17">
        <v>1275085.0</v>
      </c>
      <c r="G170" s="17" t="s">
        <v>6</v>
      </c>
      <c r="H170" s="17" t="s">
        <v>6</v>
      </c>
      <c r="I170" s="17" t="s">
        <v>6</v>
      </c>
      <c r="J170" s="17" t="s">
        <v>6</v>
      </c>
    </row>
    <row r="171">
      <c r="A171" s="15" t="s">
        <v>172</v>
      </c>
      <c r="B171" s="13" t="str">
        <f>IFERROR(__xludf.DUMMYFUNCTION("GOOGLETRANSLATE(A171,""en"",""es"")"),"Paraguay")</f>
        <v>Paraguay</v>
      </c>
      <c r="C171" s="14"/>
      <c r="D171" s="16" t="s">
        <v>6</v>
      </c>
      <c r="E171" s="16" t="s">
        <v>6</v>
      </c>
      <c r="F171" s="16">
        <v>727363.0</v>
      </c>
      <c r="G171" s="16" t="s">
        <v>6</v>
      </c>
      <c r="H171" s="16" t="s">
        <v>6</v>
      </c>
      <c r="I171" s="16" t="s">
        <v>6</v>
      </c>
      <c r="J171" s="16" t="s">
        <v>6</v>
      </c>
    </row>
    <row r="172">
      <c r="A172" s="15" t="s">
        <v>173</v>
      </c>
      <c r="B172" s="13" t="str">
        <f>IFERROR(__xludf.DUMMYFUNCTION("GOOGLETRANSLATE(A172,""en"",""es"")"),"Perú")</f>
        <v>Perú</v>
      </c>
      <c r="C172" s="14"/>
      <c r="D172" s="17">
        <v>3495614.0</v>
      </c>
      <c r="E172" s="17">
        <v>3513439.0</v>
      </c>
      <c r="F172" s="17">
        <v>3576943.0</v>
      </c>
      <c r="G172" s="17">
        <v>3544359.0</v>
      </c>
      <c r="H172" s="17">
        <v>3592865.0</v>
      </c>
      <c r="I172" s="17">
        <v>3715130.0</v>
      </c>
      <c r="J172" s="17" t="s">
        <v>6</v>
      </c>
    </row>
    <row r="173">
      <c r="A173" s="15" t="s">
        <v>174</v>
      </c>
      <c r="B173" s="13" t="str">
        <f>IFERROR(__xludf.DUMMYFUNCTION("GOOGLETRANSLATE(A173,""en"",""es"")"),"Filipinas")</f>
        <v>Filipinas</v>
      </c>
      <c r="C173" s="14"/>
      <c r="D173" s="16">
        <v>1.4460377E7</v>
      </c>
      <c r="E173" s="16">
        <v>1.445306E7</v>
      </c>
      <c r="F173" s="16">
        <v>1.4293635E7</v>
      </c>
      <c r="G173" s="16">
        <v>1.4039867E7</v>
      </c>
      <c r="H173" s="16">
        <v>1.3418841E7</v>
      </c>
      <c r="I173" s="16" t="s">
        <v>6</v>
      </c>
      <c r="J173" s="16" t="s">
        <v>6</v>
      </c>
    </row>
    <row r="174">
      <c r="A174" s="15" t="s">
        <v>175</v>
      </c>
      <c r="B174" s="13" t="str">
        <f>IFERROR(__xludf.DUMMYFUNCTION("GOOGLETRANSLATE(A174,""en"",""es"")"),"Pitcairn")</f>
        <v>Pitcairn</v>
      </c>
      <c r="C174" s="14"/>
      <c r="D174" s="17" t="s">
        <v>6</v>
      </c>
      <c r="E174" s="17" t="s">
        <v>6</v>
      </c>
      <c r="F174" s="17" t="s">
        <v>6</v>
      </c>
      <c r="G174" s="17" t="s">
        <v>6</v>
      </c>
      <c r="H174" s="17" t="s">
        <v>6</v>
      </c>
      <c r="I174" s="17" t="s">
        <v>6</v>
      </c>
      <c r="J174" s="17" t="s">
        <v>6</v>
      </c>
    </row>
    <row r="175">
      <c r="A175" s="15" t="s">
        <v>176</v>
      </c>
      <c r="B175" s="13" t="str">
        <f>IFERROR(__xludf.DUMMYFUNCTION("GOOGLETRANSLATE(A175,""en"",""es"")"),"Polonia")</f>
        <v>Polonia</v>
      </c>
      <c r="C175" s="14"/>
      <c r="D175" s="16">
        <v>2152655.0</v>
      </c>
      <c r="E175" s="16" t="s">
        <v>6</v>
      </c>
      <c r="F175" s="16" t="s">
        <v>6</v>
      </c>
      <c r="G175" s="16">
        <v>2296529.0</v>
      </c>
      <c r="H175" s="16">
        <v>2277483.0</v>
      </c>
      <c r="I175" s="16" t="s">
        <v>6</v>
      </c>
      <c r="J175" s="16" t="s">
        <v>6</v>
      </c>
    </row>
    <row r="176">
      <c r="A176" s="15" t="s">
        <v>177</v>
      </c>
      <c r="B176" s="13" t="str">
        <f>IFERROR(__xludf.DUMMYFUNCTION("GOOGLETRANSLATE(A176,""en"",""es"")"),"Portugal")</f>
        <v>Portugal</v>
      </c>
      <c r="C176" s="14"/>
      <c r="D176" s="17">
        <v>674038.0</v>
      </c>
      <c r="E176" s="17">
        <v>656727.0</v>
      </c>
      <c r="F176" s="17">
        <v>638883.0</v>
      </c>
      <c r="G176" s="17">
        <v>629804.0</v>
      </c>
      <c r="H176" s="17">
        <v>621660.0</v>
      </c>
      <c r="I176" s="17" t="s">
        <v>6</v>
      </c>
      <c r="J176" s="17" t="s">
        <v>6</v>
      </c>
    </row>
    <row r="177">
      <c r="A177" s="15" t="s">
        <v>178</v>
      </c>
      <c r="B177" s="13" t="str">
        <f>IFERROR(__xludf.DUMMYFUNCTION("GOOGLETRANSLATE(A177,""en"",""es"")"),"Puerto Rico")</f>
        <v>Puerto Rico</v>
      </c>
      <c r="C177" s="14"/>
      <c r="D177" s="16">
        <v>258958.0</v>
      </c>
      <c r="E177" s="16">
        <v>250579.0</v>
      </c>
      <c r="F177" s="16">
        <v>227548.0</v>
      </c>
      <c r="G177" s="16" t="s">
        <v>6</v>
      </c>
      <c r="H177" s="16">
        <v>208544.0</v>
      </c>
      <c r="I177" s="16" t="s">
        <v>6</v>
      </c>
      <c r="J177" s="16" t="s">
        <v>6</v>
      </c>
    </row>
    <row r="178">
      <c r="A178" s="15" t="s">
        <v>179</v>
      </c>
      <c r="B178" s="13" t="str">
        <f>IFERROR(__xludf.DUMMYFUNCTION("GOOGLETRANSLATE(A178,""en"",""es"")"),"Katar")</f>
        <v>Katar</v>
      </c>
      <c r="C178" s="14"/>
      <c r="D178" s="17">
        <v>117454.0</v>
      </c>
      <c r="E178" s="17">
        <v>130464.0</v>
      </c>
      <c r="F178" s="17">
        <v>139194.0</v>
      </c>
      <c r="G178" s="17">
        <v>146418.0</v>
      </c>
      <c r="H178" s="17">
        <v>153908.0</v>
      </c>
      <c r="I178" s="17">
        <v>159109.0</v>
      </c>
      <c r="J178" s="17" t="s">
        <v>6</v>
      </c>
    </row>
    <row r="179">
      <c r="A179" s="15" t="s">
        <v>180</v>
      </c>
      <c r="B179" s="13" t="str">
        <f>IFERROR(__xludf.DUMMYFUNCTION("GOOGLETRANSLATE(A179,""en"",""es"")"),"República de Corea")</f>
        <v>República de Corea</v>
      </c>
      <c r="C179" s="14"/>
      <c r="D179" s="16">
        <v>2736224.0</v>
      </c>
      <c r="E179" s="16">
        <v>2721766.0</v>
      </c>
      <c r="F179" s="16">
        <v>2680126.0</v>
      </c>
      <c r="G179" s="16">
        <v>2681815.0</v>
      </c>
      <c r="H179" s="16">
        <v>2719358.0</v>
      </c>
      <c r="I179" s="16" t="s">
        <v>6</v>
      </c>
      <c r="J179" s="16" t="s">
        <v>6</v>
      </c>
    </row>
    <row r="180">
      <c r="A180" s="18" t="s">
        <v>181</v>
      </c>
      <c r="B180" s="13" t="str">
        <f>IFERROR(__xludf.DUMMYFUNCTION("GOOGLETRANSLATE(A180,""en"",""es"")"),"República de Moldova")</f>
        <v>República de Moldova</v>
      </c>
      <c r="C180" s="14"/>
      <c r="D180" s="17">
        <v>138420.0</v>
      </c>
      <c r="E180" s="17">
        <v>138536.0</v>
      </c>
      <c r="F180" s="17">
        <v>137845.0</v>
      </c>
      <c r="G180" s="17">
        <v>139335.0</v>
      </c>
      <c r="H180" s="17">
        <v>140141.0</v>
      </c>
      <c r="I180" s="17">
        <v>139612.0</v>
      </c>
      <c r="J180" s="17" t="s">
        <v>6</v>
      </c>
    </row>
    <row r="181">
      <c r="A181" s="15" t="s">
        <v>182</v>
      </c>
      <c r="B181" s="13" t="str">
        <f>IFERROR(__xludf.DUMMYFUNCTION("GOOGLETRANSLATE(A181,""en"",""es"")"),"Reunión")</f>
        <v>Reunión</v>
      </c>
      <c r="C181" s="14"/>
      <c r="D181" s="16" t="s">
        <v>6</v>
      </c>
      <c r="E181" s="16" t="s">
        <v>6</v>
      </c>
      <c r="F181" s="16" t="s">
        <v>6</v>
      </c>
      <c r="G181" s="16" t="s">
        <v>6</v>
      </c>
      <c r="H181" s="16" t="s">
        <v>6</v>
      </c>
      <c r="I181" s="16" t="s">
        <v>6</v>
      </c>
      <c r="J181" s="16" t="s">
        <v>6</v>
      </c>
    </row>
    <row r="182">
      <c r="A182" s="15" t="s">
        <v>183</v>
      </c>
      <c r="B182" s="13" t="str">
        <f>IFERROR(__xludf.DUMMYFUNCTION("GOOGLETRANSLATE(A182,""en"",""es"")"),"Rumania")</f>
        <v>Rumania</v>
      </c>
      <c r="C182" s="14"/>
      <c r="D182" s="17" t="s">
        <v>6</v>
      </c>
      <c r="E182" s="17">
        <v>947205.0</v>
      </c>
      <c r="F182" s="17">
        <v>939147.0</v>
      </c>
      <c r="G182" s="17">
        <v>928245.0</v>
      </c>
      <c r="H182" s="17">
        <v>947931.0</v>
      </c>
      <c r="I182" s="17" t="s">
        <v>6</v>
      </c>
      <c r="J182" s="17" t="s">
        <v>6</v>
      </c>
    </row>
    <row r="183">
      <c r="A183" s="18" t="s">
        <v>184</v>
      </c>
      <c r="B183" s="13" t="str">
        <f>IFERROR(__xludf.DUMMYFUNCTION("GOOGLETRANSLATE(A183,""en"",""es"")"),"Federación Rusa")</f>
        <v>Federación Rusa</v>
      </c>
      <c r="C183" s="14"/>
      <c r="D183" s="16">
        <v>5725528.0</v>
      </c>
      <c r="E183" s="16">
        <v>5982572.0</v>
      </c>
      <c r="F183" s="16">
        <v>6198783.0</v>
      </c>
      <c r="G183" s="16">
        <v>6573633.0</v>
      </c>
      <c r="H183" s="16">
        <v>6927980.0</v>
      </c>
      <c r="I183" s="16" t="s">
        <v>6</v>
      </c>
      <c r="J183" s="16" t="s">
        <v>6</v>
      </c>
    </row>
    <row r="184">
      <c r="A184" s="15" t="s">
        <v>185</v>
      </c>
      <c r="B184" s="13" t="str">
        <f>IFERROR(__xludf.DUMMYFUNCTION("GOOGLETRANSLATE(A184,""en"",""es"")"),"Ruanda")</f>
        <v>Ruanda</v>
      </c>
      <c r="C184" s="14"/>
      <c r="D184" s="17">
        <v>2399439.0</v>
      </c>
      <c r="E184" s="17">
        <v>2450705.0</v>
      </c>
      <c r="F184" s="17">
        <v>2546263.0</v>
      </c>
      <c r="G184" s="17">
        <v>2540374.0</v>
      </c>
      <c r="H184" s="17">
        <v>2503705.0</v>
      </c>
      <c r="I184" s="17">
        <v>2512465.0</v>
      </c>
      <c r="J184" s="17" t="s">
        <v>6</v>
      </c>
    </row>
    <row r="185">
      <c r="A185" s="15" t="s">
        <v>186</v>
      </c>
      <c r="B185" s="13" t="str">
        <f>IFERROR(__xludf.DUMMYFUNCTION("GOOGLETRANSLATE(A185,""en"",""es"")"),"Santa Helena")</f>
        <v>Santa Helena</v>
      </c>
      <c r="C185" s="14"/>
      <c r="D185" s="16" t="s">
        <v>6</v>
      </c>
      <c r="E185" s="16" t="s">
        <v>6</v>
      </c>
      <c r="F185" s="16" t="s">
        <v>6</v>
      </c>
      <c r="G185" s="16" t="s">
        <v>6</v>
      </c>
      <c r="H185" s="16" t="s">
        <v>6</v>
      </c>
      <c r="I185" s="16" t="s">
        <v>6</v>
      </c>
      <c r="J185" s="16" t="s">
        <v>6</v>
      </c>
    </row>
    <row r="186">
      <c r="A186" s="18" t="s">
        <v>187</v>
      </c>
      <c r="B186" s="13" t="str">
        <f>IFERROR(__xludf.DUMMYFUNCTION("GOOGLETRANSLATE(A186,""en"",""es"")"),"Saint Kitts y Nevis")</f>
        <v>Saint Kitts y Nevis</v>
      </c>
      <c r="C186" s="14"/>
      <c r="D186" s="17">
        <v>5533.0</v>
      </c>
      <c r="E186" s="17">
        <v>5466.0</v>
      </c>
      <c r="F186" s="17">
        <v>5452.0</v>
      </c>
      <c r="G186" s="17" t="s">
        <v>6</v>
      </c>
      <c r="H186" s="17" t="s">
        <v>6</v>
      </c>
      <c r="I186" s="17" t="s">
        <v>6</v>
      </c>
      <c r="J186" s="17" t="s">
        <v>6</v>
      </c>
    </row>
    <row r="187">
      <c r="A187" s="15" t="s">
        <v>188</v>
      </c>
      <c r="B187" s="13" t="str">
        <f>IFERROR(__xludf.DUMMYFUNCTION("GOOGLETRANSLATE(A187,""en"",""es"")"),"Santa Lucía")</f>
        <v>Santa Lucía</v>
      </c>
      <c r="C187" s="14"/>
      <c r="D187" s="16">
        <v>17286.0</v>
      </c>
      <c r="E187" s="16">
        <v>16822.0</v>
      </c>
      <c r="F187" s="16">
        <v>16445.0</v>
      </c>
      <c r="G187" s="16">
        <v>16054.0</v>
      </c>
      <c r="H187" s="16">
        <v>15874.0</v>
      </c>
      <c r="I187" s="16">
        <v>15693.0</v>
      </c>
      <c r="J187" s="16" t="s">
        <v>6</v>
      </c>
    </row>
    <row r="188">
      <c r="A188" s="18" t="s">
        <v>189</v>
      </c>
      <c r="B188" s="13" t="str">
        <f>IFERROR(__xludf.DUMMYFUNCTION("GOOGLETRANSLATE(A188,""en"",""es"")"),"San Pedro y Miquelón")</f>
        <v>San Pedro y Miquelón</v>
      </c>
      <c r="C188" s="14"/>
      <c r="D188" s="17" t="s">
        <v>6</v>
      </c>
      <c r="E188" s="17" t="s">
        <v>6</v>
      </c>
      <c r="F188" s="17" t="s">
        <v>6</v>
      </c>
      <c r="G188" s="17" t="s">
        <v>6</v>
      </c>
      <c r="H188" s="17" t="s">
        <v>6</v>
      </c>
      <c r="I188" s="17" t="s">
        <v>6</v>
      </c>
      <c r="J188" s="17" t="s">
        <v>6</v>
      </c>
    </row>
    <row r="189">
      <c r="A189" s="18" t="s">
        <v>190</v>
      </c>
      <c r="B189" s="13" t="str">
        <f>IFERROR(__xludf.DUMMYFUNCTION("GOOGLETRANSLATE(A189,""en"",""es"")"),"San Vicente y las Granadinas")</f>
        <v>San Vicente y las Granadinas</v>
      </c>
      <c r="C189" s="14"/>
      <c r="D189" s="16">
        <v>13427.0</v>
      </c>
      <c r="E189" s="16">
        <v>13362.0</v>
      </c>
      <c r="F189" s="16">
        <v>13179.0</v>
      </c>
      <c r="G189" s="16">
        <v>13026.0</v>
      </c>
      <c r="H189" s="16">
        <v>13198.0</v>
      </c>
      <c r="I189" s="16" t="s">
        <v>6</v>
      </c>
      <c r="J189" s="16" t="s">
        <v>6</v>
      </c>
    </row>
    <row r="190">
      <c r="A190" s="15" t="s">
        <v>191</v>
      </c>
      <c r="B190" s="13" t="str">
        <f>IFERROR(__xludf.DUMMYFUNCTION("GOOGLETRANSLATE(A190,""en"",""es"")"),"Saint-Barthélemy")</f>
        <v>Saint-Barthélemy</v>
      </c>
      <c r="C190" s="14"/>
      <c r="D190" s="17" t="s">
        <v>6</v>
      </c>
      <c r="E190" s="17" t="s">
        <v>6</v>
      </c>
      <c r="F190" s="17" t="s">
        <v>6</v>
      </c>
      <c r="G190" s="17" t="s">
        <v>6</v>
      </c>
      <c r="H190" s="17" t="s">
        <v>6</v>
      </c>
      <c r="I190" s="17" t="s">
        <v>6</v>
      </c>
      <c r="J190" s="17" t="s">
        <v>6</v>
      </c>
    </row>
    <row r="191">
      <c r="A191" s="18" t="s">
        <v>192</v>
      </c>
      <c r="B191" s="13" t="str">
        <f>IFERROR(__xludf.DUMMYFUNCTION("GOOGLETRANSLATE(A191,""en"",""es"")"),"San Martín (parte francesa)")</f>
        <v>San Martín (parte francesa)</v>
      </c>
      <c r="C191" s="14"/>
      <c r="D191" s="16" t="s">
        <v>6</v>
      </c>
      <c r="E191" s="16" t="s">
        <v>6</v>
      </c>
      <c r="F191" s="16" t="s">
        <v>6</v>
      </c>
      <c r="G191" s="16" t="s">
        <v>6</v>
      </c>
      <c r="H191" s="16" t="s">
        <v>6</v>
      </c>
      <c r="I191" s="16" t="s">
        <v>6</v>
      </c>
      <c r="J191" s="16" t="s">
        <v>6</v>
      </c>
    </row>
    <row r="192">
      <c r="A192" s="15" t="s">
        <v>193</v>
      </c>
      <c r="B192" s="13" t="str">
        <f>IFERROR(__xludf.DUMMYFUNCTION("GOOGLETRANSLATE(A192,""en"",""es"")"),"Samoa")</f>
        <v>Samoa</v>
      </c>
      <c r="C192" s="14"/>
      <c r="D192" s="17">
        <v>31352.0</v>
      </c>
      <c r="E192" s="17">
        <v>31998.0</v>
      </c>
      <c r="F192" s="17">
        <v>32629.0</v>
      </c>
      <c r="G192" s="17">
        <v>32950.0</v>
      </c>
      <c r="H192" s="17">
        <v>33123.0</v>
      </c>
      <c r="I192" s="17">
        <v>33841.0</v>
      </c>
      <c r="J192" s="17" t="s">
        <v>6</v>
      </c>
    </row>
    <row r="193">
      <c r="A193" s="15" t="s">
        <v>194</v>
      </c>
      <c r="B193" s="13" t="str">
        <f>IFERROR(__xludf.DUMMYFUNCTION("GOOGLETRANSLATE(A193,""en"",""es"")"),"San Marino")</f>
        <v>San Marino</v>
      </c>
      <c r="C193" s="14"/>
      <c r="D193" s="16" t="s">
        <v>6</v>
      </c>
      <c r="E193" s="16" t="s">
        <v>6</v>
      </c>
      <c r="F193" s="16" t="s">
        <v>6</v>
      </c>
      <c r="G193" s="16" t="s">
        <v>6</v>
      </c>
      <c r="H193" s="16">
        <v>1698.0</v>
      </c>
      <c r="I193" s="16">
        <v>1653.0</v>
      </c>
      <c r="J193" s="16" t="s">
        <v>6</v>
      </c>
    </row>
    <row r="194">
      <c r="A194" s="18" t="s">
        <v>195</v>
      </c>
      <c r="B194" s="13" t="str">
        <f>IFERROR(__xludf.DUMMYFUNCTION("GOOGLETRANSLATE(A194,""en"",""es"")"),"Santo Tomé y Príncipe")</f>
        <v>Santo Tomé y Príncipe</v>
      </c>
      <c r="C194" s="14"/>
      <c r="D194" s="17">
        <v>34493.0</v>
      </c>
      <c r="E194" s="17">
        <v>35558.0</v>
      </c>
      <c r="F194" s="17">
        <v>36394.0</v>
      </c>
      <c r="G194" s="17">
        <v>37172.0</v>
      </c>
      <c r="H194" s="17" t="s">
        <v>6</v>
      </c>
      <c r="I194" s="17" t="s">
        <v>6</v>
      </c>
      <c r="J194" s="17" t="s">
        <v>6</v>
      </c>
    </row>
    <row r="195">
      <c r="A195" s="15" t="s">
        <v>196</v>
      </c>
      <c r="B195" s="13" t="str">
        <f>IFERROR(__xludf.DUMMYFUNCTION("GOOGLETRANSLATE(A195,""en"",""es"")"),"Arabia Saudita")</f>
        <v>Arabia Saudita</v>
      </c>
      <c r="C195" s="14"/>
      <c r="D195" s="16">
        <v>3737083.0</v>
      </c>
      <c r="E195" s="16">
        <v>3494490.0</v>
      </c>
      <c r="F195" s="16">
        <v>3357365.0</v>
      </c>
      <c r="G195" s="16">
        <v>3230001.0</v>
      </c>
      <c r="H195" s="16">
        <v>3298788.0</v>
      </c>
      <c r="I195" s="16">
        <v>3390589.0</v>
      </c>
      <c r="J195" s="16" t="s">
        <v>6</v>
      </c>
    </row>
    <row r="196">
      <c r="A196" s="15" t="s">
        <v>197</v>
      </c>
      <c r="B196" s="13" t="str">
        <f>IFERROR(__xludf.DUMMYFUNCTION("GOOGLETRANSLATE(A196,""en"",""es"")"),"Senegal")</f>
        <v>Senegal</v>
      </c>
      <c r="C196" s="14"/>
      <c r="D196" s="17">
        <v>1926736.18</v>
      </c>
      <c r="E196" s="17">
        <v>1977388.0</v>
      </c>
      <c r="F196" s="17" t="s">
        <v>6</v>
      </c>
      <c r="G196" s="17" t="s">
        <v>6</v>
      </c>
      <c r="H196" s="17" t="s">
        <v>6</v>
      </c>
      <c r="I196" s="17">
        <v>2171967.0</v>
      </c>
      <c r="J196" s="17" t="s">
        <v>6</v>
      </c>
    </row>
    <row r="197">
      <c r="A197" s="15" t="s">
        <v>198</v>
      </c>
      <c r="B197" s="13" t="str">
        <f>IFERROR(__xludf.DUMMYFUNCTION("GOOGLETRANSLATE(A197,""en"",""es"")"),"Serbia")</f>
        <v>Serbia</v>
      </c>
      <c r="C197" s="14"/>
      <c r="D197" s="16">
        <v>284754.0</v>
      </c>
      <c r="E197" s="16">
        <v>279220.0</v>
      </c>
      <c r="F197" s="16">
        <v>272523.0</v>
      </c>
      <c r="G197" s="16">
        <v>268952.0</v>
      </c>
      <c r="H197" s="16">
        <v>266759.0</v>
      </c>
      <c r="I197" s="16">
        <v>264194.0</v>
      </c>
      <c r="J197" s="16" t="s">
        <v>6</v>
      </c>
    </row>
    <row r="198">
      <c r="A198" s="15" t="s">
        <v>199</v>
      </c>
      <c r="B198" s="13" t="str">
        <f>IFERROR(__xludf.DUMMYFUNCTION("GOOGLETRANSLATE(A198,""en"",""es"")"),"Seychelles")</f>
        <v>Seychelles</v>
      </c>
      <c r="C198" s="14"/>
      <c r="D198" s="17">
        <v>8812.0</v>
      </c>
      <c r="E198" s="17">
        <v>8974.0</v>
      </c>
      <c r="F198" s="17">
        <v>9007.0</v>
      </c>
      <c r="G198" s="17">
        <v>9037.0</v>
      </c>
      <c r="H198" s="17">
        <v>9258.0</v>
      </c>
      <c r="I198" s="17">
        <v>9383.0</v>
      </c>
      <c r="J198" s="17" t="s">
        <v>6</v>
      </c>
    </row>
    <row r="199">
      <c r="A199" s="15" t="s">
        <v>200</v>
      </c>
      <c r="B199" s="13" t="str">
        <f>IFERROR(__xludf.DUMMYFUNCTION("GOOGLETRANSLATE(A199,""en"",""es"")"),"Sierra Leona")</f>
        <v>Sierra Leona</v>
      </c>
      <c r="C199" s="14"/>
      <c r="D199" s="16" t="s">
        <v>6</v>
      </c>
      <c r="E199" s="16">
        <v>1360243.0</v>
      </c>
      <c r="F199" s="16">
        <v>1412524.0</v>
      </c>
      <c r="G199" s="16">
        <v>1486939.0</v>
      </c>
      <c r="H199" s="16">
        <v>1369738.0</v>
      </c>
      <c r="I199" s="16">
        <v>1770368.0</v>
      </c>
      <c r="J199" s="16" t="s">
        <v>6</v>
      </c>
    </row>
    <row r="200">
      <c r="A200" s="15" t="s">
        <v>201</v>
      </c>
      <c r="B200" s="13" t="str">
        <f>IFERROR(__xludf.DUMMYFUNCTION("GOOGLETRANSLATE(A200,""en"",""es"")"),"Singapur")</f>
        <v>Singapur</v>
      </c>
      <c r="C200" s="14"/>
      <c r="D200" s="17" t="s">
        <v>6</v>
      </c>
      <c r="E200" s="17" t="s">
        <v>6</v>
      </c>
      <c r="F200" s="17">
        <v>236943.0</v>
      </c>
      <c r="G200" s="17">
        <v>234653.0</v>
      </c>
      <c r="H200" s="17">
        <v>233553.0</v>
      </c>
      <c r="I200" s="17" t="s">
        <v>6</v>
      </c>
      <c r="J200" s="17" t="s">
        <v>6</v>
      </c>
    </row>
    <row r="201">
      <c r="A201" s="18" t="s">
        <v>202</v>
      </c>
      <c r="B201" s="13" t="str">
        <f>IFERROR(__xludf.DUMMYFUNCTION("GOOGLETRANSLATE(A201,""en"",""es"")"),"Sint Maarten (parte neerlandesa)")</f>
        <v>Sint Maarten (parte neerlandesa)</v>
      </c>
      <c r="C201" s="14"/>
      <c r="D201" s="16">
        <v>3677.0</v>
      </c>
      <c r="E201" s="16" t="s">
        <v>6</v>
      </c>
      <c r="F201" s="16" t="s">
        <v>6</v>
      </c>
      <c r="G201" s="16" t="s">
        <v>6</v>
      </c>
      <c r="H201" s="16" t="s">
        <v>6</v>
      </c>
      <c r="I201" s="16" t="s">
        <v>6</v>
      </c>
      <c r="J201" s="16" t="s">
        <v>6</v>
      </c>
    </row>
    <row r="202">
      <c r="A202" s="15" t="s">
        <v>203</v>
      </c>
      <c r="B202" s="13" t="str">
        <f>IFERROR(__xludf.DUMMYFUNCTION("GOOGLETRANSLATE(A202,""en"",""es"")"),"Eslovaquia")</f>
        <v>Eslovaquia</v>
      </c>
      <c r="C202" s="14"/>
      <c r="D202" s="17">
        <v>213766.0</v>
      </c>
      <c r="E202" s="17">
        <v>216266.0</v>
      </c>
      <c r="F202" s="17">
        <v>219866.0</v>
      </c>
      <c r="G202" s="17">
        <v>225427.0</v>
      </c>
      <c r="H202" s="17">
        <v>229456.0</v>
      </c>
      <c r="I202" s="17" t="s">
        <v>6</v>
      </c>
      <c r="J202" s="17" t="s">
        <v>6</v>
      </c>
    </row>
    <row r="203">
      <c r="A203" s="15" t="s">
        <v>204</v>
      </c>
      <c r="B203" s="13" t="str">
        <f>IFERROR(__xludf.DUMMYFUNCTION("GOOGLETRANSLATE(A203,""en"",""es"")"),"Eslovenia")</f>
        <v>Eslovenia</v>
      </c>
      <c r="C203" s="14"/>
      <c r="D203" s="16">
        <v>111648.0</v>
      </c>
      <c r="E203" s="16">
        <v>115560.0</v>
      </c>
      <c r="F203" s="16">
        <v>119563.0</v>
      </c>
      <c r="G203" s="16">
        <v>123998.0</v>
      </c>
      <c r="H203" s="16">
        <v>129123.0</v>
      </c>
      <c r="I203" s="16" t="s">
        <v>6</v>
      </c>
      <c r="J203" s="16" t="s">
        <v>6</v>
      </c>
    </row>
    <row r="204">
      <c r="A204" s="15" t="s">
        <v>205</v>
      </c>
      <c r="B204" s="13" t="str">
        <f>IFERROR(__xludf.DUMMYFUNCTION("GOOGLETRANSLATE(A204,""en"",""es"")"),"Islas Salomón")</f>
        <v>Islas Salomón</v>
      </c>
      <c r="C204" s="14"/>
      <c r="D204" s="17">
        <v>101981.0</v>
      </c>
      <c r="E204" s="17">
        <v>104236.0</v>
      </c>
      <c r="F204" s="17">
        <v>107203.0</v>
      </c>
      <c r="G204" s="17">
        <v>108396.0</v>
      </c>
      <c r="H204" s="17">
        <v>105428.0</v>
      </c>
      <c r="I204" s="17" t="s">
        <v>6</v>
      </c>
      <c r="J204" s="17" t="s">
        <v>6</v>
      </c>
    </row>
    <row r="205">
      <c r="A205" s="15" t="s">
        <v>206</v>
      </c>
      <c r="B205" s="13" t="str">
        <f>IFERROR(__xludf.DUMMYFUNCTION("GOOGLETRANSLATE(A205,""en"",""es"")"),"Somalia")</f>
        <v>Somalia</v>
      </c>
      <c r="C205" s="14"/>
      <c r="D205" s="16" t="s">
        <v>6</v>
      </c>
      <c r="E205" s="16" t="s">
        <v>6</v>
      </c>
      <c r="F205" s="16" t="s">
        <v>6</v>
      </c>
      <c r="G205" s="16" t="s">
        <v>6</v>
      </c>
      <c r="H205" s="16" t="s">
        <v>6</v>
      </c>
      <c r="I205" s="16" t="s">
        <v>6</v>
      </c>
      <c r="J205" s="16" t="s">
        <v>6</v>
      </c>
    </row>
    <row r="206">
      <c r="A206" s="15" t="s">
        <v>207</v>
      </c>
      <c r="B206" s="13" t="str">
        <f>IFERROR(__xludf.DUMMYFUNCTION("GOOGLETRANSLATE(A206,""en"",""es"")"),"Sudáfrica")</f>
        <v>Sudáfrica</v>
      </c>
      <c r="C206" s="14"/>
      <c r="D206" s="17">
        <v>7195183.0</v>
      </c>
      <c r="E206" s="17">
        <v>7555842.0</v>
      </c>
      <c r="F206" s="17">
        <v>7569924.0</v>
      </c>
      <c r="G206" s="17">
        <v>7582154.0</v>
      </c>
      <c r="H206" s="17">
        <v>7568387.0</v>
      </c>
      <c r="I206" s="17" t="s">
        <v>6</v>
      </c>
      <c r="J206" s="17" t="s">
        <v>6</v>
      </c>
    </row>
    <row r="207">
      <c r="A207" s="15" t="s">
        <v>208</v>
      </c>
      <c r="B207" s="13" t="str">
        <f>IFERROR(__xludf.DUMMYFUNCTION("GOOGLETRANSLATE(A207,""en"",""es"")"),"Sudán del Sur")</f>
        <v>Sudán del Sur</v>
      </c>
      <c r="C207" s="14"/>
      <c r="D207" s="16" t="s">
        <v>6</v>
      </c>
      <c r="E207" s="16">
        <v>1273852.0</v>
      </c>
      <c r="F207" s="16" t="s">
        <v>6</v>
      </c>
      <c r="G207" s="16" t="s">
        <v>6</v>
      </c>
      <c r="H207" s="16" t="s">
        <v>6</v>
      </c>
      <c r="I207" s="16" t="s">
        <v>6</v>
      </c>
      <c r="J207" s="16" t="s">
        <v>6</v>
      </c>
    </row>
    <row r="208">
      <c r="A208" s="15" t="s">
        <v>209</v>
      </c>
      <c r="B208" s="13" t="str">
        <f>IFERROR(__xludf.DUMMYFUNCTION("GOOGLETRANSLATE(A208,""en"",""es"")"),"España")</f>
        <v>España</v>
      </c>
      <c r="C208" s="14"/>
      <c r="D208" s="17">
        <v>2960626.0</v>
      </c>
      <c r="E208" s="17">
        <v>3010404.0</v>
      </c>
      <c r="F208" s="17">
        <v>3027751.0</v>
      </c>
      <c r="G208" s="17">
        <v>3042396.0</v>
      </c>
      <c r="H208" s="17">
        <v>3043396.0</v>
      </c>
      <c r="I208" s="17" t="s">
        <v>6</v>
      </c>
      <c r="J208" s="17" t="s">
        <v>6</v>
      </c>
    </row>
    <row r="209">
      <c r="A209" s="15" t="s">
        <v>210</v>
      </c>
      <c r="B209" s="13" t="str">
        <f>IFERROR(__xludf.DUMMYFUNCTION("GOOGLETRANSLATE(A209,""en"",""es"")"),"Sri Lanka")</f>
        <v>Sri Lanka</v>
      </c>
      <c r="C209" s="14"/>
      <c r="D209" s="16">
        <v>1777822.0</v>
      </c>
      <c r="E209" s="16">
        <v>1778176.0</v>
      </c>
      <c r="F209" s="16">
        <v>1770517.0</v>
      </c>
      <c r="G209" s="16">
        <v>1746843.0</v>
      </c>
      <c r="H209" s="16">
        <v>1725424.0</v>
      </c>
      <c r="I209" s="16" t="s">
        <v>6</v>
      </c>
      <c r="J209" s="16" t="s">
        <v>6</v>
      </c>
    </row>
    <row r="210">
      <c r="A210" s="15" t="s">
        <v>211</v>
      </c>
      <c r="B210" s="13" t="str">
        <f>IFERROR(__xludf.DUMMYFUNCTION("GOOGLETRANSLATE(A210,""en"",""es"")"),"Sudán")</f>
        <v>Sudán</v>
      </c>
      <c r="C210" s="14"/>
      <c r="D210" s="17">
        <v>4387973.0</v>
      </c>
      <c r="E210" s="17">
        <v>4518417.0</v>
      </c>
      <c r="F210" s="17">
        <v>4762222.0</v>
      </c>
      <c r="G210" s="17">
        <v>4899664.0</v>
      </c>
      <c r="H210" s="17" t="s">
        <v>6</v>
      </c>
      <c r="I210" s="17" t="s">
        <v>6</v>
      </c>
      <c r="J210" s="17" t="s">
        <v>6</v>
      </c>
    </row>
    <row r="211">
      <c r="A211" s="18" t="s">
        <v>212</v>
      </c>
      <c r="B211" s="13" t="str">
        <f>IFERROR(__xludf.DUMMYFUNCTION("GOOGLETRANSLATE(A211,""en"",""es"")"),"Sudán (pre-secesión)")</f>
        <v>Sudán (pre-secesión)</v>
      </c>
      <c r="C211" s="14"/>
      <c r="D211" s="16" t="s">
        <v>6</v>
      </c>
      <c r="E211" s="16" t="s">
        <v>6</v>
      </c>
      <c r="F211" s="16" t="s">
        <v>6</v>
      </c>
      <c r="G211" s="16" t="s">
        <v>6</v>
      </c>
      <c r="H211" s="16" t="s">
        <v>6</v>
      </c>
      <c r="I211" s="16" t="s">
        <v>6</v>
      </c>
      <c r="J211" s="16" t="s">
        <v>6</v>
      </c>
    </row>
    <row r="212">
      <c r="A212" s="15" t="s">
        <v>213</v>
      </c>
      <c r="B212" s="13" t="str">
        <f>IFERROR(__xludf.DUMMYFUNCTION("GOOGLETRANSLATE(A212,""en"",""es"")"),"Surinam")</f>
        <v>Surinam</v>
      </c>
      <c r="C212" s="14"/>
      <c r="D212" s="17">
        <v>70492.0</v>
      </c>
      <c r="E212" s="17">
        <v>71921.0</v>
      </c>
      <c r="F212" s="17">
        <v>71653.0</v>
      </c>
      <c r="G212" s="17">
        <v>68612.0</v>
      </c>
      <c r="H212" s="17">
        <v>67690.0</v>
      </c>
      <c r="I212" s="17">
        <v>68147.0</v>
      </c>
      <c r="J212" s="17" t="s">
        <v>6</v>
      </c>
    </row>
    <row r="213">
      <c r="A213" s="18" t="s">
        <v>214</v>
      </c>
      <c r="B213" s="13" t="str">
        <f>IFERROR(__xludf.DUMMYFUNCTION("GOOGLETRANSLATE(A213,""en"",""es"")"),"Svalbard y Jan Mayen")</f>
        <v>Svalbard y Jan Mayen</v>
      </c>
      <c r="C213" s="14"/>
      <c r="D213" s="16" t="s">
        <v>6</v>
      </c>
      <c r="E213" s="16" t="s">
        <v>6</v>
      </c>
      <c r="F213" s="16" t="s">
        <v>6</v>
      </c>
      <c r="G213" s="16" t="s">
        <v>6</v>
      </c>
      <c r="H213" s="16" t="s">
        <v>6</v>
      </c>
      <c r="I213" s="16" t="s">
        <v>6</v>
      </c>
      <c r="J213" s="16" t="s">
        <v>6</v>
      </c>
    </row>
    <row r="214">
      <c r="A214" s="15" t="s">
        <v>215</v>
      </c>
      <c r="B214" s="13" t="str">
        <f>IFERROR(__xludf.DUMMYFUNCTION("GOOGLETRANSLATE(A214,""en"",""es"")"),"Suecia")</f>
        <v>Suecia</v>
      </c>
      <c r="C214" s="14"/>
      <c r="D214" s="17">
        <v>757164.0</v>
      </c>
      <c r="E214" s="17">
        <v>791893.0</v>
      </c>
      <c r="F214" s="17">
        <v>826685.0</v>
      </c>
      <c r="G214" s="17">
        <v>861086.0</v>
      </c>
      <c r="H214" s="17">
        <v>893495.0</v>
      </c>
      <c r="I214" s="17" t="s">
        <v>6</v>
      </c>
      <c r="J214" s="17" t="s">
        <v>6</v>
      </c>
    </row>
    <row r="215">
      <c r="A215" s="15" t="s">
        <v>216</v>
      </c>
      <c r="B215" s="13" t="str">
        <f>IFERROR(__xludf.DUMMYFUNCTION("GOOGLETRANSLATE(A215,""en"",""es"")"),"Suiza")</f>
        <v>Suiza</v>
      </c>
      <c r="C215" s="14"/>
      <c r="D215" s="16">
        <v>483900.0</v>
      </c>
      <c r="E215" s="16">
        <v>490469.0</v>
      </c>
      <c r="F215" s="16">
        <v>498338.0</v>
      </c>
      <c r="G215" s="16">
        <v>507686.0</v>
      </c>
      <c r="H215" s="16">
        <v>514664.0</v>
      </c>
      <c r="I215" s="16" t="s">
        <v>6</v>
      </c>
      <c r="J215" s="16" t="s">
        <v>6</v>
      </c>
    </row>
    <row r="216">
      <c r="A216" s="18" t="s">
        <v>217</v>
      </c>
      <c r="B216" s="13" t="str">
        <f>IFERROR(__xludf.DUMMYFUNCTION("GOOGLETRANSLATE(A216,""en"",""es"")"),"República Árabe Siria")</f>
        <v>República Árabe Siria</v>
      </c>
      <c r="C216" s="14"/>
      <c r="D216" s="17" t="s">
        <v>6</v>
      </c>
      <c r="E216" s="17" t="s">
        <v>6</v>
      </c>
      <c r="F216" s="17" t="s">
        <v>6</v>
      </c>
      <c r="G216" s="17" t="s">
        <v>6</v>
      </c>
      <c r="H216" s="17" t="s">
        <v>6</v>
      </c>
      <c r="I216" s="17" t="s">
        <v>6</v>
      </c>
      <c r="J216" s="17" t="s">
        <v>6</v>
      </c>
    </row>
    <row r="217">
      <c r="A217" s="15" t="s">
        <v>218</v>
      </c>
      <c r="B217" s="13" t="str">
        <f>IFERROR(__xludf.DUMMYFUNCTION("GOOGLETRANSLATE(A217,""en"",""es"")"),"Tayikistán")</f>
        <v>Tayikistán</v>
      </c>
      <c r="C217" s="14"/>
      <c r="D217" s="16">
        <v>662427.0</v>
      </c>
      <c r="E217" s="16">
        <v>683162.0</v>
      </c>
      <c r="F217" s="16">
        <v>718497.0</v>
      </c>
      <c r="G217" s="16">
        <v>771040.0</v>
      </c>
      <c r="H217" s="16" t="s">
        <v>6</v>
      </c>
      <c r="I217" s="16" t="s">
        <v>6</v>
      </c>
      <c r="J217" s="16" t="s">
        <v>6</v>
      </c>
    </row>
    <row r="218">
      <c r="A218" s="15" t="s">
        <v>219</v>
      </c>
      <c r="B218" s="13" t="str">
        <f>IFERROR(__xludf.DUMMYFUNCTION("GOOGLETRANSLATE(A218,""en"",""es"")"),"Tailandia")</f>
        <v>Tailandia</v>
      </c>
      <c r="C218" s="14"/>
      <c r="D218" s="17">
        <v>5182351.0</v>
      </c>
      <c r="E218" s="17">
        <v>5081079.0</v>
      </c>
      <c r="F218" s="17">
        <v>5063489.0</v>
      </c>
      <c r="G218" s="17">
        <v>4952685.0</v>
      </c>
      <c r="H218" s="17">
        <v>4900785.0</v>
      </c>
      <c r="I218" s="17">
        <v>4899076.0</v>
      </c>
      <c r="J218" s="17" t="s">
        <v>6</v>
      </c>
    </row>
    <row r="219">
      <c r="A219" s="15" t="s">
        <v>220</v>
      </c>
      <c r="B219" s="13" t="str">
        <f>IFERROR(__xludf.DUMMYFUNCTION("GOOGLETRANSLATE(A219,""en"",""es"")"),"Timor Oriental")</f>
        <v>Timor Oriental</v>
      </c>
      <c r="C219" s="14"/>
      <c r="D219" s="16">
        <v>245847.0</v>
      </c>
      <c r="E219" s="16">
        <v>243559.0</v>
      </c>
      <c r="F219" s="16">
        <v>236190.0</v>
      </c>
      <c r="G219" s="16">
        <v>222835.0</v>
      </c>
      <c r="H219" s="16">
        <v>212849.0</v>
      </c>
      <c r="I219" s="16">
        <v>206512.0</v>
      </c>
      <c r="J219" s="16" t="s">
        <v>6</v>
      </c>
    </row>
    <row r="220">
      <c r="A220" s="15" t="s">
        <v>221</v>
      </c>
      <c r="B220" s="13" t="str">
        <f>IFERROR(__xludf.DUMMYFUNCTION("GOOGLETRANSLATE(A220,""en"",""es"")"),"Ir")</f>
        <v>Ir</v>
      </c>
      <c r="C220" s="14"/>
      <c r="D220" s="17">
        <v>1413208.0</v>
      </c>
      <c r="E220" s="17">
        <v>1498312.0</v>
      </c>
      <c r="F220" s="17">
        <v>1498314.46</v>
      </c>
      <c r="G220" s="17">
        <v>1524191.0</v>
      </c>
      <c r="H220" s="17">
        <v>1548876.0</v>
      </c>
      <c r="I220" s="17">
        <v>1584376.0</v>
      </c>
      <c r="J220" s="17" t="s">
        <v>6</v>
      </c>
    </row>
    <row r="221">
      <c r="A221" s="15" t="s">
        <v>222</v>
      </c>
      <c r="B221" s="13" t="str">
        <f>IFERROR(__xludf.DUMMYFUNCTION("GOOGLETRANSLATE(A221,""en"",""es"")"),"Tokelau")</f>
        <v>Tokelau</v>
      </c>
      <c r="C221" s="14"/>
      <c r="D221" s="16" t="s">
        <v>6</v>
      </c>
      <c r="E221" s="16" t="s">
        <v>6</v>
      </c>
      <c r="F221" s="16">
        <v>178.0</v>
      </c>
      <c r="G221" s="16" t="s">
        <v>6</v>
      </c>
      <c r="H221" s="16" t="s">
        <v>6</v>
      </c>
      <c r="I221" s="16">
        <v>167.0</v>
      </c>
      <c r="J221" s="16" t="s">
        <v>6</v>
      </c>
    </row>
    <row r="222">
      <c r="A222" s="15" t="s">
        <v>223</v>
      </c>
      <c r="B222" s="13" t="str">
        <f>IFERROR(__xludf.DUMMYFUNCTION("GOOGLETRANSLATE(A222,""en"",""es"")"),"Tonga")</f>
        <v>Tonga</v>
      </c>
      <c r="C222" s="14"/>
      <c r="D222" s="17">
        <v>17093.0</v>
      </c>
      <c r="E222" s="17">
        <v>16982.0</v>
      </c>
      <c r="F222" s="17" t="s">
        <v>6</v>
      </c>
      <c r="G222" s="17" t="s">
        <v>6</v>
      </c>
      <c r="H222" s="17" t="s">
        <v>6</v>
      </c>
      <c r="I222" s="17" t="s">
        <v>6</v>
      </c>
      <c r="J222" s="17" t="s">
        <v>6</v>
      </c>
    </row>
    <row r="223">
      <c r="A223" s="18" t="s">
        <v>224</v>
      </c>
      <c r="B223" s="13" t="str">
        <f>IFERROR(__xludf.DUMMYFUNCTION("GOOGLETRANSLATE(A223,""en"",""es"")"),"Trinidad y Tobago")</f>
        <v>Trinidad y Tobago</v>
      </c>
      <c r="C223" s="14"/>
      <c r="D223" s="16" t="s">
        <v>6</v>
      </c>
      <c r="E223" s="16" t="s">
        <v>6</v>
      </c>
      <c r="F223" s="16" t="s">
        <v>6</v>
      </c>
      <c r="G223" s="16" t="s">
        <v>6</v>
      </c>
      <c r="H223" s="16" t="s">
        <v>6</v>
      </c>
      <c r="I223" s="16" t="s">
        <v>6</v>
      </c>
      <c r="J223" s="16" t="s">
        <v>6</v>
      </c>
    </row>
    <row r="224">
      <c r="A224" s="15" t="s">
        <v>225</v>
      </c>
      <c r="B224" s="13" t="str">
        <f>IFERROR(__xludf.DUMMYFUNCTION("GOOGLETRANSLATE(A224,""en"",""es"")"),"Túnez")</f>
        <v>Túnez</v>
      </c>
      <c r="C224" s="14"/>
      <c r="D224" s="17">
        <v>1089220.0</v>
      </c>
      <c r="E224" s="17">
        <v>1114883.0</v>
      </c>
      <c r="F224" s="17">
        <v>1139314.0</v>
      </c>
      <c r="G224" s="17">
        <v>1170470.0</v>
      </c>
      <c r="H224" s="17">
        <v>1201736.0</v>
      </c>
      <c r="I224" s="17" t="s">
        <v>6</v>
      </c>
      <c r="J224" s="17" t="s">
        <v>6</v>
      </c>
    </row>
    <row r="225">
      <c r="A225" s="15" t="s">
        <v>226</v>
      </c>
      <c r="B225" s="13" t="str">
        <f>IFERROR(__xludf.DUMMYFUNCTION("GOOGLETRANSLATE(A225,""en"",""es"")"),"pavo")</f>
        <v>pavo</v>
      </c>
      <c r="C225" s="14"/>
      <c r="D225" s="16">
        <v>5574916.0</v>
      </c>
      <c r="E225" s="16">
        <v>5434150.0</v>
      </c>
      <c r="F225" s="16">
        <v>5360703.0</v>
      </c>
      <c r="G225" s="16">
        <v>4972430.0</v>
      </c>
      <c r="H225" s="16">
        <v>5104599.0</v>
      </c>
      <c r="I225" s="16" t="s">
        <v>6</v>
      </c>
      <c r="J225" s="16" t="s">
        <v>6</v>
      </c>
    </row>
    <row r="226">
      <c r="A226" s="15" t="s">
        <v>227</v>
      </c>
      <c r="B226" s="13" t="str">
        <f>IFERROR(__xludf.DUMMYFUNCTION("GOOGLETRANSLATE(A226,""en"",""es"")"),"Turkmenistán")</f>
        <v>Turkmenistán</v>
      </c>
      <c r="C226" s="14"/>
      <c r="D226" s="17" t="s">
        <v>6</v>
      </c>
      <c r="E226" s="17" t="s">
        <v>6</v>
      </c>
      <c r="F226" s="17" t="s">
        <v>6</v>
      </c>
      <c r="G226" s="17" t="s">
        <v>6</v>
      </c>
      <c r="H226" s="17" t="s">
        <v>6</v>
      </c>
      <c r="I226" s="17">
        <v>557184.0</v>
      </c>
      <c r="J226" s="17" t="s">
        <v>6</v>
      </c>
    </row>
    <row r="227">
      <c r="A227" s="18" t="s">
        <v>228</v>
      </c>
      <c r="B227" s="13" t="str">
        <f>IFERROR(__xludf.DUMMYFUNCTION("GOOGLETRANSLATE(A227,""en"",""es"")"),"Islas Turcas y Caicos")</f>
        <v>Islas Turcas y Caicos</v>
      </c>
      <c r="C227" s="14"/>
      <c r="D227" s="16">
        <v>2647.0</v>
      </c>
      <c r="E227" s="16">
        <v>2577.0</v>
      </c>
      <c r="F227" s="16" t="s">
        <v>6</v>
      </c>
      <c r="G227" s="16" t="s">
        <v>6</v>
      </c>
      <c r="H227" s="16">
        <v>3680.0</v>
      </c>
      <c r="I227" s="16" t="s">
        <v>6</v>
      </c>
      <c r="J227" s="16" t="s">
        <v>6</v>
      </c>
    </row>
    <row r="228">
      <c r="A228" s="15" t="s">
        <v>229</v>
      </c>
      <c r="B228" s="13" t="str">
        <f>IFERROR(__xludf.DUMMYFUNCTION("GOOGLETRANSLATE(A228,""en"",""es"")"),"Tuvalu")</f>
        <v>Tuvalu</v>
      </c>
      <c r="C228" s="14"/>
      <c r="D228" s="17">
        <v>1421.0</v>
      </c>
      <c r="E228" s="17">
        <v>1488.0</v>
      </c>
      <c r="F228" s="17">
        <v>1324.0</v>
      </c>
      <c r="G228" s="17" t="s">
        <v>6</v>
      </c>
      <c r="H228" s="17">
        <v>1324.0</v>
      </c>
      <c r="I228" s="17">
        <v>1688.0</v>
      </c>
      <c r="J228" s="17" t="s">
        <v>6</v>
      </c>
    </row>
    <row r="229">
      <c r="A229" s="15" t="s">
        <v>230</v>
      </c>
      <c r="B229" s="13" t="str">
        <f>IFERROR(__xludf.DUMMYFUNCTION("GOOGLETRANSLATE(A229,""en"",""es"")"),"Uganda")</f>
        <v>Uganda</v>
      </c>
      <c r="C229" s="14"/>
      <c r="D229" s="16" t="s">
        <v>6</v>
      </c>
      <c r="E229" s="16">
        <v>8264317.0</v>
      </c>
      <c r="F229" s="16">
        <v>8655924.0</v>
      </c>
      <c r="G229" s="16">
        <v>8840589.0</v>
      </c>
      <c r="H229" s="16" t="s">
        <v>6</v>
      </c>
      <c r="I229" s="16" t="s">
        <v>6</v>
      </c>
      <c r="J229" s="16" t="s">
        <v>6</v>
      </c>
    </row>
    <row r="230">
      <c r="A230" s="15" t="s">
        <v>231</v>
      </c>
      <c r="B230" s="13" t="str">
        <f>IFERROR(__xludf.DUMMYFUNCTION("GOOGLETRANSLATE(A230,""en"",""es"")"),"Ucrania")</f>
        <v>Ucrania</v>
      </c>
      <c r="C230" s="14"/>
      <c r="D230" s="17">
        <v>1685030.0</v>
      </c>
      <c r="E230" s="17">
        <v>1536578.0</v>
      </c>
      <c r="F230" s="17">
        <v>1599250.0</v>
      </c>
      <c r="G230" s="17">
        <v>1644263.0</v>
      </c>
      <c r="H230" s="17">
        <v>1676550.0</v>
      </c>
      <c r="I230" s="17">
        <v>1724664.0</v>
      </c>
      <c r="J230" s="17" t="s">
        <v>6</v>
      </c>
    </row>
    <row r="231">
      <c r="A231" s="18" t="s">
        <v>232</v>
      </c>
      <c r="B231" s="13" t="str">
        <f>IFERROR(__xludf.DUMMYFUNCTION("GOOGLETRANSLATE(A231,""en"",""es"")"),"Emiratos Árabes Unidos")</f>
        <v>Emiratos Árabes Unidos</v>
      </c>
      <c r="C231" s="14"/>
      <c r="D231" s="16">
        <v>409776.0</v>
      </c>
      <c r="E231" s="16">
        <v>460975.0</v>
      </c>
      <c r="F231" s="16">
        <v>467723.0</v>
      </c>
      <c r="G231" s="16">
        <v>486086.0</v>
      </c>
      <c r="H231" s="16" t="s">
        <v>6</v>
      </c>
      <c r="I231" s="16" t="s">
        <v>6</v>
      </c>
      <c r="J231" s="16" t="s">
        <v>6</v>
      </c>
    </row>
    <row r="232">
      <c r="A232" s="18" t="s">
        <v>233</v>
      </c>
      <c r="B232" s="13" t="str">
        <f>IFERROR(__xludf.DUMMYFUNCTION("GOOGLETRANSLATE(A232,""en"",""es"")"),"Reino Unido de Gran Bretaña e Irlanda del Norte")</f>
        <v>Reino Unido de Gran Bretaña e Irlanda del Norte</v>
      </c>
      <c r="C232" s="14"/>
      <c r="D232" s="17">
        <v>4509479.0</v>
      </c>
      <c r="E232" s="17">
        <v>4621192.0</v>
      </c>
      <c r="F232" s="17">
        <v>4721647.0</v>
      </c>
      <c r="G232" s="17">
        <v>4820283.0</v>
      </c>
      <c r="H232" s="17">
        <v>4892502.0</v>
      </c>
      <c r="I232" s="17" t="s">
        <v>6</v>
      </c>
      <c r="J232" s="17" t="s">
        <v>6</v>
      </c>
    </row>
    <row r="233">
      <c r="A233" s="18" t="s">
        <v>234</v>
      </c>
      <c r="B233" s="13" t="str">
        <f>IFERROR(__xludf.DUMMYFUNCTION("GOOGLETRANSLATE(A233,""en"",""es"")"),"República Unida de Tanzania")</f>
        <v>República Unida de Tanzania</v>
      </c>
      <c r="C233" s="14"/>
      <c r="D233" s="16">
        <v>8222667.0</v>
      </c>
      <c r="E233" s="16">
        <v>8298282.0</v>
      </c>
      <c r="F233" s="16">
        <v>8638572.0</v>
      </c>
      <c r="G233" s="16">
        <v>9315656.0</v>
      </c>
      <c r="H233" s="16">
        <v>1.0111671E7</v>
      </c>
      <c r="I233" s="16">
        <v>1.060543E7</v>
      </c>
      <c r="J233" s="16" t="s">
        <v>6</v>
      </c>
    </row>
    <row r="234">
      <c r="A234" s="18" t="s">
        <v>235</v>
      </c>
      <c r="B234" s="13" t="str">
        <f>IFERROR(__xludf.DUMMYFUNCTION("GOOGLETRANSLATE(A234,""en"",""es"")"),"Estados Unidos de America")</f>
        <v>Estados Unidos de America</v>
      </c>
      <c r="C234" s="14"/>
      <c r="D234" s="17">
        <v>2.4538371E7</v>
      </c>
      <c r="E234" s="17">
        <v>2.478569704E7</v>
      </c>
      <c r="F234" s="17">
        <v>2.501905111E7</v>
      </c>
      <c r="G234" s="17">
        <v>2.512367723E7</v>
      </c>
      <c r="H234" s="17">
        <v>2.495795589E7</v>
      </c>
      <c r="I234" s="17" t="s">
        <v>6</v>
      </c>
      <c r="J234" s="17" t="s">
        <v>6</v>
      </c>
    </row>
    <row r="235">
      <c r="A235" s="18" t="s">
        <v>236</v>
      </c>
      <c r="B235" s="13" t="str">
        <f>IFERROR(__xludf.DUMMYFUNCTION("GOOGLETRANSLATE(A235,""en"",""es"")"),"Islas Vírgenes de los Estados")</f>
        <v>Islas Vírgenes de los Estados</v>
      </c>
      <c r="C235" s="14"/>
      <c r="D235" s="16" t="s">
        <v>6</v>
      </c>
      <c r="E235" s="16" t="s">
        <v>6</v>
      </c>
      <c r="F235" s="16" t="s">
        <v>6</v>
      </c>
      <c r="G235" s="16" t="s">
        <v>6</v>
      </c>
      <c r="H235" s="16" t="s">
        <v>6</v>
      </c>
      <c r="I235" s="16" t="s">
        <v>6</v>
      </c>
      <c r="J235" s="16" t="s">
        <v>6</v>
      </c>
    </row>
    <row r="236">
      <c r="A236" s="15" t="s">
        <v>237</v>
      </c>
      <c r="B236" s="13" t="str">
        <f>IFERROR(__xludf.DUMMYFUNCTION("GOOGLETRANSLATE(A236,""en"",""es"")"),"Uruguay")</f>
        <v>Uruguay</v>
      </c>
      <c r="C236" s="14"/>
      <c r="D236" s="17">
        <v>321779.0</v>
      </c>
      <c r="E236" s="17">
        <v>316864.0</v>
      </c>
      <c r="F236" s="17">
        <v>309806.0</v>
      </c>
      <c r="G236" s="17">
        <v>304309.0</v>
      </c>
      <c r="H236" s="17">
        <v>296791.0</v>
      </c>
      <c r="I236" s="17" t="s">
        <v>6</v>
      </c>
      <c r="J236" s="17" t="s">
        <v>6</v>
      </c>
    </row>
    <row r="237">
      <c r="A237" s="15" t="s">
        <v>238</v>
      </c>
      <c r="B237" s="13" t="str">
        <f>IFERROR(__xludf.DUMMYFUNCTION("GOOGLETRANSLATE(A237,""en"",""es"")"),"Uzbekistán")</f>
        <v>Uzbekistán</v>
      </c>
      <c r="C237" s="14"/>
      <c r="D237" s="16">
        <v>2033877.0</v>
      </c>
      <c r="E237" s="16">
        <v>2134601.0</v>
      </c>
      <c r="F237" s="16">
        <v>2260515.0</v>
      </c>
      <c r="G237" s="16">
        <v>2391489.0</v>
      </c>
      <c r="H237" s="16">
        <v>2485178.0</v>
      </c>
      <c r="I237" s="16">
        <v>2505930.0</v>
      </c>
      <c r="J237" s="16" t="s">
        <v>6</v>
      </c>
    </row>
    <row r="238">
      <c r="A238" s="15" t="s">
        <v>239</v>
      </c>
      <c r="B238" s="13" t="str">
        <f>IFERROR(__xludf.DUMMYFUNCTION("GOOGLETRANSLATE(A238,""en"",""es"")"),"Vanuatu")</f>
        <v>Vanuatu</v>
      </c>
      <c r="C238" s="14"/>
      <c r="D238" s="17" t="s">
        <v>6</v>
      </c>
      <c r="E238" s="17">
        <v>45931.0</v>
      </c>
      <c r="F238" s="17" t="s">
        <v>6</v>
      </c>
      <c r="G238" s="17" t="s">
        <v>6</v>
      </c>
      <c r="H238" s="17" t="s">
        <v>6</v>
      </c>
      <c r="I238" s="17" t="s">
        <v>6</v>
      </c>
      <c r="J238" s="17" t="s">
        <v>6</v>
      </c>
    </row>
    <row r="239">
      <c r="A239" s="18" t="s">
        <v>240</v>
      </c>
      <c r="B239" s="13" t="str">
        <f>IFERROR(__xludf.DUMMYFUNCTION("GOOGLETRANSLATE(A239,""en"",""es"")"),"Venezuela (República Bolivariana de)")</f>
        <v>Venezuela (República Bolivariana de)</v>
      </c>
      <c r="C239" s="14"/>
      <c r="D239" s="16">
        <v>3493044.0</v>
      </c>
      <c r="E239" s="16">
        <v>3476473.0</v>
      </c>
      <c r="F239" s="16">
        <v>3383277.0</v>
      </c>
      <c r="G239" s="16">
        <v>3285299.0</v>
      </c>
      <c r="H239" s="16" t="s">
        <v>6</v>
      </c>
      <c r="I239" s="16" t="s">
        <v>6</v>
      </c>
      <c r="J239" s="16" t="s">
        <v>6</v>
      </c>
    </row>
    <row r="240">
      <c r="A240" s="15" t="s">
        <v>241</v>
      </c>
      <c r="B240" s="13" t="str">
        <f>IFERROR(__xludf.DUMMYFUNCTION("GOOGLETRANSLATE(A240,""en"",""es"")"),"Vietnam")</f>
        <v>Vietnam</v>
      </c>
      <c r="C240" s="14"/>
      <c r="D240" s="17">
        <v>7434848.0</v>
      </c>
      <c r="E240" s="17">
        <v>7543632.0</v>
      </c>
      <c r="F240" s="17">
        <v>7790009.0</v>
      </c>
      <c r="G240" s="17">
        <v>7801560.0</v>
      </c>
      <c r="H240" s="17">
        <v>8041842.0</v>
      </c>
      <c r="I240" s="17">
        <v>8506562.0</v>
      </c>
      <c r="J240" s="17" t="s">
        <v>6</v>
      </c>
    </row>
    <row r="241">
      <c r="A241" s="18" t="s">
        <v>242</v>
      </c>
      <c r="B241" s="13" t="str">
        <f>IFERROR(__xludf.DUMMYFUNCTION("GOOGLETRANSLATE(A241,""en"",""es"")"),"Wallis y Futuna")</f>
        <v>Wallis y Futuna</v>
      </c>
      <c r="C241" s="14"/>
      <c r="D241" s="16" t="s">
        <v>6</v>
      </c>
      <c r="E241" s="16" t="s">
        <v>6</v>
      </c>
      <c r="F241" s="16" t="s">
        <v>6</v>
      </c>
      <c r="G241" s="16" t="s">
        <v>6</v>
      </c>
      <c r="H241" s="16" t="s">
        <v>6</v>
      </c>
      <c r="I241" s="16" t="s">
        <v>6</v>
      </c>
      <c r="J241" s="16" t="s">
        <v>6</v>
      </c>
    </row>
    <row r="242">
      <c r="A242" s="15" t="s">
        <v>243</v>
      </c>
      <c r="B242" s="13" t="str">
        <f>IFERROR(__xludf.DUMMYFUNCTION("GOOGLETRANSLATE(A242,""en"",""es"")"),"Sahara Occidental")</f>
        <v>Sahara Occidental</v>
      </c>
      <c r="C242" s="14"/>
      <c r="D242" s="17" t="s">
        <v>6</v>
      </c>
      <c r="E242" s="17" t="s">
        <v>6</v>
      </c>
      <c r="F242" s="17" t="s">
        <v>6</v>
      </c>
      <c r="G242" s="17" t="s">
        <v>6</v>
      </c>
      <c r="H242" s="17" t="s">
        <v>6</v>
      </c>
      <c r="I242" s="17" t="s">
        <v>6</v>
      </c>
      <c r="J242" s="17" t="s">
        <v>6</v>
      </c>
    </row>
    <row r="243">
      <c r="A243" s="15" t="s">
        <v>244</v>
      </c>
      <c r="B243" s="13" t="str">
        <f>IFERROR(__xludf.DUMMYFUNCTION("GOOGLETRANSLATE(A243,""en"",""es"")"),"Yemen")</f>
        <v>Yemen</v>
      </c>
      <c r="C243" s="14"/>
      <c r="D243" s="16" t="s">
        <v>6</v>
      </c>
      <c r="E243" s="16" t="s">
        <v>6</v>
      </c>
      <c r="F243" s="16">
        <v>3900134.0</v>
      </c>
      <c r="G243" s="16" t="s">
        <v>6</v>
      </c>
      <c r="H243" s="16" t="s">
        <v>6</v>
      </c>
      <c r="I243" s="16" t="s">
        <v>6</v>
      </c>
      <c r="J243" s="16" t="s">
        <v>6</v>
      </c>
    </row>
    <row r="244">
      <c r="A244" s="15" t="s">
        <v>245</v>
      </c>
      <c r="B244" s="13" t="str">
        <f>IFERROR(__xludf.DUMMYFUNCTION("GOOGLETRANSLATE(A244,""en"",""es"")"),"Zambia")</f>
        <v>Zambia</v>
      </c>
      <c r="C244" s="14"/>
      <c r="D244" s="17">
        <v>3217872.0</v>
      </c>
      <c r="E244" s="17">
        <v>3215723.0</v>
      </c>
      <c r="F244" s="17">
        <v>3203220.0</v>
      </c>
      <c r="G244" s="17">
        <v>3284841.0</v>
      </c>
      <c r="H244" s="17" t="s">
        <v>6</v>
      </c>
      <c r="I244" s="17" t="s">
        <v>6</v>
      </c>
      <c r="J244" s="17" t="s">
        <v>6</v>
      </c>
    </row>
    <row r="245">
      <c r="A245" s="15" t="s">
        <v>246</v>
      </c>
      <c r="B245" s="13" t="str">
        <f>IFERROR(__xludf.DUMMYFUNCTION("GOOGLETRANSLATE(A245,""en"",""es"")"),"Zimbabue")</f>
        <v>Zimbabue</v>
      </c>
      <c r="C245" s="14"/>
      <c r="D245" s="16" t="s">
        <v>6</v>
      </c>
      <c r="E245" s="16" t="s">
        <v>6</v>
      </c>
      <c r="F245" s="16" t="s">
        <v>6</v>
      </c>
      <c r="G245" s="16" t="s">
        <v>6</v>
      </c>
      <c r="H245" s="16" t="s">
        <v>6</v>
      </c>
      <c r="I245" s="16" t="s">
        <v>6</v>
      </c>
      <c r="J245" s="16" t="s">
        <v>6</v>
      </c>
    </row>
    <row r="246">
      <c r="A246" s="18" t="s">
        <v>247</v>
      </c>
      <c r="B246" s="13" t="str">
        <f>IFERROR(__xludf.DUMMYFUNCTION("GOOGLETRANSLATE(A246,""en"",""es"")"),"Sostenible Objetivo regiones de desarrollo")</f>
        <v>Sostenible Objetivo regiones de desarrollo</v>
      </c>
      <c r="C246" s="14"/>
      <c r="D246" s="17" t="s">
        <v>6</v>
      </c>
      <c r="E246" s="17" t="s">
        <v>6</v>
      </c>
      <c r="F246" s="17" t="s">
        <v>6</v>
      </c>
      <c r="G246" s="17" t="s">
        <v>6</v>
      </c>
      <c r="H246" s="17" t="s">
        <v>6</v>
      </c>
      <c r="I246" s="17" t="s">
        <v>6</v>
      </c>
      <c r="J246" s="17" t="s">
        <v>6</v>
      </c>
    </row>
    <row r="247">
      <c r="A247" s="15" t="s">
        <v>248</v>
      </c>
      <c r="B247" s="13" t="str">
        <f>IFERROR(__xludf.DUMMYFUNCTION("GOOGLETRANSLATE(A247,""en"",""es"")"),"Mundo")</f>
        <v>Mundo</v>
      </c>
      <c r="C247" s="14"/>
      <c r="D247" s="16">
        <v>7.157780977E8</v>
      </c>
      <c r="E247" s="16">
        <v>7.199206956E8</v>
      </c>
      <c r="F247" s="16">
        <v>7.363756485E8</v>
      </c>
      <c r="G247" s="16">
        <v>7.415134975E8</v>
      </c>
      <c r="H247" s="16">
        <v>7.29577641E8</v>
      </c>
      <c r="I247" s="16">
        <v>7.39447189E8</v>
      </c>
      <c r="J247" s="16" t="s">
        <v>6</v>
      </c>
    </row>
    <row r="248">
      <c r="A248" s="18" t="s">
        <v>249</v>
      </c>
      <c r="B248" s="13" t="str">
        <f>IFERROR(__xludf.DUMMYFUNCTION("GOOGLETRANSLATE(A248,""en"",""es"")"),"Países en desarrollo sin")</f>
        <v>Países en desarrollo sin</v>
      </c>
      <c r="C248" s="14"/>
      <c r="D248" s="17">
        <v>7.116669149E7</v>
      </c>
      <c r="E248" s="17">
        <v>7.16831745E7</v>
      </c>
      <c r="F248" s="17">
        <v>7.315830915E7</v>
      </c>
      <c r="G248" s="17">
        <v>7.466782832E7</v>
      </c>
      <c r="H248" s="17">
        <v>7.615053764E7</v>
      </c>
      <c r="I248" s="17">
        <v>7.733259236E7</v>
      </c>
      <c r="J248" s="17" t="s">
        <v>6</v>
      </c>
    </row>
    <row r="249">
      <c r="A249" s="18" t="s">
        <v>250</v>
      </c>
      <c r="B249" s="13" t="str">
        <f>IFERROR(__xludf.DUMMYFUNCTION("GOOGLETRANSLATE(A249,""en"",""es"")"),"Países menos desarrollados")</f>
        <v>Países menos desarrollados</v>
      </c>
      <c r="C249" s="14"/>
      <c r="D249" s="16">
        <v>1.452475532E8</v>
      </c>
      <c r="E249" s="16">
        <v>1.466280135E8</v>
      </c>
      <c r="F249" s="16">
        <v>1.495884916E8</v>
      </c>
      <c r="G249" s="16">
        <v>1.528676494E8</v>
      </c>
      <c r="H249" s="16">
        <v>1.567633299E8</v>
      </c>
      <c r="I249" s="16">
        <v>1.596444608E8</v>
      </c>
      <c r="J249" s="16" t="s">
        <v>6</v>
      </c>
    </row>
    <row r="250">
      <c r="A250" s="18" t="s">
        <v>251</v>
      </c>
      <c r="B250" s="13" t="str">
        <f>IFERROR(__xludf.DUMMYFUNCTION("GOOGLETRANSLATE(A250,""en"",""es"")"),"Los pequeños Estados insulares en desarrollo")</f>
        <v>Los pequeños Estados insulares en desarrollo</v>
      </c>
      <c r="C250" s="14"/>
      <c r="D250" s="17">
        <v>8338817.488</v>
      </c>
      <c r="E250" s="17">
        <v>8369303.183</v>
      </c>
      <c r="F250" s="17">
        <v>8324626.842</v>
      </c>
      <c r="G250" s="17">
        <v>8282710.635</v>
      </c>
      <c r="H250" s="17">
        <v>8268560.087</v>
      </c>
      <c r="I250" s="17">
        <v>8627555.182</v>
      </c>
      <c r="J250" s="17" t="s">
        <v>6</v>
      </c>
    </row>
    <row r="251">
      <c r="A251" s="18" t="s">
        <v>252</v>
      </c>
      <c r="B251" s="13" t="str">
        <f>IFERROR(__xludf.DUMMYFUNCTION("GOOGLETRANSLATE(A251,""en"",""es"")"),"África (subsahariana)")</f>
        <v>África (subsahariana)</v>
      </c>
      <c r="C251" s="14"/>
      <c r="D251" s="16">
        <v>1.549537381E8</v>
      </c>
      <c r="E251" s="16">
        <v>1.568037833E8</v>
      </c>
      <c r="F251" s="16">
        <v>1.609596705E8</v>
      </c>
      <c r="G251" s="16">
        <v>1.652867779E8</v>
      </c>
      <c r="H251" s="16">
        <v>1.698534252E8</v>
      </c>
      <c r="I251" s="16">
        <v>1.74282479E8</v>
      </c>
      <c r="J251" s="16" t="s">
        <v>6</v>
      </c>
    </row>
    <row r="252">
      <c r="A252" s="18" t="s">
        <v>253</v>
      </c>
      <c r="B252" s="13" t="str">
        <f>IFERROR(__xludf.DUMMYFUNCTION("GOOGLETRANSLATE(A252,""en"",""es"")"),"Asia occidental y África del Norte")</f>
        <v>Asia occidental y África del Norte</v>
      </c>
      <c r="C252" s="14"/>
      <c r="D252" s="17">
        <v>5.106203341E7</v>
      </c>
      <c r="E252" s="17">
        <v>5.151935678E7</v>
      </c>
      <c r="F252" s="17">
        <v>5.234796345E7</v>
      </c>
      <c r="G252" s="17">
        <v>5.302693018E7</v>
      </c>
      <c r="H252" s="17">
        <v>5.428095751E7</v>
      </c>
      <c r="I252" s="17">
        <v>5.566339621E7</v>
      </c>
      <c r="J252" s="17" t="s">
        <v>6</v>
      </c>
    </row>
    <row r="253">
      <c r="A253" s="15" t="s">
        <v>254</v>
      </c>
      <c r="B253" s="13" t="str">
        <f>IFERROR(__xludf.DUMMYFUNCTION("GOOGLETRANSLATE(A253,""en"",""es"")"),"África (Norte)")</f>
        <v>África (Norte)</v>
      </c>
      <c r="C253" s="14"/>
      <c r="D253" s="16">
        <v>2.516193051E7</v>
      </c>
      <c r="E253" s="16">
        <v>2.578602261E7</v>
      </c>
      <c r="F253" s="16">
        <v>2.667819126E7</v>
      </c>
      <c r="G253" s="16">
        <v>2.753161052E7</v>
      </c>
      <c r="H253" s="16">
        <v>2.839825059E7</v>
      </c>
      <c r="I253" s="16">
        <v>2.935079614E7</v>
      </c>
      <c r="J253" s="16" t="s">
        <v>6</v>
      </c>
    </row>
    <row r="254">
      <c r="A254" s="15" t="s">
        <v>255</v>
      </c>
      <c r="B254" s="13" t="str">
        <f>IFERROR(__xludf.DUMMYFUNCTION("GOOGLETRANSLATE(A254,""en"",""es"")"),"Asia (occidental)")</f>
        <v>Asia (occidental)</v>
      </c>
      <c r="C254" s="14"/>
      <c r="D254" s="17">
        <v>2.59001029E7</v>
      </c>
      <c r="E254" s="17">
        <v>2.573333417E7</v>
      </c>
      <c r="F254" s="17">
        <v>2.566977219E7</v>
      </c>
      <c r="G254" s="17">
        <v>2.549531966E7</v>
      </c>
      <c r="H254" s="17">
        <v>2.588270693E7</v>
      </c>
      <c r="I254" s="17">
        <v>2.631260007E7</v>
      </c>
      <c r="J254" s="17" t="s">
        <v>6</v>
      </c>
    </row>
    <row r="255">
      <c r="A255" s="18" t="s">
        <v>256</v>
      </c>
      <c r="B255" s="13" t="str">
        <f>IFERROR(__xludf.DUMMYFUNCTION("GOOGLETRANSLATE(A255,""en"",""es"")"),"Asia (Central y del Sur)")</f>
        <v>Asia (Central y del Sur)</v>
      </c>
      <c r="C255" s="14"/>
      <c r="D255" s="16">
        <v>1.998563046E8</v>
      </c>
      <c r="E255" s="16">
        <v>2.011017842E8</v>
      </c>
      <c r="F255" s="16">
        <v>2.104506122E8</v>
      </c>
      <c r="G255" s="16">
        <v>2.082307577E8</v>
      </c>
      <c r="H255" s="16">
        <v>1.89242411E8</v>
      </c>
      <c r="I255" s="16">
        <v>1.877726328E8</v>
      </c>
      <c r="J255" s="16" t="s">
        <v>6</v>
      </c>
    </row>
    <row r="256">
      <c r="A256" s="15" t="s">
        <v>257</v>
      </c>
      <c r="B256" s="13" t="str">
        <f>IFERROR(__xludf.DUMMYFUNCTION("GOOGLETRANSLATE(A256,""en"",""es"")"),"Asia (Central)")</f>
        <v>Asia (Central)</v>
      </c>
      <c r="C256" s="14"/>
      <c r="D256" s="17">
        <v>4732170.109</v>
      </c>
      <c r="E256" s="17">
        <v>4946929.693</v>
      </c>
      <c r="F256" s="17">
        <v>5211708.926</v>
      </c>
      <c r="G256" s="17">
        <v>5521852.718</v>
      </c>
      <c r="H256" s="17">
        <v>5752061.554</v>
      </c>
      <c r="I256" s="17">
        <v>5921672.426</v>
      </c>
      <c r="J256" s="17" t="s">
        <v>6</v>
      </c>
    </row>
    <row r="257">
      <c r="A257" s="15" t="s">
        <v>258</v>
      </c>
      <c r="B257" s="13" t="str">
        <f>IFERROR(__xludf.DUMMYFUNCTION("GOOGLETRANSLATE(A257,""en"",""es"")"),"Asia (Sur)")</f>
        <v>Asia (Sur)</v>
      </c>
      <c r="C257" s="14"/>
      <c r="D257" s="16">
        <v>1.951241344E8</v>
      </c>
      <c r="E257" s="16">
        <v>1.961548545E8</v>
      </c>
      <c r="F257" s="16">
        <v>2.052389033E8</v>
      </c>
      <c r="G257" s="16">
        <v>2.02708905E8</v>
      </c>
      <c r="H257" s="16">
        <v>1.834903495E8</v>
      </c>
      <c r="I257" s="16">
        <v>1.818509604E8</v>
      </c>
      <c r="J257" s="16" t="s">
        <v>6</v>
      </c>
    </row>
    <row r="258">
      <c r="A258" s="18" t="s">
        <v>259</v>
      </c>
      <c r="B258" s="13" t="str">
        <f>IFERROR(__xludf.DUMMYFUNCTION("GOOGLETRANSLATE(A258,""en"",""es"")"),"Asia (Este y Sur-oriental)")</f>
        <v>Asia (Este y Sur-oriental)</v>
      </c>
      <c r="C258" s="14"/>
      <c r="D258" s="17">
        <v>1.75730554E8</v>
      </c>
      <c r="E258" s="17">
        <v>1.763218808E8</v>
      </c>
      <c r="F258" s="17">
        <v>1.781780456E8</v>
      </c>
      <c r="G258" s="17">
        <v>1.797997379E8</v>
      </c>
      <c r="H258" s="17">
        <v>1.80896855E8</v>
      </c>
      <c r="I258" s="17">
        <v>1.844182451E8</v>
      </c>
      <c r="J258" s="17" t="s">
        <v>6</v>
      </c>
    </row>
    <row r="259">
      <c r="A259" s="15" t="s">
        <v>260</v>
      </c>
      <c r="B259" s="13" t="str">
        <f>IFERROR(__xludf.DUMMYFUNCTION("GOOGLETRANSLATE(A259,""en"",""es"")"),"Asia (Este)")</f>
        <v>Asia (Este)</v>
      </c>
      <c r="C259" s="14"/>
      <c r="D259" s="16">
        <v>1.068874728E8</v>
      </c>
      <c r="E259" s="16">
        <v>1.076089041E8</v>
      </c>
      <c r="F259" s="16">
        <v>1.097105316E8</v>
      </c>
      <c r="G259" s="16">
        <v>1.117633959E8</v>
      </c>
      <c r="H259" s="16">
        <v>1.13311602E8</v>
      </c>
      <c r="I259" s="16">
        <v>1.161747982E8</v>
      </c>
      <c r="J259" s="16" t="s">
        <v>6</v>
      </c>
    </row>
    <row r="260">
      <c r="A260" s="18" t="s">
        <v>261</v>
      </c>
      <c r="B260" s="13" t="str">
        <f>IFERROR(__xludf.DUMMYFUNCTION("GOOGLETRANSLATE(A260,""en"",""es"")"),"Asia (Sudeste)")</f>
        <v>Asia (Sudeste)</v>
      </c>
      <c r="C260" s="14"/>
      <c r="D260" s="17">
        <v>6.884308114E7</v>
      </c>
      <c r="E260" s="17">
        <v>6.871297672E7</v>
      </c>
      <c r="F260" s="17">
        <v>6.8467514E7</v>
      </c>
      <c r="G260" s="17">
        <v>6.8036342E7</v>
      </c>
      <c r="H260" s="17">
        <v>6.758525305E7</v>
      </c>
      <c r="I260" s="17">
        <v>6.824344682E7</v>
      </c>
      <c r="J260" s="17" t="s">
        <v>6</v>
      </c>
    </row>
    <row r="261">
      <c r="A261" s="18" t="s">
        <v>262</v>
      </c>
      <c r="B261" s="13" t="str">
        <f>IFERROR(__xludf.DUMMYFUNCTION("GOOGLETRANSLATE(A261,""en"",""es"")"),"América Latina y el Caribe")</f>
        <v>América Latina y el Caribe</v>
      </c>
      <c r="C261" s="14"/>
      <c r="D261" s="16">
        <v>6.53852306E7</v>
      </c>
      <c r="E261" s="16">
        <v>6.461414217E7</v>
      </c>
      <c r="F261" s="16">
        <v>6.398006983E7</v>
      </c>
      <c r="G261" s="16">
        <v>6.363720282E7</v>
      </c>
      <c r="H261" s="16">
        <v>6.335060131E7</v>
      </c>
      <c r="I261" s="16">
        <v>6.434496611E7</v>
      </c>
      <c r="J261" s="16" t="s">
        <v>6</v>
      </c>
    </row>
    <row r="262">
      <c r="A262" s="15" t="s">
        <v>263</v>
      </c>
      <c r="B262" s="13" t="str">
        <f>IFERROR(__xludf.DUMMYFUNCTION("GOOGLETRANSLATE(A262,""en"",""es"")"),"Oceanía")</f>
        <v>Oceanía</v>
      </c>
      <c r="C262" s="14"/>
      <c r="D262" s="17">
        <v>4079845.593</v>
      </c>
      <c r="E262" s="17">
        <v>4100574.378</v>
      </c>
      <c r="F262" s="17">
        <v>4191916.302</v>
      </c>
      <c r="G262" s="17">
        <v>4259120.111</v>
      </c>
      <c r="H262" s="17">
        <v>4310471.273</v>
      </c>
      <c r="I262" s="17">
        <v>4581463.621</v>
      </c>
      <c r="J262" s="17" t="s">
        <v>6</v>
      </c>
    </row>
    <row r="263">
      <c r="A263" s="18" t="s">
        <v>264</v>
      </c>
      <c r="B263" s="13" t="str">
        <f>IFERROR(__xludf.DUMMYFUNCTION("GOOGLETRANSLATE(A263,""en"",""es"")"),"Oceanía (Australia / Nueva Zelanda)")</f>
        <v>Oceanía (Australia / Nueva Zelanda)</v>
      </c>
      <c r="C263" s="14"/>
      <c r="D263" s="16">
        <v>2528737.0</v>
      </c>
      <c r="E263" s="16">
        <v>2508877.0</v>
      </c>
      <c r="F263" s="16">
        <v>2556762.0</v>
      </c>
      <c r="G263" s="16">
        <v>2601030.0</v>
      </c>
      <c r="H263" s="16">
        <v>2636154.0</v>
      </c>
      <c r="I263" s="16">
        <v>2659405.993</v>
      </c>
      <c r="J263" s="16" t="s">
        <v>6</v>
      </c>
    </row>
    <row r="264">
      <c r="A264" s="18" t="s">
        <v>265</v>
      </c>
      <c r="B264" s="13" t="str">
        <f>IFERROR(__xludf.DUMMYFUNCTION("GOOGLETRANSLATE(A264,""en"",""es"")"),"Oceanía (excl. Australia / Nueva Zelanda)")</f>
        <v>Oceanía (excl. Australia / Nueva Zelanda)</v>
      </c>
      <c r="C264" s="14"/>
      <c r="D264" s="17">
        <v>1551108.593</v>
      </c>
      <c r="E264" s="17">
        <v>1591697.378</v>
      </c>
      <c r="F264" s="17">
        <v>1635154.302</v>
      </c>
      <c r="G264" s="17">
        <v>1658090.111</v>
      </c>
      <c r="H264" s="17" t="s">
        <v>6</v>
      </c>
      <c r="I264" s="17" t="s">
        <v>6</v>
      </c>
      <c r="J264" s="17" t="s">
        <v>6</v>
      </c>
    </row>
    <row r="265">
      <c r="A265" s="18" t="s">
        <v>266</v>
      </c>
      <c r="B265" s="13" t="str">
        <f>IFERROR(__xludf.DUMMYFUNCTION("GOOGLETRANSLATE(A265,""en"",""es"")"),"Norte América y Europa")</f>
        <v>Norte América y Europa</v>
      </c>
      <c r="C265" s="14"/>
      <c r="D265" s="16">
        <v>6.471039148E7</v>
      </c>
      <c r="E265" s="16">
        <v>6.545917399E7</v>
      </c>
      <c r="F265" s="16">
        <v>6.626737066E7</v>
      </c>
      <c r="G265" s="16">
        <v>6.727297089E7</v>
      </c>
      <c r="H265" s="16">
        <v>6.764291961E7</v>
      </c>
      <c r="I265" s="16">
        <v>6.838400618E7</v>
      </c>
      <c r="J265" s="16" t="s">
        <v>6</v>
      </c>
    </row>
    <row r="266">
      <c r="A266" s="15" t="s">
        <v>267</v>
      </c>
      <c r="B266" s="13" t="str">
        <f>IFERROR(__xludf.DUMMYFUNCTION("GOOGLETRANSLATE(A266,""en"",""es"")"),"Europa")</f>
        <v>Europa</v>
      </c>
      <c r="C266" s="14"/>
      <c r="D266" s="17">
        <v>3.791875648E7</v>
      </c>
      <c r="E266" s="17">
        <v>3.836536595E7</v>
      </c>
      <c r="F266" s="17">
        <v>3.892534756E7</v>
      </c>
      <c r="G266" s="17">
        <v>3.978070374E7</v>
      </c>
      <c r="H266" s="17">
        <v>4.027409392E7</v>
      </c>
      <c r="I266" s="17">
        <v>4.060089452E7</v>
      </c>
      <c r="J266" s="17" t="s">
        <v>6</v>
      </c>
    </row>
    <row r="267">
      <c r="A267" s="15" t="s">
        <v>268</v>
      </c>
      <c r="B267" s="13" t="str">
        <f>IFERROR(__xludf.DUMMYFUNCTION("GOOGLETRANSLATE(A267,""en"",""es"")"),"América del Norte")</f>
        <v>América del Norte</v>
      </c>
      <c r="C267" s="14"/>
      <c r="D267" s="16">
        <v>2.6791635E7</v>
      </c>
      <c r="E267" s="16">
        <v>2.709380804E7</v>
      </c>
      <c r="F267" s="16">
        <v>2.73420231E7</v>
      </c>
      <c r="G267" s="16">
        <v>2.749226715E7</v>
      </c>
      <c r="H267" s="16">
        <v>2.736882568E7</v>
      </c>
      <c r="I267" s="16">
        <v>2.778311166E7</v>
      </c>
      <c r="J267" s="16" t="s">
        <v>6</v>
      </c>
    </row>
    <row r="268">
      <c r="A268" s="15" t="s">
        <v>269</v>
      </c>
      <c r="B268" s="13" t="str">
        <f>IFERROR(__xludf.DUMMYFUNCTION("GOOGLETRANSLATE(A268,""en"",""es"")"),"UIS Regiones")</f>
        <v>UIS Regiones</v>
      </c>
      <c r="C268" s="14"/>
      <c r="D268" s="17" t="s">
        <v>6</v>
      </c>
      <c r="E268" s="17" t="s">
        <v>6</v>
      </c>
      <c r="F268" s="17" t="s">
        <v>6</v>
      </c>
      <c r="G268" s="17" t="s">
        <v>6</v>
      </c>
      <c r="H268" s="17" t="s">
        <v>6</v>
      </c>
      <c r="I268" s="17" t="s">
        <v>6</v>
      </c>
      <c r="J268" s="17" t="s">
        <v>6</v>
      </c>
    </row>
    <row r="269">
      <c r="A269" s="15" t="s">
        <v>248</v>
      </c>
      <c r="B269" s="13" t="str">
        <f>IFERROR(__xludf.DUMMYFUNCTION("GOOGLETRANSLATE(A269,""en"",""es"")"),"Mundo")</f>
        <v>Mundo</v>
      </c>
      <c r="C269" s="14"/>
      <c r="D269" s="16">
        <v>7.157780977E8</v>
      </c>
      <c r="E269" s="16">
        <v>7.199206956E8</v>
      </c>
      <c r="F269" s="16">
        <v>7.363756485E8</v>
      </c>
      <c r="G269" s="16">
        <v>7.415134975E8</v>
      </c>
      <c r="H269" s="16">
        <v>7.29577641E8</v>
      </c>
      <c r="I269" s="16">
        <v>7.39447189E8</v>
      </c>
      <c r="J269" s="16" t="s">
        <v>6</v>
      </c>
    </row>
    <row r="270">
      <c r="A270" s="15" t="s">
        <v>270</v>
      </c>
      <c r="B270" s="13" t="str">
        <f>IFERROR(__xludf.DUMMYFUNCTION("GOOGLETRANSLATE(A270,""en"",""es"")"),"Estados Árabes")</f>
        <v>Estados Árabes</v>
      </c>
      <c r="C270" s="14"/>
      <c r="D270" s="17">
        <v>4.428330341E7</v>
      </c>
      <c r="E270" s="17">
        <v>4.485922078E7</v>
      </c>
      <c r="F270" s="17">
        <v>4.567840445E7</v>
      </c>
      <c r="G270" s="17">
        <v>4.669939418E7</v>
      </c>
      <c r="H270" s="17">
        <v>4.780736951E7</v>
      </c>
      <c r="I270" s="17">
        <v>4.912566249E7</v>
      </c>
      <c r="J270" s="17" t="s">
        <v>6</v>
      </c>
    </row>
    <row r="271">
      <c r="A271" s="18" t="s">
        <v>271</v>
      </c>
      <c r="B271" s="13" t="str">
        <f>IFERROR(__xludf.DUMMYFUNCTION("GOOGLETRANSLATE(A271,""en"",""es"")"),"Europa central y oriental")</f>
        <v>Europa central y oriental</v>
      </c>
      <c r="C271" s="14"/>
      <c r="D271" s="16">
        <v>1.934306727E7</v>
      </c>
      <c r="E271" s="16">
        <v>1.937191944E7</v>
      </c>
      <c r="F271" s="16">
        <v>1.966719593E7</v>
      </c>
      <c r="G271" s="16">
        <v>1.9795405E7</v>
      </c>
      <c r="H271" s="16">
        <v>2.0315362E7</v>
      </c>
      <c r="I271" s="16">
        <v>2.065284077E7</v>
      </c>
      <c r="J271" s="16" t="s">
        <v>6</v>
      </c>
    </row>
    <row r="272">
      <c r="A272" s="15" t="s">
        <v>272</v>
      </c>
      <c r="B272" s="13" t="str">
        <f>IFERROR(__xludf.DUMMYFUNCTION("GOOGLETRANSLATE(A272,""en"",""es"")"),"Asia Central")</f>
        <v>Asia Central</v>
      </c>
      <c r="C272" s="14"/>
      <c r="D272" s="17">
        <v>5917013.109</v>
      </c>
      <c r="E272" s="17">
        <v>6182341.693</v>
      </c>
      <c r="F272" s="17">
        <v>6507013.926</v>
      </c>
      <c r="G272" s="17">
        <v>6873021.718</v>
      </c>
      <c r="H272" s="17">
        <v>7157060.554</v>
      </c>
      <c r="I272" s="17">
        <v>7367008.732</v>
      </c>
      <c r="J272" s="17" t="s">
        <v>6</v>
      </c>
    </row>
    <row r="273">
      <c r="A273" s="18" t="s">
        <v>273</v>
      </c>
      <c r="B273" s="13" t="str">
        <f>IFERROR(__xludf.DUMMYFUNCTION("GOOGLETRANSLATE(A273,""en"",""es"")"),"Este de Asia y el Pacífico")</f>
        <v>Este de Asia y el Pacífico</v>
      </c>
      <c r="C273" s="14"/>
      <c r="D273" s="16">
        <v>1.795711106E8</v>
      </c>
      <c r="E273" s="16">
        <v>1.801712512E8</v>
      </c>
      <c r="F273" s="16">
        <v>1.820955649E8</v>
      </c>
      <c r="G273" s="16">
        <v>1.83768308E8</v>
      </c>
      <c r="H273" s="16">
        <v>1.848962633E8</v>
      </c>
      <c r="I273" s="16">
        <v>1.886707154E8</v>
      </c>
      <c r="J273" s="16" t="s">
        <v>6</v>
      </c>
    </row>
    <row r="274">
      <c r="A274" s="18" t="s">
        <v>262</v>
      </c>
      <c r="B274" s="13" t="str">
        <f>IFERROR(__xludf.DUMMYFUNCTION("GOOGLETRANSLATE(A274,""en"",""es"")"),"América Latina y el Caribe")</f>
        <v>América Latina y el Caribe</v>
      </c>
      <c r="C274" s="14"/>
      <c r="D274" s="17">
        <v>6.53893306E7</v>
      </c>
      <c r="E274" s="17">
        <v>6.461828917E7</v>
      </c>
      <c r="F274" s="17">
        <v>6.398412782E7</v>
      </c>
      <c r="G274" s="17">
        <v>6.364116675E7</v>
      </c>
      <c r="H274" s="17">
        <v>6.33544651E7</v>
      </c>
      <c r="I274" s="17">
        <v>6.43487247E7</v>
      </c>
      <c r="J274" s="17" t="s">
        <v>6</v>
      </c>
    </row>
    <row r="275">
      <c r="A275" s="18" t="s">
        <v>274</v>
      </c>
      <c r="B275" s="13" t="str">
        <f>IFERROR(__xludf.DUMMYFUNCTION("GOOGLETRANSLATE(A275,""en"",""es"")"),"América del Norte y Europa Occidental")</f>
        <v>América del Norte y Europa Occidental</v>
      </c>
      <c r="C275" s="14"/>
      <c r="D275" s="16">
        <v>5.185296821E7</v>
      </c>
      <c r="E275" s="16">
        <v>5.245473655E7</v>
      </c>
      <c r="F275" s="16">
        <v>5.290788674E7</v>
      </c>
      <c r="G275" s="16">
        <v>5.341901197E7</v>
      </c>
      <c r="H275" s="16">
        <v>5.342158582E7</v>
      </c>
      <c r="I275" s="16">
        <v>5.389495653E7</v>
      </c>
      <c r="J275" s="16" t="s">
        <v>6</v>
      </c>
    </row>
    <row r="276">
      <c r="A276" s="18" t="s">
        <v>275</v>
      </c>
      <c r="B276" s="13" t="str">
        <f>IFERROR(__xludf.DUMMYFUNCTION("GOOGLETRANSLATE(A276,""en"",""es"")"),"Asia meridional y occidental")</f>
        <v>Asia meridional y occidental</v>
      </c>
      <c r="C276" s="14"/>
      <c r="D276" s="17">
        <v>1.951241344E8</v>
      </c>
      <c r="E276" s="17">
        <v>1.961548545E8</v>
      </c>
      <c r="F276" s="17">
        <v>2.052389033E8</v>
      </c>
      <c r="G276" s="17">
        <v>2.02708905E8</v>
      </c>
      <c r="H276" s="17">
        <v>1.834903495E8</v>
      </c>
      <c r="I276" s="17">
        <v>1.818509604E8</v>
      </c>
      <c r="J276" s="17" t="s">
        <v>6</v>
      </c>
    </row>
    <row r="277">
      <c r="A277" s="18" t="s">
        <v>276</v>
      </c>
      <c r="B277" s="13" t="str">
        <f>IFERROR(__xludf.DUMMYFUNCTION("GOOGLETRANSLATE(A277,""en"",""es"")"),"Africa Sub-sahariana")</f>
        <v>Africa Sub-sahariana</v>
      </c>
      <c r="C277" s="14"/>
      <c r="D277" s="16">
        <v>1.542971701E8</v>
      </c>
      <c r="E277" s="16">
        <v>1.561080823E8</v>
      </c>
      <c r="F277" s="16">
        <v>1.602965515E8</v>
      </c>
      <c r="G277" s="16">
        <v>1.646082849E8</v>
      </c>
      <c r="H277" s="16">
        <v>1.691351852E8</v>
      </c>
      <c r="I277" s="16">
        <v>1.7353632E8</v>
      </c>
      <c r="J277" s="16" t="s">
        <v>6</v>
      </c>
    </row>
    <row r="278">
      <c r="A278" s="18" t="s">
        <v>251</v>
      </c>
      <c r="B278" s="13" t="str">
        <f>IFERROR(__xludf.DUMMYFUNCTION("GOOGLETRANSLATE(A278,""en"",""es"")"),"Los pequeños Estados insulares en desarrollo")</f>
        <v>Los pequeños Estados insulares en desarrollo</v>
      </c>
      <c r="C278" s="14"/>
      <c r="D278" s="17">
        <v>8084080.474</v>
      </c>
      <c r="E278" s="17">
        <v>8123029.464</v>
      </c>
      <c r="F278" s="17">
        <v>8101462.741</v>
      </c>
      <c r="G278" s="17">
        <v>8068680.72</v>
      </c>
      <c r="H278" s="17">
        <v>8064485.718</v>
      </c>
      <c r="I278" s="17">
        <v>8433526.577</v>
      </c>
      <c r="J278" s="17" t="s">
        <v>6</v>
      </c>
    </row>
    <row r="279">
      <c r="A279" s="18" t="s">
        <v>277</v>
      </c>
      <c r="B279" s="13" t="str">
        <f>IFERROR(__xludf.DUMMYFUNCTION("GOOGLETRANSLATE(A279,""en"",""es"")"),"Grupos de ingresos del Banco Mundial")</f>
        <v>Grupos de ingresos del Banco Mundial</v>
      </c>
      <c r="C279" s="14"/>
      <c r="D279" s="16" t="s">
        <v>6</v>
      </c>
      <c r="E279" s="16" t="s">
        <v>6</v>
      </c>
      <c r="F279" s="16" t="s">
        <v>6</v>
      </c>
      <c r="G279" s="16" t="s">
        <v>6</v>
      </c>
      <c r="H279" s="16" t="s">
        <v>6</v>
      </c>
      <c r="I279" s="16" t="s">
        <v>6</v>
      </c>
      <c r="J279" s="16" t="s">
        <v>6</v>
      </c>
    </row>
    <row r="280">
      <c r="A280" s="18" t="s">
        <v>278</v>
      </c>
      <c r="B280" s="13" t="str">
        <f>IFERROR(__xludf.DUMMYFUNCTION("GOOGLETRANSLATE(A280,""en"",""es"")"),"Países de bajos ingresos")</f>
        <v>Países de bajos ingresos</v>
      </c>
      <c r="C280" s="14"/>
      <c r="D280" s="17">
        <v>9.666234594E7</v>
      </c>
      <c r="E280" s="17">
        <v>9.767701289E7</v>
      </c>
      <c r="F280" s="17">
        <v>1.002393495E8</v>
      </c>
      <c r="G280" s="17">
        <v>1.0269896E8</v>
      </c>
      <c r="H280" s="17">
        <v>1.054760931E8</v>
      </c>
      <c r="I280" s="17">
        <v>1.077749235E8</v>
      </c>
      <c r="J280" s="17" t="s">
        <v>6</v>
      </c>
    </row>
    <row r="281">
      <c r="A281" s="18" t="s">
        <v>279</v>
      </c>
      <c r="B281" s="13" t="str">
        <f>IFERROR(__xludf.DUMMYFUNCTION("GOOGLETRANSLATE(A281,""en"",""es"")"),"Bajar los países de ingresos medios")</f>
        <v>Bajar los países de ingresos medios</v>
      </c>
      <c r="C281" s="14"/>
      <c r="D281" s="16">
        <v>3.136876327E8</v>
      </c>
      <c r="E281" s="16">
        <v>3.156051552E8</v>
      </c>
      <c r="F281" s="16">
        <v>3.269617062E8</v>
      </c>
      <c r="G281" s="16">
        <v>3.269546909E8</v>
      </c>
      <c r="H281" s="16">
        <v>3.098775917E8</v>
      </c>
      <c r="I281" s="16">
        <v>3.118568084E8</v>
      </c>
      <c r="J281" s="16" t="s">
        <v>6</v>
      </c>
    </row>
    <row r="282">
      <c r="A282" s="18" t="s">
        <v>280</v>
      </c>
      <c r="B282" s="13" t="str">
        <f>IFERROR(__xludf.DUMMYFUNCTION("GOOGLETRANSLATE(A282,""en"",""es"")"),"países de ingresos medios")</f>
        <v>países de ingresos medios</v>
      </c>
      <c r="C282" s="14"/>
      <c r="D282" s="17">
        <v>5.419949276E8</v>
      </c>
      <c r="E282" s="17">
        <v>5.447602064E8</v>
      </c>
      <c r="F282" s="17">
        <v>5.582997409E8</v>
      </c>
      <c r="G282" s="17">
        <v>5.60441474E8</v>
      </c>
      <c r="H282" s="17">
        <v>5.456573985E8</v>
      </c>
      <c r="I282" s="17">
        <v>5.521430294E8</v>
      </c>
      <c r="J282" s="17" t="s">
        <v>6</v>
      </c>
    </row>
    <row r="283">
      <c r="A283" s="18" t="s">
        <v>281</v>
      </c>
      <c r="B283" s="13" t="str">
        <f>IFERROR(__xludf.DUMMYFUNCTION("GOOGLETRANSLATE(A283,""en"",""es"")"),"los países de ingresos medios altos")</f>
        <v>los países de ingresos medios altos</v>
      </c>
      <c r="C283" s="14"/>
      <c r="D283" s="16">
        <v>2.283072949E8</v>
      </c>
      <c r="E283" s="16">
        <v>2.291550512E8</v>
      </c>
      <c r="F283" s="16">
        <v>2.313380347E8</v>
      </c>
      <c r="G283" s="16">
        <v>2.334867831E8</v>
      </c>
      <c r="H283" s="16">
        <v>2.357798068E8</v>
      </c>
      <c r="I283" s="16">
        <v>2.40286221E8</v>
      </c>
      <c r="J283" s="16" t="s">
        <v>6</v>
      </c>
    </row>
    <row r="284">
      <c r="A284" s="18" t="s">
        <v>282</v>
      </c>
      <c r="B284" s="13" t="str">
        <f>IFERROR(__xludf.DUMMYFUNCTION("GOOGLETRANSLATE(A284,""en"",""es"")"),"Paises de altos ingresos")</f>
        <v>Paises de altos ingresos</v>
      </c>
      <c r="C284" s="14"/>
      <c r="D284" s="17">
        <v>7.711653761E7</v>
      </c>
      <c r="E284" s="17">
        <v>7.74792319E7</v>
      </c>
      <c r="F284" s="17">
        <v>7.783225817E7</v>
      </c>
      <c r="G284" s="17">
        <v>7.836881088E7</v>
      </c>
      <c r="H284" s="17">
        <v>7.843990456E7</v>
      </c>
      <c r="I284" s="17">
        <v>7.952503112E7</v>
      </c>
      <c r="J284" s="17" t="s">
        <v>6</v>
      </c>
    </row>
    <row r="285">
      <c r="A285" s="19" t="s">
        <v>283</v>
      </c>
      <c r="B285" s="20" t="s">
        <v>283</v>
      </c>
      <c r="F285" s="3"/>
      <c r="G285" s="3"/>
      <c r="H285" s="3"/>
      <c r="I285" s="3"/>
      <c r="J285" s="3"/>
    </row>
    <row r="286">
      <c r="A286" s="21" t="s">
        <v>284</v>
      </c>
      <c r="B286" s="22" t="s">
        <v>284</v>
      </c>
      <c r="C286" s="3"/>
      <c r="D286" s="3"/>
      <c r="E286" s="3"/>
      <c r="F286" s="3"/>
      <c r="G286" s="3"/>
      <c r="H286" s="3"/>
      <c r="I286" s="3"/>
      <c r="J286" s="3"/>
    </row>
    <row r="287">
      <c r="A287" s="23" t="s">
        <v>285</v>
      </c>
      <c r="B287" s="24" t="s">
        <v>285</v>
      </c>
      <c r="C287" s="22" t="s">
        <v>286</v>
      </c>
      <c r="F287" s="3"/>
      <c r="G287" s="3"/>
      <c r="H287" s="3"/>
      <c r="I287" s="3"/>
      <c r="J287" s="3"/>
    </row>
    <row r="288">
      <c r="A288" s="23" t="s">
        <v>287</v>
      </c>
      <c r="B288" s="24" t="s">
        <v>287</v>
      </c>
      <c r="C288" s="22" t="s">
        <v>288</v>
      </c>
      <c r="E288" s="3"/>
      <c r="F288" s="3"/>
      <c r="G288" s="3"/>
      <c r="H288" s="3"/>
      <c r="I288" s="3"/>
      <c r="J288" s="3"/>
    </row>
    <row r="289">
      <c r="A289" s="25"/>
      <c r="B289" s="3"/>
      <c r="C289" s="3"/>
      <c r="D289" s="3"/>
      <c r="E289" s="3"/>
      <c r="F289" s="3"/>
      <c r="G289" s="3"/>
      <c r="H289" s="3"/>
      <c r="I289" s="3"/>
      <c r="J289" s="3"/>
    </row>
    <row r="290">
      <c r="A290" s="25"/>
      <c r="B290" s="3"/>
      <c r="C290" s="3"/>
      <c r="D290" s="3"/>
      <c r="E290" s="3"/>
      <c r="F290" s="3"/>
      <c r="G290" s="3"/>
      <c r="H290" s="3"/>
      <c r="I290" s="3"/>
      <c r="J290" s="3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mergeCells count="6">
    <mergeCell ref="B2:C2"/>
    <mergeCell ref="D2:J2"/>
    <mergeCell ref="B3:C3"/>
    <mergeCell ref="B285:E285"/>
    <mergeCell ref="C287:E287"/>
    <mergeCell ref="C288:D288"/>
  </mergeCells>
  <hyperlinks>
    <hyperlink r:id="rId1" ref="A1"/>
    <hyperlink r:id="rId2" ref="D2"/>
    <hyperlink r:id="rId3" ref="A285"/>
    <hyperlink r:id="rId4" ref="B285"/>
  </hyperlinks>
  <drawing r:id="rId5"/>
</worksheet>
</file>