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cundaria" sheetId="1" r:id="rId4"/>
  </sheets>
  <definedNames/>
  <calcPr/>
</workbook>
</file>

<file path=xl/sharedStrings.xml><?xml version="1.0" encoding="utf-8"?>
<sst xmlns="http://schemas.openxmlformats.org/spreadsheetml/2006/main" count="1252" uniqueCount="289">
  <si>
    <t>Dataset: National Monitoring</t>
  </si>
  <si>
    <t>Indicator</t>
  </si>
  <si>
    <t>Enrolment in secondary education, both sexes (number)</t>
  </si>
  <si>
    <t>Time</t>
  </si>
  <si>
    <t>Country</t>
  </si>
  <si>
    <t>Afghanistan</t>
  </si>
  <si>
    <t>..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</si>
  <si>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</si>
  <si>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</si>
  <si>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</si>
  <si>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</si>
  <si>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</si>
  <si>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</si>
  <si>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</si>
  <si>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</si>
  <si>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</si>
  <si>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</si>
  <si>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</si>
  <si>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</si>
  <si>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</si>
  <si>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</si>
  <si>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</si>
  <si>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</si>
  <si>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</si>
  <si>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</si>
  <si>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</si>
  <si>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</si>
  <si>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</si>
  <si>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</si>
  <si>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</si>
  <si>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</si>
  <si>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</si>
  <si>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</si>
  <si>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</si>
  <si>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</si>
  <si>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</si>
  <si>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</si>
  <si>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</si>
  <si>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</si>
  <si>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</si>
  <si>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</si>
  <si>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</si>
  <si>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</si>
  <si>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Cabo Verde</t>
  </si>
  <si>
    <t>Cayman Islands</t>
  </si>
  <si>
    <t>Central African Republic</t>
  </si>
  <si>
    <t>Chad</t>
  </si>
  <si>
    <t>Channel Islands</t>
  </si>
  <si>
    <t>Chile</t>
  </si>
  <si>
    <t>China</t>
  </si>
  <si>
    <t>China, Hong Kong Special Administrative Region</t>
  </si>
  <si>
    <t>China, Macao Special Administrative Region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</si>
  <si>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</si>
  <si>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</si>
  <si>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</si>
  <si>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</si>
  <si>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</si>
  <si>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</si>
  <si>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</si>
  <si>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</si>
  <si>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</si>
  <si>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</si>
  <si>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</si>
  <si>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</si>
  <si>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</si>
  <si>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</si>
  <si>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</si>
  <si>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</si>
  <si>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</si>
  <si>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</si>
  <si>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</si>
  <si>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</si>
  <si>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</si>
  <si>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</si>
  <si>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</si>
  <si>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</si>
  <si>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</si>
  <si>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</si>
  <si>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</si>
  <si>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</si>
  <si>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</si>
  <si>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</si>
  <si>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</si>
  <si>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</si>
  <si>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</si>
  <si>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</si>
  <si>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</si>
  <si>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</si>
  <si>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</si>
  <si>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</si>
  <si>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</si>
  <si>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</si>
  <si>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</si>
  <si>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</si>
  <si>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</si>
  <si>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</si>
  <si>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</si>
  <si>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</si>
  <si>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</si>
  <si>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</si>
  <si>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</si>
  <si>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</si>
  <si>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</si>
  <si>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</si>
  <si>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</si>
  <si>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</si>
  <si>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</si>
  <si>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</si>
  <si>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</si>
  <si>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</si>
  <si>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</si>
  <si>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</si>
  <si>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</si>
  <si>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</si>
  <si>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</si>
  <si>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</si>
  <si>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</si>
  <si>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</si>
  <si>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</si>
  <si>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</si>
  <si>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</si>
  <si>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</si>
  <si>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</si>
  <si>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</si>
  <si>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</si>
  <si>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</si>
  <si>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</si>
  <si>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</si>
  <si>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</si>
  <si>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</si>
  <si>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</si>
  <si>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</si>
  <si>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</si>
  <si>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</si>
  <si>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</si>
  <si>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</si>
  <si>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</si>
  <si>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</si>
  <si>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</si>
  <si>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</si>
  <si>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</si>
  <si>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</si>
  <si>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</si>
  <si>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</si>
  <si>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</si>
  <si>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</si>
  <si>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</si>
  <si>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</si>
  <si>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</si>
  <si>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</si>
  <si>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</si>
  <si>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</si>
  <si>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</si>
  <si>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</si>
  <si>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</si>
  <si>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</si>
  <si>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</si>
  <si>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</si>
  <si>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</si>
  <si>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</si>
  <si>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</si>
  <si>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</si>
  <si>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</si>
  <si>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Macedonia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</si>
  <si>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</si>
  <si>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</si>
  <si>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</si>
  <si>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</si>
  <si>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</si>
  <si>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</si>
  <si>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</si>
  <si>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</si>
  <si>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</si>
  <si>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</si>
  <si>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</si>
  <si>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</si>
  <si>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</si>
  <si>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</si>
  <si>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</si>
  <si>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</si>
  <si>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</si>
  <si>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</si>
  <si>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</si>
  <si>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</si>
  <si>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</si>
  <si>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</si>
  <si>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</si>
  <si>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</si>
  <si>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</si>
  <si>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</si>
  <si>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</si>
  <si>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Saint-Barthélemy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</si>
  <si>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</si>
  <si>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</si>
  <si>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</si>
  <si>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</si>
  <si>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</si>
  <si>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</si>
  <si>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</si>
  <si>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</si>
  <si>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</si>
  <si>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</si>
  <si>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</si>
  <si>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</si>
  <si>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</si>
  <si>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</si>
  <si>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</si>
  <si>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</si>
  <si>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</si>
  <si>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</si>
  <si>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</si>
  <si>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</si>
  <si>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Sudan (pre-secession)</t>
  </si>
  <si>
    <t>Suriname</t>
  </si>
  <si>
    <t>Svalbard and Jan Mayen Islands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</si>
  <si>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</si>
  <si>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</si>
  <si>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</si>
  <si>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</si>
  <si>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</si>
  <si>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</si>
  <si>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</si>
  <si>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</si>
  <si>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</si>
  <si>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</si>
  <si>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</si>
  <si>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</si>
  <si>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</si>
  <si>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</si>
  <si>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</si>
  <si>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</si>
  <si>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</si>
  <si>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</si>
  <si>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</si>
  <si>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</si>
  <si>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</si>
  <si>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</si>
  <si>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</si>
  <si>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</si>
  <si>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</si>
  <si>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</si>
  <si>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</si>
  <si>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</si>
  <si>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</si>
  <si>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</si>
  <si>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</si>
  <si>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</si>
  <si>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Sustainable Development Goal Regions</t>
  </si>
  <si>
    <t>World</t>
  </si>
  <si>
    <t>Landlocked Developing Countries</t>
  </si>
  <si>
    <t>Least Developed Countries</t>
  </si>
  <si>
    <t>Small Island Developing States</t>
  </si>
  <si>
    <t>Africa (Sub-Saharan)</t>
  </si>
  <si>
    <t>Western Asia and Northern Africa</t>
  </si>
  <si>
    <t>Africa (Northern)</t>
  </si>
  <si>
    <t>Asia (Western)</t>
  </si>
  <si>
    <t>Asia (Central and Southern)</t>
  </si>
  <si>
    <t>Asia (Central)</t>
  </si>
  <si>
    <t>Asia (Southern)</t>
  </si>
  <si>
    <t>Asia (Eastern and South-eastern)</t>
  </si>
  <si>
    <t>Asia (Eastern)</t>
  </si>
  <si>
    <t>Asia (South-eastern)</t>
  </si>
  <si>
    <t>Latin America and the Caribbean</t>
  </si>
  <si>
    <t>Oceania</t>
  </si>
  <si>
    <t>Oceania (Australia/New Zealand)</t>
  </si>
  <si>
    <t>Oceania (excl. Australia/New Zealand)</t>
  </si>
  <si>
    <t>Northern America and Europe</t>
  </si>
  <si>
    <t>Europe</t>
  </si>
  <si>
    <t>Northern America</t>
  </si>
  <si>
    <t>UIS Regions</t>
  </si>
  <si>
    <t>Arab States</t>
  </si>
  <si>
    <t>Central and Eastern Europe</t>
  </si>
  <si>
    <t>Central Asia</t>
  </si>
  <si>
    <t>East Asia and the Pacific</t>
  </si>
  <si>
    <t>North America and Western Europe</t>
  </si>
  <si>
    <t>South and West Asia</t>
  </si>
  <si>
    <t>Sub-Saharan Africa</t>
  </si>
  <si>
    <t>World Bank Income Groups</t>
  </si>
  <si>
    <t>Low income countries</t>
  </si>
  <si>
    <t>Lower middle income countries</t>
  </si>
  <si>
    <t>Middle income countries</t>
  </si>
  <si>
    <t>Upper middle income countries</t>
  </si>
  <si>
    <t>High income countries</t>
  </si>
  <si>
    <t>Data extracted on 28 Nov 2020 22:39 UTC (GMT) from UIS.Stat</t>
  </si>
  <si>
    <t>Legend:</t>
  </si>
  <si>
    <t>a:</t>
  </si>
  <si>
    <t>Category not applicable</t>
  </si>
  <si>
    <t>‡:</t>
  </si>
  <si>
    <t>UIS Estimation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</si>
</sst>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u/>
      <sz val="9.0"/>
      <color rgb="FF000080"/>
      <name val="Verdana"/>
    </font>
    <font>
      <b/>
      <u/>
      <sz val="9.0"/>
      <color rgb="FF000080"/>
      <name val="Verdana"/>
    </font>
    <font>
      <color theme="1"/>
      <name val="Arial"/>
    </font>
    <font>
      <b/>
      <sz val="8.0"/>
      <color rgb="FFFFFFFF"/>
      <name val="Verdana"/>
    </font>
    <font/>
    <font>
      <u/>
      <sz val="8.0"/>
      <color rgb="FFFFFFFF"/>
      <name val="Verdana"/>
    </font>
    <font>
      <sz val="8.0"/>
      <color rgb="FFFFFFFF"/>
      <name val="Verdana"/>
    </font>
    <font>
      <b/>
      <sz val="8.0"/>
      <color theme="1"/>
      <name val="Verdana"/>
    </font>
    <font>
      <b/>
      <sz val="9.0"/>
      <color rgb="FFFF0000"/>
      <name val="Arial"/>
    </font>
    <font>
      <sz val="8.0"/>
      <color theme="1"/>
      <name val="Verdana"/>
    </font>
    <font>
      <sz val="8.0"/>
      <color theme="1"/>
      <name val="Arial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theme="1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2973BD"/>
        <bgColor rgb="FF2973BD"/>
      </patternFill>
    </fill>
    <fill>
      <patternFill patternType="solid">
        <fgColor rgb="FF00A1E3"/>
        <bgColor rgb="FF00A1E3"/>
      </patternFill>
    </fill>
    <fill>
      <patternFill patternType="solid">
        <fgColor rgb="FFC4D8ED"/>
        <bgColor rgb="FFC4D8ED"/>
      </patternFill>
    </fill>
    <fill>
      <patternFill patternType="solid">
        <fgColor rgb="FFFFFFFF"/>
        <bgColor rgb="FFFFFFFF"/>
      </patternFill>
    </fill>
    <fill>
      <patternFill patternType="solid">
        <fgColor rgb="FFF0F8FF"/>
        <bgColor rgb="FFF0F8FF"/>
      </patternFill>
    </fill>
  </fills>
  <borders count="9">
    <border/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left style="thin">
        <color rgb="FFC0C0C0"/>
      </left>
      <right/>
      <bottom style="thin">
        <color rgb="FFC0C0C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horizontal="left" readingOrder="0" vertical="bottom"/>
    </xf>
    <xf borderId="0" fillId="0" fontId="3" numFmtId="0" xfId="0" applyAlignment="1" applyFont="1">
      <alignment shrinkToFit="0" vertical="bottom" wrapText="0"/>
    </xf>
    <xf borderId="3" fillId="2" fontId="4" numFmtId="0" xfId="0" applyAlignment="1" applyBorder="1" applyFill="1" applyFont="1">
      <alignment horizontal="right" vertical="top"/>
    </xf>
    <xf borderId="4" fillId="2" fontId="4" numFmtId="0" xfId="0" applyAlignment="1" applyBorder="1" applyFont="1">
      <alignment horizontal="right" readingOrder="0" vertical="top"/>
    </xf>
    <xf borderId="5" fillId="0" fontId="5" numFmtId="0" xfId="0" applyBorder="1" applyFont="1"/>
    <xf borderId="6" fillId="2" fontId="6" numFmtId="0" xfId="0" applyAlignment="1" applyBorder="1" applyFont="1">
      <alignment readingOrder="0" vertical="top"/>
    </xf>
    <xf borderId="6" fillId="0" fontId="5" numFmtId="0" xfId="0" applyBorder="1" applyFont="1"/>
    <xf borderId="3" fillId="3" fontId="4" numFmtId="0" xfId="0" applyAlignment="1" applyBorder="1" applyFill="1" applyFont="1">
      <alignment horizontal="right" vertical="bottom"/>
    </xf>
    <xf borderId="4" fillId="3" fontId="4" numFmtId="0" xfId="0" applyAlignment="1" applyBorder="1" applyFont="1">
      <alignment horizontal="right" readingOrder="0"/>
    </xf>
    <xf borderId="7" fillId="3" fontId="7" numFmtId="0" xfId="0" applyAlignment="1" applyBorder="1" applyFont="1">
      <alignment horizontal="center" readingOrder="0" vertical="top"/>
    </xf>
    <xf borderId="3" fillId="4" fontId="8" numFmtId="0" xfId="0" applyAlignment="1" applyBorder="1" applyFill="1" applyFont="1">
      <alignment vertical="bottom"/>
    </xf>
    <xf borderId="3" fillId="4" fontId="8" numFmtId="0" xfId="0" applyAlignment="1" applyBorder="1" applyFont="1">
      <alignment readingOrder="0" vertical="bottom"/>
    </xf>
    <xf borderId="7" fillId="5" fontId="9" numFmtId="0" xfId="0" applyAlignment="1" applyBorder="1" applyFill="1" applyFont="1">
      <alignment horizontal="center" shrinkToFit="0" vertical="bottom" wrapText="0"/>
    </xf>
    <xf borderId="3" fillId="4" fontId="10" numFmtId="0" xfId="0" applyAlignment="1" applyBorder="1" applyFont="1">
      <alignment vertical="top"/>
    </xf>
    <xf borderId="7" fillId="0" fontId="11" numFmtId="0" xfId="0" applyAlignment="1" applyBorder="1" applyFont="1">
      <alignment horizontal="right" readingOrder="0" shrinkToFit="0" vertical="bottom" wrapText="0"/>
    </xf>
    <xf borderId="7" fillId="6" fontId="11" numFmtId="0" xfId="0" applyAlignment="1" applyBorder="1" applyFill="1" applyFont="1">
      <alignment horizontal="right" readingOrder="0" shrinkToFit="0" vertical="bottom" wrapText="0"/>
    </xf>
    <xf borderId="8" fillId="4" fontId="10" numFmtId="0" xfId="0" applyAlignment="1" applyBorder="1" applyFont="1">
      <alignment shrinkToFit="0" vertical="top" wrapText="0"/>
    </xf>
    <xf borderId="0" fillId="0" fontId="12" numFmtId="0" xfId="0" applyAlignment="1" applyFont="1">
      <alignment vertical="bottom"/>
    </xf>
    <xf borderId="0" fillId="0" fontId="13" numFmtId="0" xfId="0" applyAlignment="1" applyFont="1">
      <alignment horizontal="left" readingOrder="0" shrinkToFit="0" vertical="bottom" wrapText="0"/>
    </xf>
    <xf borderId="0" fillId="0" fontId="14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ata.uis.unesco.org/OECDStat_Metadata/ShowMetadata.ashx?Dataset=NATMON_DS&amp;ShowOnWeb=true&amp;Lang=en" TargetMode="External"/><Relationship Id="rId2" Type="http://schemas.openxmlformats.org/officeDocument/2006/relationships/hyperlink" Target="http://data.uis.unesco.org/OECDStat_Metadata/ShowMetadata.ashx?Dataset=NATMON_DS&amp;Coords=%5bNATMON_IND%5d.%5b20082%5d&amp;ShowOnWeb=true&amp;Lang=en" TargetMode="External"/><Relationship Id="rId3" Type="http://schemas.openxmlformats.org/officeDocument/2006/relationships/hyperlink" Target="http://data.uis.unesco.org/" TargetMode="External"/><Relationship Id="rId4" Type="http://schemas.openxmlformats.org/officeDocument/2006/relationships/hyperlink" Target="http://data.uis.unesco.org/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</row>
    <row r="2">
      <c r="A2" s="4" t="s">
        <v>1</v>
      </c>
      <c r="B2" s="5" t="s">
        <v>1</v>
      </c>
      <c r="C2" s="6"/>
      <c r="D2" s="7" t="s">
        <v>2</v>
      </c>
      <c r="E2" s="8"/>
      <c r="F2" s="8"/>
      <c r="G2" s="8"/>
      <c r="H2" s="8"/>
      <c r="I2" s="8"/>
      <c r="J2" s="6"/>
    </row>
    <row r="3">
      <c r="A3" s="9" t="s">
        <v>3</v>
      </c>
      <c r="B3" s="10" t="s">
        <v>3</v>
      </c>
      <c r="C3" s="6"/>
      <c r="D3" s="11">
        <v>2014.0</v>
      </c>
      <c r="E3" s="11">
        <v>2015.0</v>
      </c>
      <c r="F3" s="11">
        <v>2016.0</v>
      </c>
      <c r="G3" s="11">
        <v>2017.0</v>
      </c>
      <c r="H3" s="11">
        <v>2018.0</v>
      </c>
      <c r="I3" s="11">
        <v>2019.0</v>
      </c>
      <c r="J3" s="11">
        <v>2020.0</v>
      </c>
    </row>
    <row r="4">
      <c r="A4" s="12" t="s">
        <v>4</v>
      </c>
      <c r="B4" s="13" t="str">
        <f>IFERROR(__xludf.DUMMYFUNCTION("GOOGLETRANSLATE(A4,""en"",""es"")"),"País")</f>
        <v>País</v>
      </c>
      <c r="C4" s="14"/>
      <c r="D4" s="14"/>
      <c r="E4" s="14"/>
      <c r="F4" s="14"/>
      <c r="G4" s="14"/>
      <c r="H4" s="14"/>
      <c r="I4" s="14"/>
      <c r="J4" s="14"/>
    </row>
    <row r="5">
      <c r="A5" s="15" t="s">
        <v>5</v>
      </c>
      <c r="B5" s="13" t="str">
        <f>IFERROR(__xludf.DUMMYFUNCTION("GOOGLETRANSLATE(A5,""en"",""es"")"),"Afganistán")</f>
        <v>Afganistán</v>
      </c>
      <c r="C5" s="14"/>
      <c r="D5" s="16">
        <v>2602734.0</v>
      </c>
      <c r="E5" s="16">
        <v>2651459.0</v>
      </c>
      <c r="F5" s="16">
        <v>2725421.0</v>
      </c>
      <c r="G5" s="16">
        <v>2899453.0</v>
      </c>
      <c r="H5" s="16">
        <v>3063889.0</v>
      </c>
      <c r="I5" s="16" t="s">
        <v>6</v>
      </c>
      <c r="J5" s="16" t="s">
        <v>6</v>
      </c>
    </row>
    <row r="6">
      <c r="A6" s="15" t="s">
        <v>7</v>
      </c>
      <c r="B6" s="13" t="str">
        <f>IFERROR(__xludf.DUMMYFUNCTION("GOOGLETRANSLATE(A6,""en"",""es"")"),"Islas Aland")</f>
        <v>Islas Aland</v>
      </c>
      <c r="C6" s="14"/>
      <c r="D6" s="17" t="s">
        <v>6</v>
      </c>
      <c r="E6" s="17" t="s">
        <v>6</v>
      </c>
      <c r="F6" s="17" t="s">
        <v>6</v>
      </c>
      <c r="G6" s="17" t="s">
        <v>6</v>
      </c>
      <c r="H6" s="17" t="s">
        <v>6</v>
      </c>
      <c r="I6" s="17" t="s">
        <v>6</v>
      </c>
      <c r="J6" s="17" t="s">
        <v>6</v>
      </c>
    </row>
    <row r="7">
      <c r="A7" s="15" t="s">
        <v>8</v>
      </c>
      <c r="B7" s="13" t="str">
        <f>IFERROR(__xludf.DUMMYFUNCTION("GOOGLETRANSLATE(A7,""en"",""es"")"),"Albania")</f>
        <v>Albania</v>
      </c>
      <c r="C7" s="14"/>
      <c r="D7" s="16">
        <v>333291.0</v>
      </c>
      <c r="E7" s="16">
        <v>315079.0</v>
      </c>
      <c r="F7" s="16">
        <v>294315.0</v>
      </c>
      <c r="G7" s="16">
        <v>280378.0</v>
      </c>
      <c r="H7" s="16">
        <v>268872.0</v>
      </c>
      <c r="I7" s="16">
        <v>256072.0</v>
      </c>
      <c r="J7" s="16" t="s">
        <v>6</v>
      </c>
    </row>
    <row r="8">
      <c r="A8" s="15" t="s">
        <v>9</v>
      </c>
      <c r="B8" s="13" t="str">
        <f>IFERROR(__xludf.DUMMYFUNCTION("GOOGLETRANSLATE(A8,""en"",""es"")"),"Argelia")</f>
        <v>Argelia</v>
      </c>
      <c r="C8" s="14"/>
      <c r="D8" s="17" t="s">
        <v>6</v>
      </c>
      <c r="E8" s="17" t="s">
        <v>6</v>
      </c>
      <c r="F8" s="17" t="s">
        <v>6</v>
      </c>
      <c r="G8" s="17" t="s">
        <v>6</v>
      </c>
      <c r="H8" s="17" t="s">
        <v>6</v>
      </c>
      <c r="I8" s="17" t="s">
        <v>6</v>
      </c>
      <c r="J8" s="17" t="s">
        <v>6</v>
      </c>
    </row>
    <row r="9">
      <c r="A9" s="15" t="s">
        <v>10</v>
      </c>
      <c r="B9" s="13" t="str">
        <f>IFERROR(__xludf.DUMMYFUNCTION("GOOGLETRANSLATE(A9,""en"",""es"")"),"Samoa Americana")</f>
        <v>Samoa Americana</v>
      </c>
      <c r="C9" s="14"/>
      <c r="D9" s="16" t="s">
        <v>6</v>
      </c>
      <c r="E9" s="16" t="s">
        <v>6</v>
      </c>
      <c r="F9" s="16" t="s">
        <v>6</v>
      </c>
      <c r="G9" s="16" t="s">
        <v>6</v>
      </c>
      <c r="H9" s="16" t="s">
        <v>6</v>
      </c>
      <c r="I9" s="16" t="s">
        <v>6</v>
      </c>
      <c r="J9" s="16" t="s">
        <v>6</v>
      </c>
    </row>
    <row r="10">
      <c r="A10" s="15" t="s">
        <v>11</v>
      </c>
      <c r="B10" s="13" t="str">
        <f>IFERROR(__xludf.DUMMYFUNCTION("GOOGLETRANSLATE(A10,""en"",""es"")"),"Andorra")</f>
        <v>Andorra</v>
      </c>
      <c r="C10" s="14"/>
      <c r="D10" s="17">
        <v>4319.0</v>
      </c>
      <c r="E10" s="17">
        <v>4395.0</v>
      </c>
      <c r="F10" s="17">
        <v>4425.0</v>
      </c>
      <c r="G10" s="17">
        <v>4492.0</v>
      </c>
      <c r="H10" s="17">
        <v>4513.0</v>
      </c>
      <c r="I10" s="17">
        <v>4567.0</v>
      </c>
      <c r="J10" s="17" t="s">
        <v>6</v>
      </c>
    </row>
    <row r="11">
      <c r="A11" s="15" t="s">
        <v>12</v>
      </c>
      <c r="B11" s="13" t="str">
        <f>IFERROR(__xludf.DUMMYFUNCTION("GOOGLETRANSLATE(A11,""en"",""es"")"),"Angola")</f>
        <v>Angola</v>
      </c>
      <c r="C11" s="14"/>
      <c r="D11" s="16" t="s">
        <v>6</v>
      </c>
      <c r="E11" s="16" t="s">
        <v>6</v>
      </c>
      <c r="F11" s="16">
        <v>2034150.0</v>
      </c>
      <c r="G11" s="16" t="s">
        <v>6</v>
      </c>
      <c r="H11" s="16" t="s">
        <v>6</v>
      </c>
      <c r="I11" s="16" t="s">
        <v>6</v>
      </c>
      <c r="J11" s="16" t="s">
        <v>6</v>
      </c>
    </row>
    <row r="12">
      <c r="A12" s="15" t="s">
        <v>13</v>
      </c>
      <c r="B12" s="13" t="str">
        <f>IFERROR(__xludf.DUMMYFUNCTION("GOOGLETRANSLATE(A12,""en"",""es"")"),"Anguilla")</f>
        <v>Anguilla</v>
      </c>
      <c r="C12" s="14"/>
      <c r="D12" s="17" t="s">
        <v>6</v>
      </c>
      <c r="E12" s="17" t="s">
        <v>6</v>
      </c>
      <c r="F12" s="17" t="s">
        <v>6</v>
      </c>
      <c r="G12" s="17" t="s">
        <v>6</v>
      </c>
      <c r="H12" s="17" t="s">
        <v>6</v>
      </c>
      <c r="I12" s="17">
        <v>1012.0</v>
      </c>
      <c r="J12" s="17" t="s">
        <v>6</v>
      </c>
    </row>
    <row r="13">
      <c r="A13" s="18" t="s">
        <v>14</v>
      </c>
      <c r="B13" s="13" t="str">
        <f>IFERROR(__xludf.DUMMYFUNCTION("GOOGLETRANSLATE(A13,""en"",""es"")"),"Antigua y Barbuda")</f>
        <v>Antigua y Barbuda</v>
      </c>
      <c r="C13" s="14"/>
      <c r="D13" s="16">
        <v>8077.0</v>
      </c>
      <c r="E13" s="16">
        <v>8048.0</v>
      </c>
      <c r="F13" s="16" t="s">
        <v>6</v>
      </c>
      <c r="G13" s="16">
        <v>7839.0</v>
      </c>
      <c r="H13" s="16">
        <v>7856.0</v>
      </c>
      <c r="I13" s="16" t="s">
        <v>6</v>
      </c>
      <c r="J13" s="16" t="s">
        <v>6</v>
      </c>
    </row>
    <row r="14">
      <c r="A14" s="15" t="s">
        <v>15</v>
      </c>
      <c r="B14" s="13" t="str">
        <f>IFERROR(__xludf.DUMMYFUNCTION("GOOGLETRANSLATE(A14,""en"",""es"")"),"Argentina")</f>
        <v>Argentina</v>
      </c>
      <c r="C14" s="14"/>
      <c r="D14" s="17">
        <v>4450741.0</v>
      </c>
      <c r="E14" s="17">
        <v>4501734.0</v>
      </c>
      <c r="F14" s="17">
        <v>4583002.0</v>
      </c>
      <c r="G14" s="17">
        <v>4612663.0</v>
      </c>
      <c r="H14" s="17" t="s">
        <v>6</v>
      </c>
      <c r="I14" s="17" t="s">
        <v>6</v>
      </c>
      <c r="J14" s="17" t="s">
        <v>6</v>
      </c>
    </row>
    <row r="15">
      <c r="A15" s="15" t="s">
        <v>16</v>
      </c>
      <c r="B15" s="13" t="str">
        <f>IFERROR(__xludf.DUMMYFUNCTION("GOOGLETRANSLATE(A15,""en"",""es"")"),"Armenia")</f>
        <v>Armenia</v>
      </c>
      <c r="C15" s="14"/>
      <c r="D15" s="16">
        <v>244543.0</v>
      </c>
      <c r="E15" s="16">
        <v>240291.0</v>
      </c>
      <c r="F15" s="16" t="s">
        <v>6</v>
      </c>
      <c r="G15" s="16" t="s">
        <v>6</v>
      </c>
      <c r="H15" s="16">
        <v>234983.0</v>
      </c>
      <c r="I15" s="16">
        <v>248972.0</v>
      </c>
      <c r="J15" s="16" t="s">
        <v>6</v>
      </c>
    </row>
    <row r="16">
      <c r="A16" s="15" t="s">
        <v>17</v>
      </c>
      <c r="B16" s="13" t="str">
        <f>IFERROR(__xludf.DUMMYFUNCTION("GOOGLETRANSLATE(A16,""en"",""es"")"),"Aruba")</f>
        <v>Aruba</v>
      </c>
      <c r="C16" s="14"/>
      <c r="D16" s="17" t="s">
        <v>6</v>
      </c>
      <c r="E16" s="17" t="s">
        <v>6</v>
      </c>
      <c r="F16" s="17" t="s">
        <v>6</v>
      </c>
      <c r="G16" s="17" t="s">
        <v>6</v>
      </c>
      <c r="H16" s="17" t="s">
        <v>6</v>
      </c>
      <c r="I16" s="17" t="s">
        <v>6</v>
      </c>
      <c r="J16" s="17" t="s">
        <v>6</v>
      </c>
    </row>
    <row r="17">
      <c r="A17" s="15" t="s">
        <v>18</v>
      </c>
      <c r="B17" s="13" t="str">
        <f>IFERROR(__xludf.DUMMYFUNCTION("GOOGLETRANSLATE(A17,""en"",""es"")"),"Australia")</f>
        <v>Australia</v>
      </c>
      <c r="C17" s="14"/>
      <c r="D17" s="16" t="s">
        <v>6</v>
      </c>
      <c r="E17" s="16">
        <v>2709319.0</v>
      </c>
      <c r="F17" s="16">
        <v>2662318.0</v>
      </c>
      <c r="G17" s="16">
        <v>2650486.0</v>
      </c>
      <c r="H17" s="16">
        <v>2379962.0</v>
      </c>
      <c r="I17" s="16" t="s">
        <v>6</v>
      </c>
      <c r="J17" s="16" t="s">
        <v>6</v>
      </c>
    </row>
    <row r="18">
      <c r="A18" s="15" t="s">
        <v>19</v>
      </c>
      <c r="B18" s="13" t="str">
        <f>IFERROR(__xludf.DUMMYFUNCTION("GOOGLETRANSLATE(A18,""en"",""es"")"),"Austria")</f>
        <v>Austria</v>
      </c>
      <c r="C18" s="14"/>
      <c r="D18" s="17">
        <v>697388.4167</v>
      </c>
      <c r="E18" s="17">
        <v>691071.252</v>
      </c>
      <c r="F18" s="17">
        <v>687126.0273</v>
      </c>
      <c r="G18" s="17">
        <v>687361.7599</v>
      </c>
      <c r="H18" s="17">
        <v>687386.106</v>
      </c>
      <c r="I18" s="17" t="s">
        <v>6</v>
      </c>
      <c r="J18" s="17" t="s">
        <v>6</v>
      </c>
    </row>
    <row r="19">
      <c r="A19" s="15" t="s">
        <v>20</v>
      </c>
      <c r="B19" s="13" t="str">
        <f>IFERROR(__xludf.DUMMYFUNCTION("GOOGLETRANSLATE(A19,""en"",""es"")"),"Azerbaiyán")</f>
        <v>Azerbaiyán</v>
      </c>
      <c r="C19" s="14"/>
      <c r="D19" s="16" t="s">
        <v>6</v>
      </c>
      <c r="E19" s="16" t="s">
        <v>6</v>
      </c>
      <c r="F19" s="16" t="s">
        <v>6</v>
      </c>
      <c r="G19" s="16" t="s">
        <v>6</v>
      </c>
      <c r="H19" s="16">
        <v>945226.0</v>
      </c>
      <c r="I19" s="16">
        <v>967454.0</v>
      </c>
      <c r="J19" s="16" t="s">
        <v>6</v>
      </c>
    </row>
    <row r="20">
      <c r="A20" s="15" t="s">
        <v>21</v>
      </c>
      <c r="B20" s="13" t="str">
        <f>IFERROR(__xludf.DUMMYFUNCTION("GOOGLETRANSLATE(A20,""en"",""es"")"),"Bahamas")</f>
        <v>Bahamas</v>
      </c>
      <c r="C20" s="14"/>
      <c r="D20" s="17">
        <v>31681.0</v>
      </c>
      <c r="E20" s="17">
        <v>25766.0</v>
      </c>
      <c r="F20" s="17">
        <v>28384.0</v>
      </c>
      <c r="G20" s="17">
        <v>30740.0</v>
      </c>
      <c r="H20" s="17">
        <v>26884.0</v>
      </c>
      <c r="I20" s="17" t="s">
        <v>6</v>
      </c>
      <c r="J20" s="17" t="s">
        <v>6</v>
      </c>
    </row>
    <row r="21">
      <c r="A21" s="15" t="s">
        <v>22</v>
      </c>
      <c r="B21" s="13" t="str">
        <f>IFERROR(__xludf.DUMMYFUNCTION("GOOGLETRANSLATE(A21,""en"",""es"")"),"Bahrein")</f>
        <v>Bahrein</v>
      </c>
      <c r="C21" s="14"/>
      <c r="D21" s="16">
        <v>90092.0</v>
      </c>
      <c r="E21" s="16">
        <v>92454.0</v>
      </c>
      <c r="F21" s="16">
        <v>95666.0</v>
      </c>
      <c r="G21" s="16">
        <v>97733.0</v>
      </c>
      <c r="H21" s="16">
        <v>99026.0</v>
      </c>
      <c r="I21" s="16">
        <v>102003.0</v>
      </c>
      <c r="J21" s="16" t="s">
        <v>6</v>
      </c>
    </row>
    <row r="22">
      <c r="A22" s="15" t="s">
        <v>23</v>
      </c>
      <c r="B22" s="13" t="str">
        <f>IFERROR(__xludf.DUMMYFUNCTION("GOOGLETRANSLATE(A22,""en"",""es"")"),"Bangladesh")</f>
        <v>Bangladesh</v>
      </c>
      <c r="C22" s="14"/>
      <c r="D22" s="17" t="s">
        <v>6</v>
      </c>
      <c r="E22" s="17">
        <v>1.4566771E7</v>
      </c>
      <c r="F22" s="17">
        <v>1.5787818E7</v>
      </c>
      <c r="G22" s="17">
        <v>1.5314757E7</v>
      </c>
      <c r="H22" s="17">
        <v>1.586982E7</v>
      </c>
      <c r="I22" s="17">
        <v>1.5710974E7</v>
      </c>
      <c r="J22" s="17" t="s">
        <v>6</v>
      </c>
    </row>
    <row r="23">
      <c r="A23" s="15" t="s">
        <v>24</v>
      </c>
      <c r="B23" s="13" t="str">
        <f>IFERROR(__xludf.DUMMYFUNCTION("GOOGLETRANSLATE(A23,""en"",""es"")"),"Barbados")</f>
        <v>Barbados</v>
      </c>
      <c r="C23" s="14"/>
      <c r="D23" s="16">
        <v>20603.0</v>
      </c>
      <c r="E23" s="16">
        <v>20554.0</v>
      </c>
      <c r="F23" s="16">
        <v>20370.0</v>
      </c>
      <c r="G23" s="16">
        <v>20249.0</v>
      </c>
      <c r="H23" s="16">
        <v>19571.0</v>
      </c>
      <c r="I23" s="16">
        <v>19121.0</v>
      </c>
      <c r="J23" s="16" t="s">
        <v>6</v>
      </c>
    </row>
    <row r="24">
      <c r="A24" s="15" t="s">
        <v>25</v>
      </c>
      <c r="B24" s="13" t="str">
        <f>IFERROR(__xludf.DUMMYFUNCTION("GOOGLETRANSLATE(A24,""en"",""es"")"),"Bielorrusia")</f>
        <v>Bielorrusia</v>
      </c>
      <c r="C24" s="14"/>
      <c r="D24" s="17">
        <v>648541.0</v>
      </c>
      <c r="E24" s="17">
        <v>644153.0</v>
      </c>
      <c r="F24" s="17">
        <v>644344.0</v>
      </c>
      <c r="G24" s="17">
        <v>644334.0</v>
      </c>
      <c r="H24" s="17">
        <v>649357.0</v>
      </c>
      <c r="I24" s="17" t="s">
        <v>6</v>
      </c>
      <c r="J24" s="17" t="s">
        <v>6</v>
      </c>
    </row>
    <row r="25">
      <c r="A25" s="15" t="s">
        <v>26</v>
      </c>
      <c r="B25" s="13" t="str">
        <f>IFERROR(__xludf.DUMMYFUNCTION("GOOGLETRANSLATE(A25,""en"",""es"")"),"Bélgica")</f>
        <v>Bélgica</v>
      </c>
      <c r="C25" s="14"/>
      <c r="D25" s="16">
        <v>1210112.0</v>
      </c>
      <c r="E25" s="16">
        <v>1217912.0</v>
      </c>
      <c r="F25" s="16">
        <v>1196383.0</v>
      </c>
      <c r="G25" s="16">
        <v>1186830.0</v>
      </c>
      <c r="H25" s="16">
        <v>1179334.0</v>
      </c>
      <c r="I25" s="16" t="s">
        <v>6</v>
      </c>
      <c r="J25" s="16" t="s">
        <v>6</v>
      </c>
    </row>
    <row r="26">
      <c r="A26" s="15" t="s">
        <v>27</v>
      </c>
      <c r="B26" s="13" t="str">
        <f>IFERROR(__xludf.DUMMYFUNCTION("GOOGLETRANSLATE(A26,""en"",""es"")"),"Belice")</f>
        <v>Belice</v>
      </c>
      <c r="C26" s="14"/>
      <c r="D26" s="17">
        <v>37095.0</v>
      </c>
      <c r="E26" s="17">
        <v>37856.0</v>
      </c>
      <c r="F26" s="17">
        <v>41046.0</v>
      </c>
      <c r="G26" s="17">
        <v>39756.0</v>
      </c>
      <c r="H26" s="17">
        <v>40353.0</v>
      </c>
      <c r="I26" s="17">
        <v>40641.0</v>
      </c>
      <c r="J26" s="17" t="s">
        <v>6</v>
      </c>
    </row>
    <row r="27">
      <c r="A27" s="15" t="s">
        <v>28</v>
      </c>
      <c r="B27" s="13" t="str">
        <f>IFERROR(__xludf.DUMMYFUNCTION("GOOGLETRANSLATE(A27,""en"",""es"")"),"Benin")</f>
        <v>Benin</v>
      </c>
      <c r="C27" s="14"/>
      <c r="D27" s="16">
        <v>896763.0</v>
      </c>
      <c r="E27" s="16">
        <v>963787.0</v>
      </c>
      <c r="F27" s="16">
        <v>992999.0</v>
      </c>
      <c r="G27" s="16" t="s">
        <v>6</v>
      </c>
      <c r="H27" s="16" t="s">
        <v>6</v>
      </c>
      <c r="I27" s="16" t="s">
        <v>6</v>
      </c>
      <c r="J27" s="16" t="s">
        <v>6</v>
      </c>
    </row>
    <row r="28">
      <c r="A28" s="15" t="s">
        <v>29</v>
      </c>
      <c r="B28" s="13" t="str">
        <f>IFERROR(__xludf.DUMMYFUNCTION("GOOGLETRANSLATE(A28,""en"",""es"")"),"islas Bermudas")</f>
        <v>islas Bermudas</v>
      </c>
      <c r="C28" s="14"/>
      <c r="D28" s="17">
        <v>4093.0</v>
      </c>
      <c r="E28" s="17">
        <v>4040.0</v>
      </c>
      <c r="F28" s="17" t="s">
        <v>6</v>
      </c>
      <c r="G28" s="17" t="s">
        <v>6</v>
      </c>
      <c r="H28" s="17" t="s">
        <v>6</v>
      </c>
      <c r="I28" s="17" t="s">
        <v>6</v>
      </c>
      <c r="J28" s="17" t="s">
        <v>6</v>
      </c>
    </row>
    <row r="29">
      <c r="A29" s="15" t="s">
        <v>30</v>
      </c>
      <c r="B29" s="13" t="str">
        <f>IFERROR(__xludf.DUMMYFUNCTION("GOOGLETRANSLATE(A29,""en"",""es"")"),"Bután")</f>
        <v>Bután</v>
      </c>
      <c r="C29" s="14"/>
      <c r="D29" s="16">
        <v>74227.0</v>
      </c>
      <c r="E29" s="16">
        <v>74320.0</v>
      </c>
      <c r="F29" s="16">
        <v>74393.0</v>
      </c>
      <c r="G29" s="16">
        <v>75444.0</v>
      </c>
      <c r="H29" s="16">
        <v>76221.0</v>
      </c>
      <c r="I29" s="16" t="s">
        <v>6</v>
      </c>
      <c r="J29" s="16" t="s">
        <v>6</v>
      </c>
    </row>
    <row r="30">
      <c r="A30" s="18" t="s">
        <v>31</v>
      </c>
      <c r="B30" s="13" t="str">
        <f>IFERROR(__xludf.DUMMYFUNCTION("GOOGLETRANSLATE(A30,""en"",""es"")"),"Bolivia (Estado Plurinacional de)")</f>
        <v>Bolivia (Estado Plurinacional de)</v>
      </c>
      <c r="C30" s="14"/>
      <c r="D30" s="17">
        <v>1208552.0</v>
      </c>
      <c r="E30" s="17">
        <v>1233875.0</v>
      </c>
      <c r="F30" s="17">
        <v>1243485.0</v>
      </c>
      <c r="G30" s="17">
        <v>1235538.0</v>
      </c>
      <c r="H30" s="17">
        <v>1233738.0</v>
      </c>
      <c r="I30" s="17" t="s">
        <v>6</v>
      </c>
      <c r="J30" s="17" t="s">
        <v>6</v>
      </c>
    </row>
    <row r="31">
      <c r="A31" s="18" t="s">
        <v>32</v>
      </c>
      <c r="B31" s="13" t="str">
        <f>IFERROR(__xludf.DUMMYFUNCTION("GOOGLETRANSLATE(A31,""en"",""es"")"),"Bosnia y Herzegovina")</f>
        <v>Bosnia y Herzegovina</v>
      </c>
      <c r="C31" s="14"/>
      <c r="D31" s="16">
        <v>297460.0</v>
      </c>
      <c r="E31" s="16">
        <v>278071.0</v>
      </c>
      <c r="F31" s="16">
        <v>263010.0</v>
      </c>
      <c r="G31" s="16">
        <v>253070.0</v>
      </c>
      <c r="H31" s="16">
        <v>247714.0</v>
      </c>
      <c r="I31" s="16">
        <v>240189.0</v>
      </c>
      <c r="J31" s="16" t="s">
        <v>6</v>
      </c>
    </row>
    <row r="32">
      <c r="A32" s="15" t="s">
        <v>33</v>
      </c>
      <c r="B32" s="13" t="str">
        <f>IFERROR(__xludf.DUMMYFUNCTION("GOOGLETRANSLATE(A32,""en"",""es"")"),"Botswana")</f>
        <v>Botswana</v>
      </c>
      <c r="C32" s="14"/>
      <c r="D32" s="17" t="s">
        <v>6</v>
      </c>
      <c r="E32" s="17" t="s">
        <v>6</v>
      </c>
      <c r="F32" s="17" t="s">
        <v>6</v>
      </c>
      <c r="G32" s="17" t="s">
        <v>6</v>
      </c>
      <c r="H32" s="17" t="s">
        <v>6</v>
      </c>
      <c r="I32" s="17" t="s">
        <v>6</v>
      </c>
      <c r="J32" s="17" t="s">
        <v>6</v>
      </c>
    </row>
    <row r="33">
      <c r="A33" s="15" t="s">
        <v>34</v>
      </c>
      <c r="B33" s="13" t="str">
        <f>IFERROR(__xludf.DUMMYFUNCTION("GOOGLETRANSLATE(A33,""en"",""es"")"),"Brasil")</f>
        <v>Brasil</v>
      </c>
      <c r="C33" s="14"/>
      <c r="D33" s="16">
        <v>2.4224945E7</v>
      </c>
      <c r="E33" s="16">
        <v>2.3501784E7</v>
      </c>
      <c r="F33" s="16">
        <v>2.3538072E7</v>
      </c>
      <c r="G33" s="16">
        <v>2.3118179E7</v>
      </c>
      <c r="H33" s="16">
        <v>2.2863908E7</v>
      </c>
      <c r="I33" s="16" t="s">
        <v>6</v>
      </c>
      <c r="J33" s="16" t="s">
        <v>6</v>
      </c>
    </row>
    <row r="34">
      <c r="A34" s="18" t="s">
        <v>35</v>
      </c>
      <c r="B34" s="13" t="str">
        <f>IFERROR(__xludf.DUMMYFUNCTION("GOOGLETRANSLATE(A34,""en"",""es"")"),"Islas Vírgenes Británicas")</f>
        <v>Islas Vírgenes Británicas</v>
      </c>
      <c r="C34" s="14"/>
      <c r="D34" s="17">
        <v>1987.0</v>
      </c>
      <c r="E34" s="17">
        <v>2027.0</v>
      </c>
      <c r="F34" s="17">
        <v>2034.0</v>
      </c>
      <c r="G34" s="17">
        <v>2255.0</v>
      </c>
      <c r="H34" s="17">
        <v>1731.0</v>
      </c>
      <c r="I34" s="17" t="s">
        <v>6</v>
      </c>
      <c r="J34" s="17" t="s">
        <v>6</v>
      </c>
    </row>
    <row r="35">
      <c r="A35" s="18" t="s">
        <v>36</v>
      </c>
      <c r="B35" s="13" t="str">
        <f>IFERROR(__xludf.DUMMYFUNCTION("GOOGLETRANSLATE(A35,""en"",""es"")"),"Brunei Darussalam")</f>
        <v>Brunei Darussalam</v>
      </c>
      <c r="C35" s="14"/>
      <c r="D35" s="16">
        <v>49009.0</v>
      </c>
      <c r="E35" s="16">
        <v>47249.0</v>
      </c>
      <c r="F35" s="16">
        <v>45589.0</v>
      </c>
      <c r="G35" s="16">
        <v>44464.0</v>
      </c>
      <c r="H35" s="16">
        <v>44079.0</v>
      </c>
      <c r="I35" s="16">
        <v>42679.0</v>
      </c>
      <c r="J35" s="16" t="s">
        <v>6</v>
      </c>
    </row>
    <row r="36">
      <c r="A36" s="15" t="s">
        <v>37</v>
      </c>
      <c r="B36" s="13" t="str">
        <f>IFERROR(__xludf.DUMMYFUNCTION("GOOGLETRANSLATE(A36,""en"",""es"")"),"Bulgaria")</f>
        <v>Bulgaria</v>
      </c>
      <c r="C36" s="14"/>
      <c r="D36" s="17">
        <v>518914.0</v>
      </c>
      <c r="E36" s="17">
        <v>501398.0</v>
      </c>
      <c r="F36" s="17">
        <v>487087.0</v>
      </c>
      <c r="G36" s="17">
        <v>485586.0</v>
      </c>
      <c r="H36" s="17">
        <v>489665.0</v>
      </c>
      <c r="I36" s="17" t="s">
        <v>6</v>
      </c>
      <c r="J36" s="17" t="s">
        <v>6</v>
      </c>
    </row>
    <row r="37">
      <c r="A37" s="15" t="s">
        <v>38</v>
      </c>
      <c r="B37" s="13" t="str">
        <f>IFERROR(__xludf.DUMMYFUNCTION("GOOGLETRANSLATE(A37,""en"",""es"")"),"Burkina Faso")</f>
        <v>Burkina Faso</v>
      </c>
      <c r="C37" s="14"/>
      <c r="D37" s="16">
        <v>841886.0</v>
      </c>
      <c r="E37" s="16">
        <v>965550.0</v>
      </c>
      <c r="F37" s="16">
        <v>1058163.0</v>
      </c>
      <c r="G37" s="16">
        <v>1162297.0</v>
      </c>
      <c r="H37" s="16">
        <v>1281007.0</v>
      </c>
      <c r="I37" s="16">
        <v>1342143.0</v>
      </c>
      <c r="J37" s="16" t="s">
        <v>6</v>
      </c>
    </row>
    <row r="38">
      <c r="A38" s="15" t="s">
        <v>39</v>
      </c>
      <c r="B38" s="13" t="str">
        <f>IFERROR(__xludf.DUMMYFUNCTION("GOOGLETRANSLATE(A38,""en"",""es"")"),"Burundi")</f>
        <v>Burundi</v>
      </c>
      <c r="C38" s="14"/>
      <c r="D38" s="17">
        <v>583308.0</v>
      </c>
      <c r="E38" s="17">
        <v>664243.0</v>
      </c>
      <c r="F38" s="17">
        <v>723357.0</v>
      </c>
      <c r="G38" s="17">
        <v>665116.0</v>
      </c>
      <c r="H38" s="17">
        <v>674855.0</v>
      </c>
      <c r="I38" s="17">
        <v>650269.0</v>
      </c>
      <c r="J38" s="17" t="s">
        <v>6</v>
      </c>
    </row>
    <row r="39">
      <c r="A39" s="15" t="s">
        <v>40</v>
      </c>
      <c r="B39" s="13" t="str">
        <f>IFERROR(__xludf.DUMMYFUNCTION("GOOGLETRANSLATE(A39,""en"",""es"")"),"Camboya")</f>
        <v>Camboya</v>
      </c>
      <c r="C39" s="14"/>
      <c r="D39" s="16" t="s">
        <v>6</v>
      </c>
      <c r="E39" s="16" t="s">
        <v>6</v>
      </c>
      <c r="F39" s="16" t="s">
        <v>6</v>
      </c>
      <c r="G39" s="16" t="s">
        <v>6</v>
      </c>
      <c r="H39" s="16" t="s">
        <v>6</v>
      </c>
      <c r="I39" s="16" t="s">
        <v>6</v>
      </c>
      <c r="J39" s="16" t="s">
        <v>6</v>
      </c>
    </row>
    <row r="40">
      <c r="A40" s="15" t="s">
        <v>41</v>
      </c>
      <c r="B40" s="13" t="str">
        <f>IFERROR(__xludf.DUMMYFUNCTION("GOOGLETRANSLATE(A40,""en"",""es"")"),"Camerún")</f>
        <v>Camerún</v>
      </c>
      <c r="C40" s="14"/>
      <c r="D40" s="17">
        <v>2000076.0</v>
      </c>
      <c r="E40" s="17">
        <v>2108279.0</v>
      </c>
      <c r="F40" s="17">
        <v>2206878.0</v>
      </c>
      <c r="G40" s="17" t="s">
        <v>6</v>
      </c>
      <c r="H40" s="17" t="s">
        <v>6</v>
      </c>
      <c r="I40" s="17" t="s">
        <v>6</v>
      </c>
      <c r="J40" s="17" t="s">
        <v>6</v>
      </c>
    </row>
    <row r="41">
      <c r="A41" s="15" t="s">
        <v>42</v>
      </c>
      <c r="B41" s="13" t="str">
        <f>IFERROR(__xludf.DUMMYFUNCTION("GOOGLETRANSLATE(A41,""en"",""es"")"),"Canadá")</f>
        <v>Canadá</v>
      </c>
      <c r="C41" s="14"/>
      <c r="D41" s="16">
        <v>2661089.0</v>
      </c>
      <c r="E41" s="16">
        <v>2641675.0</v>
      </c>
      <c r="F41" s="16">
        <v>2640933.0</v>
      </c>
      <c r="G41" s="16">
        <v>2653009.0</v>
      </c>
      <c r="H41" s="16">
        <v>2654199.0</v>
      </c>
      <c r="I41" s="16" t="s">
        <v>6</v>
      </c>
      <c r="J41" s="16" t="s">
        <v>6</v>
      </c>
    </row>
    <row r="42">
      <c r="A42" s="15" t="s">
        <v>43</v>
      </c>
      <c r="B42" s="13" t="str">
        <f>IFERROR(__xludf.DUMMYFUNCTION("GOOGLETRANSLATE(A42,""en"",""es"")"),"Cabo Verde")</f>
        <v>Cabo Verde</v>
      </c>
      <c r="C42" s="14"/>
      <c r="D42" s="17">
        <v>59823.0</v>
      </c>
      <c r="E42" s="17">
        <v>58657.0</v>
      </c>
      <c r="F42" s="17">
        <v>57730.0</v>
      </c>
      <c r="G42" s="17">
        <v>56469.0</v>
      </c>
      <c r="H42" s="17">
        <v>53355.0</v>
      </c>
      <c r="I42" s="17" t="s">
        <v>6</v>
      </c>
      <c r="J42" s="17" t="s">
        <v>6</v>
      </c>
    </row>
    <row r="43">
      <c r="A43" s="15" t="s">
        <v>44</v>
      </c>
      <c r="B43" s="13" t="str">
        <f>IFERROR(__xludf.DUMMYFUNCTION("GOOGLETRANSLATE(A43,""en"",""es"")"),"Islas Caimán")</f>
        <v>Islas Caimán</v>
      </c>
      <c r="C43" s="14"/>
      <c r="D43" s="16" t="s">
        <v>6</v>
      </c>
      <c r="E43" s="16" t="s">
        <v>6</v>
      </c>
      <c r="F43" s="16" t="s">
        <v>6</v>
      </c>
      <c r="G43" s="16" t="s">
        <v>6</v>
      </c>
      <c r="H43" s="16">
        <v>3476.0</v>
      </c>
      <c r="I43" s="16" t="s">
        <v>6</v>
      </c>
      <c r="J43" s="16" t="s">
        <v>6</v>
      </c>
    </row>
    <row r="44">
      <c r="A44" s="18" t="s">
        <v>45</v>
      </c>
      <c r="B44" s="13" t="str">
        <f>IFERROR(__xludf.DUMMYFUNCTION("GOOGLETRANSLATE(A44,""en"",""es"")"),"República Centroafricana")</f>
        <v>República Centroafricana</v>
      </c>
      <c r="C44" s="14"/>
      <c r="D44" s="17" t="s">
        <v>6</v>
      </c>
      <c r="E44" s="17" t="s">
        <v>6</v>
      </c>
      <c r="F44" s="17">
        <v>118883.0</v>
      </c>
      <c r="G44" s="17">
        <v>137844.0</v>
      </c>
      <c r="H44" s="17" t="s">
        <v>6</v>
      </c>
      <c r="I44" s="17" t="s">
        <v>6</v>
      </c>
      <c r="J44" s="17" t="s">
        <v>6</v>
      </c>
    </row>
    <row r="45">
      <c r="A45" s="15" t="s">
        <v>46</v>
      </c>
      <c r="B45" s="13" t="str">
        <f>IFERROR(__xludf.DUMMYFUNCTION("GOOGLETRANSLATE(A45,""en"",""es"")"),"Chad")</f>
        <v>Chad</v>
      </c>
      <c r="C45" s="14"/>
      <c r="D45" s="16">
        <v>508730.0</v>
      </c>
      <c r="E45" s="16">
        <v>513248.0</v>
      </c>
      <c r="F45" s="16">
        <v>535112.0</v>
      </c>
      <c r="G45" s="16">
        <v>507074.0</v>
      </c>
      <c r="H45" s="16">
        <v>511841.0</v>
      </c>
      <c r="I45" s="16">
        <v>537388.0</v>
      </c>
      <c r="J45" s="16" t="s">
        <v>6</v>
      </c>
    </row>
    <row r="46">
      <c r="A46" s="15" t="s">
        <v>47</v>
      </c>
      <c r="B46" s="13" t="str">
        <f>IFERROR(__xludf.DUMMYFUNCTION("GOOGLETRANSLATE(A46,""en"",""es"")"),"Islas del Canal")</f>
        <v>Islas del Canal</v>
      </c>
      <c r="C46" s="14"/>
      <c r="D46" s="17" t="s">
        <v>6</v>
      </c>
      <c r="E46" s="17" t="s">
        <v>6</v>
      </c>
      <c r="F46" s="17" t="s">
        <v>6</v>
      </c>
      <c r="G46" s="17" t="s">
        <v>6</v>
      </c>
      <c r="H46" s="17" t="s">
        <v>6</v>
      </c>
      <c r="I46" s="17" t="s">
        <v>6</v>
      </c>
      <c r="J46" s="17" t="s">
        <v>6</v>
      </c>
    </row>
    <row r="47">
      <c r="A47" s="15" t="s">
        <v>48</v>
      </c>
      <c r="B47" s="13" t="str">
        <f>IFERROR(__xludf.DUMMYFUNCTION("GOOGLETRANSLATE(A47,""en"",""es"")"),"Chile")</f>
        <v>Chile</v>
      </c>
      <c r="C47" s="14"/>
      <c r="D47" s="16">
        <v>1556372.0</v>
      </c>
      <c r="E47" s="16">
        <v>1546323.0</v>
      </c>
      <c r="F47" s="16">
        <v>1530162.0</v>
      </c>
      <c r="G47" s="16">
        <v>1520724.0</v>
      </c>
      <c r="H47" s="16">
        <v>1522145.0</v>
      </c>
      <c r="I47" s="16" t="s">
        <v>6</v>
      </c>
      <c r="J47" s="16" t="s">
        <v>6</v>
      </c>
    </row>
    <row r="48">
      <c r="A48" s="15" t="s">
        <v>49</v>
      </c>
      <c r="B48" s="13" t="str">
        <f>IFERROR(__xludf.DUMMYFUNCTION("GOOGLETRANSLATE(A48,""en"",""es"")"),"China")</f>
        <v>China</v>
      </c>
      <c r="C48" s="14"/>
      <c r="D48" s="17">
        <v>8.869179E7</v>
      </c>
      <c r="E48" s="17">
        <v>8.6127197E7</v>
      </c>
      <c r="F48" s="17">
        <v>8.3956318E7</v>
      </c>
      <c r="G48" s="17">
        <v>8.3407925E7</v>
      </c>
      <c r="H48" s="17">
        <v>8.4321859E7</v>
      </c>
      <c r="I48" s="17">
        <v>8.6101697E7</v>
      </c>
      <c r="J48" s="17" t="s">
        <v>6</v>
      </c>
    </row>
    <row r="49">
      <c r="A49" s="18" t="s">
        <v>50</v>
      </c>
      <c r="B49" s="13" t="str">
        <f>IFERROR(__xludf.DUMMYFUNCTION("GOOGLETRANSLATE(A49,""en"",""es"")"),"China, Hong Kong, Región Administrativa Especial")</f>
        <v>China, Hong Kong, Región Administrativa Especial</v>
      </c>
      <c r="C49" s="14"/>
      <c r="D49" s="16">
        <v>415971.0</v>
      </c>
      <c r="E49" s="16">
        <v>393952.0</v>
      </c>
      <c r="F49" s="16">
        <v>371900.0</v>
      </c>
      <c r="G49" s="16">
        <v>357158.0</v>
      </c>
      <c r="H49" s="16">
        <v>349086.0</v>
      </c>
      <c r="I49" s="16">
        <v>341388.0</v>
      </c>
      <c r="J49" s="16" t="s">
        <v>6</v>
      </c>
    </row>
    <row r="50">
      <c r="A50" s="18" t="s">
        <v>51</v>
      </c>
      <c r="B50" s="13" t="str">
        <f>IFERROR(__xludf.DUMMYFUNCTION("GOOGLETRANSLATE(A50,""en"",""es"")"),"China, Macao, Región Administrativa Especial")</f>
        <v>China, Macao, Región Administrativa Especial</v>
      </c>
      <c r="C50" s="14"/>
      <c r="D50" s="17">
        <v>32054.0</v>
      </c>
      <c r="E50" s="17">
        <v>30088.0</v>
      </c>
      <c r="F50" s="17">
        <v>28745.0</v>
      </c>
      <c r="G50" s="17">
        <v>27473.0</v>
      </c>
      <c r="H50" s="17">
        <v>26608.0</v>
      </c>
      <c r="I50" s="17">
        <v>26022.0</v>
      </c>
      <c r="J50" s="17" t="s">
        <v>6</v>
      </c>
    </row>
    <row r="51">
      <c r="A51" s="15" t="s">
        <v>52</v>
      </c>
      <c r="B51" s="13" t="str">
        <f>IFERROR(__xludf.DUMMYFUNCTION("GOOGLETRANSLATE(A51,""en"",""es"")"),"Colombia")</f>
        <v>Colombia</v>
      </c>
      <c r="C51" s="14"/>
      <c r="D51" s="16">
        <v>4827962.0</v>
      </c>
      <c r="E51" s="16">
        <v>4793963.0</v>
      </c>
      <c r="F51" s="16">
        <v>4784912.0</v>
      </c>
      <c r="G51" s="16">
        <v>4784846.0</v>
      </c>
      <c r="H51" s="16">
        <v>4821029.0</v>
      </c>
      <c r="I51" s="16" t="s">
        <v>6</v>
      </c>
      <c r="J51" s="16" t="s">
        <v>6</v>
      </c>
    </row>
    <row r="52">
      <c r="A52" s="15" t="s">
        <v>53</v>
      </c>
      <c r="B52" s="13" t="str">
        <f>IFERROR(__xludf.DUMMYFUNCTION("GOOGLETRANSLATE(A52,""en"",""es"")"),"Comoras")</f>
        <v>Comoras</v>
      </c>
      <c r="C52" s="14"/>
      <c r="D52" s="17">
        <v>70234.0</v>
      </c>
      <c r="E52" s="17" t="s">
        <v>6</v>
      </c>
      <c r="F52" s="17" t="s">
        <v>6</v>
      </c>
      <c r="G52" s="17">
        <v>67445.0</v>
      </c>
      <c r="H52" s="17">
        <v>73695.0</v>
      </c>
      <c r="I52" s="17" t="s">
        <v>6</v>
      </c>
      <c r="J52" s="17" t="s">
        <v>6</v>
      </c>
    </row>
    <row r="53">
      <c r="A53" s="15" t="s">
        <v>54</v>
      </c>
      <c r="B53" s="13" t="str">
        <f>IFERROR(__xludf.DUMMYFUNCTION("GOOGLETRANSLATE(A53,""en"",""es"")"),"Congo")</f>
        <v>Congo</v>
      </c>
      <c r="C53" s="14"/>
      <c r="D53" s="16" t="s">
        <v>6</v>
      </c>
      <c r="E53" s="16" t="s">
        <v>6</v>
      </c>
      <c r="F53" s="16" t="s">
        <v>6</v>
      </c>
      <c r="G53" s="16" t="s">
        <v>6</v>
      </c>
      <c r="H53" s="16" t="s">
        <v>6</v>
      </c>
      <c r="I53" s="16" t="s">
        <v>6</v>
      </c>
      <c r="J53" s="16" t="s">
        <v>6</v>
      </c>
    </row>
    <row r="54">
      <c r="A54" s="15" t="s">
        <v>55</v>
      </c>
      <c r="B54" s="13" t="str">
        <f>IFERROR(__xludf.DUMMYFUNCTION("GOOGLETRANSLATE(A54,""en"",""es"")"),"Islas Cook")</f>
        <v>Islas Cook</v>
      </c>
      <c r="C54" s="14"/>
      <c r="D54" s="17">
        <v>1718.0</v>
      </c>
      <c r="E54" s="17">
        <v>1724.0</v>
      </c>
      <c r="F54" s="17">
        <v>1685.0</v>
      </c>
      <c r="G54" s="17" t="s">
        <v>6</v>
      </c>
      <c r="H54" s="17" t="s">
        <v>6</v>
      </c>
      <c r="I54" s="17">
        <v>1819.0</v>
      </c>
      <c r="J54" s="17" t="s">
        <v>6</v>
      </c>
    </row>
    <row r="55">
      <c r="A55" s="15" t="s">
        <v>56</v>
      </c>
      <c r="B55" s="13" t="str">
        <f>IFERROR(__xludf.DUMMYFUNCTION("GOOGLETRANSLATE(A55,""en"",""es"")"),"Costa Rica")</f>
        <v>Costa Rica</v>
      </c>
      <c r="C55" s="14"/>
      <c r="D55" s="16">
        <v>460235.0</v>
      </c>
      <c r="E55" s="16">
        <v>460252.0</v>
      </c>
      <c r="F55" s="16">
        <v>462855.0</v>
      </c>
      <c r="G55" s="16">
        <v>467513.0</v>
      </c>
      <c r="H55" s="16">
        <v>476668.0</v>
      </c>
      <c r="I55" s="16">
        <v>504316.0</v>
      </c>
      <c r="J55" s="16" t="s">
        <v>6</v>
      </c>
    </row>
    <row r="56">
      <c r="A56" s="15" t="s">
        <v>57</v>
      </c>
      <c r="B56" s="13" t="str">
        <f>IFERROR(__xludf.DUMMYFUNCTION("GOOGLETRANSLATE(A56,""en"",""es"")"),"Costa de Marfil")</f>
        <v>Costa de Marfil</v>
      </c>
      <c r="C56" s="14"/>
      <c r="D56" s="17">
        <v>1418361.0</v>
      </c>
      <c r="E56" s="17">
        <v>1587348.0</v>
      </c>
      <c r="F56" s="17">
        <v>1727227.0</v>
      </c>
      <c r="G56" s="17">
        <v>1898243.0</v>
      </c>
      <c r="H56" s="17">
        <v>2040520.0</v>
      </c>
      <c r="I56" s="17">
        <v>2227143.0</v>
      </c>
      <c r="J56" s="17" t="s">
        <v>6</v>
      </c>
    </row>
    <row r="57">
      <c r="A57" s="15" t="s">
        <v>58</v>
      </c>
      <c r="B57" s="13" t="str">
        <f>IFERROR(__xludf.DUMMYFUNCTION("GOOGLETRANSLATE(A57,""en"",""es"")"),"Croacia")</f>
        <v>Croacia</v>
      </c>
      <c r="C57" s="14"/>
      <c r="D57" s="16">
        <v>370356.0</v>
      </c>
      <c r="E57" s="16">
        <v>360205.0</v>
      </c>
      <c r="F57" s="16">
        <v>349018.0</v>
      </c>
      <c r="G57" s="16">
        <v>339838.0</v>
      </c>
      <c r="H57" s="16">
        <v>332460.0</v>
      </c>
      <c r="I57" s="16" t="s">
        <v>6</v>
      </c>
      <c r="J57" s="16" t="s">
        <v>6</v>
      </c>
    </row>
    <row r="58">
      <c r="A58" s="15" t="s">
        <v>59</v>
      </c>
      <c r="B58" s="13" t="str">
        <f>IFERROR(__xludf.DUMMYFUNCTION("GOOGLETRANSLATE(A58,""en"",""es"")"),"Cuba")</f>
        <v>Cuba</v>
      </c>
      <c r="C58" s="14"/>
      <c r="D58" s="17">
        <v>830375.0</v>
      </c>
      <c r="E58" s="17">
        <v>825055.0</v>
      </c>
      <c r="F58" s="17">
        <v>826759.0</v>
      </c>
      <c r="G58" s="17">
        <v>815786.0</v>
      </c>
      <c r="H58" s="17">
        <v>795057.0</v>
      </c>
      <c r="I58" s="17">
        <v>771999.0</v>
      </c>
      <c r="J58" s="17" t="s">
        <v>6</v>
      </c>
    </row>
    <row r="59">
      <c r="A59" s="15" t="s">
        <v>60</v>
      </c>
      <c r="B59" s="13" t="str">
        <f>IFERROR(__xludf.DUMMYFUNCTION("GOOGLETRANSLATE(A59,""en"",""es"")"),"Curaçao")</f>
        <v>Curaçao</v>
      </c>
      <c r="C59" s="14"/>
      <c r="D59" s="16" t="s">
        <v>6</v>
      </c>
      <c r="E59" s="16" t="s">
        <v>6</v>
      </c>
      <c r="F59" s="16" t="s">
        <v>6</v>
      </c>
      <c r="G59" s="16" t="s">
        <v>6</v>
      </c>
      <c r="H59" s="16" t="s">
        <v>6</v>
      </c>
      <c r="I59" s="16" t="s">
        <v>6</v>
      </c>
      <c r="J59" s="16" t="s">
        <v>6</v>
      </c>
    </row>
    <row r="60">
      <c r="A60" s="15" t="s">
        <v>61</v>
      </c>
      <c r="B60" s="13" t="str">
        <f>IFERROR(__xludf.DUMMYFUNCTION("GOOGLETRANSLATE(A60,""en"",""es"")"),"Chipre")</f>
        <v>Chipre</v>
      </c>
      <c r="C60" s="14"/>
      <c r="D60" s="17">
        <v>58634.0</v>
      </c>
      <c r="E60" s="17">
        <v>57161.0</v>
      </c>
      <c r="F60" s="17">
        <v>55711.0</v>
      </c>
      <c r="G60" s="17">
        <v>55212.0</v>
      </c>
      <c r="H60" s="17">
        <v>54966.0</v>
      </c>
      <c r="I60" s="17" t="s">
        <v>6</v>
      </c>
      <c r="J60" s="17" t="s">
        <v>6</v>
      </c>
    </row>
    <row r="61">
      <c r="A61" s="15" t="s">
        <v>62</v>
      </c>
      <c r="B61" s="13" t="str">
        <f>IFERROR(__xludf.DUMMYFUNCTION("GOOGLETRANSLATE(A61,""en"",""es"")"),"Chequia")</f>
        <v>Chequia</v>
      </c>
      <c r="C61" s="14"/>
      <c r="D61" s="16">
        <v>781392.0</v>
      </c>
      <c r="E61" s="16">
        <v>770437.0</v>
      </c>
      <c r="F61" s="16">
        <v>765502.0</v>
      </c>
      <c r="G61" s="16">
        <v>772457.0</v>
      </c>
      <c r="H61" s="16">
        <v>787114.0</v>
      </c>
      <c r="I61" s="16" t="s">
        <v>6</v>
      </c>
      <c r="J61" s="16" t="s">
        <v>6</v>
      </c>
    </row>
    <row r="62">
      <c r="A62" s="18" t="s">
        <v>63</v>
      </c>
      <c r="B62" s="13" t="str">
        <f>IFERROR(__xludf.DUMMYFUNCTION("GOOGLETRANSLATE(A62,""en"",""es"")"),"República Popular Democrática de Corea")</f>
        <v>República Popular Democrática de Corea</v>
      </c>
      <c r="C62" s="14"/>
      <c r="D62" s="17" t="s">
        <v>6</v>
      </c>
      <c r="E62" s="17">
        <v>2148364.0</v>
      </c>
      <c r="F62" s="17" t="s">
        <v>6</v>
      </c>
      <c r="G62" s="17" t="s">
        <v>6</v>
      </c>
      <c r="H62" s="17" t="s">
        <v>6</v>
      </c>
      <c r="I62" s="17" t="s">
        <v>6</v>
      </c>
      <c r="J62" s="17" t="s">
        <v>6</v>
      </c>
    </row>
    <row r="63">
      <c r="A63" s="18" t="s">
        <v>64</v>
      </c>
      <c r="B63" s="13" t="str">
        <f>IFERROR(__xludf.DUMMYFUNCTION("GOOGLETRANSLATE(A63,""en"",""es"")"),"República Democrática del Congo")</f>
        <v>República Democrática del Congo</v>
      </c>
      <c r="C63" s="14"/>
      <c r="D63" s="16">
        <v>4388456.0</v>
      </c>
      <c r="E63" s="16">
        <v>4618895.0</v>
      </c>
      <c r="F63" s="16" t="s">
        <v>6</v>
      </c>
      <c r="G63" s="16" t="s">
        <v>6</v>
      </c>
      <c r="H63" s="16" t="s">
        <v>6</v>
      </c>
      <c r="I63" s="16" t="s">
        <v>6</v>
      </c>
      <c r="J63" s="16" t="s">
        <v>6</v>
      </c>
    </row>
    <row r="64">
      <c r="A64" s="15" t="s">
        <v>65</v>
      </c>
      <c r="B64" s="13" t="str">
        <f>IFERROR(__xludf.DUMMYFUNCTION("GOOGLETRANSLATE(A64,""en"",""es"")"),"Dinamarca")</f>
        <v>Dinamarca</v>
      </c>
      <c r="C64" s="14"/>
      <c r="D64" s="17">
        <v>553791.0</v>
      </c>
      <c r="E64" s="17">
        <v>553263.0</v>
      </c>
      <c r="F64" s="17">
        <v>540622.0</v>
      </c>
      <c r="G64" s="17">
        <v>534080.0</v>
      </c>
      <c r="H64" s="17">
        <v>531247.0</v>
      </c>
      <c r="I64" s="17" t="s">
        <v>6</v>
      </c>
      <c r="J64" s="17" t="s">
        <v>6</v>
      </c>
    </row>
    <row r="65">
      <c r="A65" s="15" t="s">
        <v>66</v>
      </c>
      <c r="B65" s="13" t="str">
        <f>IFERROR(__xludf.DUMMYFUNCTION("GOOGLETRANSLATE(A65,""en"",""es"")"),"Djibouti")</f>
        <v>Djibouti</v>
      </c>
      <c r="C65" s="14"/>
      <c r="D65" s="16">
        <v>58553.0</v>
      </c>
      <c r="E65" s="16">
        <v>59483.0</v>
      </c>
      <c r="F65" s="16">
        <v>61284.0</v>
      </c>
      <c r="G65" s="16">
        <v>60772.0</v>
      </c>
      <c r="H65" s="16">
        <v>65144.0</v>
      </c>
      <c r="I65" s="16">
        <v>65499.0</v>
      </c>
      <c r="J65" s="16">
        <v>68493.0</v>
      </c>
    </row>
    <row r="66">
      <c r="A66" s="15" t="s">
        <v>67</v>
      </c>
      <c r="B66" s="13" t="str">
        <f>IFERROR(__xludf.DUMMYFUNCTION("GOOGLETRANSLATE(A66,""en"",""es"")"),"dominica")</f>
        <v>dominica</v>
      </c>
      <c r="C66" s="14"/>
      <c r="D66" s="17">
        <v>5663.0</v>
      </c>
      <c r="E66" s="17">
        <v>5561.0</v>
      </c>
      <c r="F66" s="17" t="s">
        <v>6</v>
      </c>
      <c r="G66" s="17" t="s">
        <v>6</v>
      </c>
      <c r="H66" s="17" t="s">
        <v>6</v>
      </c>
      <c r="I66" s="17">
        <v>4863.0</v>
      </c>
      <c r="J66" s="17" t="s">
        <v>6</v>
      </c>
    </row>
    <row r="67">
      <c r="A67" s="18" t="s">
        <v>68</v>
      </c>
      <c r="B67" s="13" t="str">
        <f>IFERROR(__xludf.DUMMYFUNCTION("GOOGLETRANSLATE(A67,""en"",""es"")"),"República Dominicana")</f>
        <v>República Dominicana</v>
      </c>
      <c r="C67" s="14"/>
      <c r="D67" s="16">
        <v>931068.0</v>
      </c>
      <c r="E67" s="16">
        <v>929493.0</v>
      </c>
      <c r="F67" s="16">
        <v>928854.0</v>
      </c>
      <c r="G67" s="16">
        <v>924737.0</v>
      </c>
      <c r="H67" s="16">
        <v>924714.0</v>
      </c>
      <c r="I67" s="16">
        <v>940592.0</v>
      </c>
      <c r="J67" s="16" t="s">
        <v>6</v>
      </c>
    </row>
    <row r="68">
      <c r="A68" s="15" t="s">
        <v>69</v>
      </c>
      <c r="B68" s="13" t="str">
        <f>IFERROR(__xludf.DUMMYFUNCTION("GOOGLETRANSLATE(A68,""en"",""es"")"),"Ecuador")</f>
        <v>Ecuador</v>
      </c>
      <c r="C68" s="14"/>
      <c r="D68" s="17">
        <v>1942230.0</v>
      </c>
      <c r="E68" s="17">
        <v>1932353.0</v>
      </c>
      <c r="F68" s="17">
        <v>1929522.0</v>
      </c>
      <c r="G68" s="17">
        <v>1903418.0</v>
      </c>
      <c r="H68" s="17">
        <v>1891648.0</v>
      </c>
      <c r="I68" s="17" t="s">
        <v>6</v>
      </c>
      <c r="J68" s="17" t="s">
        <v>6</v>
      </c>
    </row>
    <row r="69">
      <c r="A69" s="15" t="s">
        <v>70</v>
      </c>
      <c r="B69" s="13" t="str">
        <f>IFERROR(__xludf.DUMMYFUNCTION("GOOGLETRANSLATE(A69,""en"",""es"")"),"Egipto")</f>
        <v>Egipto</v>
      </c>
      <c r="C69" s="14"/>
      <c r="D69" s="16">
        <v>8208329.0</v>
      </c>
      <c r="E69" s="16" t="s">
        <v>6</v>
      </c>
      <c r="F69" s="16">
        <v>8744802.0</v>
      </c>
      <c r="G69" s="16">
        <v>8938257.0</v>
      </c>
      <c r="H69" s="16">
        <v>9136789.0</v>
      </c>
      <c r="I69" s="16">
        <v>9413798.0</v>
      </c>
      <c r="J69" s="16" t="s">
        <v>6</v>
      </c>
    </row>
    <row r="70">
      <c r="A70" s="15" t="s">
        <v>71</v>
      </c>
      <c r="B70" s="13" t="str">
        <f>IFERROR(__xludf.DUMMYFUNCTION("GOOGLETRANSLATE(A70,""en"",""es"")"),"El Salvador")</f>
        <v>El Salvador</v>
      </c>
      <c r="C70" s="14"/>
      <c r="D70" s="17">
        <v>625060.0</v>
      </c>
      <c r="E70" s="17">
        <v>599947.0</v>
      </c>
      <c r="F70" s="17">
        <v>571919.0</v>
      </c>
      <c r="G70" s="17">
        <v>535680.0</v>
      </c>
      <c r="H70" s="17">
        <v>521576.0</v>
      </c>
      <c r="I70" s="17" t="s">
        <v>6</v>
      </c>
      <c r="J70" s="17" t="s">
        <v>6</v>
      </c>
    </row>
    <row r="71">
      <c r="A71" s="15" t="s">
        <v>72</v>
      </c>
      <c r="B71" s="13" t="str">
        <f>IFERROR(__xludf.DUMMYFUNCTION("GOOGLETRANSLATE(A71,""en"",""es"")"),"Guinea Ecuatorial")</f>
        <v>Guinea Ecuatorial</v>
      </c>
      <c r="C71" s="14"/>
      <c r="D71" s="16" t="s">
        <v>6</v>
      </c>
      <c r="E71" s="16" t="s">
        <v>6</v>
      </c>
      <c r="F71" s="16" t="s">
        <v>6</v>
      </c>
      <c r="G71" s="16" t="s">
        <v>6</v>
      </c>
      <c r="H71" s="16" t="s">
        <v>6</v>
      </c>
      <c r="I71" s="16" t="s">
        <v>6</v>
      </c>
      <c r="J71" s="16" t="s">
        <v>6</v>
      </c>
    </row>
    <row r="72">
      <c r="A72" s="15" t="s">
        <v>73</v>
      </c>
      <c r="B72" s="13" t="str">
        <f>IFERROR(__xludf.DUMMYFUNCTION("GOOGLETRANSLATE(A72,""en"",""es"")"),"Eritrea")</f>
        <v>Eritrea</v>
      </c>
      <c r="C72" s="14"/>
      <c r="D72" s="17">
        <v>270088.0</v>
      </c>
      <c r="E72" s="17">
        <v>245806.0</v>
      </c>
      <c r="F72" s="17" t="s">
        <v>6</v>
      </c>
      <c r="G72" s="17">
        <v>247424.0</v>
      </c>
      <c r="H72" s="17">
        <v>260421.0</v>
      </c>
      <c r="I72" s="17" t="s">
        <v>6</v>
      </c>
      <c r="J72" s="17" t="s">
        <v>6</v>
      </c>
    </row>
    <row r="73">
      <c r="A73" s="15" t="s">
        <v>74</v>
      </c>
      <c r="B73" s="13" t="str">
        <f>IFERROR(__xludf.DUMMYFUNCTION("GOOGLETRANSLATE(A73,""en"",""es"")"),"Estonia")</f>
        <v>Estonia</v>
      </c>
      <c r="C73" s="14"/>
      <c r="D73" s="16">
        <v>77873.0</v>
      </c>
      <c r="E73" s="16">
        <v>77910.0</v>
      </c>
      <c r="F73" s="16">
        <v>80212.0</v>
      </c>
      <c r="G73" s="16">
        <v>82646.0</v>
      </c>
      <c r="H73" s="16">
        <v>84017.25</v>
      </c>
      <c r="I73" s="16" t="s">
        <v>6</v>
      </c>
      <c r="J73" s="16" t="s">
        <v>6</v>
      </c>
    </row>
    <row r="74">
      <c r="A74" s="15" t="s">
        <v>75</v>
      </c>
      <c r="B74" s="13" t="str">
        <f>IFERROR(__xludf.DUMMYFUNCTION("GOOGLETRANSLATE(A74,""en"",""es"")"),"Eswatini")</f>
        <v>Eswatini</v>
      </c>
      <c r="C74" s="14"/>
      <c r="D74" s="17">
        <v>97229.0</v>
      </c>
      <c r="E74" s="17">
        <v>100494.0</v>
      </c>
      <c r="F74" s="17">
        <v>108288.0</v>
      </c>
      <c r="G74" s="17" t="s">
        <v>6</v>
      </c>
      <c r="H74" s="17" t="s">
        <v>6</v>
      </c>
      <c r="I74" s="17" t="s">
        <v>6</v>
      </c>
      <c r="J74" s="17" t="s">
        <v>6</v>
      </c>
    </row>
    <row r="75">
      <c r="A75" s="15" t="s">
        <v>76</v>
      </c>
      <c r="B75" s="13" t="str">
        <f>IFERROR(__xludf.DUMMYFUNCTION("GOOGLETRANSLATE(A75,""en"",""es"")"),"Etiopía")</f>
        <v>Etiopía</v>
      </c>
      <c r="C75" s="14"/>
      <c r="D75" s="16" t="s">
        <v>6</v>
      </c>
      <c r="E75" s="16">
        <v>5028678.0</v>
      </c>
      <c r="F75" s="16" t="s">
        <v>6</v>
      </c>
      <c r="G75" s="16" t="s">
        <v>6</v>
      </c>
      <c r="H75" s="16" t="s">
        <v>6</v>
      </c>
      <c r="I75" s="16" t="s">
        <v>6</v>
      </c>
      <c r="J75" s="16" t="s">
        <v>6</v>
      </c>
    </row>
    <row r="76">
      <c r="A76" s="15" t="s">
        <v>77</v>
      </c>
      <c r="B76" s="13" t="str">
        <f>IFERROR(__xludf.DUMMYFUNCTION("GOOGLETRANSLATE(A76,""en"",""es"")"),"Islas Feroe")</f>
        <v>Islas Feroe</v>
      </c>
      <c r="C76" s="14"/>
      <c r="D76" s="17" t="s">
        <v>6</v>
      </c>
      <c r="E76" s="17" t="s">
        <v>6</v>
      </c>
      <c r="F76" s="17" t="s">
        <v>6</v>
      </c>
      <c r="G76" s="17" t="s">
        <v>6</v>
      </c>
      <c r="H76" s="17" t="s">
        <v>6</v>
      </c>
      <c r="I76" s="17" t="s">
        <v>6</v>
      </c>
      <c r="J76" s="17" t="s">
        <v>6</v>
      </c>
    </row>
    <row r="77">
      <c r="A77" s="18" t="s">
        <v>78</v>
      </c>
      <c r="B77" s="13" t="str">
        <f>IFERROR(__xludf.DUMMYFUNCTION("GOOGLETRANSLATE(A77,""en"",""es"")"),"Islas Malvinas (Falkland)")</f>
        <v>Islas Malvinas (Falkland)</v>
      </c>
      <c r="C77" s="14"/>
      <c r="D77" s="16" t="s">
        <v>6</v>
      </c>
      <c r="E77" s="16" t="s">
        <v>6</v>
      </c>
      <c r="F77" s="16" t="s">
        <v>6</v>
      </c>
      <c r="G77" s="16" t="s">
        <v>6</v>
      </c>
      <c r="H77" s="16" t="s">
        <v>6</v>
      </c>
      <c r="I77" s="16" t="s">
        <v>6</v>
      </c>
      <c r="J77" s="16" t="s">
        <v>6</v>
      </c>
    </row>
    <row r="78">
      <c r="A78" s="15" t="s">
        <v>79</v>
      </c>
      <c r="B78" s="13" t="str">
        <f>IFERROR(__xludf.DUMMYFUNCTION("GOOGLETRANSLATE(A78,""en"",""es"")"),"Fiji")</f>
        <v>Fiji</v>
      </c>
      <c r="C78" s="14"/>
      <c r="D78" s="17" t="s">
        <v>6</v>
      </c>
      <c r="E78" s="17" t="s">
        <v>6</v>
      </c>
      <c r="F78" s="17" t="s">
        <v>6</v>
      </c>
      <c r="G78" s="17" t="s">
        <v>6</v>
      </c>
      <c r="H78" s="17" t="s">
        <v>6</v>
      </c>
      <c r="I78" s="17" t="s">
        <v>6</v>
      </c>
      <c r="J78" s="17" t="s">
        <v>6</v>
      </c>
    </row>
    <row r="79">
      <c r="A79" s="15" t="s">
        <v>80</v>
      </c>
      <c r="B79" s="13" t="str">
        <f>IFERROR(__xludf.DUMMYFUNCTION("GOOGLETRANSLATE(A79,""en"",""es"")"),"Finlandia")</f>
        <v>Finlandia</v>
      </c>
      <c r="C79" s="14"/>
      <c r="D79" s="16">
        <v>536925.0</v>
      </c>
      <c r="E79" s="16">
        <v>540067.0</v>
      </c>
      <c r="F79" s="16">
        <v>539816.0</v>
      </c>
      <c r="G79" s="16">
        <v>543436.0</v>
      </c>
      <c r="H79" s="16">
        <v>546469.0</v>
      </c>
      <c r="I79" s="16" t="s">
        <v>6</v>
      </c>
      <c r="J79" s="16" t="s">
        <v>6</v>
      </c>
    </row>
    <row r="80">
      <c r="A80" s="15" t="s">
        <v>81</v>
      </c>
      <c r="B80" s="13" t="str">
        <f>IFERROR(__xludf.DUMMYFUNCTION("GOOGLETRANSLATE(A80,""en"",""es"")"),"Francia")</f>
        <v>Francia</v>
      </c>
      <c r="C80" s="14"/>
      <c r="D80" s="17">
        <v>5947212.0</v>
      </c>
      <c r="E80" s="17">
        <v>5982868.0</v>
      </c>
      <c r="F80" s="17">
        <v>6016608.0</v>
      </c>
      <c r="G80" s="17">
        <v>6058330.0</v>
      </c>
      <c r="H80" s="17">
        <v>6109604.0</v>
      </c>
      <c r="I80" s="17" t="s">
        <v>6</v>
      </c>
      <c r="J80" s="17" t="s">
        <v>6</v>
      </c>
    </row>
    <row r="81">
      <c r="A81" s="15" t="s">
        <v>82</v>
      </c>
      <c r="B81" s="13" t="str">
        <f>IFERROR(__xludf.DUMMYFUNCTION("GOOGLETRANSLATE(A81,""en"",""es"")"),"Guayana francés")</f>
        <v>Guayana francés</v>
      </c>
      <c r="C81" s="14"/>
      <c r="D81" s="16" t="s">
        <v>6</v>
      </c>
      <c r="E81" s="16" t="s">
        <v>6</v>
      </c>
      <c r="F81" s="16" t="s">
        <v>6</v>
      </c>
      <c r="G81" s="16" t="s">
        <v>6</v>
      </c>
      <c r="H81" s="16" t="s">
        <v>6</v>
      </c>
      <c r="I81" s="16" t="s">
        <v>6</v>
      </c>
      <c r="J81" s="16" t="s">
        <v>6</v>
      </c>
    </row>
    <row r="82">
      <c r="A82" s="15" t="s">
        <v>83</v>
      </c>
      <c r="B82" s="13" t="str">
        <f>IFERROR(__xludf.DUMMYFUNCTION("GOOGLETRANSLATE(A82,""en"",""es"")"),"Polinesia francés")</f>
        <v>Polinesia francés</v>
      </c>
      <c r="C82" s="14"/>
      <c r="D82" s="17" t="s">
        <v>6</v>
      </c>
      <c r="E82" s="17" t="s">
        <v>6</v>
      </c>
      <c r="F82" s="17" t="s">
        <v>6</v>
      </c>
      <c r="G82" s="17" t="s">
        <v>6</v>
      </c>
      <c r="H82" s="17" t="s">
        <v>6</v>
      </c>
      <c r="I82" s="17" t="s">
        <v>6</v>
      </c>
      <c r="J82" s="17" t="s">
        <v>6</v>
      </c>
    </row>
    <row r="83">
      <c r="A83" s="15" t="s">
        <v>84</v>
      </c>
      <c r="B83" s="13" t="str">
        <f>IFERROR(__xludf.DUMMYFUNCTION("GOOGLETRANSLATE(A83,""en"",""es"")"),"Gabón")</f>
        <v>Gabón</v>
      </c>
      <c r="C83" s="14"/>
      <c r="D83" s="16" t="s">
        <v>6</v>
      </c>
      <c r="E83" s="16" t="s">
        <v>6</v>
      </c>
      <c r="F83" s="16" t="s">
        <v>6</v>
      </c>
      <c r="G83" s="16" t="s">
        <v>6</v>
      </c>
      <c r="H83" s="16" t="s">
        <v>6</v>
      </c>
      <c r="I83" s="16" t="s">
        <v>6</v>
      </c>
      <c r="J83" s="16" t="s">
        <v>6</v>
      </c>
    </row>
    <row r="84">
      <c r="A84" s="15" t="s">
        <v>85</v>
      </c>
      <c r="B84" s="13" t="str">
        <f>IFERROR(__xludf.DUMMYFUNCTION("GOOGLETRANSLATE(A84,""en"",""es"")"),"Gambia")</f>
        <v>Gambia</v>
      </c>
      <c r="C84" s="14"/>
      <c r="D84" s="17" t="s">
        <v>6</v>
      </c>
      <c r="E84" s="17" t="s">
        <v>6</v>
      </c>
      <c r="F84" s="17" t="s">
        <v>6</v>
      </c>
      <c r="G84" s="17" t="s">
        <v>6</v>
      </c>
      <c r="H84" s="17" t="s">
        <v>6</v>
      </c>
      <c r="I84" s="17" t="s">
        <v>6</v>
      </c>
      <c r="J84" s="17" t="s">
        <v>6</v>
      </c>
    </row>
    <row r="85">
      <c r="A85" s="15" t="s">
        <v>86</v>
      </c>
      <c r="B85" s="13" t="str">
        <f>IFERROR(__xludf.DUMMYFUNCTION("GOOGLETRANSLATE(A85,""en"",""es"")"),"Georgia")</f>
        <v>Georgia</v>
      </c>
      <c r="C85" s="14"/>
      <c r="D85" s="16">
        <v>281739.0</v>
      </c>
      <c r="E85" s="16">
        <v>277874.0</v>
      </c>
      <c r="F85" s="16">
        <v>274579.0</v>
      </c>
      <c r="G85" s="16">
        <v>275464.0</v>
      </c>
      <c r="H85" s="16">
        <v>280425.0</v>
      </c>
      <c r="I85" s="16">
        <v>282929.0</v>
      </c>
      <c r="J85" s="16" t="s">
        <v>6</v>
      </c>
    </row>
    <row r="86">
      <c r="A86" s="15" t="s">
        <v>87</v>
      </c>
      <c r="B86" s="13" t="str">
        <f>IFERROR(__xludf.DUMMYFUNCTION("GOOGLETRANSLATE(A86,""en"",""es"")"),"Alemania")</f>
        <v>Alemania</v>
      </c>
      <c r="C86" s="14"/>
      <c r="D86" s="17">
        <v>7201072.059</v>
      </c>
      <c r="E86" s="17">
        <v>7112949.296</v>
      </c>
      <c r="F86" s="17">
        <v>7073163.777</v>
      </c>
      <c r="G86" s="17">
        <v>7028712.573</v>
      </c>
      <c r="H86" s="17">
        <v>6948797.42</v>
      </c>
      <c r="I86" s="17" t="s">
        <v>6</v>
      </c>
      <c r="J86" s="17" t="s">
        <v>6</v>
      </c>
    </row>
    <row r="87">
      <c r="A87" s="15" t="s">
        <v>88</v>
      </c>
      <c r="B87" s="13" t="str">
        <f>IFERROR(__xludf.DUMMYFUNCTION("GOOGLETRANSLATE(A87,""en"",""es"")"),"Ghana")</f>
        <v>Ghana</v>
      </c>
      <c r="C87" s="14"/>
      <c r="D87" s="16">
        <v>2265692.0</v>
      </c>
      <c r="E87" s="16">
        <v>2439501.0</v>
      </c>
      <c r="F87" s="16">
        <v>2511865.0</v>
      </c>
      <c r="G87" s="16">
        <v>2550714.0</v>
      </c>
      <c r="H87" s="16">
        <v>2677145.0</v>
      </c>
      <c r="I87" s="16">
        <v>2851160.0</v>
      </c>
      <c r="J87" s="16" t="s">
        <v>6</v>
      </c>
    </row>
    <row r="88">
      <c r="A88" s="15" t="s">
        <v>89</v>
      </c>
      <c r="B88" s="13" t="str">
        <f>IFERROR(__xludf.DUMMYFUNCTION("GOOGLETRANSLATE(A88,""en"",""es"")"),"Gibraltar")</f>
        <v>Gibraltar</v>
      </c>
      <c r="C88" s="14"/>
      <c r="D88" s="17" t="s">
        <v>6</v>
      </c>
      <c r="E88" s="17" t="s">
        <v>6</v>
      </c>
      <c r="F88" s="17">
        <v>2100.0</v>
      </c>
      <c r="G88" s="17">
        <v>2212.0</v>
      </c>
      <c r="H88" s="17" t="s">
        <v>6</v>
      </c>
      <c r="I88" s="17">
        <v>2157.0</v>
      </c>
      <c r="J88" s="17" t="s">
        <v>6</v>
      </c>
    </row>
    <row r="89">
      <c r="A89" s="15" t="s">
        <v>90</v>
      </c>
      <c r="B89" s="13" t="str">
        <f>IFERROR(__xludf.DUMMYFUNCTION("GOOGLETRANSLATE(A89,""en"",""es"")"),"Grecia")</f>
        <v>Grecia</v>
      </c>
      <c r="C89" s="14"/>
      <c r="D89" s="16">
        <v>667718.0</v>
      </c>
      <c r="E89" s="16">
        <v>662741.0</v>
      </c>
      <c r="F89" s="16">
        <v>662446.0</v>
      </c>
      <c r="G89" s="16">
        <v>667797.0</v>
      </c>
      <c r="H89" s="16">
        <v>668196.0</v>
      </c>
      <c r="I89" s="16" t="s">
        <v>6</v>
      </c>
      <c r="J89" s="16" t="s">
        <v>6</v>
      </c>
    </row>
    <row r="90">
      <c r="A90" s="15" t="s">
        <v>91</v>
      </c>
      <c r="B90" s="13" t="str">
        <f>IFERROR(__xludf.DUMMYFUNCTION("GOOGLETRANSLATE(A90,""en"",""es"")"),"Groenlandia")</f>
        <v>Groenlandia</v>
      </c>
      <c r="C90" s="14"/>
      <c r="D90" s="17" t="s">
        <v>6</v>
      </c>
      <c r="E90" s="17" t="s">
        <v>6</v>
      </c>
      <c r="F90" s="17" t="s">
        <v>6</v>
      </c>
      <c r="G90" s="17" t="s">
        <v>6</v>
      </c>
      <c r="H90" s="17" t="s">
        <v>6</v>
      </c>
      <c r="I90" s="17" t="s">
        <v>6</v>
      </c>
      <c r="J90" s="17" t="s">
        <v>6</v>
      </c>
    </row>
    <row r="91">
      <c r="A91" s="15" t="s">
        <v>92</v>
      </c>
      <c r="B91" s="13" t="str">
        <f>IFERROR(__xludf.DUMMYFUNCTION("GOOGLETRANSLATE(A91,""en"",""es"")"),"Granada")</f>
        <v>Granada</v>
      </c>
      <c r="C91" s="14"/>
      <c r="D91" s="16">
        <v>9736.0</v>
      </c>
      <c r="E91" s="16">
        <v>9309.0</v>
      </c>
      <c r="F91" s="16">
        <v>9185.0</v>
      </c>
      <c r="G91" s="16">
        <v>8834.0</v>
      </c>
      <c r="H91" s="16">
        <v>9135.0</v>
      </c>
      <c r="I91" s="16" t="s">
        <v>6</v>
      </c>
      <c r="J91" s="16" t="s">
        <v>6</v>
      </c>
    </row>
    <row r="92">
      <c r="A92" s="15" t="s">
        <v>93</v>
      </c>
      <c r="B92" s="13" t="str">
        <f>IFERROR(__xludf.DUMMYFUNCTION("GOOGLETRANSLATE(A92,""en"",""es"")"),"Guadalupe")</f>
        <v>Guadalupe</v>
      </c>
      <c r="C92" s="14"/>
      <c r="D92" s="17" t="s">
        <v>6</v>
      </c>
      <c r="E92" s="17" t="s">
        <v>6</v>
      </c>
      <c r="F92" s="17" t="s">
        <v>6</v>
      </c>
      <c r="G92" s="17" t="s">
        <v>6</v>
      </c>
      <c r="H92" s="17" t="s">
        <v>6</v>
      </c>
      <c r="I92" s="17" t="s">
        <v>6</v>
      </c>
      <c r="J92" s="17" t="s">
        <v>6</v>
      </c>
    </row>
    <row r="93">
      <c r="A93" s="15" t="s">
        <v>94</v>
      </c>
      <c r="B93" s="13" t="str">
        <f>IFERROR(__xludf.DUMMYFUNCTION("GOOGLETRANSLATE(A93,""en"",""es"")"),"Guam")</f>
        <v>Guam</v>
      </c>
      <c r="C93" s="14"/>
      <c r="D93" s="16" t="s">
        <v>6</v>
      </c>
      <c r="E93" s="16" t="s">
        <v>6</v>
      </c>
      <c r="F93" s="16" t="s">
        <v>6</v>
      </c>
      <c r="G93" s="16" t="s">
        <v>6</v>
      </c>
      <c r="H93" s="16" t="s">
        <v>6</v>
      </c>
      <c r="I93" s="16" t="s">
        <v>6</v>
      </c>
      <c r="J93" s="16" t="s">
        <v>6</v>
      </c>
    </row>
    <row r="94">
      <c r="A94" s="15" t="s">
        <v>95</v>
      </c>
      <c r="B94" s="13" t="str">
        <f>IFERROR(__xludf.DUMMYFUNCTION("GOOGLETRANSLATE(A94,""en"",""es"")"),"Guatemala")</f>
        <v>Guatemala</v>
      </c>
      <c r="C94" s="14"/>
      <c r="D94" s="17">
        <v>1165624.0</v>
      </c>
      <c r="E94" s="17">
        <v>1220652.0</v>
      </c>
      <c r="F94" s="17">
        <v>1220113.0</v>
      </c>
      <c r="G94" s="17">
        <v>1220327.0</v>
      </c>
      <c r="H94" s="17">
        <v>1227191.0</v>
      </c>
      <c r="I94" s="17">
        <v>1195065.0</v>
      </c>
      <c r="J94" s="17" t="s">
        <v>6</v>
      </c>
    </row>
    <row r="95">
      <c r="A95" s="15" t="s">
        <v>96</v>
      </c>
      <c r="B95" s="13" t="str">
        <f>IFERROR(__xludf.DUMMYFUNCTION("GOOGLETRANSLATE(A95,""en"",""es"")"),"Guernesey")</f>
        <v>Guernesey</v>
      </c>
      <c r="C95" s="14"/>
      <c r="D95" s="16" t="s">
        <v>6</v>
      </c>
      <c r="E95" s="16" t="s">
        <v>6</v>
      </c>
      <c r="F95" s="16" t="s">
        <v>6</v>
      </c>
      <c r="G95" s="16" t="s">
        <v>6</v>
      </c>
      <c r="H95" s="16" t="s">
        <v>6</v>
      </c>
      <c r="I95" s="16" t="s">
        <v>6</v>
      </c>
      <c r="J95" s="16" t="s">
        <v>6</v>
      </c>
    </row>
    <row r="96">
      <c r="A96" s="15" t="s">
        <v>97</v>
      </c>
      <c r="B96" s="13" t="str">
        <f>IFERROR(__xludf.DUMMYFUNCTION("GOOGLETRANSLATE(A96,""en"",""es"")"),"Guinea")</f>
        <v>Guinea</v>
      </c>
      <c r="C96" s="14"/>
      <c r="D96" s="17">
        <v>715702.0</v>
      </c>
      <c r="E96" s="17" t="s">
        <v>6</v>
      </c>
      <c r="F96" s="17" t="s">
        <v>6</v>
      </c>
      <c r="G96" s="17" t="s">
        <v>6</v>
      </c>
      <c r="H96" s="17" t="s">
        <v>6</v>
      </c>
      <c r="I96" s="17" t="s">
        <v>6</v>
      </c>
      <c r="J96" s="17" t="s">
        <v>6</v>
      </c>
    </row>
    <row r="97">
      <c r="A97" s="15" t="s">
        <v>98</v>
      </c>
      <c r="B97" s="13" t="str">
        <f>IFERROR(__xludf.DUMMYFUNCTION("GOOGLETRANSLATE(A97,""en"",""es"")"),"Guinea-Bissau")</f>
        <v>Guinea-Bissau</v>
      </c>
      <c r="C97" s="14"/>
      <c r="D97" s="16" t="s">
        <v>6</v>
      </c>
      <c r="E97" s="16" t="s">
        <v>6</v>
      </c>
      <c r="F97" s="16" t="s">
        <v>6</v>
      </c>
      <c r="G97" s="16" t="s">
        <v>6</v>
      </c>
      <c r="H97" s="16" t="s">
        <v>6</v>
      </c>
      <c r="I97" s="16" t="s">
        <v>6</v>
      </c>
      <c r="J97" s="16" t="s">
        <v>6</v>
      </c>
    </row>
    <row r="98">
      <c r="A98" s="15" t="s">
        <v>99</v>
      </c>
      <c r="B98" s="13" t="str">
        <f>IFERROR(__xludf.DUMMYFUNCTION("GOOGLETRANSLATE(A98,""en"",""es"")"),"Guayana")</f>
        <v>Guayana</v>
      </c>
      <c r="C98" s="14"/>
      <c r="D98" s="17" t="s">
        <v>6</v>
      </c>
      <c r="E98" s="17" t="s">
        <v>6</v>
      </c>
      <c r="F98" s="17" t="s">
        <v>6</v>
      </c>
      <c r="G98" s="17" t="s">
        <v>6</v>
      </c>
      <c r="H98" s="17" t="s">
        <v>6</v>
      </c>
      <c r="I98" s="17" t="s">
        <v>6</v>
      </c>
      <c r="J98" s="17" t="s">
        <v>6</v>
      </c>
    </row>
    <row r="99">
      <c r="A99" s="15" t="s">
        <v>100</v>
      </c>
      <c r="B99" s="13" t="str">
        <f>IFERROR(__xludf.DUMMYFUNCTION("GOOGLETRANSLATE(A99,""en"",""es"")"),"Haití")</f>
        <v>Haití</v>
      </c>
      <c r="C99" s="14"/>
      <c r="D99" s="16" t="s">
        <v>6</v>
      </c>
      <c r="E99" s="16" t="s">
        <v>6</v>
      </c>
      <c r="F99" s="16" t="s">
        <v>6</v>
      </c>
      <c r="G99" s="16" t="s">
        <v>6</v>
      </c>
      <c r="H99" s="16" t="s">
        <v>6</v>
      </c>
      <c r="I99" s="16" t="s">
        <v>6</v>
      </c>
      <c r="J99" s="16" t="s">
        <v>6</v>
      </c>
    </row>
    <row r="100">
      <c r="A100" s="15" t="s">
        <v>101</v>
      </c>
      <c r="B100" s="13" t="str">
        <f>IFERROR(__xludf.DUMMYFUNCTION("GOOGLETRANSLATE(A100,""en"",""es"")"),"Santa Sede")</f>
        <v>Santa Sede</v>
      </c>
      <c r="C100" s="14"/>
      <c r="D100" s="17" t="s">
        <v>6</v>
      </c>
      <c r="E100" s="17" t="s">
        <v>6</v>
      </c>
      <c r="F100" s="17" t="s">
        <v>6</v>
      </c>
      <c r="G100" s="17" t="s">
        <v>6</v>
      </c>
      <c r="H100" s="17" t="s">
        <v>6</v>
      </c>
      <c r="I100" s="17" t="s">
        <v>6</v>
      </c>
      <c r="J100" s="17" t="s">
        <v>6</v>
      </c>
    </row>
    <row r="101">
      <c r="A101" s="15" t="s">
        <v>102</v>
      </c>
      <c r="B101" s="13" t="str">
        <f>IFERROR(__xludf.DUMMYFUNCTION("GOOGLETRANSLATE(A101,""en"",""es"")"),"Honduras")</f>
        <v>Honduras</v>
      </c>
      <c r="C101" s="14"/>
      <c r="D101" s="16">
        <v>619832.0</v>
      </c>
      <c r="E101" s="16">
        <v>637727.0</v>
      </c>
      <c r="F101" s="16">
        <v>651807.0</v>
      </c>
      <c r="G101" s="16">
        <v>655090.0</v>
      </c>
      <c r="H101" s="16" t="s">
        <v>6</v>
      </c>
      <c r="I101" s="16">
        <v>688235.0</v>
      </c>
      <c r="J101" s="16" t="s">
        <v>6</v>
      </c>
    </row>
    <row r="102">
      <c r="A102" s="15" t="s">
        <v>103</v>
      </c>
      <c r="B102" s="13" t="str">
        <f>IFERROR(__xludf.DUMMYFUNCTION("GOOGLETRANSLATE(A102,""en"",""es"")"),"Hungría")</f>
        <v>Hungría</v>
      </c>
      <c r="C102" s="14"/>
      <c r="D102" s="17">
        <v>857807.0</v>
      </c>
      <c r="E102" s="17">
        <v>826626.0</v>
      </c>
      <c r="F102" s="17">
        <v>808744.0</v>
      </c>
      <c r="G102" s="17">
        <v>807705.0</v>
      </c>
      <c r="H102" s="17">
        <v>808569.0</v>
      </c>
      <c r="I102" s="17" t="s">
        <v>6</v>
      </c>
      <c r="J102" s="17" t="s">
        <v>6</v>
      </c>
    </row>
    <row r="103">
      <c r="A103" s="15" t="s">
        <v>104</v>
      </c>
      <c r="B103" s="13" t="str">
        <f>IFERROR(__xludf.DUMMYFUNCTION("GOOGLETRANSLATE(A103,""en"",""es"")"),"Islandia")</f>
        <v>Islandia</v>
      </c>
      <c r="C103" s="14"/>
      <c r="D103" s="16">
        <v>37530.0</v>
      </c>
      <c r="E103" s="16">
        <v>36818.0</v>
      </c>
      <c r="F103" s="16">
        <v>35651.0</v>
      </c>
      <c r="G103" s="16">
        <v>35161.0</v>
      </c>
      <c r="H103" s="16">
        <v>35171.0</v>
      </c>
      <c r="I103" s="16" t="s">
        <v>6</v>
      </c>
      <c r="J103" s="16" t="s">
        <v>6</v>
      </c>
    </row>
    <row r="104">
      <c r="A104" s="15" t="s">
        <v>105</v>
      </c>
      <c r="B104" s="13" t="str">
        <f>IFERROR(__xludf.DUMMYFUNCTION("GOOGLETRANSLATE(A104,""en"",""es"")"),"India")</f>
        <v>India</v>
      </c>
      <c r="C104" s="14"/>
      <c r="D104" s="17">
        <v>1.29438989E8</v>
      </c>
      <c r="E104" s="17">
        <v>1.29542058E8</v>
      </c>
      <c r="F104" s="17">
        <v>1.32161359E8</v>
      </c>
      <c r="G104" s="17">
        <v>1.29829194E8</v>
      </c>
      <c r="H104" s="17">
        <v>1.31759759E8</v>
      </c>
      <c r="I104" s="17">
        <v>1.30932819E8</v>
      </c>
      <c r="J104" s="17" t="s">
        <v>6</v>
      </c>
    </row>
    <row r="105">
      <c r="A105" s="15" t="s">
        <v>106</v>
      </c>
      <c r="B105" s="13" t="str">
        <f>IFERROR(__xludf.DUMMYFUNCTION("GOOGLETRANSLATE(A105,""en"",""es"")"),"Indonesia")</f>
        <v>Indonesia</v>
      </c>
      <c r="C105" s="14"/>
      <c r="D105" s="16">
        <v>2.2586955E7</v>
      </c>
      <c r="E105" s="16">
        <v>2.3756316E7</v>
      </c>
      <c r="F105" s="16">
        <v>2.3632854E7</v>
      </c>
      <c r="G105" s="16">
        <v>2.4318262E7</v>
      </c>
      <c r="H105" s="16">
        <v>2.489357E7</v>
      </c>
      <c r="I105" s="16" t="s">
        <v>6</v>
      </c>
      <c r="J105" s="16" t="s">
        <v>6</v>
      </c>
    </row>
    <row r="106">
      <c r="A106" s="18" t="s">
        <v>107</v>
      </c>
      <c r="B106" s="13" t="str">
        <f>IFERROR(__xludf.DUMMYFUNCTION("GOOGLETRANSLATE(A106,""en"",""es"")"),"Irán (República Islámica de)")</f>
        <v>Irán (República Islámica de)</v>
      </c>
      <c r="C106" s="14"/>
      <c r="D106" s="17">
        <v>5794537.0</v>
      </c>
      <c r="E106" s="17">
        <v>5712478.0</v>
      </c>
      <c r="F106" s="17">
        <v>5713648.0</v>
      </c>
      <c r="G106" s="17">
        <v>5684238.0</v>
      </c>
      <c r="H106" s="17" t="s">
        <v>6</v>
      </c>
      <c r="I106" s="17" t="s">
        <v>6</v>
      </c>
      <c r="J106" s="17" t="s">
        <v>6</v>
      </c>
    </row>
    <row r="107">
      <c r="A107" s="15" t="s">
        <v>108</v>
      </c>
      <c r="B107" s="13" t="str">
        <f>IFERROR(__xludf.DUMMYFUNCTION("GOOGLETRANSLATE(A107,""en"",""es"")"),"Irak")</f>
        <v>Irak</v>
      </c>
      <c r="C107" s="14"/>
      <c r="D107" s="16" t="s">
        <v>6</v>
      </c>
      <c r="E107" s="16" t="s">
        <v>6</v>
      </c>
      <c r="F107" s="16" t="s">
        <v>6</v>
      </c>
      <c r="G107" s="16" t="s">
        <v>6</v>
      </c>
      <c r="H107" s="16" t="s">
        <v>6</v>
      </c>
      <c r="I107" s="16" t="s">
        <v>6</v>
      </c>
      <c r="J107" s="16" t="s">
        <v>6</v>
      </c>
    </row>
    <row r="108">
      <c r="A108" s="15" t="s">
        <v>109</v>
      </c>
      <c r="B108" s="13" t="str">
        <f>IFERROR(__xludf.DUMMYFUNCTION("GOOGLETRANSLATE(A108,""en"",""es"")"),"Irlanda")</f>
        <v>Irlanda</v>
      </c>
      <c r="C108" s="14"/>
      <c r="D108" s="17">
        <v>348116.0</v>
      </c>
      <c r="E108" s="17">
        <v>354670.0</v>
      </c>
      <c r="F108" s="17">
        <v>360088.0</v>
      </c>
      <c r="G108" s="17">
        <v>392294.0</v>
      </c>
      <c r="H108" s="17">
        <v>491761.0</v>
      </c>
      <c r="I108" s="17" t="s">
        <v>6</v>
      </c>
      <c r="J108" s="17" t="s">
        <v>6</v>
      </c>
    </row>
    <row r="109">
      <c r="A109" s="15" t="s">
        <v>110</v>
      </c>
      <c r="B109" s="13" t="str">
        <f>IFERROR(__xludf.DUMMYFUNCTION("GOOGLETRANSLATE(A109,""en"",""es"")"),"Isla del hombre")</f>
        <v>Isla del hombre</v>
      </c>
      <c r="C109" s="14"/>
      <c r="D109" s="16" t="s">
        <v>6</v>
      </c>
      <c r="E109" s="16" t="s">
        <v>6</v>
      </c>
      <c r="F109" s="16" t="s">
        <v>6</v>
      </c>
      <c r="G109" s="16" t="s">
        <v>6</v>
      </c>
      <c r="H109" s="16" t="s">
        <v>6</v>
      </c>
      <c r="I109" s="16" t="s">
        <v>6</v>
      </c>
      <c r="J109" s="16" t="s">
        <v>6</v>
      </c>
    </row>
    <row r="110">
      <c r="A110" s="15" t="s">
        <v>111</v>
      </c>
      <c r="B110" s="13" t="str">
        <f>IFERROR(__xludf.DUMMYFUNCTION("GOOGLETRANSLATE(A110,""en"",""es"")"),"Israel")</f>
        <v>Israel</v>
      </c>
      <c r="C110" s="14"/>
      <c r="D110" s="17">
        <v>767729.0</v>
      </c>
      <c r="E110" s="17">
        <v>784752.0</v>
      </c>
      <c r="F110" s="17">
        <v>808672.0</v>
      </c>
      <c r="G110" s="17">
        <v>819462.0</v>
      </c>
      <c r="H110" s="17">
        <v>836774.0</v>
      </c>
      <c r="I110" s="17" t="s">
        <v>6</v>
      </c>
      <c r="J110" s="17" t="s">
        <v>6</v>
      </c>
    </row>
    <row r="111">
      <c r="A111" s="15" t="s">
        <v>112</v>
      </c>
      <c r="B111" s="13" t="str">
        <f>IFERROR(__xludf.DUMMYFUNCTION("GOOGLETRANSLATE(A111,""en"",""es"")"),"Italia")</f>
        <v>Italia</v>
      </c>
      <c r="C111" s="14"/>
      <c r="D111" s="16">
        <v>4596916.0</v>
      </c>
      <c r="E111" s="16">
        <v>4606017.0</v>
      </c>
      <c r="F111" s="16">
        <v>4589550.0</v>
      </c>
      <c r="G111" s="16">
        <v>4601869.0</v>
      </c>
      <c r="H111" s="16">
        <v>4630438.0</v>
      </c>
      <c r="I111" s="16" t="s">
        <v>6</v>
      </c>
      <c r="J111" s="16" t="s">
        <v>6</v>
      </c>
    </row>
    <row r="112">
      <c r="A112" s="15" t="s">
        <v>113</v>
      </c>
      <c r="B112" s="13" t="str">
        <f>IFERROR(__xludf.DUMMYFUNCTION("GOOGLETRANSLATE(A112,""en"",""es"")"),"Jamaica")</f>
        <v>Jamaica</v>
      </c>
      <c r="C112" s="14"/>
      <c r="D112" s="17">
        <v>223920.0</v>
      </c>
      <c r="E112" s="17">
        <v>215200.0</v>
      </c>
      <c r="F112" s="17">
        <v>216813.0</v>
      </c>
      <c r="G112" s="17">
        <v>204080.0</v>
      </c>
      <c r="H112" s="17">
        <v>200563.0</v>
      </c>
      <c r="I112" s="17">
        <v>203115.0</v>
      </c>
      <c r="J112" s="17" t="s">
        <v>6</v>
      </c>
    </row>
    <row r="113">
      <c r="A113" s="15" t="s">
        <v>114</v>
      </c>
      <c r="B113" s="13" t="str">
        <f>IFERROR(__xludf.DUMMYFUNCTION("GOOGLETRANSLATE(A113,""en"",""es"")"),"Japón")</f>
        <v>Japón</v>
      </c>
      <c r="C113" s="14"/>
      <c r="D113" s="16">
        <v>7227485.0</v>
      </c>
      <c r="E113" s="16">
        <v>7221135.0</v>
      </c>
      <c r="F113" s="16">
        <v>7157298.0</v>
      </c>
      <c r="G113" s="16">
        <v>7093113.0</v>
      </c>
      <c r="H113" s="16">
        <v>6995597.0</v>
      </c>
      <c r="I113" s="16" t="s">
        <v>6</v>
      </c>
      <c r="J113" s="16" t="s">
        <v>6</v>
      </c>
    </row>
    <row r="114">
      <c r="A114" s="15" t="s">
        <v>115</v>
      </c>
      <c r="B114" s="13" t="str">
        <f>IFERROR(__xludf.DUMMYFUNCTION("GOOGLETRANSLATE(A114,""en"",""es"")"),"Jersey")</f>
        <v>Jersey</v>
      </c>
      <c r="C114" s="14"/>
      <c r="D114" s="17" t="s">
        <v>6</v>
      </c>
      <c r="E114" s="17" t="s">
        <v>6</v>
      </c>
      <c r="F114" s="17" t="s">
        <v>6</v>
      </c>
      <c r="G114" s="17" t="s">
        <v>6</v>
      </c>
      <c r="H114" s="17" t="s">
        <v>6</v>
      </c>
      <c r="I114" s="17" t="s">
        <v>6</v>
      </c>
      <c r="J114" s="17" t="s">
        <v>6</v>
      </c>
    </row>
    <row r="115">
      <c r="A115" s="15" t="s">
        <v>116</v>
      </c>
      <c r="B115" s="13" t="str">
        <f>IFERROR(__xludf.DUMMYFUNCTION("GOOGLETRANSLATE(A115,""en"",""es"")"),"Jordán")</f>
        <v>Jordán</v>
      </c>
      <c r="C115" s="14"/>
      <c r="D115" s="16">
        <v>749134.0</v>
      </c>
      <c r="E115" s="16" t="s">
        <v>6</v>
      </c>
      <c r="F115" s="16" t="s">
        <v>6</v>
      </c>
      <c r="G115" s="16">
        <v>763694.0</v>
      </c>
      <c r="H115" s="16">
        <v>789822.0</v>
      </c>
      <c r="I115" s="16">
        <v>832784.0</v>
      </c>
      <c r="J115" s="16" t="s">
        <v>6</v>
      </c>
    </row>
    <row r="116">
      <c r="A116" s="15" t="s">
        <v>117</v>
      </c>
      <c r="B116" s="13" t="str">
        <f>IFERROR(__xludf.DUMMYFUNCTION("GOOGLETRANSLATE(A116,""en"",""es"")"),"Kazajstán")</f>
        <v>Kazajstán</v>
      </c>
      <c r="C116" s="14"/>
      <c r="D116" s="17">
        <v>1661586.0</v>
      </c>
      <c r="E116" s="17">
        <v>1679274.0</v>
      </c>
      <c r="F116" s="17">
        <v>1713090.0</v>
      </c>
      <c r="G116" s="17">
        <v>1768145.0</v>
      </c>
      <c r="H116" s="17">
        <v>1842919.0</v>
      </c>
      <c r="I116" s="17">
        <v>1928070.0</v>
      </c>
      <c r="J116" s="17" t="s">
        <v>6</v>
      </c>
    </row>
    <row r="117">
      <c r="A117" s="15" t="s">
        <v>118</v>
      </c>
      <c r="B117" s="13" t="str">
        <f>IFERROR(__xludf.DUMMYFUNCTION("GOOGLETRANSLATE(A117,""en"",""es"")"),"Kenia")</f>
        <v>Kenia</v>
      </c>
      <c r="C117" s="14"/>
      <c r="D117" s="16" t="s">
        <v>6</v>
      </c>
      <c r="E117" s="16" t="s">
        <v>6</v>
      </c>
      <c r="F117" s="16" t="s">
        <v>6</v>
      </c>
      <c r="G117" s="16" t="s">
        <v>6</v>
      </c>
      <c r="H117" s="16" t="s">
        <v>6</v>
      </c>
      <c r="I117" s="16" t="s">
        <v>6</v>
      </c>
      <c r="J117" s="16" t="s">
        <v>6</v>
      </c>
    </row>
    <row r="118">
      <c r="A118" s="15" t="s">
        <v>119</v>
      </c>
      <c r="B118" s="13" t="str">
        <f>IFERROR(__xludf.DUMMYFUNCTION("GOOGLETRANSLATE(A118,""en"",""es"")"),"Kiribati")</f>
        <v>Kiribati</v>
      </c>
      <c r="C118" s="14"/>
      <c r="D118" s="17" t="s">
        <v>6</v>
      </c>
      <c r="E118" s="17" t="s">
        <v>6</v>
      </c>
      <c r="F118" s="17" t="s">
        <v>6</v>
      </c>
      <c r="G118" s="17" t="s">
        <v>6</v>
      </c>
      <c r="H118" s="17" t="s">
        <v>6</v>
      </c>
      <c r="I118" s="17" t="s">
        <v>6</v>
      </c>
      <c r="J118" s="17" t="s">
        <v>6</v>
      </c>
    </row>
    <row r="119">
      <c r="A119" s="15" t="s">
        <v>120</v>
      </c>
      <c r="B119" s="13" t="str">
        <f>IFERROR(__xludf.DUMMYFUNCTION("GOOGLETRANSLATE(A119,""en"",""es"")"),"Kuwait")</f>
        <v>Kuwait</v>
      </c>
      <c r="C119" s="14"/>
      <c r="D119" s="16">
        <v>283077.0</v>
      </c>
      <c r="E119" s="16">
        <v>302047.0</v>
      </c>
      <c r="F119" s="16" t="s">
        <v>6</v>
      </c>
      <c r="G119" s="16" t="s">
        <v>6</v>
      </c>
      <c r="H119" s="16" t="s">
        <v>6</v>
      </c>
      <c r="I119" s="16" t="s">
        <v>6</v>
      </c>
      <c r="J119" s="16" t="s">
        <v>6</v>
      </c>
    </row>
    <row r="120">
      <c r="A120" s="15" t="s">
        <v>121</v>
      </c>
      <c r="B120" s="13" t="str">
        <f>IFERROR(__xludf.DUMMYFUNCTION("GOOGLETRANSLATE(A120,""en"",""es"")"),"Kirguizistán")</f>
        <v>Kirguizistán</v>
      </c>
      <c r="C120" s="14"/>
      <c r="D120" s="17">
        <v>650516.0</v>
      </c>
      <c r="E120" s="17">
        <v>643407.0</v>
      </c>
      <c r="F120" s="17">
        <v>660375.0</v>
      </c>
      <c r="G120" s="17">
        <v>660063.0</v>
      </c>
      <c r="H120" s="17">
        <v>675200.0</v>
      </c>
      <c r="I120" s="17">
        <v>697776.0</v>
      </c>
      <c r="J120" s="17" t="s">
        <v>6</v>
      </c>
    </row>
    <row r="121">
      <c r="A121" s="18" t="s">
        <v>122</v>
      </c>
      <c r="B121" s="13" t="str">
        <f>IFERROR(__xludf.DUMMYFUNCTION("GOOGLETRANSLATE(A121,""en"",""es"")"),"República Democrática Popular de Lao")</f>
        <v>República Democrática Popular de Lao</v>
      </c>
      <c r="C121" s="14"/>
      <c r="D121" s="16">
        <v>600747.0</v>
      </c>
      <c r="E121" s="16">
        <v>640231.0</v>
      </c>
      <c r="F121" s="16">
        <v>665278.0</v>
      </c>
      <c r="G121" s="16">
        <v>677497.0</v>
      </c>
      <c r="H121" s="16">
        <v>678129.0</v>
      </c>
      <c r="I121" s="16">
        <v>666155.0</v>
      </c>
      <c r="J121" s="16" t="s">
        <v>6</v>
      </c>
    </row>
    <row r="122">
      <c r="A122" s="15" t="s">
        <v>123</v>
      </c>
      <c r="B122" s="13" t="str">
        <f>IFERROR(__xludf.DUMMYFUNCTION("GOOGLETRANSLATE(A122,""en"",""es"")"),"Letonia")</f>
        <v>Letonia</v>
      </c>
      <c r="C122" s="14"/>
      <c r="D122" s="17">
        <v>121580.0</v>
      </c>
      <c r="E122" s="17">
        <v>117761.0</v>
      </c>
      <c r="F122" s="17">
        <v>116471.0</v>
      </c>
      <c r="G122" s="17">
        <v>117360.0</v>
      </c>
      <c r="H122" s="17">
        <v>117326.0</v>
      </c>
      <c r="I122" s="17" t="s">
        <v>6</v>
      </c>
      <c r="J122" s="17" t="s">
        <v>6</v>
      </c>
    </row>
    <row r="123">
      <c r="A123" s="15" t="s">
        <v>124</v>
      </c>
      <c r="B123" s="13" t="str">
        <f>IFERROR(__xludf.DUMMYFUNCTION("GOOGLETRANSLATE(A123,""en"",""es"")"),"Líbano")</f>
        <v>Líbano</v>
      </c>
      <c r="C123" s="14"/>
      <c r="D123" s="16">
        <v>370359.0</v>
      </c>
      <c r="E123" s="16">
        <v>382427.0</v>
      </c>
      <c r="F123" s="16">
        <v>384075.0</v>
      </c>
      <c r="G123" s="16">
        <v>401031.0</v>
      </c>
      <c r="H123" s="16">
        <v>402502.0</v>
      </c>
      <c r="I123" s="16">
        <v>406169.0</v>
      </c>
      <c r="J123" s="16" t="s">
        <v>6</v>
      </c>
    </row>
    <row r="124">
      <c r="A124" s="15" t="s">
        <v>125</v>
      </c>
      <c r="B124" s="13" t="str">
        <f>IFERROR(__xludf.DUMMYFUNCTION("GOOGLETRANSLATE(A124,""en"",""es"")"),"Lesoto")</f>
        <v>Lesoto</v>
      </c>
      <c r="C124" s="14"/>
      <c r="D124" s="17">
        <v>130836.0</v>
      </c>
      <c r="E124" s="17">
        <v>133434.0</v>
      </c>
      <c r="F124" s="17">
        <v>128780.0</v>
      </c>
      <c r="G124" s="17">
        <v>136497.0</v>
      </c>
      <c r="H124" s="17" t="s">
        <v>6</v>
      </c>
      <c r="I124" s="17" t="s">
        <v>6</v>
      </c>
      <c r="J124" s="17" t="s">
        <v>6</v>
      </c>
    </row>
    <row r="125">
      <c r="A125" s="15" t="s">
        <v>126</v>
      </c>
      <c r="B125" s="13" t="str">
        <f>IFERROR(__xludf.DUMMYFUNCTION("GOOGLETRANSLATE(A125,""en"",""es"")"),"Liberia")</f>
        <v>Liberia</v>
      </c>
      <c r="C125" s="14"/>
      <c r="D125" s="16">
        <v>222857.0</v>
      </c>
      <c r="E125" s="16">
        <v>226832.0</v>
      </c>
      <c r="F125" s="16" t="s">
        <v>6</v>
      </c>
      <c r="G125" s="16" t="s">
        <v>6</v>
      </c>
      <c r="H125" s="16" t="s">
        <v>6</v>
      </c>
      <c r="I125" s="16" t="s">
        <v>6</v>
      </c>
      <c r="J125" s="16" t="s">
        <v>6</v>
      </c>
    </row>
    <row r="126">
      <c r="A126" s="15" t="s">
        <v>127</v>
      </c>
      <c r="B126" s="13" t="str">
        <f>IFERROR(__xludf.DUMMYFUNCTION("GOOGLETRANSLATE(A126,""en"",""es"")"),"Libia")</f>
        <v>Libia</v>
      </c>
      <c r="C126" s="14"/>
      <c r="D126" s="17" t="s">
        <v>6</v>
      </c>
      <c r="E126" s="17" t="s">
        <v>6</v>
      </c>
      <c r="F126" s="17" t="s">
        <v>6</v>
      </c>
      <c r="G126" s="17" t="s">
        <v>6</v>
      </c>
      <c r="H126" s="17" t="s">
        <v>6</v>
      </c>
      <c r="I126" s="17" t="s">
        <v>6</v>
      </c>
      <c r="J126" s="17" t="s">
        <v>6</v>
      </c>
    </row>
    <row r="127">
      <c r="A127" s="15" t="s">
        <v>128</v>
      </c>
      <c r="B127" s="13" t="str">
        <f>IFERROR(__xludf.DUMMYFUNCTION("GOOGLETRANSLATE(A127,""en"",""es"")"),"Liechtenstein")</f>
        <v>Liechtenstein</v>
      </c>
      <c r="C127" s="14"/>
      <c r="D127" s="16">
        <v>3387.0</v>
      </c>
      <c r="E127" s="16">
        <v>3349.0</v>
      </c>
      <c r="F127" s="16">
        <v>3272.0</v>
      </c>
      <c r="G127" s="16">
        <v>3240.0</v>
      </c>
      <c r="H127" s="16">
        <v>3087.0</v>
      </c>
      <c r="I127" s="16" t="s">
        <v>6</v>
      </c>
      <c r="J127" s="16" t="s">
        <v>6</v>
      </c>
    </row>
    <row r="128">
      <c r="A128" s="15" t="s">
        <v>129</v>
      </c>
      <c r="B128" s="13" t="str">
        <f>IFERROR(__xludf.DUMMYFUNCTION("GOOGLETRANSLATE(A128,""en"",""es"")"),"Lituania")</f>
        <v>Lituania</v>
      </c>
      <c r="C128" s="14"/>
      <c r="D128" s="17">
        <v>277349.0</v>
      </c>
      <c r="E128" s="17">
        <v>263242.0</v>
      </c>
      <c r="F128" s="17">
        <v>250870.0</v>
      </c>
      <c r="G128" s="17">
        <v>242640.0</v>
      </c>
      <c r="H128" s="17">
        <v>232993.0</v>
      </c>
      <c r="I128" s="17" t="s">
        <v>6</v>
      </c>
      <c r="J128" s="17" t="s">
        <v>6</v>
      </c>
    </row>
    <row r="129">
      <c r="A129" s="15" t="s">
        <v>130</v>
      </c>
      <c r="B129" s="13" t="str">
        <f>IFERROR(__xludf.DUMMYFUNCTION("GOOGLETRANSLATE(A129,""en"",""es"")"),"Luxemburgo")</f>
        <v>Luxemburgo</v>
      </c>
      <c r="C129" s="14"/>
      <c r="D129" s="16">
        <v>46872.0</v>
      </c>
      <c r="E129" s="16">
        <v>47027.0</v>
      </c>
      <c r="F129" s="16">
        <v>47715.0</v>
      </c>
      <c r="G129" s="16">
        <v>48211.0</v>
      </c>
      <c r="H129" s="16">
        <v>48749.0</v>
      </c>
      <c r="I129" s="16" t="s">
        <v>6</v>
      </c>
      <c r="J129" s="16" t="s">
        <v>6</v>
      </c>
    </row>
    <row r="130">
      <c r="A130" s="15" t="s">
        <v>131</v>
      </c>
      <c r="B130" s="13" t="str">
        <f>IFERROR(__xludf.DUMMYFUNCTION("GOOGLETRANSLATE(A130,""en"",""es"")"),"Madagascar")</f>
        <v>Madagascar</v>
      </c>
      <c r="C130" s="14"/>
      <c r="D130" s="17">
        <v>1493830.0</v>
      </c>
      <c r="E130" s="17">
        <v>1536209.0</v>
      </c>
      <c r="F130" s="17">
        <v>1561307.0</v>
      </c>
      <c r="G130" s="17">
        <v>1534273.0</v>
      </c>
      <c r="H130" s="17">
        <v>1548208.0</v>
      </c>
      <c r="I130" s="17">
        <v>1494520.0</v>
      </c>
      <c r="J130" s="17" t="s">
        <v>6</v>
      </c>
    </row>
    <row r="131">
      <c r="A131" s="15" t="s">
        <v>132</v>
      </c>
      <c r="B131" s="13" t="str">
        <f>IFERROR(__xludf.DUMMYFUNCTION("GOOGLETRANSLATE(A131,""en"",""es"")"),"Malawi")</f>
        <v>Malawi</v>
      </c>
      <c r="C131" s="14"/>
      <c r="D131" s="16">
        <v>920209.0</v>
      </c>
      <c r="E131" s="16">
        <v>961589.0</v>
      </c>
      <c r="F131" s="16">
        <v>951555.0</v>
      </c>
      <c r="G131" s="16">
        <v>998940.0</v>
      </c>
      <c r="H131" s="16">
        <v>1040975.0</v>
      </c>
      <c r="I131" s="16">
        <v>989847.0</v>
      </c>
      <c r="J131" s="16" t="s">
        <v>6</v>
      </c>
    </row>
    <row r="132">
      <c r="A132" s="15" t="s">
        <v>133</v>
      </c>
      <c r="B132" s="13" t="str">
        <f>IFERROR(__xludf.DUMMYFUNCTION("GOOGLETRANSLATE(A132,""en"",""es"")"),"Malasia")</f>
        <v>Malasia</v>
      </c>
      <c r="C132" s="14"/>
      <c r="D132" s="17">
        <v>2846473.0</v>
      </c>
      <c r="E132" s="17">
        <v>2801439.0</v>
      </c>
      <c r="F132" s="17">
        <v>2759653.0</v>
      </c>
      <c r="G132" s="17">
        <v>2744639.0</v>
      </c>
      <c r="H132" s="17">
        <v>2592970.0</v>
      </c>
      <c r="I132" s="17">
        <v>2602216.0</v>
      </c>
      <c r="J132" s="17" t="s">
        <v>6</v>
      </c>
    </row>
    <row r="133">
      <c r="A133" s="15" t="s">
        <v>134</v>
      </c>
      <c r="B133" s="13" t="str">
        <f>IFERROR(__xludf.DUMMYFUNCTION("GOOGLETRANSLATE(A133,""en"",""es"")"),"Maldivas")</f>
        <v>Maldivas</v>
      </c>
      <c r="C133" s="14"/>
      <c r="D133" s="16" t="s">
        <v>6</v>
      </c>
      <c r="E133" s="16" t="s">
        <v>6</v>
      </c>
      <c r="F133" s="16" t="s">
        <v>6</v>
      </c>
      <c r="G133" s="16" t="s">
        <v>6</v>
      </c>
      <c r="H133" s="16">
        <v>22765.0</v>
      </c>
      <c r="I133" s="16">
        <v>21293.0</v>
      </c>
      <c r="J133" s="16" t="s">
        <v>6</v>
      </c>
    </row>
    <row r="134">
      <c r="A134" s="15" t="s">
        <v>135</v>
      </c>
      <c r="B134" s="13" t="str">
        <f>IFERROR(__xludf.DUMMYFUNCTION("GOOGLETRANSLATE(A134,""en"",""es"")"),"mali")</f>
        <v>mali</v>
      </c>
      <c r="C134" s="14"/>
      <c r="D134" s="17">
        <v>961046.0</v>
      </c>
      <c r="E134" s="17">
        <v>945484.0</v>
      </c>
      <c r="F134" s="17">
        <v>1013780.0</v>
      </c>
      <c r="G134" s="17">
        <v>1017415.0</v>
      </c>
      <c r="H134" s="17">
        <v>1046493.0</v>
      </c>
      <c r="I134" s="17" t="s">
        <v>6</v>
      </c>
      <c r="J134" s="17" t="s">
        <v>6</v>
      </c>
    </row>
    <row r="135">
      <c r="A135" s="15" t="s">
        <v>136</v>
      </c>
      <c r="B135" s="13" t="str">
        <f>IFERROR(__xludf.DUMMYFUNCTION("GOOGLETRANSLATE(A135,""en"",""es"")"),"Malta")</f>
        <v>Malta</v>
      </c>
      <c r="C135" s="14"/>
      <c r="D135" s="16">
        <v>30230.0</v>
      </c>
      <c r="E135" s="16">
        <v>29434.0</v>
      </c>
      <c r="F135" s="16">
        <v>28776.0</v>
      </c>
      <c r="G135" s="16">
        <v>30760.0</v>
      </c>
      <c r="H135" s="16">
        <v>30925.0</v>
      </c>
      <c r="I135" s="16" t="s">
        <v>6</v>
      </c>
      <c r="J135" s="16" t="s">
        <v>6</v>
      </c>
    </row>
    <row r="136">
      <c r="A136" s="15" t="s">
        <v>137</v>
      </c>
      <c r="B136" s="13" t="str">
        <f>IFERROR(__xludf.DUMMYFUNCTION("GOOGLETRANSLATE(A136,""en"",""es"")"),"Islas Marshall")</f>
        <v>Islas Marshall</v>
      </c>
      <c r="C136" s="14"/>
      <c r="D136" s="17" t="s">
        <v>6</v>
      </c>
      <c r="E136" s="17">
        <v>5454.0</v>
      </c>
      <c r="F136" s="17">
        <v>5500.0</v>
      </c>
      <c r="G136" s="17" t="s">
        <v>6</v>
      </c>
      <c r="H136" s="17" t="s">
        <v>6</v>
      </c>
      <c r="I136" s="17">
        <v>5764.0</v>
      </c>
      <c r="J136" s="17" t="s">
        <v>6</v>
      </c>
    </row>
    <row r="137">
      <c r="A137" s="15" t="s">
        <v>138</v>
      </c>
      <c r="B137" s="13" t="str">
        <f>IFERROR(__xludf.DUMMYFUNCTION("GOOGLETRANSLATE(A137,""en"",""es"")"),"Martinica")</f>
        <v>Martinica</v>
      </c>
      <c r="C137" s="14"/>
      <c r="D137" s="16" t="s">
        <v>6</v>
      </c>
      <c r="E137" s="16" t="s">
        <v>6</v>
      </c>
      <c r="F137" s="16" t="s">
        <v>6</v>
      </c>
      <c r="G137" s="16" t="s">
        <v>6</v>
      </c>
      <c r="H137" s="16" t="s">
        <v>6</v>
      </c>
      <c r="I137" s="16" t="s">
        <v>6</v>
      </c>
      <c r="J137" s="16" t="s">
        <v>6</v>
      </c>
    </row>
    <row r="138">
      <c r="A138" s="15" t="s">
        <v>139</v>
      </c>
      <c r="B138" s="13" t="str">
        <f>IFERROR(__xludf.DUMMYFUNCTION("GOOGLETRANSLATE(A138,""en"",""es"")"),"Mauritania")</f>
        <v>Mauritania</v>
      </c>
      <c r="C138" s="14"/>
      <c r="D138" s="17">
        <v>178968.0</v>
      </c>
      <c r="E138" s="17">
        <v>187560.0</v>
      </c>
      <c r="F138" s="17">
        <v>199920.0</v>
      </c>
      <c r="G138" s="17">
        <v>204156.0</v>
      </c>
      <c r="H138" s="17">
        <v>236775.0</v>
      </c>
      <c r="I138" s="17">
        <v>259873.0</v>
      </c>
      <c r="J138" s="17" t="s">
        <v>6</v>
      </c>
    </row>
    <row r="139">
      <c r="A139" s="15" t="s">
        <v>140</v>
      </c>
      <c r="B139" s="13" t="str">
        <f>IFERROR(__xludf.DUMMYFUNCTION("GOOGLETRANSLATE(A139,""en"",""es"")"),"Isla mauricio")</f>
        <v>Isla mauricio</v>
      </c>
      <c r="C139" s="14"/>
      <c r="D139" s="16">
        <v>133001.0</v>
      </c>
      <c r="E139" s="16">
        <v>129008.0</v>
      </c>
      <c r="F139" s="16">
        <v>128761.0</v>
      </c>
      <c r="G139" s="16">
        <v>125270.0</v>
      </c>
      <c r="H139" s="16">
        <v>122424.0</v>
      </c>
      <c r="I139" s="16">
        <v>122055.0</v>
      </c>
      <c r="J139" s="16" t="s">
        <v>6</v>
      </c>
    </row>
    <row r="140">
      <c r="A140" s="15" t="s">
        <v>141</v>
      </c>
      <c r="B140" s="13" t="str">
        <f>IFERROR(__xludf.DUMMYFUNCTION("GOOGLETRANSLATE(A140,""en"",""es"")"),"Mayotte")</f>
        <v>Mayotte</v>
      </c>
      <c r="C140" s="14"/>
      <c r="D140" s="17" t="s">
        <v>6</v>
      </c>
      <c r="E140" s="17" t="s">
        <v>6</v>
      </c>
      <c r="F140" s="17" t="s">
        <v>6</v>
      </c>
      <c r="G140" s="17" t="s">
        <v>6</v>
      </c>
      <c r="H140" s="17" t="s">
        <v>6</v>
      </c>
      <c r="I140" s="17" t="s">
        <v>6</v>
      </c>
      <c r="J140" s="17" t="s">
        <v>6</v>
      </c>
    </row>
    <row r="141">
      <c r="A141" s="15" t="s">
        <v>142</v>
      </c>
      <c r="B141" s="13" t="str">
        <f>IFERROR(__xludf.DUMMYFUNCTION("GOOGLETRANSLATE(A141,""en"",""es"")"),"México")</f>
        <v>México</v>
      </c>
      <c r="C141" s="14"/>
      <c r="D141" s="16">
        <v>1.2993322E7</v>
      </c>
      <c r="E141" s="16">
        <v>1.3473206E7</v>
      </c>
      <c r="F141" s="16">
        <v>1.3725467E7</v>
      </c>
      <c r="G141" s="16">
        <v>1.4034552E7</v>
      </c>
      <c r="H141" s="16">
        <v>1.4160635E7</v>
      </c>
      <c r="I141" s="16" t="s">
        <v>6</v>
      </c>
      <c r="J141" s="16" t="s">
        <v>6</v>
      </c>
    </row>
    <row r="142">
      <c r="A142" s="18" t="s">
        <v>143</v>
      </c>
      <c r="B142" s="13" t="str">
        <f>IFERROR(__xludf.DUMMYFUNCTION("GOOGLETRANSLATE(A142,""en"",""es"")"),"Micronesia (Estados Federados de)")</f>
        <v>Micronesia (Estados Federados de)</v>
      </c>
      <c r="C142" s="14"/>
      <c r="D142" s="17" t="s">
        <v>6</v>
      </c>
      <c r="E142" s="17" t="s">
        <v>6</v>
      </c>
      <c r="F142" s="17" t="s">
        <v>6</v>
      </c>
      <c r="G142" s="17" t="s">
        <v>6</v>
      </c>
      <c r="H142" s="17" t="s">
        <v>6</v>
      </c>
      <c r="I142" s="17" t="s">
        <v>6</v>
      </c>
      <c r="J142" s="17" t="s">
        <v>6</v>
      </c>
    </row>
    <row r="143">
      <c r="A143" s="15" t="s">
        <v>144</v>
      </c>
      <c r="B143" s="13" t="str">
        <f>IFERROR(__xludf.DUMMYFUNCTION("GOOGLETRANSLATE(A143,""en"",""es"")"),"Mónaco")</f>
        <v>Mónaco</v>
      </c>
      <c r="C143" s="14"/>
      <c r="D143" s="16">
        <v>3085.0</v>
      </c>
      <c r="E143" s="16">
        <v>3297.0</v>
      </c>
      <c r="F143" s="16">
        <v>3319.0</v>
      </c>
      <c r="G143" s="16">
        <v>3426.0</v>
      </c>
      <c r="H143" s="16">
        <v>3426.0</v>
      </c>
      <c r="I143" s="16">
        <v>3370.0</v>
      </c>
      <c r="J143" s="16">
        <v>3392.0</v>
      </c>
    </row>
    <row r="144">
      <c r="A144" s="15" t="s">
        <v>145</v>
      </c>
      <c r="B144" s="13" t="str">
        <f>IFERROR(__xludf.DUMMYFUNCTION("GOOGLETRANSLATE(A144,""en"",""es"")"),"Mongolia")</f>
        <v>Mongolia</v>
      </c>
      <c r="C144" s="14"/>
      <c r="D144" s="17" t="s">
        <v>6</v>
      </c>
      <c r="E144" s="17" t="s">
        <v>6</v>
      </c>
      <c r="F144" s="17" t="s">
        <v>6</v>
      </c>
      <c r="G144" s="17" t="s">
        <v>6</v>
      </c>
      <c r="H144" s="17" t="s">
        <v>6</v>
      </c>
      <c r="I144" s="17" t="s">
        <v>6</v>
      </c>
      <c r="J144" s="17" t="s">
        <v>6</v>
      </c>
    </row>
    <row r="145">
      <c r="A145" s="15" t="s">
        <v>146</v>
      </c>
      <c r="B145" s="13" t="str">
        <f>IFERROR(__xludf.DUMMYFUNCTION("GOOGLETRANSLATE(A145,""en"",""es"")"),"Montenegro")</f>
        <v>Montenegro</v>
      </c>
      <c r="C145" s="14"/>
      <c r="D145" s="16" t="s">
        <v>6</v>
      </c>
      <c r="E145" s="16">
        <v>60504.0</v>
      </c>
      <c r="F145" s="16">
        <v>58540.0</v>
      </c>
      <c r="G145" s="16">
        <v>57575.0</v>
      </c>
      <c r="H145" s="16">
        <v>57085.0</v>
      </c>
      <c r="I145" s="16">
        <v>56896.0</v>
      </c>
      <c r="J145" s="16" t="s">
        <v>6</v>
      </c>
    </row>
    <row r="146">
      <c r="A146" s="15" t="s">
        <v>147</v>
      </c>
      <c r="B146" s="13" t="str">
        <f>IFERROR(__xludf.DUMMYFUNCTION("GOOGLETRANSLATE(A146,""en"",""es"")"),"Montserrat")</f>
        <v>Montserrat</v>
      </c>
      <c r="C146" s="14"/>
      <c r="D146" s="17">
        <v>343.0</v>
      </c>
      <c r="E146" s="17" t="s">
        <v>6</v>
      </c>
      <c r="F146" s="17">
        <v>349.0</v>
      </c>
      <c r="G146" s="17">
        <v>327.0</v>
      </c>
      <c r="H146" s="17">
        <v>317.0</v>
      </c>
      <c r="I146" s="17">
        <v>322.0</v>
      </c>
      <c r="J146" s="17" t="s">
        <v>6</v>
      </c>
    </row>
    <row r="147">
      <c r="A147" s="15" t="s">
        <v>148</v>
      </c>
      <c r="B147" s="13" t="str">
        <f>IFERROR(__xludf.DUMMYFUNCTION("GOOGLETRANSLATE(A147,""en"",""es"")"),"Marruecos")</f>
        <v>Marruecos</v>
      </c>
      <c r="C147" s="14"/>
      <c r="D147" s="16" t="s">
        <v>6</v>
      </c>
      <c r="E147" s="16" t="s">
        <v>6</v>
      </c>
      <c r="F147" s="16" t="s">
        <v>6</v>
      </c>
      <c r="G147" s="16">
        <v>2847122.0</v>
      </c>
      <c r="H147" s="16">
        <v>2871043.0</v>
      </c>
      <c r="I147" s="16">
        <v>2920791.0</v>
      </c>
      <c r="J147" s="16" t="s">
        <v>6</v>
      </c>
    </row>
    <row r="148">
      <c r="A148" s="15" t="s">
        <v>149</v>
      </c>
      <c r="B148" s="13" t="str">
        <f>IFERROR(__xludf.DUMMYFUNCTION("GOOGLETRANSLATE(A148,""en"",""es"")"),"Mozambique")</f>
        <v>Mozambique</v>
      </c>
      <c r="C148" s="14"/>
      <c r="D148" s="17">
        <v>1025975.0</v>
      </c>
      <c r="E148" s="17">
        <v>1073111.0</v>
      </c>
      <c r="F148" s="17" t="s">
        <v>6</v>
      </c>
      <c r="G148" s="17">
        <v>1216214.0</v>
      </c>
      <c r="H148" s="17" t="s">
        <v>6</v>
      </c>
      <c r="I148" s="17" t="s">
        <v>6</v>
      </c>
      <c r="J148" s="17" t="s">
        <v>6</v>
      </c>
    </row>
    <row r="149">
      <c r="A149" s="15" t="s">
        <v>150</v>
      </c>
      <c r="B149" s="13" t="str">
        <f>IFERROR(__xludf.DUMMYFUNCTION("GOOGLETRANSLATE(A149,""en"",""es"")"),"Myanmar")</f>
        <v>Myanmar</v>
      </c>
      <c r="C149" s="14"/>
      <c r="D149" s="16">
        <v>3191268.0</v>
      </c>
      <c r="E149" s="16" t="s">
        <v>6</v>
      </c>
      <c r="F149" s="16">
        <v>3748367.0</v>
      </c>
      <c r="G149" s="16">
        <v>3970936.0</v>
      </c>
      <c r="H149" s="16">
        <v>4186742.0</v>
      </c>
      <c r="I149" s="16" t="s">
        <v>6</v>
      </c>
      <c r="J149" s="16" t="s">
        <v>6</v>
      </c>
    </row>
    <row r="150">
      <c r="A150" s="15" t="s">
        <v>151</v>
      </c>
      <c r="B150" s="13" t="str">
        <f>IFERROR(__xludf.DUMMYFUNCTION("GOOGLETRANSLATE(A150,""en"",""es"")"),"Namibia")</f>
        <v>Namibia</v>
      </c>
      <c r="C150" s="14"/>
      <c r="D150" s="17" t="s">
        <v>6</v>
      </c>
      <c r="E150" s="17" t="s">
        <v>6</v>
      </c>
      <c r="F150" s="17" t="s">
        <v>6</v>
      </c>
      <c r="G150" s="17" t="s">
        <v>6</v>
      </c>
      <c r="H150" s="17" t="s">
        <v>6</v>
      </c>
      <c r="I150" s="17" t="s">
        <v>6</v>
      </c>
      <c r="J150" s="17" t="s">
        <v>6</v>
      </c>
    </row>
    <row r="151">
      <c r="A151" s="15" t="s">
        <v>152</v>
      </c>
      <c r="B151" s="13" t="str">
        <f>IFERROR(__xludf.DUMMYFUNCTION("GOOGLETRANSLATE(A151,""en"",""es"")"),"Nauru")</f>
        <v>Nauru</v>
      </c>
      <c r="C151" s="14"/>
      <c r="D151" s="16">
        <v>1028.0</v>
      </c>
      <c r="E151" s="16" t="s">
        <v>6</v>
      </c>
      <c r="F151" s="16">
        <v>992.0</v>
      </c>
      <c r="G151" s="16" t="s">
        <v>6</v>
      </c>
      <c r="H151" s="16" t="s">
        <v>6</v>
      </c>
      <c r="I151" s="16">
        <v>1203.0</v>
      </c>
      <c r="J151" s="16" t="s">
        <v>6</v>
      </c>
    </row>
    <row r="152">
      <c r="A152" s="15" t="s">
        <v>153</v>
      </c>
      <c r="B152" s="13" t="str">
        <f>IFERROR(__xludf.DUMMYFUNCTION("GOOGLETRANSLATE(A152,""en"",""es"")"),"Nepal")</f>
        <v>Nepal</v>
      </c>
      <c r="C152" s="14"/>
      <c r="D152" s="17">
        <v>3163946.0</v>
      </c>
      <c r="E152" s="17">
        <v>3176320.0</v>
      </c>
      <c r="F152" s="17">
        <v>3277231.0</v>
      </c>
      <c r="G152" s="17">
        <v>3336650.0</v>
      </c>
      <c r="H152" s="17" t="s">
        <v>6</v>
      </c>
      <c r="I152" s="17">
        <v>3463763.0</v>
      </c>
      <c r="J152" s="17" t="s">
        <v>6</v>
      </c>
    </row>
    <row r="153">
      <c r="A153" s="15" t="s">
        <v>154</v>
      </c>
      <c r="B153" s="13" t="str">
        <f>IFERROR(__xludf.DUMMYFUNCTION("GOOGLETRANSLATE(A153,""en"",""es"")"),"Países Bajos")</f>
        <v>Países Bajos</v>
      </c>
      <c r="C153" s="14"/>
      <c r="D153" s="16" t="s">
        <v>6</v>
      </c>
      <c r="E153" s="16">
        <v>1613497.0</v>
      </c>
      <c r="F153" s="16">
        <v>1611016.0</v>
      </c>
      <c r="G153" s="16">
        <v>1650379.0</v>
      </c>
      <c r="H153" s="16">
        <v>1632486.0</v>
      </c>
      <c r="I153" s="16" t="s">
        <v>6</v>
      </c>
      <c r="J153" s="16" t="s">
        <v>6</v>
      </c>
    </row>
    <row r="154">
      <c r="A154" s="18" t="s">
        <v>155</v>
      </c>
      <c r="B154" s="13" t="str">
        <f>IFERROR(__xludf.DUMMYFUNCTION("GOOGLETRANSLATE(A154,""en"",""es"")"),"Antillas Holandesas")</f>
        <v>Antillas Holandesas</v>
      </c>
      <c r="C154" s="14"/>
      <c r="D154" s="17" t="s">
        <v>6</v>
      </c>
      <c r="E154" s="17" t="s">
        <v>6</v>
      </c>
      <c r="F154" s="17" t="s">
        <v>6</v>
      </c>
      <c r="G154" s="17" t="s">
        <v>6</v>
      </c>
      <c r="H154" s="17" t="s">
        <v>6</v>
      </c>
      <c r="I154" s="17" t="s">
        <v>6</v>
      </c>
      <c r="J154" s="17" t="s">
        <v>6</v>
      </c>
    </row>
    <row r="155">
      <c r="A155" s="15" t="s">
        <v>156</v>
      </c>
      <c r="B155" s="13" t="str">
        <f>IFERROR(__xludf.DUMMYFUNCTION("GOOGLETRANSLATE(A155,""en"",""es"")"),"Nueva Caledonia")</f>
        <v>Nueva Caledonia</v>
      </c>
      <c r="C155" s="14"/>
      <c r="D155" s="16" t="s">
        <v>6</v>
      </c>
      <c r="E155" s="16" t="s">
        <v>6</v>
      </c>
      <c r="F155" s="16" t="s">
        <v>6</v>
      </c>
      <c r="G155" s="16" t="s">
        <v>6</v>
      </c>
      <c r="H155" s="16" t="s">
        <v>6</v>
      </c>
      <c r="I155" s="16" t="s">
        <v>6</v>
      </c>
      <c r="J155" s="16" t="s">
        <v>6</v>
      </c>
    </row>
    <row r="156">
      <c r="A156" s="15" t="s">
        <v>157</v>
      </c>
      <c r="B156" s="13" t="str">
        <f>IFERROR(__xludf.DUMMYFUNCTION("GOOGLETRANSLATE(A156,""en"",""es"")"),"Nueva Zelanda")</f>
        <v>Nueva Zelanda</v>
      </c>
      <c r="C156" s="14"/>
      <c r="D156" s="17">
        <v>491617.0331</v>
      </c>
      <c r="E156" s="17">
        <v>487363.3514</v>
      </c>
      <c r="F156" s="17">
        <v>484412.8008</v>
      </c>
      <c r="G156" s="17">
        <v>486333.8761</v>
      </c>
      <c r="H156" s="17">
        <v>489898.7072</v>
      </c>
      <c r="I156" s="17" t="s">
        <v>6</v>
      </c>
      <c r="J156" s="17" t="s">
        <v>6</v>
      </c>
    </row>
    <row r="157">
      <c r="A157" s="15" t="s">
        <v>158</v>
      </c>
      <c r="B157" s="13" t="str">
        <f>IFERROR(__xludf.DUMMYFUNCTION("GOOGLETRANSLATE(A157,""en"",""es"")"),"Nicaragua")</f>
        <v>Nicaragua</v>
      </c>
      <c r="C157" s="14"/>
      <c r="D157" s="16" t="s">
        <v>6</v>
      </c>
      <c r="E157" s="16" t="s">
        <v>6</v>
      </c>
      <c r="F157" s="16" t="s">
        <v>6</v>
      </c>
      <c r="G157" s="16" t="s">
        <v>6</v>
      </c>
      <c r="H157" s="16" t="s">
        <v>6</v>
      </c>
      <c r="I157" s="16" t="s">
        <v>6</v>
      </c>
      <c r="J157" s="16" t="s">
        <v>6</v>
      </c>
    </row>
    <row r="158">
      <c r="A158" s="15" t="s">
        <v>159</v>
      </c>
      <c r="B158" s="13" t="str">
        <f>IFERROR(__xludf.DUMMYFUNCTION("GOOGLETRANSLATE(A158,""en"",""es"")"),"Níger")</f>
        <v>Níger</v>
      </c>
      <c r="C158" s="14"/>
      <c r="D158" s="17">
        <v>515075.0</v>
      </c>
      <c r="E158" s="17">
        <v>595426.0</v>
      </c>
      <c r="F158" s="17">
        <v>717660.0</v>
      </c>
      <c r="G158" s="17">
        <v>786582.0</v>
      </c>
      <c r="H158" s="17" t="s">
        <v>6</v>
      </c>
      <c r="I158" s="17" t="s">
        <v>6</v>
      </c>
      <c r="J158" s="17" t="s">
        <v>6</v>
      </c>
    </row>
    <row r="159">
      <c r="A159" s="15" t="s">
        <v>160</v>
      </c>
      <c r="B159" s="13" t="str">
        <f>IFERROR(__xludf.DUMMYFUNCTION("GOOGLETRANSLATE(A159,""en"",""es"")"),"Nigeria")</f>
        <v>Nigeria</v>
      </c>
      <c r="C159" s="14"/>
      <c r="D159" s="16">
        <v>1.0495583E7</v>
      </c>
      <c r="E159" s="16">
        <v>1.111603E7</v>
      </c>
      <c r="F159" s="16">
        <v>1.0314796E7</v>
      </c>
      <c r="G159" s="16" t="s">
        <v>6</v>
      </c>
      <c r="H159" s="16" t="s">
        <v>6</v>
      </c>
      <c r="I159" s="16" t="s">
        <v>6</v>
      </c>
      <c r="J159" s="16" t="s">
        <v>6</v>
      </c>
    </row>
    <row r="160">
      <c r="A160" s="15" t="s">
        <v>161</v>
      </c>
      <c r="B160" s="13" t="str">
        <f>IFERROR(__xludf.DUMMYFUNCTION("GOOGLETRANSLATE(A160,""en"",""es"")"),"Niue")</f>
        <v>Niue</v>
      </c>
      <c r="C160" s="14"/>
      <c r="D160" s="17">
        <v>186.0</v>
      </c>
      <c r="E160" s="17">
        <v>182.0</v>
      </c>
      <c r="F160" s="17" t="s">
        <v>6</v>
      </c>
      <c r="G160" s="17" t="s">
        <v>6</v>
      </c>
      <c r="H160" s="17" t="s">
        <v>6</v>
      </c>
      <c r="I160" s="17">
        <v>199.0</v>
      </c>
      <c r="J160" s="17" t="s">
        <v>6</v>
      </c>
    </row>
    <row r="161">
      <c r="A161" s="15" t="s">
        <v>162</v>
      </c>
      <c r="B161" s="13" t="str">
        <f>IFERROR(__xludf.DUMMYFUNCTION("GOOGLETRANSLATE(A161,""en"",""es"")"),"Isla Norfolk")</f>
        <v>Isla Norfolk</v>
      </c>
      <c r="C161" s="14"/>
      <c r="D161" s="16" t="s">
        <v>6</v>
      </c>
      <c r="E161" s="16" t="s">
        <v>6</v>
      </c>
      <c r="F161" s="16" t="s">
        <v>6</v>
      </c>
      <c r="G161" s="16" t="s">
        <v>6</v>
      </c>
      <c r="H161" s="16" t="s">
        <v>6</v>
      </c>
      <c r="I161" s="16" t="s">
        <v>6</v>
      </c>
      <c r="J161" s="16" t="s">
        <v>6</v>
      </c>
    </row>
    <row r="162">
      <c r="A162" s="15" t="s">
        <v>163</v>
      </c>
      <c r="B162" s="13" t="str">
        <f>IFERROR(__xludf.DUMMYFUNCTION("GOOGLETRANSLATE(A162,""en"",""es"")"),"Norte Macedonia")</f>
        <v>Norte Macedonia</v>
      </c>
      <c r="C162" s="14"/>
      <c r="D162" s="17">
        <v>170834.0</v>
      </c>
      <c r="E162" s="17">
        <v>168967.0</v>
      </c>
      <c r="F162" s="17" t="s">
        <v>6</v>
      </c>
      <c r="G162" s="17">
        <v>161128.0</v>
      </c>
      <c r="H162" s="17">
        <v>155815.0</v>
      </c>
      <c r="I162" s="17" t="s">
        <v>6</v>
      </c>
      <c r="J162" s="17" t="s">
        <v>6</v>
      </c>
    </row>
    <row r="163">
      <c r="A163" s="18" t="s">
        <v>164</v>
      </c>
      <c r="B163" s="13" t="str">
        <f>IFERROR(__xludf.DUMMYFUNCTION("GOOGLETRANSLATE(A163,""en"",""es"")"),"Islas Marianas del Norte")</f>
        <v>Islas Marianas del Norte</v>
      </c>
      <c r="C163" s="14"/>
      <c r="D163" s="16" t="s">
        <v>6</v>
      </c>
      <c r="E163" s="16" t="s">
        <v>6</v>
      </c>
      <c r="F163" s="16" t="s">
        <v>6</v>
      </c>
      <c r="G163" s="16" t="s">
        <v>6</v>
      </c>
      <c r="H163" s="16" t="s">
        <v>6</v>
      </c>
      <c r="I163" s="16" t="s">
        <v>6</v>
      </c>
      <c r="J163" s="16" t="s">
        <v>6</v>
      </c>
    </row>
    <row r="164">
      <c r="A164" s="15" t="s">
        <v>165</v>
      </c>
      <c r="B164" s="13" t="str">
        <f>IFERROR(__xludf.DUMMYFUNCTION("GOOGLETRANSLATE(A164,""en"",""es"")"),"Noruega")</f>
        <v>Noruega</v>
      </c>
      <c r="C164" s="14"/>
      <c r="D164" s="17">
        <v>439250.0</v>
      </c>
      <c r="E164" s="17">
        <v>443491.0</v>
      </c>
      <c r="F164" s="17">
        <v>444851.0</v>
      </c>
      <c r="G164" s="17">
        <v>447525.0</v>
      </c>
      <c r="H164" s="17">
        <v>449330.0</v>
      </c>
      <c r="I164" s="17" t="s">
        <v>6</v>
      </c>
      <c r="J164" s="17" t="s">
        <v>6</v>
      </c>
    </row>
    <row r="165">
      <c r="A165" s="15" t="s">
        <v>166</v>
      </c>
      <c r="B165" s="13" t="str">
        <f>IFERROR(__xludf.DUMMYFUNCTION("GOOGLETRANSLATE(A165,""en"",""es"")"),"Omán")</f>
        <v>Omán</v>
      </c>
      <c r="C165" s="14"/>
      <c r="D165" s="16" t="s">
        <v>6</v>
      </c>
      <c r="E165" s="16">
        <v>286900.0</v>
      </c>
      <c r="F165" s="16">
        <v>294485.0</v>
      </c>
      <c r="G165" s="16">
        <v>295770.0</v>
      </c>
      <c r="H165" s="16">
        <v>422440.0</v>
      </c>
      <c r="I165" s="16">
        <v>436578.0</v>
      </c>
      <c r="J165" s="16" t="s">
        <v>6</v>
      </c>
    </row>
    <row r="166">
      <c r="A166" s="15" t="s">
        <v>167</v>
      </c>
      <c r="B166" s="13" t="str">
        <f>IFERROR(__xludf.DUMMYFUNCTION("GOOGLETRANSLATE(A166,""en"",""es"")"),"Pakistán")</f>
        <v>Pakistán</v>
      </c>
      <c r="C166" s="14"/>
      <c r="D166" s="17">
        <v>1.1286628E7</v>
      </c>
      <c r="E166" s="17">
        <v>1.2077917E7</v>
      </c>
      <c r="F166" s="17">
        <v>1.2597433E7</v>
      </c>
      <c r="G166" s="17">
        <v>1.2529168E7</v>
      </c>
      <c r="H166" s="17">
        <v>1.3357618E7</v>
      </c>
      <c r="I166" s="17">
        <v>1.3857545E7</v>
      </c>
      <c r="J166" s="17" t="s">
        <v>6</v>
      </c>
    </row>
    <row r="167">
      <c r="A167" s="15" t="s">
        <v>168</v>
      </c>
      <c r="B167" s="13" t="str">
        <f>IFERROR(__xludf.DUMMYFUNCTION("GOOGLETRANSLATE(A167,""en"",""es"")"),"Palau")</f>
        <v>Palau</v>
      </c>
      <c r="C167" s="14"/>
      <c r="D167" s="16">
        <v>1604.0</v>
      </c>
      <c r="E167" s="16" t="s">
        <v>6</v>
      </c>
      <c r="F167" s="16" t="s">
        <v>6</v>
      </c>
      <c r="G167" s="16" t="s">
        <v>6</v>
      </c>
      <c r="H167" s="16" t="s">
        <v>6</v>
      </c>
      <c r="I167" s="16" t="s">
        <v>6</v>
      </c>
      <c r="J167" s="16" t="s">
        <v>6</v>
      </c>
    </row>
    <row r="168">
      <c r="A168" s="15" t="s">
        <v>169</v>
      </c>
      <c r="B168" s="13" t="str">
        <f>IFERROR(__xludf.DUMMYFUNCTION("GOOGLETRANSLATE(A168,""en"",""es"")"),"Palestina")</f>
        <v>Palestina</v>
      </c>
      <c r="C168" s="14"/>
      <c r="D168" s="17">
        <v>709226.0</v>
      </c>
      <c r="E168" s="17">
        <v>721414.0</v>
      </c>
      <c r="F168" s="17">
        <v>733345.0</v>
      </c>
      <c r="G168" s="17">
        <v>752552.0</v>
      </c>
      <c r="H168" s="17">
        <v>764986.0</v>
      </c>
      <c r="I168" s="17">
        <v>787188.0</v>
      </c>
      <c r="J168" s="17" t="s">
        <v>6</v>
      </c>
    </row>
    <row r="169">
      <c r="A169" s="15" t="s">
        <v>170</v>
      </c>
      <c r="B169" s="13" t="str">
        <f>IFERROR(__xludf.DUMMYFUNCTION("GOOGLETRANSLATE(A169,""en"",""es"")"),"Panamá")</f>
        <v>Panamá</v>
      </c>
      <c r="C169" s="14"/>
      <c r="D169" s="16">
        <v>311816.0</v>
      </c>
      <c r="E169" s="16">
        <v>316899.0</v>
      </c>
      <c r="F169" s="16">
        <v>344790.0</v>
      </c>
      <c r="G169" s="16">
        <v>322913.0</v>
      </c>
      <c r="H169" s="16" t="s">
        <v>6</v>
      </c>
      <c r="I169" s="16" t="s">
        <v>6</v>
      </c>
      <c r="J169" s="16" t="s">
        <v>6</v>
      </c>
    </row>
    <row r="170">
      <c r="A170" s="18" t="s">
        <v>171</v>
      </c>
      <c r="B170" s="13" t="str">
        <f>IFERROR(__xludf.DUMMYFUNCTION("GOOGLETRANSLATE(A170,""en"",""es"")"),"Papúa Nueva Guinea")</f>
        <v>Papúa Nueva Guinea</v>
      </c>
      <c r="C170" s="14"/>
      <c r="D170" s="17" t="s">
        <v>6</v>
      </c>
      <c r="E170" s="17" t="s">
        <v>6</v>
      </c>
      <c r="F170" s="17">
        <v>507278.0</v>
      </c>
      <c r="G170" s="17" t="s">
        <v>6</v>
      </c>
      <c r="H170" s="17" t="s">
        <v>6</v>
      </c>
      <c r="I170" s="17" t="s">
        <v>6</v>
      </c>
      <c r="J170" s="17" t="s">
        <v>6</v>
      </c>
    </row>
    <row r="171">
      <c r="A171" s="15" t="s">
        <v>172</v>
      </c>
      <c r="B171" s="13" t="str">
        <f>IFERROR(__xludf.DUMMYFUNCTION("GOOGLETRANSLATE(A171,""en"",""es"")"),"Paraguay")</f>
        <v>Paraguay</v>
      </c>
      <c r="C171" s="14"/>
      <c r="D171" s="16" t="s">
        <v>6</v>
      </c>
      <c r="E171" s="16" t="s">
        <v>6</v>
      </c>
      <c r="F171" s="16">
        <v>611308.0</v>
      </c>
      <c r="G171" s="16" t="s">
        <v>6</v>
      </c>
      <c r="H171" s="16" t="s">
        <v>6</v>
      </c>
      <c r="I171" s="16" t="s">
        <v>6</v>
      </c>
      <c r="J171" s="16" t="s">
        <v>6</v>
      </c>
    </row>
    <row r="172">
      <c r="A172" s="15" t="s">
        <v>173</v>
      </c>
      <c r="B172" s="13" t="str">
        <f>IFERROR(__xludf.DUMMYFUNCTION("GOOGLETRANSLATE(A172,""en"",""es"")"),"Perú")</f>
        <v>Perú</v>
      </c>
      <c r="C172" s="14"/>
      <c r="D172" s="17">
        <v>2670847.0</v>
      </c>
      <c r="E172" s="17">
        <v>2681531.0</v>
      </c>
      <c r="F172" s="17">
        <v>2752717.0</v>
      </c>
      <c r="G172" s="17">
        <v>2775348.0</v>
      </c>
      <c r="H172" s="17">
        <v>2779973.0</v>
      </c>
      <c r="I172" s="17">
        <v>2825788.0</v>
      </c>
      <c r="J172" s="17" t="s">
        <v>6</v>
      </c>
    </row>
    <row r="173">
      <c r="A173" s="15" t="s">
        <v>174</v>
      </c>
      <c r="B173" s="13" t="str">
        <f>IFERROR(__xludf.DUMMYFUNCTION("GOOGLETRANSLATE(A173,""en"",""es"")"),"Filipinas")</f>
        <v>Filipinas</v>
      </c>
      <c r="C173" s="14"/>
      <c r="D173" s="16">
        <v>7220389.0</v>
      </c>
      <c r="E173" s="16">
        <v>7319461.0</v>
      </c>
      <c r="F173" s="16">
        <v>7397290.0</v>
      </c>
      <c r="G173" s="16">
        <v>9007148.0</v>
      </c>
      <c r="H173" s="16">
        <v>1.0562477E7</v>
      </c>
      <c r="I173" s="16" t="s">
        <v>6</v>
      </c>
      <c r="J173" s="16" t="s">
        <v>6</v>
      </c>
    </row>
    <row r="174">
      <c r="A174" s="15" t="s">
        <v>175</v>
      </c>
      <c r="B174" s="13" t="str">
        <f>IFERROR(__xludf.DUMMYFUNCTION("GOOGLETRANSLATE(A174,""en"",""es"")"),"Pitcairn")</f>
        <v>Pitcairn</v>
      </c>
      <c r="C174" s="14"/>
      <c r="D174" s="17" t="s">
        <v>6</v>
      </c>
      <c r="E174" s="17" t="s">
        <v>6</v>
      </c>
      <c r="F174" s="17" t="s">
        <v>6</v>
      </c>
      <c r="G174" s="17" t="s">
        <v>6</v>
      </c>
      <c r="H174" s="17" t="s">
        <v>6</v>
      </c>
      <c r="I174" s="17" t="s">
        <v>6</v>
      </c>
      <c r="J174" s="17" t="s">
        <v>6</v>
      </c>
    </row>
    <row r="175">
      <c r="A175" s="15" t="s">
        <v>176</v>
      </c>
      <c r="B175" s="13" t="str">
        <f>IFERROR(__xludf.DUMMYFUNCTION("GOOGLETRANSLATE(A175,""en"",""es"")"),"Polonia")</f>
        <v>Polonia</v>
      </c>
      <c r="C175" s="14"/>
      <c r="D175" s="16">
        <v>2641287.0</v>
      </c>
      <c r="E175" s="16">
        <v>2548405.0</v>
      </c>
      <c r="F175" s="16">
        <v>2462928.0</v>
      </c>
      <c r="G175" s="16">
        <v>2407618.0</v>
      </c>
      <c r="H175" s="16">
        <v>2392353.0</v>
      </c>
      <c r="I175" s="16" t="s">
        <v>6</v>
      </c>
      <c r="J175" s="16" t="s">
        <v>6</v>
      </c>
    </row>
    <row r="176">
      <c r="A176" s="15" t="s">
        <v>177</v>
      </c>
      <c r="B176" s="13" t="str">
        <f>IFERROR(__xludf.DUMMYFUNCTION("GOOGLETRANSLATE(A176,""en"",""es"")"),"Portugal")</f>
        <v>Portugal</v>
      </c>
      <c r="C176" s="14"/>
      <c r="D176" s="17">
        <v>768631.0</v>
      </c>
      <c r="E176" s="17">
        <v>778589.0</v>
      </c>
      <c r="F176" s="17">
        <v>766052.0</v>
      </c>
      <c r="G176" s="17">
        <v>769977.0</v>
      </c>
      <c r="H176" s="17">
        <v>767094.0</v>
      </c>
      <c r="I176" s="17" t="s">
        <v>6</v>
      </c>
      <c r="J176" s="17" t="s">
        <v>6</v>
      </c>
    </row>
    <row r="177">
      <c r="A177" s="15" t="s">
        <v>178</v>
      </c>
      <c r="B177" s="13" t="str">
        <f>IFERROR(__xludf.DUMMYFUNCTION("GOOGLETRANSLATE(A177,""en"",""es"")"),"Puerto Rico")</f>
        <v>Puerto Rico</v>
      </c>
      <c r="C177" s="14"/>
      <c r="D177" s="16">
        <v>266077.0</v>
      </c>
      <c r="E177" s="16">
        <v>278964.0</v>
      </c>
      <c r="F177" s="16">
        <v>236001.0</v>
      </c>
      <c r="G177" s="16" t="s">
        <v>6</v>
      </c>
      <c r="H177" s="16">
        <v>218923.0</v>
      </c>
      <c r="I177" s="16" t="s">
        <v>6</v>
      </c>
      <c r="J177" s="16" t="s">
        <v>6</v>
      </c>
    </row>
    <row r="178">
      <c r="A178" s="15" t="s">
        <v>179</v>
      </c>
      <c r="B178" s="13" t="str">
        <f>IFERROR(__xludf.DUMMYFUNCTION("GOOGLETRANSLATE(A178,""en"",""es"")"),"Katar")</f>
        <v>Katar</v>
      </c>
      <c r="C178" s="14"/>
      <c r="D178" s="17">
        <v>88466.0</v>
      </c>
      <c r="E178" s="17">
        <v>95567.0</v>
      </c>
      <c r="F178" s="17">
        <v>98149.0</v>
      </c>
      <c r="G178" s="17">
        <v>103042.0</v>
      </c>
      <c r="H178" s="17">
        <v>107537.0</v>
      </c>
      <c r="I178" s="17">
        <v>117369.0</v>
      </c>
      <c r="J178" s="17" t="s">
        <v>6</v>
      </c>
    </row>
    <row r="179">
      <c r="A179" s="15" t="s">
        <v>180</v>
      </c>
      <c r="B179" s="13" t="str">
        <f>IFERROR(__xludf.DUMMYFUNCTION("GOOGLETRANSLATE(A179,""en"",""es"")"),"República de Corea")</f>
        <v>República de Corea</v>
      </c>
      <c r="C179" s="14"/>
      <c r="D179" s="16">
        <v>3579411.0</v>
      </c>
      <c r="E179" s="16">
        <v>3396766.0</v>
      </c>
      <c r="F179" s="16">
        <v>3231795.0</v>
      </c>
      <c r="G179" s="16">
        <v>3072037.0</v>
      </c>
      <c r="H179" s="16">
        <v>2893979.0</v>
      </c>
      <c r="I179" s="16" t="s">
        <v>6</v>
      </c>
      <c r="J179" s="16" t="s">
        <v>6</v>
      </c>
    </row>
    <row r="180">
      <c r="A180" s="18" t="s">
        <v>181</v>
      </c>
      <c r="B180" s="13" t="str">
        <f>IFERROR(__xludf.DUMMYFUNCTION("GOOGLETRANSLATE(A180,""en"",""es"")"),"República de Moldova")</f>
        <v>República de Moldova</v>
      </c>
      <c r="C180" s="14"/>
      <c r="D180" s="17">
        <v>245773.0</v>
      </c>
      <c r="E180" s="17">
        <v>233260.0</v>
      </c>
      <c r="F180" s="17">
        <v>226960.0</v>
      </c>
      <c r="G180" s="17">
        <v>227263.0</v>
      </c>
      <c r="H180" s="17">
        <v>226281.0</v>
      </c>
      <c r="I180" s="17">
        <v>224148.0</v>
      </c>
      <c r="J180" s="17" t="s">
        <v>6</v>
      </c>
    </row>
    <row r="181">
      <c r="A181" s="15" t="s">
        <v>182</v>
      </c>
      <c r="B181" s="13" t="str">
        <f>IFERROR(__xludf.DUMMYFUNCTION("GOOGLETRANSLATE(A181,""en"",""es"")"),"Reunión")</f>
        <v>Reunión</v>
      </c>
      <c r="C181" s="14"/>
      <c r="D181" s="16" t="s">
        <v>6</v>
      </c>
      <c r="E181" s="16" t="s">
        <v>6</v>
      </c>
      <c r="F181" s="16" t="s">
        <v>6</v>
      </c>
      <c r="G181" s="16" t="s">
        <v>6</v>
      </c>
      <c r="H181" s="16" t="s">
        <v>6</v>
      </c>
      <c r="I181" s="16" t="s">
        <v>6</v>
      </c>
      <c r="J181" s="16" t="s">
        <v>6</v>
      </c>
    </row>
    <row r="182">
      <c r="A182" s="15" t="s">
        <v>183</v>
      </c>
      <c r="B182" s="13" t="str">
        <f>IFERROR(__xludf.DUMMYFUNCTION("GOOGLETRANSLATE(A182,""en"",""es"")"),"Rumania")</f>
        <v>Rumania</v>
      </c>
      <c r="C182" s="14"/>
      <c r="D182" s="17">
        <v>1609259.0</v>
      </c>
      <c r="E182" s="17">
        <v>1562960.0</v>
      </c>
      <c r="F182" s="17">
        <v>1515238.0</v>
      </c>
      <c r="G182" s="17">
        <v>1502438.0</v>
      </c>
      <c r="H182" s="17">
        <v>1457948.0</v>
      </c>
      <c r="I182" s="17" t="s">
        <v>6</v>
      </c>
      <c r="J182" s="17" t="s">
        <v>6</v>
      </c>
    </row>
    <row r="183">
      <c r="A183" s="18" t="s">
        <v>184</v>
      </c>
      <c r="B183" s="13" t="str">
        <f>IFERROR(__xludf.DUMMYFUNCTION("GOOGLETRANSLATE(A183,""en"",""es"")"),"Federación Rusa")</f>
        <v>Federación Rusa</v>
      </c>
      <c r="C183" s="14"/>
      <c r="D183" s="16">
        <v>9061324.0</v>
      </c>
      <c r="E183" s="16">
        <v>9384610.0</v>
      </c>
      <c r="F183" s="16">
        <v>9566901.0</v>
      </c>
      <c r="G183" s="16">
        <v>9905067.0</v>
      </c>
      <c r="H183" s="16">
        <v>1.0242404E7</v>
      </c>
      <c r="I183" s="16" t="s">
        <v>6</v>
      </c>
      <c r="J183" s="16" t="s">
        <v>6</v>
      </c>
    </row>
    <row r="184">
      <c r="A184" s="15" t="s">
        <v>185</v>
      </c>
      <c r="B184" s="13" t="str">
        <f>IFERROR(__xludf.DUMMYFUNCTION("GOOGLETRANSLATE(A184,""en"",""es"")"),"Ruanda")</f>
        <v>Ruanda</v>
      </c>
      <c r="C184" s="14"/>
      <c r="D184" s="17">
        <v>587069.0</v>
      </c>
      <c r="E184" s="17">
        <v>567838.0</v>
      </c>
      <c r="F184" s="17">
        <v>572324.0</v>
      </c>
      <c r="G184" s="17">
        <v>610972.0</v>
      </c>
      <c r="H184" s="17">
        <v>658285.0</v>
      </c>
      <c r="I184" s="17">
        <v>732104.0</v>
      </c>
      <c r="J184" s="17" t="s">
        <v>6</v>
      </c>
    </row>
    <row r="185">
      <c r="A185" s="15" t="s">
        <v>186</v>
      </c>
      <c r="B185" s="13" t="str">
        <f>IFERROR(__xludf.DUMMYFUNCTION("GOOGLETRANSLATE(A185,""en"",""es"")"),"Santa Helena")</f>
        <v>Santa Helena</v>
      </c>
      <c r="C185" s="14"/>
      <c r="D185" s="16" t="s">
        <v>6</v>
      </c>
      <c r="E185" s="16" t="s">
        <v>6</v>
      </c>
      <c r="F185" s="16" t="s">
        <v>6</v>
      </c>
      <c r="G185" s="16" t="s">
        <v>6</v>
      </c>
      <c r="H185" s="16" t="s">
        <v>6</v>
      </c>
      <c r="I185" s="16" t="s">
        <v>6</v>
      </c>
      <c r="J185" s="16" t="s">
        <v>6</v>
      </c>
    </row>
    <row r="186">
      <c r="A186" s="18" t="s">
        <v>187</v>
      </c>
      <c r="B186" s="13" t="str">
        <f>IFERROR(__xludf.DUMMYFUNCTION("GOOGLETRANSLATE(A186,""en"",""es"")"),"Saint Kitts y Nevis")</f>
        <v>Saint Kitts y Nevis</v>
      </c>
      <c r="C186" s="14"/>
      <c r="D186" s="17">
        <v>4370.0</v>
      </c>
      <c r="E186" s="17">
        <v>4318.0</v>
      </c>
      <c r="F186" s="17">
        <v>4175.0</v>
      </c>
      <c r="G186" s="17" t="s">
        <v>6</v>
      </c>
      <c r="H186" s="17" t="s">
        <v>6</v>
      </c>
      <c r="I186" s="17" t="s">
        <v>6</v>
      </c>
      <c r="J186" s="17" t="s">
        <v>6</v>
      </c>
    </row>
    <row r="187">
      <c r="A187" s="15" t="s">
        <v>188</v>
      </c>
      <c r="B187" s="13" t="str">
        <f>IFERROR(__xludf.DUMMYFUNCTION("GOOGLETRANSLATE(A187,""en"",""es"")"),"Santa Lucía")</f>
        <v>Santa Lucía</v>
      </c>
      <c r="C187" s="14"/>
      <c r="D187" s="16">
        <v>13566.0</v>
      </c>
      <c r="E187" s="16">
        <v>13215.0</v>
      </c>
      <c r="F187" s="16">
        <v>12694.0</v>
      </c>
      <c r="G187" s="16">
        <v>12217.0</v>
      </c>
      <c r="H187" s="16">
        <v>11792.0</v>
      </c>
      <c r="I187" s="16">
        <v>11394.0</v>
      </c>
      <c r="J187" s="16" t="s">
        <v>6</v>
      </c>
    </row>
    <row r="188">
      <c r="A188" s="18" t="s">
        <v>189</v>
      </c>
      <c r="B188" s="13" t="str">
        <f>IFERROR(__xludf.DUMMYFUNCTION("GOOGLETRANSLATE(A188,""en"",""es"")"),"San Pedro y Miquelón")</f>
        <v>San Pedro y Miquelón</v>
      </c>
      <c r="C188" s="14"/>
      <c r="D188" s="17" t="s">
        <v>6</v>
      </c>
      <c r="E188" s="17" t="s">
        <v>6</v>
      </c>
      <c r="F188" s="17" t="s">
        <v>6</v>
      </c>
      <c r="G188" s="17" t="s">
        <v>6</v>
      </c>
      <c r="H188" s="17" t="s">
        <v>6</v>
      </c>
      <c r="I188" s="17" t="s">
        <v>6</v>
      </c>
      <c r="J188" s="17" t="s">
        <v>6</v>
      </c>
    </row>
    <row r="189">
      <c r="A189" s="18" t="s">
        <v>190</v>
      </c>
      <c r="B189" s="13" t="str">
        <f>IFERROR(__xludf.DUMMYFUNCTION("GOOGLETRANSLATE(A189,""en"",""es"")"),"San Vicente y las Granadinas")</f>
        <v>San Vicente y las Granadinas</v>
      </c>
      <c r="C189" s="14"/>
      <c r="D189" s="16">
        <v>10342.0</v>
      </c>
      <c r="E189" s="16">
        <v>10286.0</v>
      </c>
      <c r="F189" s="16">
        <v>10117.0</v>
      </c>
      <c r="G189" s="16">
        <v>10113.0</v>
      </c>
      <c r="H189" s="16">
        <v>9808.0</v>
      </c>
      <c r="I189" s="16" t="s">
        <v>6</v>
      </c>
      <c r="J189" s="16" t="s">
        <v>6</v>
      </c>
    </row>
    <row r="190">
      <c r="A190" s="15" t="s">
        <v>191</v>
      </c>
      <c r="B190" s="13" t="str">
        <f>IFERROR(__xludf.DUMMYFUNCTION("GOOGLETRANSLATE(A190,""en"",""es"")"),"Saint-Barthélemy")</f>
        <v>Saint-Barthélemy</v>
      </c>
      <c r="C190" s="14"/>
      <c r="D190" s="17" t="s">
        <v>6</v>
      </c>
      <c r="E190" s="17" t="s">
        <v>6</v>
      </c>
      <c r="F190" s="17" t="s">
        <v>6</v>
      </c>
      <c r="G190" s="17" t="s">
        <v>6</v>
      </c>
      <c r="H190" s="17" t="s">
        <v>6</v>
      </c>
      <c r="I190" s="17" t="s">
        <v>6</v>
      </c>
      <c r="J190" s="17" t="s">
        <v>6</v>
      </c>
    </row>
    <row r="191">
      <c r="A191" s="18" t="s">
        <v>192</v>
      </c>
      <c r="B191" s="13" t="str">
        <f>IFERROR(__xludf.DUMMYFUNCTION("GOOGLETRANSLATE(A191,""en"",""es"")"),"San Martín (parte francesa)")</f>
        <v>San Martín (parte francesa)</v>
      </c>
      <c r="C191" s="14"/>
      <c r="D191" s="16" t="s">
        <v>6</v>
      </c>
      <c r="E191" s="16" t="s">
        <v>6</v>
      </c>
      <c r="F191" s="16" t="s">
        <v>6</v>
      </c>
      <c r="G191" s="16" t="s">
        <v>6</v>
      </c>
      <c r="H191" s="16" t="s">
        <v>6</v>
      </c>
      <c r="I191" s="16" t="s">
        <v>6</v>
      </c>
      <c r="J191" s="16" t="s">
        <v>6</v>
      </c>
    </row>
    <row r="192">
      <c r="A192" s="15" t="s">
        <v>193</v>
      </c>
      <c r="B192" s="13" t="str">
        <f>IFERROR(__xludf.DUMMYFUNCTION("GOOGLETRANSLATE(A192,""en"",""es"")"),"Samoa")</f>
        <v>Samoa</v>
      </c>
      <c r="C192" s="14"/>
      <c r="D192" s="17">
        <v>26322.0</v>
      </c>
      <c r="E192" s="17">
        <v>25994.0</v>
      </c>
      <c r="F192" s="17">
        <v>25964.0</v>
      </c>
      <c r="G192" s="17" t="s">
        <v>6</v>
      </c>
      <c r="H192" s="17" t="s">
        <v>6</v>
      </c>
      <c r="I192" s="17" t="s">
        <v>6</v>
      </c>
      <c r="J192" s="17" t="s">
        <v>6</v>
      </c>
    </row>
    <row r="193">
      <c r="A193" s="15" t="s">
        <v>194</v>
      </c>
      <c r="B193" s="13" t="str">
        <f>IFERROR(__xludf.DUMMYFUNCTION("GOOGLETRANSLATE(A193,""en"",""es"")"),"San Marino")</f>
        <v>San Marino</v>
      </c>
      <c r="C193" s="14"/>
      <c r="D193" s="16" t="s">
        <v>6</v>
      </c>
      <c r="E193" s="16" t="s">
        <v>6</v>
      </c>
      <c r="F193" s="16" t="s">
        <v>6</v>
      </c>
      <c r="G193" s="16" t="s">
        <v>6</v>
      </c>
      <c r="H193" s="16">
        <v>1653.0</v>
      </c>
      <c r="I193" s="16">
        <v>1674.0</v>
      </c>
      <c r="J193" s="16" t="s">
        <v>6</v>
      </c>
    </row>
    <row r="194">
      <c r="A194" s="18" t="s">
        <v>195</v>
      </c>
      <c r="B194" s="13" t="str">
        <f>IFERROR(__xludf.DUMMYFUNCTION("GOOGLETRANSLATE(A194,""en"",""es"")"),"Santo Tomé y Príncipe")</f>
        <v>Santo Tomé y Príncipe</v>
      </c>
      <c r="C194" s="14"/>
      <c r="D194" s="17">
        <v>19386.0</v>
      </c>
      <c r="E194" s="17">
        <v>22123.0</v>
      </c>
      <c r="F194" s="17">
        <v>23232.0</v>
      </c>
      <c r="G194" s="17">
        <v>25875.0</v>
      </c>
      <c r="H194" s="17" t="s">
        <v>6</v>
      </c>
      <c r="I194" s="17" t="s">
        <v>6</v>
      </c>
      <c r="J194" s="17" t="s">
        <v>6</v>
      </c>
    </row>
    <row r="195">
      <c r="A195" s="15" t="s">
        <v>196</v>
      </c>
      <c r="B195" s="13" t="str">
        <f>IFERROR(__xludf.DUMMYFUNCTION("GOOGLETRANSLATE(A195,""en"",""es"")"),"Arabia Saudita")</f>
        <v>Arabia Saudita</v>
      </c>
      <c r="C195" s="14"/>
      <c r="D195" s="16" t="s">
        <v>6</v>
      </c>
      <c r="E195" s="16">
        <v>3319742.0</v>
      </c>
      <c r="F195" s="16">
        <v>3160633.0</v>
      </c>
      <c r="G195" s="16">
        <v>3039012.0</v>
      </c>
      <c r="H195" s="16">
        <v>3108384.0</v>
      </c>
      <c r="I195" s="16">
        <v>3159358.0</v>
      </c>
      <c r="J195" s="16" t="s">
        <v>6</v>
      </c>
    </row>
    <row r="196">
      <c r="A196" s="15" t="s">
        <v>197</v>
      </c>
      <c r="B196" s="13" t="str">
        <f>IFERROR(__xludf.DUMMYFUNCTION("GOOGLETRANSLATE(A196,""en"",""es"")"),"Senegal")</f>
        <v>Senegal</v>
      </c>
      <c r="C196" s="14"/>
      <c r="D196" s="17">
        <v>1094751.0</v>
      </c>
      <c r="E196" s="17">
        <v>1136477.0</v>
      </c>
      <c r="F196" s="17" t="s">
        <v>6</v>
      </c>
      <c r="G196" s="17" t="s">
        <v>6</v>
      </c>
      <c r="H196" s="17" t="s">
        <v>6</v>
      </c>
      <c r="I196" s="17">
        <v>1149844.0</v>
      </c>
      <c r="J196" s="17" t="s">
        <v>6</v>
      </c>
    </row>
    <row r="197">
      <c r="A197" s="15" t="s">
        <v>198</v>
      </c>
      <c r="B197" s="13" t="str">
        <f>IFERROR(__xludf.DUMMYFUNCTION("GOOGLETRANSLATE(A197,""en"",""es"")"),"Serbia")</f>
        <v>Serbia</v>
      </c>
      <c r="C197" s="14"/>
      <c r="D197" s="16">
        <v>548158.0</v>
      </c>
      <c r="E197" s="16">
        <v>553448.0</v>
      </c>
      <c r="F197" s="16">
        <v>545419.0</v>
      </c>
      <c r="G197" s="16">
        <v>538238.0</v>
      </c>
      <c r="H197" s="16">
        <v>534106.0</v>
      </c>
      <c r="I197" s="16">
        <v>528758.0</v>
      </c>
      <c r="J197" s="16" t="s">
        <v>6</v>
      </c>
    </row>
    <row r="198">
      <c r="A198" s="15" t="s">
        <v>199</v>
      </c>
      <c r="B198" s="13" t="str">
        <f>IFERROR(__xludf.DUMMYFUNCTION("GOOGLETRANSLATE(A198,""en"",""es"")"),"Seychelles")</f>
        <v>Seychelles</v>
      </c>
      <c r="C198" s="14"/>
      <c r="D198" s="17">
        <v>7277.0</v>
      </c>
      <c r="E198" s="17">
        <v>7394.0</v>
      </c>
      <c r="F198" s="17">
        <v>7423.0</v>
      </c>
      <c r="G198" s="17">
        <v>7362.0</v>
      </c>
      <c r="H198" s="17">
        <v>7459.0</v>
      </c>
      <c r="I198" s="17">
        <v>7325.0</v>
      </c>
      <c r="J198" s="17" t="s">
        <v>6</v>
      </c>
    </row>
    <row r="199">
      <c r="A199" s="15" t="s">
        <v>200</v>
      </c>
      <c r="B199" s="13" t="str">
        <f>IFERROR(__xludf.DUMMYFUNCTION("GOOGLETRANSLATE(A199,""en"",""es"")"),"Sierra Leona")</f>
        <v>Sierra Leona</v>
      </c>
      <c r="C199" s="14"/>
      <c r="D199" s="16" t="s">
        <v>6</v>
      </c>
      <c r="E199" s="16">
        <v>449320.0</v>
      </c>
      <c r="F199" s="16">
        <v>487826.0</v>
      </c>
      <c r="G199" s="16">
        <v>492140.0</v>
      </c>
      <c r="H199" s="16" t="s">
        <v>6</v>
      </c>
      <c r="I199" s="16" t="s">
        <v>6</v>
      </c>
      <c r="J199" s="16" t="s">
        <v>6</v>
      </c>
    </row>
    <row r="200">
      <c r="A200" s="15" t="s">
        <v>201</v>
      </c>
      <c r="B200" s="13" t="str">
        <f>IFERROR(__xludf.DUMMYFUNCTION("GOOGLETRANSLATE(A200,""en"",""es"")"),"Singapur")</f>
        <v>Singapur</v>
      </c>
      <c r="C200" s="14"/>
      <c r="D200" s="17" t="s">
        <v>6</v>
      </c>
      <c r="E200" s="17" t="s">
        <v>6</v>
      </c>
      <c r="F200" s="17">
        <v>179225.0</v>
      </c>
      <c r="G200" s="17">
        <v>171319.0</v>
      </c>
      <c r="H200" s="17">
        <v>166709.0</v>
      </c>
      <c r="I200" s="17" t="s">
        <v>6</v>
      </c>
      <c r="J200" s="17" t="s">
        <v>6</v>
      </c>
    </row>
    <row r="201">
      <c r="A201" s="18" t="s">
        <v>202</v>
      </c>
      <c r="B201" s="13" t="str">
        <f>IFERROR(__xludf.DUMMYFUNCTION("GOOGLETRANSLATE(A201,""en"",""es"")"),"Sint Maarten (parte neerlandesa)")</f>
        <v>Sint Maarten (parte neerlandesa)</v>
      </c>
      <c r="C201" s="14"/>
      <c r="D201" s="16">
        <v>2713.0</v>
      </c>
      <c r="E201" s="16" t="s">
        <v>6</v>
      </c>
      <c r="F201" s="16" t="s">
        <v>6</v>
      </c>
      <c r="G201" s="16" t="s">
        <v>6</v>
      </c>
      <c r="H201" s="16" t="s">
        <v>6</v>
      </c>
      <c r="I201" s="16" t="s">
        <v>6</v>
      </c>
      <c r="J201" s="16" t="s">
        <v>6</v>
      </c>
    </row>
    <row r="202">
      <c r="A202" s="15" t="s">
        <v>203</v>
      </c>
      <c r="B202" s="13" t="str">
        <f>IFERROR(__xludf.DUMMYFUNCTION("GOOGLETRANSLATE(A202,""en"",""es"")"),"Eslovaquia")</f>
        <v>Eslovaquia</v>
      </c>
      <c r="C202" s="14"/>
      <c r="D202" s="17">
        <v>464957.0</v>
      </c>
      <c r="E202" s="17">
        <v>454032.0</v>
      </c>
      <c r="F202" s="17">
        <v>446922.0</v>
      </c>
      <c r="G202" s="17">
        <v>441619.0</v>
      </c>
      <c r="H202" s="17">
        <v>441952.0</v>
      </c>
      <c r="I202" s="17" t="s">
        <v>6</v>
      </c>
      <c r="J202" s="17" t="s">
        <v>6</v>
      </c>
    </row>
    <row r="203">
      <c r="A203" s="15" t="s">
        <v>204</v>
      </c>
      <c r="B203" s="13" t="str">
        <f>IFERROR(__xludf.DUMMYFUNCTION("GOOGLETRANSLATE(A203,""en"",""es"")"),"Eslovenia")</f>
        <v>Eslovenia</v>
      </c>
      <c r="C203" s="14"/>
      <c r="D203" s="16">
        <v>145179.0</v>
      </c>
      <c r="E203" s="16">
        <v>143247.0</v>
      </c>
      <c r="F203" s="16">
        <v>148896.0</v>
      </c>
      <c r="G203" s="16">
        <v>147920.0</v>
      </c>
      <c r="H203" s="16">
        <v>147003.0</v>
      </c>
      <c r="I203" s="16" t="s">
        <v>6</v>
      </c>
      <c r="J203" s="16" t="s">
        <v>6</v>
      </c>
    </row>
    <row r="204">
      <c r="A204" s="15" t="s">
        <v>205</v>
      </c>
      <c r="B204" s="13" t="str">
        <f>IFERROR(__xludf.DUMMYFUNCTION("GOOGLETRANSLATE(A204,""en"",""es"")"),"Islas Salomón")</f>
        <v>Islas Salomón</v>
      </c>
      <c r="C204" s="14"/>
      <c r="D204" s="17" t="s">
        <v>6</v>
      </c>
      <c r="E204" s="17" t="s">
        <v>6</v>
      </c>
      <c r="F204" s="17" t="s">
        <v>6</v>
      </c>
      <c r="G204" s="17" t="s">
        <v>6</v>
      </c>
      <c r="H204" s="17" t="s">
        <v>6</v>
      </c>
      <c r="I204" s="17" t="s">
        <v>6</v>
      </c>
      <c r="J204" s="17" t="s">
        <v>6</v>
      </c>
    </row>
    <row r="205">
      <c r="A205" s="15" t="s">
        <v>206</v>
      </c>
      <c r="B205" s="13" t="str">
        <f>IFERROR(__xludf.DUMMYFUNCTION("GOOGLETRANSLATE(A205,""en"",""es"")"),"Somalia")</f>
        <v>Somalia</v>
      </c>
      <c r="C205" s="14"/>
      <c r="D205" s="16" t="s">
        <v>6</v>
      </c>
      <c r="E205" s="16" t="s">
        <v>6</v>
      </c>
      <c r="F205" s="16" t="s">
        <v>6</v>
      </c>
      <c r="G205" s="16" t="s">
        <v>6</v>
      </c>
      <c r="H205" s="16" t="s">
        <v>6</v>
      </c>
      <c r="I205" s="16" t="s">
        <v>6</v>
      </c>
      <c r="J205" s="16" t="s">
        <v>6</v>
      </c>
    </row>
    <row r="206">
      <c r="A206" s="15" t="s">
        <v>207</v>
      </c>
      <c r="B206" s="13" t="str">
        <f>IFERROR(__xludf.DUMMYFUNCTION("GOOGLETRANSLATE(A206,""en"",""es"")"),"Sudáfrica")</f>
        <v>Sudáfrica</v>
      </c>
      <c r="C206" s="14"/>
      <c r="D206" s="17">
        <v>5220975.0</v>
      </c>
      <c r="E206" s="17">
        <v>5279196.0</v>
      </c>
      <c r="F206" s="17">
        <v>5164481.0</v>
      </c>
      <c r="G206" s="17">
        <v>5052180.0</v>
      </c>
      <c r="H206" s="17">
        <v>4878960.0</v>
      </c>
      <c r="I206" s="17" t="s">
        <v>6</v>
      </c>
      <c r="J206" s="17" t="s">
        <v>6</v>
      </c>
    </row>
    <row r="207">
      <c r="A207" s="15" t="s">
        <v>208</v>
      </c>
      <c r="B207" s="13" t="str">
        <f>IFERROR(__xludf.DUMMYFUNCTION("GOOGLETRANSLATE(A207,""en"",""es"")"),"Sudán del Sur")</f>
        <v>Sudán del Sur</v>
      </c>
      <c r="C207" s="14"/>
      <c r="D207" s="16" t="s">
        <v>6</v>
      </c>
      <c r="E207" s="16">
        <v>164135.0</v>
      </c>
      <c r="F207" s="16" t="s">
        <v>6</v>
      </c>
      <c r="G207" s="16" t="s">
        <v>6</v>
      </c>
      <c r="H207" s="16" t="s">
        <v>6</v>
      </c>
      <c r="I207" s="16" t="s">
        <v>6</v>
      </c>
      <c r="J207" s="16" t="s">
        <v>6</v>
      </c>
    </row>
    <row r="208">
      <c r="A208" s="15" t="s">
        <v>209</v>
      </c>
      <c r="B208" s="13" t="str">
        <f>IFERROR(__xludf.DUMMYFUNCTION("GOOGLETRANSLATE(A208,""en"",""es"")"),"España")</f>
        <v>España</v>
      </c>
      <c r="C208" s="14"/>
      <c r="D208" s="17">
        <v>3288424.0</v>
      </c>
      <c r="E208" s="17">
        <v>3313127.0</v>
      </c>
      <c r="F208" s="17">
        <v>3329389.0</v>
      </c>
      <c r="G208" s="17">
        <v>3332678.0</v>
      </c>
      <c r="H208" s="17">
        <v>3371069.0</v>
      </c>
      <c r="I208" s="17" t="s">
        <v>6</v>
      </c>
      <c r="J208" s="17" t="s">
        <v>6</v>
      </c>
    </row>
    <row r="209">
      <c r="A209" s="15" t="s">
        <v>210</v>
      </c>
      <c r="B209" s="13" t="str">
        <f>IFERROR(__xludf.DUMMYFUNCTION("GOOGLETRANSLATE(A209,""en"",""es"")"),"Sri Lanka")</f>
        <v>Sri Lanka</v>
      </c>
      <c r="C209" s="14"/>
      <c r="D209" s="16" t="s">
        <v>6</v>
      </c>
      <c r="E209" s="16" t="s">
        <v>6</v>
      </c>
      <c r="F209" s="16">
        <v>2618895.0</v>
      </c>
      <c r="G209" s="16">
        <v>2648660.0</v>
      </c>
      <c r="H209" s="16">
        <v>2727965.0</v>
      </c>
      <c r="I209" s="16" t="s">
        <v>6</v>
      </c>
      <c r="J209" s="16" t="s">
        <v>6</v>
      </c>
    </row>
    <row r="210">
      <c r="A210" s="15" t="s">
        <v>211</v>
      </c>
      <c r="B210" s="13" t="str">
        <f>IFERROR(__xludf.DUMMYFUNCTION("GOOGLETRANSLATE(A210,""en"",""es"")"),"Sudán")</f>
        <v>Sudán</v>
      </c>
      <c r="C210" s="14"/>
      <c r="D210" s="17">
        <v>1974312.0</v>
      </c>
      <c r="E210" s="17">
        <v>2059715.0</v>
      </c>
      <c r="F210" s="17">
        <v>2041258.0</v>
      </c>
      <c r="G210" s="17">
        <v>2205034.0</v>
      </c>
      <c r="H210" s="17" t="s">
        <v>6</v>
      </c>
      <c r="I210" s="17" t="s">
        <v>6</v>
      </c>
      <c r="J210" s="17" t="s">
        <v>6</v>
      </c>
    </row>
    <row r="211">
      <c r="A211" s="18" t="s">
        <v>212</v>
      </c>
      <c r="B211" s="13" t="str">
        <f>IFERROR(__xludf.DUMMYFUNCTION("GOOGLETRANSLATE(A211,""en"",""es"")"),"Sudán (pre-secesión)")</f>
        <v>Sudán (pre-secesión)</v>
      </c>
      <c r="C211" s="14"/>
      <c r="D211" s="16" t="s">
        <v>6</v>
      </c>
      <c r="E211" s="16" t="s">
        <v>6</v>
      </c>
      <c r="F211" s="16" t="s">
        <v>6</v>
      </c>
      <c r="G211" s="16" t="s">
        <v>6</v>
      </c>
      <c r="H211" s="16" t="s">
        <v>6</v>
      </c>
      <c r="I211" s="16" t="s">
        <v>6</v>
      </c>
      <c r="J211" s="16" t="s">
        <v>6</v>
      </c>
    </row>
    <row r="212">
      <c r="A212" s="15" t="s">
        <v>213</v>
      </c>
      <c r="B212" s="13" t="str">
        <f>IFERROR(__xludf.DUMMYFUNCTION("GOOGLETRANSLATE(A212,""en"",""es"")"),"Surinam")</f>
        <v>Surinam</v>
      </c>
      <c r="C212" s="14"/>
      <c r="D212" s="17">
        <v>51784.0</v>
      </c>
      <c r="E212" s="17">
        <v>54721.0</v>
      </c>
      <c r="F212" s="17" t="s">
        <v>6</v>
      </c>
      <c r="G212" s="17" t="s">
        <v>6</v>
      </c>
      <c r="H212" s="17">
        <v>58408.0</v>
      </c>
      <c r="I212" s="17" t="s">
        <v>6</v>
      </c>
      <c r="J212" s="17" t="s">
        <v>6</v>
      </c>
    </row>
    <row r="213">
      <c r="A213" s="18" t="s">
        <v>214</v>
      </c>
      <c r="B213" s="13" t="str">
        <f>IFERROR(__xludf.DUMMYFUNCTION("GOOGLETRANSLATE(A213,""en"",""es"")"),"Svalbard y Jan Mayen")</f>
        <v>Svalbard y Jan Mayen</v>
      </c>
      <c r="C213" s="14"/>
      <c r="D213" s="16" t="s">
        <v>6</v>
      </c>
      <c r="E213" s="16" t="s">
        <v>6</v>
      </c>
      <c r="F213" s="16" t="s">
        <v>6</v>
      </c>
      <c r="G213" s="16" t="s">
        <v>6</v>
      </c>
      <c r="H213" s="16" t="s">
        <v>6</v>
      </c>
      <c r="I213" s="16" t="s">
        <v>6</v>
      </c>
      <c r="J213" s="16" t="s">
        <v>6</v>
      </c>
    </row>
    <row r="214">
      <c r="A214" s="15" t="s">
        <v>215</v>
      </c>
      <c r="B214" s="13" t="str">
        <f>IFERROR(__xludf.DUMMYFUNCTION("GOOGLETRANSLATE(A214,""en"",""es"")"),"Suecia")</f>
        <v>Suecia</v>
      </c>
      <c r="C214" s="14"/>
      <c r="D214" s="17">
        <v>826694.0</v>
      </c>
      <c r="E214" s="17">
        <v>844112.0</v>
      </c>
      <c r="F214" s="17">
        <v>856094.0</v>
      </c>
      <c r="G214" s="17">
        <v>916224.0</v>
      </c>
      <c r="H214" s="17">
        <v>934541.0</v>
      </c>
      <c r="I214" s="17" t="s">
        <v>6</v>
      </c>
      <c r="J214" s="17" t="s">
        <v>6</v>
      </c>
    </row>
    <row r="215">
      <c r="A215" s="15" t="s">
        <v>216</v>
      </c>
      <c r="B215" s="13" t="str">
        <f>IFERROR(__xludf.DUMMYFUNCTION("GOOGLETRANSLATE(A215,""en"",""es"")"),"Suiza")</f>
        <v>Suiza</v>
      </c>
      <c r="C215" s="14"/>
      <c r="D215" s="16" t="s">
        <v>6</v>
      </c>
      <c r="E215" s="16">
        <v>614470.0</v>
      </c>
      <c r="F215" s="16">
        <v>609783.0</v>
      </c>
      <c r="G215" s="16">
        <v>608845.0</v>
      </c>
      <c r="H215" s="16">
        <v>608878.0</v>
      </c>
      <c r="I215" s="16" t="s">
        <v>6</v>
      </c>
      <c r="J215" s="16" t="s">
        <v>6</v>
      </c>
    </row>
    <row r="216">
      <c r="A216" s="18" t="s">
        <v>217</v>
      </c>
      <c r="B216" s="13" t="str">
        <f>IFERROR(__xludf.DUMMYFUNCTION("GOOGLETRANSLATE(A216,""en"",""es"")"),"República Árabe Siria")</f>
        <v>República Árabe Siria</v>
      </c>
      <c r="C216" s="14"/>
      <c r="D216" s="17" t="s">
        <v>6</v>
      </c>
      <c r="E216" s="17" t="s">
        <v>6</v>
      </c>
      <c r="F216" s="17" t="s">
        <v>6</v>
      </c>
      <c r="G216" s="17" t="s">
        <v>6</v>
      </c>
      <c r="H216" s="17" t="s">
        <v>6</v>
      </c>
      <c r="I216" s="17" t="s">
        <v>6</v>
      </c>
      <c r="J216" s="17" t="s">
        <v>6</v>
      </c>
    </row>
    <row r="217">
      <c r="A217" s="15" t="s">
        <v>218</v>
      </c>
      <c r="B217" s="13" t="str">
        <f>IFERROR(__xludf.DUMMYFUNCTION("GOOGLETRANSLATE(A217,""en"",""es"")"),"Tayikistán")</f>
        <v>Tayikistán</v>
      </c>
      <c r="C217" s="14"/>
      <c r="D217" s="16" t="s">
        <v>6</v>
      </c>
      <c r="E217" s="16" t="s">
        <v>6</v>
      </c>
      <c r="F217" s="16" t="s">
        <v>6</v>
      </c>
      <c r="G217" s="16" t="s">
        <v>6</v>
      </c>
      <c r="H217" s="16" t="s">
        <v>6</v>
      </c>
      <c r="I217" s="16" t="s">
        <v>6</v>
      </c>
      <c r="J217" s="16" t="s">
        <v>6</v>
      </c>
    </row>
    <row r="218">
      <c r="A218" s="15" t="s">
        <v>219</v>
      </c>
      <c r="B218" s="13" t="str">
        <f>IFERROR(__xludf.DUMMYFUNCTION("GOOGLETRANSLATE(A218,""en"",""es"")"),"Tailandia")</f>
        <v>Tailandia</v>
      </c>
      <c r="C218" s="14"/>
      <c r="D218" s="17">
        <v>6791615.0</v>
      </c>
      <c r="E218" s="17">
        <v>6757174.0</v>
      </c>
      <c r="F218" s="17">
        <v>6570988.0</v>
      </c>
      <c r="G218" s="17">
        <v>6335213.0</v>
      </c>
      <c r="H218" s="17">
        <v>6265551.0</v>
      </c>
      <c r="I218" s="17">
        <v>6019229.0</v>
      </c>
      <c r="J218" s="17" t="s">
        <v>6</v>
      </c>
    </row>
    <row r="219">
      <c r="A219" s="15" t="s">
        <v>220</v>
      </c>
      <c r="B219" s="13" t="str">
        <f>IFERROR(__xludf.DUMMYFUNCTION("GOOGLETRANSLATE(A219,""en"",""es"")"),"Timor Oriental")</f>
        <v>Timor Oriental</v>
      </c>
      <c r="C219" s="14"/>
      <c r="D219" s="16">
        <v>118935.0</v>
      </c>
      <c r="E219" s="16">
        <v>129314.0</v>
      </c>
      <c r="F219" s="16">
        <v>140462.0</v>
      </c>
      <c r="G219" s="16">
        <v>149883.0</v>
      </c>
      <c r="H219" s="16">
        <v>155832.0</v>
      </c>
      <c r="I219" s="16">
        <v>161660.0</v>
      </c>
      <c r="J219" s="16" t="s">
        <v>6</v>
      </c>
    </row>
    <row r="220">
      <c r="A220" s="15" t="s">
        <v>221</v>
      </c>
      <c r="B220" s="13" t="str">
        <f>IFERROR(__xludf.DUMMYFUNCTION("GOOGLETRANSLATE(A220,""en"",""es"")"),"Ir")</f>
        <v>Ir</v>
      </c>
      <c r="C220" s="14"/>
      <c r="D220" s="17" t="s">
        <v>6</v>
      </c>
      <c r="E220" s="17" t="s">
        <v>6</v>
      </c>
      <c r="F220" s="17" t="s">
        <v>6</v>
      </c>
      <c r="G220" s="17">
        <v>727949.0</v>
      </c>
      <c r="H220" s="17" t="s">
        <v>6</v>
      </c>
      <c r="I220" s="17" t="s">
        <v>6</v>
      </c>
      <c r="J220" s="17" t="s">
        <v>6</v>
      </c>
    </row>
    <row r="221">
      <c r="A221" s="15" t="s">
        <v>222</v>
      </c>
      <c r="B221" s="13" t="str">
        <f>IFERROR(__xludf.DUMMYFUNCTION("GOOGLETRANSLATE(A221,""en"",""es"")"),"Tokelau")</f>
        <v>Tokelau</v>
      </c>
      <c r="C221" s="14"/>
      <c r="D221" s="16" t="s">
        <v>6</v>
      </c>
      <c r="E221" s="16" t="s">
        <v>6</v>
      </c>
      <c r="F221" s="16">
        <v>141.0</v>
      </c>
      <c r="G221" s="16" t="s">
        <v>6</v>
      </c>
      <c r="H221" s="16" t="s">
        <v>6</v>
      </c>
      <c r="I221" s="16">
        <v>186.0</v>
      </c>
      <c r="J221" s="16" t="s">
        <v>6</v>
      </c>
    </row>
    <row r="222">
      <c r="A222" s="15" t="s">
        <v>223</v>
      </c>
      <c r="B222" s="13" t="str">
        <f>IFERROR(__xludf.DUMMYFUNCTION("GOOGLETRANSLATE(A222,""en"",""es"")"),"Tonga")</f>
        <v>Tonga</v>
      </c>
      <c r="C222" s="14"/>
      <c r="D222" s="17">
        <v>14961.0</v>
      </c>
      <c r="E222" s="17">
        <v>15800.0</v>
      </c>
      <c r="F222" s="17" t="s">
        <v>6</v>
      </c>
      <c r="G222" s="17" t="s">
        <v>6</v>
      </c>
      <c r="H222" s="17" t="s">
        <v>6</v>
      </c>
      <c r="I222" s="17" t="s">
        <v>6</v>
      </c>
      <c r="J222" s="17" t="s">
        <v>6</v>
      </c>
    </row>
    <row r="223">
      <c r="A223" s="18" t="s">
        <v>224</v>
      </c>
      <c r="B223" s="13" t="str">
        <f>IFERROR(__xludf.DUMMYFUNCTION("GOOGLETRANSLATE(A223,""en"",""es"")"),"Trinidad y Tobago")</f>
        <v>Trinidad y Tobago</v>
      </c>
      <c r="C223" s="14"/>
      <c r="D223" s="16" t="s">
        <v>6</v>
      </c>
      <c r="E223" s="16" t="s">
        <v>6</v>
      </c>
      <c r="F223" s="16" t="s">
        <v>6</v>
      </c>
      <c r="G223" s="16" t="s">
        <v>6</v>
      </c>
      <c r="H223" s="16" t="s">
        <v>6</v>
      </c>
      <c r="I223" s="16" t="s">
        <v>6</v>
      </c>
      <c r="J223" s="16" t="s">
        <v>6</v>
      </c>
    </row>
    <row r="224">
      <c r="A224" s="15" t="s">
        <v>225</v>
      </c>
      <c r="B224" s="13" t="str">
        <f>IFERROR(__xludf.DUMMYFUNCTION("GOOGLETRANSLATE(A224,""en"",""es"")"),"Túnez")</f>
        <v>Túnez</v>
      </c>
      <c r="C224" s="14"/>
      <c r="D224" s="17">
        <v>1019908.0</v>
      </c>
      <c r="E224" s="17">
        <v>1007951.0</v>
      </c>
      <c r="F224" s="17">
        <v>1047035.0</v>
      </c>
      <c r="G224" s="17" t="s">
        <v>6</v>
      </c>
      <c r="H224" s="17" t="s">
        <v>6</v>
      </c>
      <c r="I224" s="17" t="s">
        <v>6</v>
      </c>
      <c r="J224" s="17" t="s">
        <v>6</v>
      </c>
    </row>
    <row r="225">
      <c r="A225" s="15" t="s">
        <v>226</v>
      </c>
      <c r="B225" s="13" t="str">
        <f>IFERROR(__xludf.DUMMYFUNCTION("GOOGLETRANSLATE(A225,""en"",""es"")"),"pavo")</f>
        <v>pavo</v>
      </c>
      <c r="C225" s="14"/>
      <c r="D225" s="16">
        <v>1.0898577E7</v>
      </c>
      <c r="E225" s="16">
        <v>1.0969178E7</v>
      </c>
      <c r="F225" s="16">
        <v>1.1019149E7</v>
      </c>
      <c r="G225" s="16">
        <v>1.1404385E7</v>
      </c>
      <c r="H225" s="16">
        <v>1.1279561E7</v>
      </c>
      <c r="I225" s="16" t="s">
        <v>6</v>
      </c>
      <c r="J225" s="16" t="s">
        <v>6</v>
      </c>
    </row>
    <row r="226">
      <c r="A226" s="15" t="s">
        <v>227</v>
      </c>
      <c r="B226" s="13" t="str">
        <f>IFERROR(__xludf.DUMMYFUNCTION("GOOGLETRANSLATE(A226,""en"",""es"")"),"Turkmenistán")</f>
        <v>Turkmenistán</v>
      </c>
      <c r="C226" s="14"/>
      <c r="D226" s="17" t="s">
        <v>6</v>
      </c>
      <c r="E226" s="17" t="s">
        <v>6</v>
      </c>
      <c r="F226" s="17" t="s">
        <v>6</v>
      </c>
      <c r="G226" s="17" t="s">
        <v>6</v>
      </c>
      <c r="H226" s="17" t="s">
        <v>6</v>
      </c>
      <c r="I226" s="17">
        <v>706547.0</v>
      </c>
      <c r="J226" s="17" t="s">
        <v>6</v>
      </c>
    </row>
    <row r="227">
      <c r="A227" s="18" t="s">
        <v>228</v>
      </c>
      <c r="B227" s="13" t="str">
        <f>IFERROR(__xludf.DUMMYFUNCTION("GOOGLETRANSLATE(A227,""en"",""es"")"),"Islas Turcas y Caicos")</f>
        <v>Islas Turcas y Caicos</v>
      </c>
      <c r="C227" s="14"/>
      <c r="D227" s="16">
        <v>1811.0</v>
      </c>
      <c r="E227" s="16">
        <v>2013.0</v>
      </c>
      <c r="F227" s="16" t="s">
        <v>6</v>
      </c>
      <c r="G227" s="16" t="s">
        <v>6</v>
      </c>
      <c r="H227" s="16">
        <v>2316.0</v>
      </c>
      <c r="I227" s="16" t="s">
        <v>6</v>
      </c>
      <c r="J227" s="16" t="s">
        <v>6</v>
      </c>
    </row>
    <row r="228">
      <c r="A228" s="15" t="s">
        <v>229</v>
      </c>
      <c r="B228" s="13" t="str">
        <f>IFERROR(__xludf.DUMMYFUNCTION("GOOGLETRANSLATE(A228,""en"",""es"")"),"Tuvalu")</f>
        <v>Tuvalu</v>
      </c>
      <c r="C228" s="14"/>
      <c r="D228" s="17">
        <v>1201.0</v>
      </c>
      <c r="E228" s="17">
        <v>1289.0</v>
      </c>
      <c r="F228" s="17">
        <v>1123.0</v>
      </c>
      <c r="G228" s="17" t="s">
        <v>6</v>
      </c>
      <c r="H228" s="17">
        <v>1089.0</v>
      </c>
      <c r="I228" s="17">
        <v>682.0</v>
      </c>
      <c r="J228" s="17" t="s">
        <v>6</v>
      </c>
    </row>
    <row r="229">
      <c r="A229" s="15" t="s">
        <v>230</v>
      </c>
      <c r="B229" s="13" t="str">
        <f>IFERROR(__xludf.DUMMYFUNCTION("GOOGLETRANSLATE(A229,""en"",""es"")"),"Uganda")</f>
        <v>Uganda</v>
      </c>
      <c r="C229" s="14"/>
      <c r="D229" s="16" t="s">
        <v>6</v>
      </c>
      <c r="E229" s="16" t="s">
        <v>6</v>
      </c>
      <c r="F229" s="16" t="s">
        <v>6</v>
      </c>
      <c r="G229" s="16" t="s">
        <v>6</v>
      </c>
      <c r="H229" s="16" t="s">
        <v>6</v>
      </c>
      <c r="I229" s="16" t="s">
        <v>6</v>
      </c>
      <c r="J229" s="16" t="s">
        <v>6</v>
      </c>
    </row>
    <row r="230">
      <c r="A230" s="15" t="s">
        <v>231</v>
      </c>
      <c r="B230" s="13" t="str">
        <f>IFERROR(__xludf.DUMMYFUNCTION("GOOGLETRANSLATE(A230,""en"",""es"")"),"Ucrania")</f>
        <v>Ucrania</v>
      </c>
      <c r="C230" s="14"/>
      <c r="D230" s="17">
        <v>2713646.0</v>
      </c>
      <c r="E230" s="17">
        <v>2370298.0</v>
      </c>
      <c r="F230" s="17">
        <v>2325864.0</v>
      </c>
      <c r="G230" s="17">
        <v>2334978.0</v>
      </c>
      <c r="H230" s="17">
        <v>2376848.0</v>
      </c>
      <c r="I230" s="17">
        <v>2444548.0</v>
      </c>
      <c r="J230" s="17" t="s">
        <v>6</v>
      </c>
    </row>
    <row r="231">
      <c r="A231" s="18" t="s">
        <v>232</v>
      </c>
      <c r="B231" s="13" t="str">
        <f>IFERROR(__xludf.DUMMYFUNCTION("GOOGLETRANSLATE(A231,""en"",""es"")"),"Emiratos Árabes Unidos")</f>
        <v>Emiratos Árabes Unidos</v>
      </c>
      <c r="C231" s="14"/>
      <c r="D231" s="16" t="s">
        <v>6</v>
      </c>
      <c r="E231" s="16" t="s">
        <v>6</v>
      </c>
      <c r="F231" s="16">
        <v>441510.0</v>
      </c>
      <c r="G231" s="16">
        <v>528480.0</v>
      </c>
      <c r="H231" s="16" t="s">
        <v>6</v>
      </c>
      <c r="I231" s="16" t="s">
        <v>6</v>
      </c>
      <c r="J231" s="16" t="s">
        <v>6</v>
      </c>
    </row>
    <row r="232">
      <c r="A232" s="18" t="s">
        <v>233</v>
      </c>
      <c r="B232" s="13" t="str">
        <f>IFERROR(__xludf.DUMMYFUNCTION("GOOGLETRANSLATE(A232,""en"",""es"")"),"Reino Unido de Gran Bretaña e Irlanda del Norte")</f>
        <v>Reino Unido de Gran Bretaña e Irlanda del Norte</v>
      </c>
      <c r="C232" s="14"/>
      <c r="D232" s="17">
        <v>6556991.659</v>
      </c>
      <c r="E232" s="17">
        <v>6374674.8</v>
      </c>
      <c r="F232" s="17" t="s">
        <v>6</v>
      </c>
      <c r="G232" s="17">
        <v>6386316.623</v>
      </c>
      <c r="H232" s="17">
        <v>6173690.588</v>
      </c>
      <c r="I232" s="17" t="s">
        <v>6</v>
      </c>
      <c r="J232" s="17" t="s">
        <v>6</v>
      </c>
    </row>
    <row r="233">
      <c r="A233" s="18" t="s">
        <v>234</v>
      </c>
      <c r="B233" s="13" t="str">
        <f>IFERROR(__xludf.DUMMYFUNCTION("GOOGLETRANSLATE(A233,""en"",""es"")"),"República Unida de Tanzania")</f>
        <v>República Unida de Tanzania</v>
      </c>
      <c r="C233" s="14"/>
      <c r="D233" s="16">
        <v>1947349.0</v>
      </c>
      <c r="E233" s="16">
        <v>1774383.0</v>
      </c>
      <c r="F233" s="16">
        <v>1807674.0</v>
      </c>
      <c r="G233" s="16">
        <v>1920524.0</v>
      </c>
      <c r="H233" s="16">
        <v>2148466.0</v>
      </c>
      <c r="I233" s="16">
        <v>2338457.0</v>
      </c>
      <c r="J233" s="16" t="s">
        <v>6</v>
      </c>
    </row>
    <row r="234">
      <c r="A234" s="18" t="s">
        <v>235</v>
      </c>
      <c r="B234" s="13" t="str">
        <f>IFERROR(__xludf.DUMMYFUNCTION("GOOGLETRANSLATE(A234,""en"",""es"")"),"Estados Unidos de America")</f>
        <v>Estados Unidos de America</v>
      </c>
      <c r="C234" s="14"/>
      <c r="D234" s="17">
        <v>2.4229777E7</v>
      </c>
      <c r="E234" s="17">
        <v>2.4417186E7</v>
      </c>
      <c r="F234" s="17">
        <v>2.470790727E7</v>
      </c>
      <c r="G234" s="17">
        <v>2.478796441E7</v>
      </c>
      <c r="H234" s="17">
        <v>2.487135656E7</v>
      </c>
      <c r="I234" s="17" t="s">
        <v>6</v>
      </c>
      <c r="J234" s="17" t="s">
        <v>6</v>
      </c>
    </row>
    <row r="235">
      <c r="A235" s="18" t="s">
        <v>236</v>
      </c>
      <c r="B235" s="13" t="str">
        <f>IFERROR(__xludf.DUMMYFUNCTION("GOOGLETRANSLATE(A235,""en"",""es"")"),"Islas Vírgenes de los Estados")</f>
        <v>Islas Vírgenes de los Estados</v>
      </c>
      <c r="C235" s="14"/>
      <c r="D235" s="16" t="s">
        <v>6</v>
      </c>
      <c r="E235" s="16" t="s">
        <v>6</v>
      </c>
      <c r="F235" s="16" t="s">
        <v>6</v>
      </c>
      <c r="G235" s="16" t="s">
        <v>6</v>
      </c>
      <c r="H235" s="16" t="s">
        <v>6</v>
      </c>
      <c r="I235" s="16" t="s">
        <v>6</v>
      </c>
      <c r="J235" s="16" t="s">
        <v>6</v>
      </c>
    </row>
    <row r="236">
      <c r="A236" s="15" t="s">
        <v>237</v>
      </c>
      <c r="B236" s="13" t="str">
        <f>IFERROR(__xludf.DUMMYFUNCTION("GOOGLETRANSLATE(A236,""en"",""es"")"),"Uruguay")</f>
        <v>Uruguay</v>
      </c>
      <c r="C236" s="14"/>
      <c r="D236" s="17">
        <v>339221.0</v>
      </c>
      <c r="E236" s="17">
        <v>339740.0</v>
      </c>
      <c r="F236" s="17">
        <v>347841.0</v>
      </c>
      <c r="G236" s="17">
        <v>356952.0</v>
      </c>
      <c r="H236" s="17">
        <v>355851.0</v>
      </c>
      <c r="I236" s="17" t="s">
        <v>6</v>
      </c>
      <c r="J236" s="17" t="s">
        <v>6</v>
      </c>
    </row>
    <row r="237">
      <c r="A237" s="15" t="s">
        <v>238</v>
      </c>
      <c r="B237" s="13" t="str">
        <f>IFERROR(__xludf.DUMMYFUNCTION("GOOGLETRANSLATE(A237,""en"",""es"")"),"Uzbekistán")</f>
        <v>Uzbekistán</v>
      </c>
      <c r="C237" s="14"/>
      <c r="D237" s="16">
        <v>4082709.0</v>
      </c>
      <c r="E237" s="16">
        <v>3964383.0</v>
      </c>
      <c r="F237" s="16">
        <v>3908744.0</v>
      </c>
      <c r="G237" s="16">
        <v>3892888.0</v>
      </c>
      <c r="H237" s="16">
        <v>3949245.0</v>
      </c>
      <c r="I237" s="16">
        <v>4073028.0</v>
      </c>
      <c r="J237" s="16" t="s">
        <v>6</v>
      </c>
    </row>
    <row r="238">
      <c r="A238" s="15" t="s">
        <v>239</v>
      </c>
      <c r="B238" s="13" t="str">
        <f>IFERROR(__xludf.DUMMYFUNCTION("GOOGLETRANSLATE(A238,""en"",""es"")"),"Vanuatu")</f>
        <v>Vanuatu</v>
      </c>
      <c r="C238" s="14"/>
      <c r="D238" s="17" t="s">
        <v>6</v>
      </c>
      <c r="E238" s="17">
        <v>20568.0</v>
      </c>
      <c r="F238" s="17" t="s">
        <v>6</v>
      </c>
      <c r="G238" s="17" t="s">
        <v>6</v>
      </c>
      <c r="H238" s="17" t="s">
        <v>6</v>
      </c>
      <c r="I238" s="17" t="s">
        <v>6</v>
      </c>
      <c r="J238" s="17" t="s">
        <v>6</v>
      </c>
    </row>
    <row r="239">
      <c r="A239" s="18" t="s">
        <v>240</v>
      </c>
      <c r="B239" s="13" t="str">
        <f>IFERROR(__xludf.DUMMYFUNCTION("GOOGLETRANSLATE(A239,""en"",""es"")"),"Venezuela (República Bolivariana de)")</f>
        <v>Venezuela (República Bolivariana de)</v>
      </c>
      <c r="C239" s="14"/>
      <c r="D239" s="16">
        <v>2567278.0</v>
      </c>
      <c r="E239" s="16">
        <v>2522661.0</v>
      </c>
      <c r="F239" s="16">
        <v>2427635.0</v>
      </c>
      <c r="G239" s="16">
        <v>2391174.0</v>
      </c>
      <c r="H239" s="16" t="s">
        <v>6</v>
      </c>
      <c r="I239" s="16" t="s">
        <v>6</v>
      </c>
      <c r="J239" s="16" t="s">
        <v>6</v>
      </c>
    </row>
    <row r="240">
      <c r="A240" s="15" t="s">
        <v>241</v>
      </c>
      <c r="B240" s="13" t="str">
        <f>IFERROR(__xludf.DUMMYFUNCTION("GOOGLETRANSLATE(A240,""en"",""es"")"),"Vietnam")</f>
        <v>Vietnam</v>
      </c>
      <c r="C240" s="14"/>
      <c r="D240" s="17" t="s">
        <v>6</v>
      </c>
      <c r="E240" s="17" t="s">
        <v>6</v>
      </c>
      <c r="F240" s="17" t="s">
        <v>6</v>
      </c>
      <c r="G240" s="17" t="s">
        <v>6</v>
      </c>
      <c r="H240" s="17" t="s">
        <v>6</v>
      </c>
      <c r="I240" s="17" t="s">
        <v>6</v>
      </c>
      <c r="J240" s="17" t="s">
        <v>6</v>
      </c>
    </row>
    <row r="241">
      <c r="A241" s="18" t="s">
        <v>242</v>
      </c>
      <c r="B241" s="13" t="str">
        <f>IFERROR(__xludf.DUMMYFUNCTION("GOOGLETRANSLATE(A241,""en"",""es"")"),"Wallis y Futuna")</f>
        <v>Wallis y Futuna</v>
      </c>
      <c r="C241" s="14"/>
      <c r="D241" s="16" t="s">
        <v>6</v>
      </c>
      <c r="E241" s="16" t="s">
        <v>6</v>
      </c>
      <c r="F241" s="16" t="s">
        <v>6</v>
      </c>
      <c r="G241" s="16" t="s">
        <v>6</v>
      </c>
      <c r="H241" s="16" t="s">
        <v>6</v>
      </c>
      <c r="I241" s="16" t="s">
        <v>6</v>
      </c>
      <c r="J241" s="16" t="s">
        <v>6</v>
      </c>
    </row>
    <row r="242">
      <c r="A242" s="15" t="s">
        <v>243</v>
      </c>
      <c r="B242" s="13" t="str">
        <f>IFERROR(__xludf.DUMMYFUNCTION("GOOGLETRANSLATE(A242,""en"",""es"")"),"Sahara Occidental")</f>
        <v>Sahara Occidental</v>
      </c>
      <c r="C242" s="14"/>
      <c r="D242" s="17" t="s">
        <v>6</v>
      </c>
      <c r="E242" s="17" t="s">
        <v>6</v>
      </c>
      <c r="F242" s="17" t="s">
        <v>6</v>
      </c>
      <c r="G242" s="17" t="s">
        <v>6</v>
      </c>
      <c r="H242" s="17" t="s">
        <v>6</v>
      </c>
      <c r="I242" s="17" t="s">
        <v>6</v>
      </c>
      <c r="J242" s="17" t="s">
        <v>6</v>
      </c>
    </row>
    <row r="243">
      <c r="A243" s="15" t="s">
        <v>244</v>
      </c>
      <c r="B243" s="13" t="str">
        <f>IFERROR(__xludf.DUMMYFUNCTION("GOOGLETRANSLATE(A243,""en"",""es"")"),"Yemen")</f>
        <v>Yemen</v>
      </c>
      <c r="C243" s="14"/>
      <c r="D243" s="16" t="s">
        <v>6</v>
      </c>
      <c r="E243" s="16" t="s">
        <v>6</v>
      </c>
      <c r="F243" s="16">
        <v>1915871.0</v>
      </c>
      <c r="G243" s="16" t="s">
        <v>6</v>
      </c>
      <c r="H243" s="16" t="s">
        <v>6</v>
      </c>
      <c r="I243" s="16" t="s">
        <v>6</v>
      </c>
      <c r="J243" s="16" t="s">
        <v>6</v>
      </c>
    </row>
    <row r="244">
      <c r="A244" s="15" t="s">
        <v>245</v>
      </c>
      <c r="B244" s="13" t="str">
        <f>IFERROR(__xludf.DUMMYFUNCTION("GOOGLETRANSLATE(A244,""en"",""es"")"),"Zambia")</f>
        <v>Zambia</v>
      </c>
      <c r="C244" s="14"/>
      <c r="D244" s="17" t="s">
        <v>6</v>
      </c>
      <c r="E244" s="17" t="s">
        <v>6</v>
      </c>
      <c r="F244" s="17" t="s">
        <v>6</v>
      </c>
      <c r="G244" s="17" t="s">
        <v>6</v>
      </c>
      <c r="H244" s="17" t="s">
        <v>6</v>
      </c>
      <c r="I244" s="17" t="s">
        <v>6</v>
      </c>
      <c r="J244" s="17" t="s">
        <v>6</v>
      </c>
    </row>
    <row r="245">
      <c r="A245" s="15" t="s">
        <v>246</v>
      </c>
      <c r="B245" s="13" t="str">
        <f>IFERROR(__xludf.DUMMYFUNCTION("GOOGLETRANSLATE(A245,""en"",""es"")"),"Zimbabue")</f>
        <v>Zimbabue</v>
      </c>
      <c r="C245" s="14"/>
      <c r="D245" s="16" t="s">
        <v>6</v>
      </c>
      <c r="E245" s="16" t="s">
        <v>6</v>
      </c>
      <c r="F245" s="16" t="s">
        <v>6</v>
      </c>
      <c r="G245" s="16" t="s">
        <v>6</v>
      </c>
      <c r="H245" s="16" t="s">
        <v>6</v>
      </c>
      <c r="I245" s="16" t="s">
        <v>6</v>
      </c>
      <c r="J245" s="16" t="s">
        <v>6</v>
      </c>
    </row>
    <row r="246">
      <c r="A246" s="18" t="s">
        <v>247</v>
      </c>
      <c r="B246" s="13" t="str">
        <f>IFERROR(__xludf.DUMMYFUNCTION("GOOGLETRANSLATE(A246,""en"",""es"")"),"Sostenible Objetivo regiones de desarrollo")</f>
        <v>Sostenible Objetivo regiones de desarrollo</v>
      </c>
      <c r="C246" s="14"/>
      <c r="D246" s="17" t="s">
        <v>6</v>
      </c>
      <c r="E246" s="17" t="s">
        <v>6</v>
      </c>
      <c r="F246" s="17" t="s">
        <v>6</v>
      </c>
      <c r="G246" s="17" t="s">
        <v>6</v>
      </c>
      <c r="H246" s="17" t="s">
        <v>6</v>
      </c>
      <c r="I246" s="17" t="s">
        <v>6</v>
      </c>
      <c r="J246" s="17" t="s">
        <v>6</v>
      </c>
    </row>
    <row r="247">
      <c r="A247" s="15" t="s">
        <v>248</v>
      </c>
      <c r="B247" s="13" t="str">
        <f>IFERROR(__xludf.DUMMYFUNCTION("GOOGLETRANSLATE(A247,""en"",""es"")"),"Mundo")</f>
        <v>Mundo</v>
      </c>
      <c r="C247" s="14"/>
      <c r="D247" s="16">
        <v>5.808584337E8</v>
      </c>
      <c r="E247" s="16">
        <v>5.830035743E8</v>
      </c>
      <c r="F247" s="16">
        <v>5.865966574E8</v>
      </c>
      <c r="G247" s="16">
        <v>5.881567883E8</v>
      </c>
      <c r="H247" s="16">
        <v>5.97118229E8</v>
      </c>
      <c r="I247" s="16">
        <v>6.012665433E8</v>
      </c>
      <c r="J247" s="16" t="s">
        <v>6</v>
      </c>
    </row>
    <row r="248">
      <c r="A248" s="18" t="s">
        <v>249</v>
      </c>
      <c r="B248" s="13" t="str">
        <f>IFERROR(__xludf.DUMMYFUNCTION("GOOGLETRANSLATE(A248,""en"",""es"")"),"Países en desarrollo sin")</f>
        <v>Países en desarrollo sin</v>
      </c>
      <c r="C248" s="14"/>
      <c r="D248" s="17">
        <v>3.150792504E7</v>
      </c>
      <c r="E248" s="17">
        <v>3.187574876E7</v>
      </c>
      <c r="F248" s="17">
        <v>3.273309175E7</v>
      </c>
      <c r="G248" s="17">
        <v>3.339625656E7</v>
      </c>
      <c r="H248" s="17">
        <v>3.426068754E7</v>
      </c>
      <c r="I248" s="17">
        <v>3.504379643E7</v>
      </c>
      <c r="J248" s="17" t="s">
        <v>6</v>
      </c>
    </row>
    <row r="249">
      <c r="A249" s="18" t="s">
        <v>250</v>
      </c>
      <c r="B249" s="13" t="str">
        <f>IFERROR(__xludf.DUMMYFUNCTION("GOOGLETRANSLATE(A249,""en"",""es"")"),"Países menos desarrollados")</f>
        <v>Países menos desarrollados</v>
      </c>
      <c r="C249" s="14"/>
      <c r="D249" s="16">
        <v>5.645877243E7</v>
      </c>
      <c r="E249" s="16">
        <v>5.854870592E7</v>
      </c>
      <c r="F249" s="16">
        <v>6.154734529E7</v>
      </c>
      <c r="G249" s="16">
        <v>6.264740809E7</v>
      </c>
      <c r="H249" s="16">
        <v>6.490699686E7</v>
      </c>
      <c r="I249" s="16">
        <v>6.585035089E7</v>
      </c>
      <c r="J249" s="16" t="s">
        <v>6</v>
      </c>
    </row>
    <row r="250">
      <c r="A250" s="18" t="s">
        <v>251</v>
      </c>
      <c r="B250" s="13" t="str">
        <f>IFERROR(__xludf.DUMMYFUNCTION("GOOGLETRANSLATE(A250,""en"",""es"")"),"Los pequeños Estados insulares en desarrollo")</f>
        <v>Los pequeños Estados insulares en desarrollo</v>
      </c>
      <c r="C250" s="14"/>
      <c r="D250" s="17">
        <v>4737403.517</v>
      </c>
      <c r="E250" s="17">
        <v>4731121.855</v>
      </c>
      <c r="F250" s="17">
        <v>4701995.482</v>
      </c>
      <c r="G250" s="17">
        <v>4675149.577</v>
      </c>
      <c r="H250" s="17">
        <v>4654389.128</v>
      </c>
      <c r="I250" s="17">
        <v>4701538.913</v>
      </c>
      <c r="J250" s="17" t="s">
        <v>6</v>
      </c>
    </row>
    <row r="251">
      <c r="A251" s="18" t="s">
        <v>252</v>
      </c>
      <c r="B251" s="13" t="str">
        <f>IFERROR(__xludf.DUMMYFUNCTION("GOOGLETRANSLATE(A251,""en"",""es"")"),"África (subsahariana)")</f>
        <v>África (subsahariana)</v>
      </c>
      <c r="C251" s="14"/>
      <c r="D251" s="16">
        <v>5.46703173E7</v>
      </c>
      <c r="E251" s="16">
        <v>5.688011143E7</v>
      </c>
      <c r="F251" s="16">
        <v>5.767230643E7</v>
      </c>
      <c r="G251" s="16">
        <v>5.919703216E7</v>
      </c>
      <c r="H251" s="16">
        <v>6.10184489E7</v>
      </c>
      <c r="I251" s="16" t="s">
        <v>6</v>
      </c>
      <c r="J251" s="16" t="s">
        <v>6</v>
      </c>
    </row>
    <row r="252">
      <c r="A252" s="18" t="s">
        <v>253</v>
      </c>
      <c r="B252" s="13" t="str">
        <f>IFERROR(__xludf.DUMMYFUNCTION("GOOGLETRANSLATE(A252,""en"",""es"")"),"Asia occidental y África del Norte")</f>
        <v>Asia occidental y África del Norte</v>
      </c>
      <c r="C252" s="14"/>
      <c r="D252" s="17">
        <v>4.360528181E7</v>
      </c>
      <c r="E252" s="17">
        <v>4.4116786E7</v>
      </c>
      <c r="F252" s="17">
        <v>4.454389471E7</v>
      </c>
      <c r="G252" s="17">
        <v>4.542632656E7</v>
      </c>
      <c r="H252" s="17">
        <v>4.600561533E7</v>
      </c>
      <c r="I252" s="17">
        <v>4.686288795E7</v>
      </c>
      <c r="J252" s="17" t="s">
        <v>6</v>
      </c>
    </row>
    <row r="253">
      <c r="A253" s="15" t="s">
        <v>254</v>
      </c>
      <c r="B253" s="13" t="str">
        <f>IFERROR(__xludf.DUMMYFUNCTION("GOOGLETRANSLATE(A253,""en"",""es"")"),"África (Norte)")</f>
        <v>África (Norte)</v>
      </c>
      <c r="C253" s="14"/>
      <c r="D253" s="16">
        <v>1.862380846E7</v>
      </c>
      <c r="E253" s="16">
        <v>1.893410312E7</v>
      </c>
      <c r="F253" s="16">
        <v>1.927055252E7</v>
      </c>
      <c r="G253" s="16">
        <v>1.973294651E7</v>
      </c>
      <c r="H253" s="16">
        <v>2.010222241E7</v>
      </c>
      <c r="I253" s="16">
        <v>2.063698204E7</v>
      </c>
      <c r="J253" s="16" t="s">
        <v>6</v>
      </c>
    </row>
    <row r="254">
      <c r="A254" s="15" t="s">
        <v>255</v>
      </c>
      <c r="B254" s="13" t="str">
        <f>IFERROR(__xludf.DUMMYFUNCTION("GOOGLETRANSLATE(A254,""en"",""es"")"),"Asia (occidental)")</f>
        <v>Asia (occidental)</v>
      </c>
      <c r="C254" s="14"/>
      <c r="D254" s="17">
        <v>2.498147335E7</v>
      </c>
      <c r="E254" s="17">
        <v>2.518268287E7</v>
      </c>
      <c r="F254" s="17">
        <v>2.527334219E7</v>
      </c>
      <c r="G254" s="17">
        <v>2.569338006E7</v>
      </c>
      <c r="H254" s="17">
        <v>2.590339292E7</v>
      </c>
      <c r="I254" s="17">
        <v>2.62259059E7</v>
      </c>
      <c r="J254" s="17" t="s">
        <v>6</v>
      </c>
    </row>
    <row r="255">
      <c r="A255" s="18" t="s">
        <v>256</v>
      </c>
      <c r="B255" s="13" t="str">
        <f>IFERROR(__xludf.DUMMYFUNCTION("GOOGLETRANSLATE(A255,""en"",""es"")"),"Asia (Central y del Sur)")</f>
        <v>Asia (Central y del Sur)</v>
      </c>
      <c r="C255" s="14"/>
      <c r="D255" s="16">
        <v>1.770693643E8</v>
      </c>
      <c r="E255" s="16">
        <v>1.784459448E8</v>
      </c>
      <c r="F255" s="16">
        <v>1.829732104E8</v>
      </c>
      <c r="G255" s="16">
        <v>1.803733656E8</v>
      </c>
      <c r="H255" s="16">
        <v>1.841968788E8</v>
      </c>
      <c r="I255" s="16">
        <v>1.841903012E8</v>
      </c>
      <c r="J255" s="16" t="s">
        <v>6</v>
      </c>
    </row>
    <row r="256">
      <c r="A256" s="15" t="s">
        <v>257</v>
      </c>
      <c r="B256" s="13" t="str">
        <f>IFERROR(__xludf.DUMMYFUNCTION("GOOGLETRANSLATE(A256,""en"",""es"")"),"Asia (Central)")</f>
        <v>Asia (Central)</v>
      </c>
      <c r="C256" s="14"/>
      <c r="D256" s="17">
        <v>8126513.055</v>
      </c>
      <c r="E256" s="17">
        <v>8004395.539</v>
      </c>
      <c r="F256" s="17">
        <v>7993526.054</v>
      </c>
      <c r="G256" s="17">
        <v>8032629.822</v>
      </c>
      <c r="H256" s="17">
        <v>8192791.533</v>
      </c>
      <c r="I256" s="17">
        <v>8450155.183</v>
      </c>
      <c r="J256" s="17" t="s">
        <v>6</v>
      </c>
    </row>
    <row r="257">
      <c r="A257" s="15" t="s">
        <v>258</v>
      </c>
      <c r="B257" s="13" t="str">
        <f>IFERROR(__xludf.DUMMYFUNCTION("GOOGLETRANSLATE(A257,""en"",""es"")"),"Asia (Sur)")</f>
        <v>Asia (Sur)</v>
      </c>
      <c r="C257" s="14"/>
      <c r="D257" s="16">
        <v>1.689428512E8</v>
      </c>
      <c r="E257" s="16">
        <v>1.704415493E8</v>
      </c>
      <c r="F257" s="16">
        <v>1.749796844E8</v>
      </c>
      <c r="G257" s="16">
        <v>1.723407358E8</v>
      </c>
      <c r="H257" s="16">
        <v>1.760040873E8</v>
      </c>
      <c r="I257" s="16">
        <v>1.75740146E8</v>
      </c>
      <c r="J257" s="16" t="s">
        <v>6</v>
      </c>
    </row>
    <row r="258">
      <c r="A258" s="18" t="s">
        <v>259</v>
      </c>
      <c r="B258" s="13" t="str">
        <f>IFERROR(__xludf.DUMMYFUNCTION("GOOGLETRANSLATE(A258,""en"",""es"")"),"Asia (Este y Sur-oriental)")</f>
        <v>Asia (Este y Sur-oriental)</v>
      </c>
      <c r="C258" s="14"/>
      <c r="D258" s="17">
        <v>1.524729642E8</v>
      </c>
      <c r="E258" s="17">
        <v>1.510010987E8</v>
      </c>
      <c r="F258" s="17">
        <v>1.484659166E8</v>
      </c>
      <c r="G258" s="17">
        <v>1.499207469E8</v>
      </c>
      <c r="H258" s="17">
        <v>1.526794614E8</v>
      </c>
      <c r="I258" s="17">
        <v>1.531704393E8</v>
      </c>
      <c r="J258" s="17" t="s">
        <v>6</v>
      </c>
    </row>
    <row r="259">
      <c r="A259" s="15" t="s">
        <v>260</v>
      </c>
      <c r="B259" s="13" t="str">
        <f>IFERROR(__xludf.DUMMYFUNCTION("GOOGLETRANSLATE(A259,""en"",""es"")"),"Asia (Este)")</f>
        <v>Asia (Este)</v>
      </c>
      <c r="C259" s="14"/>
      <c r="D259" s="16">
        <v>1.023991219E8</v>
      </c>
      <c r="E259" s="16">
        <v>9.960055579E7</v>
      </c>
      <c r="F259" s="16">
        <v>9.716193663E7</v>
      </c>
      <c r="G259" s="16">
        <v>9.635639615E7</v>
      </c>
      <c r="H259" s="16">
        <v>9.696527116E7</v>
      </c>
      <c r="I259" s="16">
        <v>9.759676262E7</v>
      </c>
      <c r="J259" s="16" t="s">
        <v>6</v>
      </c>
    </row>
    <row r="260">
      <c r="A260" s="18" t="s">
        <v>261</v>
      </c>
      <c r="B260" s="13" t="str">
        <f>IFERROR(__xludf.DUMMYFUNCTION("GOOGLETRANSLATE(A260,""en"",""es"")"),"Asia (Sudeste)")</f>
        <v>Asia (Sudeste)</v>
      </c>
      <c r="C260" s="14"/>
      <c r="D260" s="17">
        <v>5.007384224E7</v>
      </c>
      <c r="E260" s="17">
        <v>5.140054295E7</v>
      </c>
      <c r="F260" s="17">
        <v>5.130397992E7</v>
      </c>
      <c r="G260" s="17">
        <v>5.356435078E7</v>
      </c>
      <c r="H260" s="17">
        <v>5.571419026E7</v>
      </c>
      <c r="I260" s="17">
        <v>5.557367669E7</v>
      </c>
      <c r="J260" s="17" t="s">
        <v>6</v>
      </c>
    </row>
    <row r="261">
      <c r="A261" s="18" t="s">
        <v>262</v>
      </c>
      <c r="B261" s="13" t="str">
        <f>IFERROR(__xludf.DUMMYFUNCTION("GOOGLETRANSLATE(A261,""en"",""es"")"),"América Latina y el Caribe")</f>
        <v>América Latina y el Caribe</v>
      </c>
      <c r="C261" s="14"/>
      <c r="D261" s="16">
        <v>6.433759815E7</v>
      </c>
      <c r="E261" s="16">
        <v>6.412157376E7</v>
      </c>
      <c r="F261" s="16">
        <v>6.44294045E7</v>
      </c>
      <c r="G261" s="16">
        <v>6.420900491E7</v>
      </c>
      <c r="H261" s="16">
        <v>6.413959522E7</v>
      </c>
      <c r="I261" s="16">
        <v>6.421172081E7</v>
      </c>
      <c r="J261" s="16" t="s">
        <v>6</v>
      </c>
    </row>
    <row r="262">
      <c r="A262" s="15" t="s">
        <v>263</v>
      </c>
      <c r="B262" s="13" t="str">
        <f>IFERROR(__xludf.DUMMYFUNCTION("GOOGLETRANSLATE(A262,""en"",""es"")"),"Oceanía")</f>
        <v>Oceanía</v>
      </c>
      <c r="C262" s="14"/>
      <c r="D262" s="17">
        <v>3885669.24</v>
      </c>
      <c r="E262" s="17">
        <v>3908687.939</v>
      </c>
      <c r="F262" s="17">
        <v>3892326.713</v>
      </c>
      <c r="G262" s="17">
        <v>3893661.577</v>
      </c>
      <c r="H262" s="17">
        <v>3638644.702</v>
      </c>
      <c r="I262" s="17">
        <v>3704959.742</v>
      </c>
      <c r="J262" s="17" t="s">
        <v>6</v>
      </c>
    </row>
    <row r="263">
      <c r="A263" s="18" t="s">
        <v>264</v>
      </c>
      <c r="B263" s="13" t="str">
        <f>IFERROR(__xludf.DUMMYFUNCTION("GOOGLETRANSLATE(A263,""en"",""es"")"),"Oceanía (Australia / Nueva Zelanda)")</f>
        <v>Oceanía (Australia / Nueva Zelanda)</v>
      </c>
      <c r="C263" s="14"/>
      <c r="D263" s="16">
        <v>3205991.747</v>
      </c>
      <c r="E263" s="16">
        <v>3196682.351</v>
      </c>
      <c r="F263" s="16">
        <v>3146730.801</v>
      </c>
      <c r="G263" s="16">
        <v>3136819.876</v>
      </c>
      <c r="H263" s="16">
        <v>2869860.707</v>
      </c>
      <c r="I263" s="16">
        <v>2923869.613</v>
      </c>
      <c r="J263" s="16" t="s">
        <v>6</v>
      </c>
    </row>
    <row r="264">
      <c r="A264" s="18" t="s">
        <v>265</v>
      </c>
      <c r="B264" s="13" t="str">
        <f>IFERROR(__xludf.DUMMYFUNCTION("GOOGLETRANSLATE(A264,""en"",""es"")"),"Oceanía (excl. Australia / Nueva Zelanda)")</f>
        <v>Oceanía (excl. Australia / Nueva Zelanda)</v>
      </c>
      <c r="C264" s="14"/>
      <c r="D264" s="17">
        <v>679677.4932</v>
      </c>
      <c r="E264" s="17">
        <v>712005.588</v>
      </c>
      <c r="F264" s="17">
        <v>745595.912</v>
      </c>
      <c r="G264" s="17">
        <v>756841.7006</v>
      </c>
      <c r="H264" s="17" t="s">
        <v>6</v>
      </c>
      <c r="I264" s="17" t="s">
        <v>6</v>
      </c>
      <c r="J264" s="17" t="s">
        <v>6</v>
      </c>
    </row>
    <row r="265">
      <c r="A265" s="18" t="s">
        <v>266</v>
      </c>
      <c r="B265" s="13" t="str">
        <f>IFERROR(__xludf.DUMMYFUNCTION("GOOGLETRANSLATE(A265,""en"",""es"")"),"Norte América y Europa")</f>
        <v>Norte América y Europa</v>
      </c>
      <c r="C265" s="14"/>
      <c r="D265" s="16">
        <v>8.481723875E7</v>
      </c>
      <c r="E265" s="16">
        <v>8.452937164E7</v>
      </c>
      <c r="F265" s="16">
        <v>8.461959805E7</v>
      </c>
      <c r="G265" s="16">
        <v>8.513665054E7</v>
      </c>
      <c r="H265" s="16">
        <v>8.543958462E7</v>
      </c>
      <c r="I265" s="16">
        <v>8.617668417E7</v>
      </c>
      <c r="J265" s="16" t="s">
        <v>6</v>
      </c>
    </row>
    <row r="266">
      <c r="A266" s="15" t="s">
        <v>267</v>
      </c>
      <c r="B266" s="13" t="str">
        <f>IFERROR(__xludf.DUMMYFUNCTION("GOOGLETRANSLATE(A266,""en"",""es"")"),"Europa")</f>
        <v>Europa</v>
      </c>
      <c r="C266" s="14"/>
      <c r="D266" s="17">
        <v>5.792227975E7</v>
      </c>
      <c r="E266" s="17">
        <v>5.746647064E7</v>
      </c>
      <c r="F266" s="17">
        <v>5.726677703E7</v>
      </c>
      <c r="G266" s="17">
        <v>5.769176794E7</v>
      </c>
      <c r="H266" s="17">
        <v>5.79101876E7</v>
      </c>
      <c r="I266" s="17">
        <v>5.841327344E7</v>
      </c>
      <c r="J266" s="17" t="s">
        <v>6</v>
      </c>
    </row>
    <row r="267">
      <c r="A267" s="15" t="s">
        <v>268</v>
      </c>
      <c r="B267" s="13" t="str">
        <f>IFERROR(__xludf.DUMMYFUNCTION("GOOGLETRANSLATE(A267,""en"",""es"")"),"América del Norte")</f>
        <v>América del Norte</v>
      </c>
      <c r="C267" s="14"/>
      <c r="D267" s="16">
        <v>2.6894959E7</v>
      </c>
      <c r="E267" s="16">
        <v>2.7062901E7</v>
      </c>
      <c r="F267" s="16">
        <v>2.735282102E7</v>
      </c>
      <c r="G267" s="16">
        <v>2.74448826E7</v>
      </c>
      <c r="H267" s="16">
        <v>2.752939703E7</v>
      </c>
      <c r="I267" s="16">
        <v>2.776341073E7</v>
      </c>
      <c r="J267" s="16" t="s">
        <v>6</v>
      </c>
    </row>
    <row r="268">
      <c r="A268" s="15" t="s">
        <v>269</v>
      </c>
      <c r="B268" s="13" t="str">
        <f>IFERROR(__xludf.DUMMYFUNCTION("GOOGLETRANSLATE(A268,""en"",""es"")"),"UIS Regiones")</f>
        <v>UIS Regiones</v>
      </c>
      <c r="C268" s="14"/>
      <c r="D268" s="17" t="s">
        <v>6</v>
      </c>
      <c r="E268" s="17" t="s">
        <v>6</v>
      </c>
      <c r="F268" s="17" t="s">
        <v>6</v>
      </c>
      <c r="G268" s="17" t="s">
        <v>6</v>
      </c>
      <c r="H268" s="17" t="s">
        <v>6</v>
      </c>
      <c r="I268" s="17" t="s">
        <v>6</v>
      </c>
      <c r="J268" s="17" t="s">
        <v>6</v>
      </c>
    </row>
    <row r="269">
      <c r="A269" s="15" t="s">
        <v>248</v>
      </c>
      <c r="B269" s="13" t="str">
        <f>IFERROR(__xludf.DUMMYFUNCTION("GOOGLETRANSLATE(A269,""en"",""es"")"),"Mundo")</f>
        <v>Mundo</v>
      </c>
      <c r="C269" s="14"/>
      <c r="D269" s="16">
        <v>5.808584337E8</v>
      </c>
      <c r="E269" s="16">
        <v>5.830035743E8</v>
      </c>
      <c r="F269" s="16">
        <v>5.865966574E8</v>
      </c>
      <c r="G269" s="16">
        <v>5.881567883E8</v>
      </c>
      <c r="H269" s="16">
        <v>5.97118229E8</v>
      </c>
      <c r="I269" s="16">
        <v>6.012665433E8</v>
      </c>
      <c r="J269" s="16" t="s">
        <v>6</v>
      </c>
    </row>
    <row r="270">
      <c r="A270" s="15" t="s">
        <v>270</v>
      </c>
      <c r="B270" s="13" t="str">
        <f>IFERROR(__xludf.DUMMYFUNCTION("GOOGLETRANSLATE(A270,""en"",""es"")"),"Estados Árabes")</f>
        <v>Estados Árabes</v>
      </c>
      <c r="C270" s="14"/>
      <c r="D270" s="17">
        <v>3.075536946E7</v>
      </c>
      <c r="E270" s="17">
        <v>3.120431346E7</v>
      </c>
      <c r="F270" s="17">
        <v>3.1459745E7</v>
      </c>
      <c r="G270" s="17">
        <v>3.195759216E7</v>
      </c>
      <c r="H270" s="17">
        <v>3.267559933E7</v>
      </c>
      <c r="I270" s="17">
        <v>3.346554057E7</v>
      </c>
      <c r="J270" s="17" t="s">
        <v>6</v>
      </c>
    </row>
    <row r="271">
      <c r="A271" s="18" t="s">
        <v>271</v>
      </c>
      <c r="B271" s="13" t="str">
        <f>IFERROR(__xludf.DUMMYFUNCTION("GOOGLETRANSLATE(A271,""en"",""es"")"),"Europa central y oriental")</f>
        <v>Europa central y oriental</v>
      </c>
      <c r="C271" s="14"/>
      <c r="D271" s="16">
        <v>3.284479537E7</v>
      </c>
      <c r="E271" s="16">
        <v>3.2603791E7</v>
      </c>
      <c r="F271" s="16">
        <v>3.254096495E7</v>
      </c>
      <c r="G271" s="16">
        <v>3.3154243E7</v>
      </c>
      <c r="H271" s="16">
        <v>3.332944325E7</v>
      </c>
      <c r="I271" s="16">
        <v>3.374348788E7</v>
      </c>
      <c r="J271" s="16" t="s">
        <v>6</v>
      </c>
    </row>
    <row r="272">
      <c r="A272" s="15" t="s">
        <v>272</v>
      </c>
      <c r="B272" s="13" t="str">
        <f>IFERROR(__xludf.DUMMYFUNCTION("GOOGLETRANSLATE(A272,""en"",""es"")"),"Asia Central")</f>
        <v>Asia Central</v>
      </c>
      <c r="C272" s="14"/>
      <c r="D272" s="17">
        <v>9777989.737</v>
      </c>
      <c r="E272" s="17">
        <v>9635873.862</v>
      </c>
      <c r="F272" s="17">
        <v>9735416.197</v>
      </c>
      <c r="G272" s="17">
        <v>9768318.437</v>
      </c>
      <c r="H272" s="17">
        <v>9939525.088</v>
      </c>
      <c r="I272" s="17">
        <v>1.024424367E7</v>
      </c>
      <c r="J272" s="17" t="s">
        <v>6</v>
      </c>
    </row>
    <row r="273">
      <c r="A273" s="18" t="s">
        <v>273</v>
      </c>
      <c r="B273" s="13" t="str">
        <f>IFERROR(__xludf.DUMMYFUNCTION("GOOGLETRANSLATE(A273,""en"",""es"")"),"Este de Asia y el Pacífico")</f>
        <v>Este de Asia y el Pacífico</v>
      </c>
      <c r="C273" s="14"/>
      <c r="D273" s="16">
        <v>1.560696501E8</v>
      </c>
      <c r="E273" s="16">
        <v>1.546267329E8</v>
      </c>
      <c r="F273" s="16">
        <v>1.520781748E8</v>
      </c>
      <c r="G273" s="16">
        <v>1.535333233E8</v>
      </c>
      <c r="H273" s="16">
        <v>1.560320066E8</v>
      </c>
      <c r="I273" s="16">
        <v>1.565806656E8</v>
      </c>
      <c r="J273" s="16" t="s">
        <v>6</v>
      </c>
    </row>
    <row r="274">
      <c r="A274" s="18" t="s">
        <v>262</v>
      </c>
      <c r="B274" s="13" t="str">
        <f>IFERROR(__xludf.DUMMYFUNCTION("GOOGLETRANSLATE(A274,""en"",""es"")"),"América Latina y el Caribe")</f>
        <v>América Latina y el Caribe</v>
      </c>
      <c r="C274" s="14"/>
      <c r="D274" s="17">
        <v>6.434169115E7</v>
      </c>
      <c r="E274" s="17">
        <v>6.412561376E7</v>
      </c>
      <c r="F274" s="17">
        <v>6.443338525E7</v>
      </c>
      <c r="G274" s="17">
        <v>6.421291409E7</v>
      </c>
      <c r="H274" s="17">
        <v>6.414343668E7</v>
      </c>
      <c r="I274" s="17">
        <v>6.421550148E7</v>
      </c>
      <c r="J274" s="17" t="s">
        <v>6</v>
      </c>
    </row>
    <row r="275">
      <c r="A275" s="18" t="s">
        <v>274</v>
      </c>
      <c r="B275" s="13" t="str">
        <f>IFERROR(__xludf.DUMMYFUNCTION("GOOGLETRANSLATE(A275,""en"",""es"")"),"América del Norte y Europa Occidental")</f>
        <v>América del Norte y Europa Occidental</v>
      </c>
      <c r="C275" s="14"/>
      <c r="D275" s="16">
        <v>6.369329038E7</v>
      </c>
      <c r="E275" s="16">
        <v>6.373263164E7</v>
      </c>
      <c r="F275" s="16">
        <v>6.395818435E7</v>
      </c>
      <c r="G275" s="16">
        <v>6.425755736E7</v>
      </c>
      <c r="H275" s="16">
        <v>6.427760091E7</v>
      </c>
      <c r="I275" s="16">
        <v>6.465278E7</v>
      </c>
      <c r="J275" s="16" t="s">
        <v>6</v>
      </c>
    </row>
    <row r="276">
      <c r="A276" s="18" t="s">
        <v>275</v>
      </c>
      <c r="B276" s="13" t="str">
        <f>IFERROR(__xludf.DUMMYFUNCTION("GOOGLETRANSLATE(A276,""en"",""es"")"),"Asia meridional y occidental")</f>
        <v>Asia meridional y occidental</v>
      </c>
      <c r="C276" s="14"/>
      <c r="D276" s="17">
        <v>1.689428512E8</v>
      </c>
      <c r="E276" s="17">
        <v>1.704415493E8</v>
      </c>
      <c r="F276" s="17">
        <v>1.749796844E8</v>
      </c>
      <c r="G276" s="17">
        <v>1.723407358E8</v>
      </c>
      <c r="H276" s="17">
        <v>1.760040873E8</v>
      </c>
      <c r="I276" s="17">
        <v>1.75740146E8</v>
      </c>
      <c r="J276" s="17" t="s">
        <v>6</v>
      </c>
    </row>
    <row r="277">
      <c r="A277" s="18" t="s">
        <v>276</v>
      </c>
      <c r="B277" s="13" t="str">
        <f>IFERROR(__xludf.DUMMYFUNCTION("GOOGLETRANSLATE(A277,""en"",""es"")"),"Africa Sub-sahariana")</f>
        <v>Africa Sub-sahariana</v>
      </c>
      <c r="C277" s="14"/>
      <c r="D277" s="16">
        <v>5.44327963E7</v>
      </c>
      <c r="E277" s="16">
        <v>5.663306843E7</v>
      </c>
      <c r="F277" s="16">
        <v>5.741110243E7</v>
      </c>
      <c r="G277" s="16">
        <v>5.893210416E7</v>
      </c>
      <c r="H277" s="16">
        <v>6.07165299E7</v>
      </c>
      <c r="I277" s="16" t="s">
        <v>6</v>
      </c>
      <c r="J277" s="16" t="s">
        <v>6</v>
      </c>
    </row>
    <row r="278">
      <c r="A278" s="18" t="s">
        <v>251</v>
      </c>
      <c r="B278" s="13" t="str">
        <f>IFERROR(__xludf.DUMMYFUNCTION("GOOGLETRANSLATE(A278,""en"",""es"")"),"Los pequeños Estados insulares en desarrollo")</f>
        <v>Los pequeños Estados insulares en desarrollo</v>
      </c>
      <c r="C278" s="14"/>
      <c r="D278" s="17">
        <v>4474842.675</v>
      </c>
      <c r="E278" s="17">
        <v>4455673.263</v>
      </c>
      <c r="F278" s="17">
        <v>4469517.697</v>
      </c>
      <c r="G278" s="17">
        <v>4452256.911</v>
      </c>
      <c r="H278" s="17">
        <v>4439114.541</v>
      </c>
      <c r="I278" s="17">
        <v>4494931.641</v>
      </c>
      <c r="J278" s="17" t="s">
        <v>6</v>
      </c>
    </row>
    <row r="279">
      <c r="A279" s="18" t="s">
        <v>277</v>
      </c>
      <c r="B279" s="13" t="str">
        <f>IFERROR(__xludf.DUMMYFUNCTION("GOOGLETRANSLATE(A279,""en"",""es"")"),"Grupos de ingresos del Banco Mundial")</f>
        <v>Grupos de ingresos del Banco Mundial</v>
      </c>
      <c r="C279" s="14"/>
      <c r="D279" s="16" t="s">
        <v>6</v>
      </c>
      <c r="E279" s="16" t="s">
        <v>6</v>
      </c>
      <c r="F279" s="16" t="s">
        <v>6</v>
      </c>
      <c r="G279" s="16" t="s">
        <v>6</v>
      </c>
      <c r="H279" s="16" t="s">
        <v>6</v>
      </c>
      <c r="I279" s="16" t="s">
        <v>6</v>
      </c>
      <c r="J279" s="16" t="s">
        <v>6</v>
      </c>
    </row>
    <row r="280">
      <c r="A280" s="18" t="s">
        <v>278</v>
      </c>
      <c r="B280" s="13" t="str">
        <f>IFERROR(__xludf.DUMMYFUNCTION("GOOGLETRANSLATE(A280,""en"",""es"")"),"Países de bajos ingresos")</f>
        <v>Países de bajos ingresos</v>
      </c>
      <c r="C280" s="14"/>
      <c r="D280" s="17">
        <v>3.268266881E7</v>
      </c>
      <c r="E280" s="17">
        <v>3.350249889E7</v>
      </c>
      <c r="F280" s="17">
        <v>3.442908643E7</v>
      </c>
      <c r="G280" s="17">
        <v>3.537512114E7</v>
      </c>
      <c r="H280" s="17">
        <v>3.633186752E7</v>
      </c>
      <c r="I280" s="17" t="s">
        <v>6</v>
      </c>
      <c r="J280" s="17" t="s">
        <v>6</v>
      </c>
    </row>
    <row r="281">
      <c r="A281" s="18" t="s">
        <v>279</v>
      </c>
      <c r="B281" s="13" t="str">
        <f>IFERROR(__xludf.DUMMYFUNCTION("GOOGLETRANSLATE(A281,""en"",""es"")"),"Bajar los países de ingresos medios")</f>
        <v>Bajar los países de ingresos medios</v>
      </c>
      <c r="C281" s="14"/>
      <c r="D281" s="16">
        <v>2.338979441E8</v>
      </c>
      <c r="E281" s="16">
        <v>2.369181447E8</v>
      </c>
      <c r="F281" s="16">
        <v>2.419625598E8</v>
      </c>
      <c r="G281" s="16">
        <v>2.422656823E8</v>
      </c>
      <c r="H281" s="16">
        <v>2.492607595E8</v>
      </c>
      <c r="I281" s="16">
        <v>2.508559688E8</v>
      </c>
      <c r="J281" s="16" t="s">
        <v>6</v>
      </c>
    </row>
    <row r="282">
      <c r="A282" s="18" t="s">
        <v>280</v>
      </c>
      <c r="B282" s="13" t="str">
        <f>IFERROR(__xludf.DUMMYFUNCTION("GOOGLETRANSLATE(A282,""en"",""es"")"),"países de ingresos medios")</f>
        <v>países de ingresos medios</v>
      </c>
      <c r="C282" s="14"/>
      <c r="D282" s="17">
        <v>4.551050672E8</v>
      </c>
      <c r="E282" s="17">
        <v>4.568125846E8</v>
      </c>
      <c r="F282" s="17">
        <v>4.599346268E8</v>
      </c>
      <c r="G282" s="17">
        <v>4.606437576E8</v>
      </c>
      <c r="H282" s="17">
        <v>4.690200926E8</v>
      </c>
      <c r="I282" s="17">
        <v>4.730373963E8</v>
      </c>
      <c r="J282" s="17" t="s">
        <v>6</v>
      </c>
    </row>
    <row r="283">
      <c r="A283" s="18" t="s">
        <v>281</v>
      </c>
      <c r="B283" s="13" t="str">
        <f>IFERROR(__xludf.DUMMYFUNCTION("GOOGLETRANSLATE(A283,""en"",""es"")"),"los países de ingresos medios altos")</f>
        <v>los países de ingresos medios altos</v>
      </c>
      <c r="C283" s="14"/>
      <c r="D283" s="16">
        <v>2.212071231E8</v>
      </c>
      <c r="E283" s="16">
        <v>2.198944399E8</v>
      </c>
      <c r="F283" s="16">
        <v>2.17972067E8</v>
      </c>
      <c r="G283" s="16">
        <v>2.183780753E8</v>
      </c>
      <c r="H283" s="16">
        <v>2.197593332E8</v>
      </c>
      <c r="I283" s="16">
        <v>2.221814276E8</v>
      </c>
      <c r="J283" s="16" t="s">
        <v>6</v>
      </c>
    </row>
    <row r="284">
      <c r="A284" s="18" t="s">
        <v>282</v>
      </c>
      <c r="B284" s="13" t="str">
        <f>IFERROR(__xludf.DUMMYFUNCTION("GOOGLETRANSLATE(A284,""en"",""es"")"),"Paises de altos ingresos")</f>
        <v>Paises de altos ingresos</v>
      </c>
      <c r="C284" s="14"/>
      <c r="D284" s="17">
        <v>9.306728277E7</v>
      </c>
      <c r="E284" s="17">
        <v>9.268507767E7</v>
      </c>
      <c r="F284" s="17">
        <v>9.22295623E7</v>
      </c>
      <c r="G284" s="17">
        <v>9.213448259E7</v>
      </c>
      <c r="H284" s="17">
        <v>9.176278861E7</v>
      </c>
      <c r="I284" s="17">
        <v>9.119546633E7</v>
      </c>
      <c r="J284" s="17" t="s">
        <v>6</v>
      </c>
    </row>
    <row r="285">
      <c r="A285" s="19" t="s">
        <v>283</v>
      </c>
      <c r="B285" s="20" t="s">
        <v>283</v>
      </c>
      <c r="D285" s="21"/>
      <c r="E285" s="21"/>
      <c r="F285" s="3"/>
      <c r="G285" s="3"/>
      <c r="H285" s="3"/>
      <c r="I285" s="3"/>
      <c r="J285" s="3"/>
    </row>
    <row r="286">
      <c r="A286" s="22" t="s">
        <v>284</v>
      </c>
      <c r="B286" s="23" t="s">
        <v>284</v>
      </c>
      <c r="C286" s="3"/>
      <c r="D286" s="3"/>
      <c r="E286" s="3"/>
      <c r="F286" s="3"/>
      <c r="G286" s="3"/>
      <c r="H286" s="3"/>
      <c r="I286" s="3"/>
      <c r="J286" s="3"/>
    </row>
    <row r="287">
      <c r="A287" s="24" t="s">
        <v>285</v>
      </c>
      <c r="B287" s="25" t="s">
        <v>285</v>
      </c>
      <c r="C287" s="23" t="s">
        <v>286</v>
      </c>
      <c r="D287" s="23"/>
      <c r="E287" s="23"/>
      <c r="F287" s="3"/>
      <c r="G287" s="3"/>
      <c r="H287" s="3"/>
      <c r="I287" s="3"/>
      <c r="J287" s="3"/>
    </row>
    <row r="288">
      <c r="A288" s="24" t="s">
        <v>287</v>
      </c>
      <c r="B288" s="25" t="s">
        <v>287</v>
      </c>
      <c r="C288" s="23" t="s">
        <v>288</v>
      </c>
      <c r="D288" s="23"/>
      <c r="E288" s="23"/>
      <c r="F288" s="3"/>
      <c r="G288" s="3"/>
      <c r="H288" s="3"/>
      <c r="I288" s="3"/>
      <c r="J288" s="3"/>
    </row>
    <row r="289">
      <c r="A289" s="26"/>
      <c r="B289" s="3"/>
      <c r="C289" s="3"/>
      <c r="D289" s="23"/>
      <c r="E289" s="3"/>
      <c r="F289" s="3"/>
      <c r="G289" s="3"/>
      <c r="H289" s="3"/>
      <c r="I289" s="3"/>
      <c r="J289" s="3"/>
    </row>
    <row r="290">
      <c r="A290" s="26"/>
      <c r="B290" s="3"/>
      <c r="C290" s="3"/>
      <c r="D290" s="3"/>
      <c r="E290" s="3"/>
      <c r="F290" s="3"/>
      <c r="G290" s="3"/>
      <c r="H290" s="3"/>
      <c r="I290" s="3"/>
      <c r="J290" s="3"/>
    </row>
    <row r="291">
      <c r="A291" s="26"/>
    </row>
    <row r="292">
      <c r="A292" s="26"/>
    </row>
    <row r="293">
      <c r="A293" s="26"/>
    </row>
    <row r="294">
      <c r="A294" s="26"/>
    </row>
    <row r="295">
      <c r="A295" s="26"/>
    </row>
    <row r="296">
      <c r="A296" s="26"/>
    </row>
    <row r="297">
      <c r="A297" s="26"/>
    </row>
    <row r="298">
      <c r="A298" s="26"/>
    </row>
    <row r="299">
      <c r="A299" s="26"/>
    </row>
    <row r="300">
      <c r="A300" s="26"/>
    </row>
    <row r="301">
      <c r="A301" s="26"/>
    </row>
    <row r="302">
      <c r="A302" s="26"/>
    </row>
    <row r="303">
      <c r="A303" s="26"/>
    </row>
    <row r="304">
      <c r="A304" s="26"/>
    </row>
    <row r="305">
      <c r="A305" s="26"/>
    </row>
    <row r="306">
      <c r="A306" s="26"/>
    </row>
    <row r="307">
      <c r="A307" s="26"/>
    </row>
    <row r="308">
      <c r="A308" s="26"/>
    </row>
    <row r="309">
      <c r="A309" s="26"/>
    </row>
    <row r="310">
      <c r="A310" s="26"/>
    </row>
    <row r="311">
      <c r="A311" s="26"/>
    </row>
    <row r="312">
      <c r="A312" s="26"/>
    </row>
    <row r="313">
      <c r="A313" s="26"/>
    </row>
    <row r="314">
      <c r="A314" s="26"/>
    </row>
    <row r="315">
      <c r="A315" s="26"/>
    </row>
    <row r="316">
      <c r="A316" s="26"/>
    </row>
    <row r="317">
      <c r="A317" s="26"/>
    </row>
    <row r="318">
      <c r="A318" s="26"/>
    </row>
    <row r="319">
      <c r="A319" s="26"/>
    </row>
    <row r="320">
      <c r="A320" s="26"/>
    </row>
    <row r="321">
      <c r="A321" s="26"/>
    </row>
    <row r="322">
      <c r="A322" s="26"/>
    </row>
    <row r="323">
      <c r="A323" s="26"/>
    </row>
    <row r="324">
      <c r="A324" s="26"/>
    </row>
    <row r="325">
      <c r="A325" s="26"/>
    </row>
    <row r="326">
      <c r="A326" s="26"/>
    </row>
    <row r="327">
      <c r="A327" s="26"/>
    </row>
    <row r="328">
      <c r="A328" s="26"/>
    </row>
    <row r="329">
      <c r="A329" s="26"/>
    </row>
    <row r="330">
      <c r="A330" s="26"/>
    </row>
    <row r="331">
      <c r="A331" s="26"/>
    </row>
    <row r="332">
      <c r="A332" s="26"/>
    </row>
    <row r="333">
      <c r="A333" s="26"/>
    </row>
    <row r="334">
      <c r="A334" s="26"/>
    </row>
    <row r="335">
      <c r="A335" s="26"/>
    </row>
    <row r="336">
      <c r="A336" s="26"/>
    </row>
    <row r="337">
      <c r="A337" s="26"/>
    </row>
    <row r="338">
      <c r="A338" s="26"/>
    </row>
    <row r="339">
      <c r="A339" s="26"/>
    </row>
    <row r="340">
      <c r="A340" s="26"/>
    </row>
    <row r="341">
      <c r="A341" s="26"/>
    </row>
    <row r="342">
      <c r="A342" s="26"/>
    </row>
    <row r="343">
      <c r="A343" s="26"/>
    </row>
    <row r="344">
      <c r="A344" s="26"/>
    </row>
    <row r="345">
      <c r="A345" s="26"/>
    </row>
    <row r="346">
      <c r="A346" s="26"/>
    </row>
    <row r="347">
      <c r="A347" s="26"/>
    </row>
    <row r="348">
      <c r="A348" s="26"/>
    </row>
    <row r="349">
      <c r="A349" s="26"/>
    </row>
    <row r="350">
      <c r="A350" s="26"/>
    </row>
    <row r="351">
      <c r="A351" s="26"/>
    </row>
    <row r="352">
      <c r="A352" s="26"/>
    </row>
    <row r="353">
      <c r="A353" s="26"/>
    </row>
    <row r="354">
      <c r="A354" s="26"/>
    </row>
    <row r="355">
      <c r="A355" s="26"/>
    </row>
    <row r="356">
      <c r="A356" s="26"/>
    </row>
    <row r="357">
      <c r="A357" s="26"/>
    </row>
    <row r="358">
      <c r="A358" s="26"/>
    </row>
    <row r="359">
      <c r="A359" s="26"/>
    </row>
    <row r="360">
      <c r="A360" s="26"/>
    </row>
    <row r="361">
      <c r="A361" s="26"/>
    </row>
    <row r="362">
      <c r="A362" s="26"/>
    </row>
    <row r="363">
      <c r="A363" s="26"/>
    </row>
    <row r="364">
      <c r="A364" s="26"/>
    </row>
    <row r="365">
      <c r="A365" s="26"/>
    </row>
    <row r="366">
      <c r="A366" s="26"/>
    </row>
    <row r="367">
      <c r="A367" s="26"/>
    </row>
    <row r="368">
      <c r="A368" s="26"/>
    </row>
    <row r="369">
      <c r="A369" s="26"/>
    </row>
    <row r="370">
      <c r="A370" s="26"/>
    </row>
    <row r="371">
      <c r="A371" s="26"/>
    </row>
    <row r="372">
      <c r="A372" s="26"/>
    </row>
    <row r="373">
      <c r="A373" s="26"/>
    </row>
    <row r="374">
      <c r="A374" s="26"/>
    </row>
    <row r="375">
      <c r="A375" s="26"/>
    </row>
    <row r="376">
      <c r="A376" s="26"/>
    </row>
    <row r="377">
      <c r="A377" s="26"/>
    </row>
    <row r="378">
      <c r="A378" s="26"/>
    </row>
    <row r="379">
      <c r="A379" s="26"/>
    </row>
    <row r="380">
      <c r="A380" s="26"/>
    </row>
    <row r="381">
      <c r="A381" s="26"/>
    </row>
    <row r="382">
      <c r="A382" s="26"/>
    </row>
    <row r="383">
      <c r="A383" s="26"/>
    </row>
    <row r="384">
      <c r="A384" s="26"/>
    </row>
    <row r="385">
      <c r="A385" s="26"/>
    </row>
    <row r="386">
      <c r="A386" s="26"/>
    </row>
    <row r="387">
      <c r="A387" s="26"/>
    </row>
    <row r="388">
      <c r="A388" s="26"/>
    </row>
    <row r="389">
      <c r="A389" s="26"/>
    </row>
    <row r="390">
      <c r="A390" s="26"/>
    </row>
    <row r="391">
      <c r="A391" s="26"/>
    </row>
    <row r="392">
      <c r="A392" s="26"/>
    </row>
    <row r="393">
      <c r="A393" s="26"/>
    </row>
    <row r="394">
      <c r="A394" s="26"/>
    </row>
    <row r="395">
      <c r="A395" s="26"/>
    </row>
    <row r="396">
      <c r="A396" s="26"/>
    </row>
    <row r="397">
      <c r="A397" s="26"/>
    </row>
    <row r="398">
      <c r="A398" s="26"/>
    </row>
    <row r="399">
      <c r="A399" s="26"/>
    </row>
    <row r="400">
      <c r="A400" s="26"/>
    </row>
    <row r="401">
      <c r="A401" s="26"/>
    </row>
    <row r="402">
      <c r="A402" s="26"/>
    </row>
    <row r="403">
      <c r="A403" s="26"/>
    </row>
    <row r="404">
      <c r="A404" s="26"/>
    </row>
    <row r="405">
      <c r="A405" s="26"/>
    </row>
    <row r="406">
      <c r="A406" s="26"/>
    </row>
    <row r="407">
      <c r="A407" s="26"/>
    </row>
    <row r="408">
      <c r="A408" s="26"/>
    </row>
    <row r="409">
      <c r="A409" s="26"/>
    </row>
    <row r="410">
      <c r="A410" s="26"/>
    </row>
    <row r="411">
      <c r="A411" s="26"/>
    </row>
    <row r="412">
      <c r="A412" s="26"/>
    </row>
    <row r="413">
      <c r="A413" s="26"/>
    </row>
    <row r="414">
      <c r="A414" s="26"/>
    </row>
    <row r="415">
      <c r="A415" s="26"/>
    </row>
    <row r="416">
      <c r="A416" s="26"/>
    </row>
    <row r="417">
      <c r="A417" s="26"/>
    </row>
    <row r="418">
      <c r="A418" s="26"/>
    </row>
    <row r="419">
      <c r="A419" s="26"/>
    </row>
    <row r="420">
      <c r="A420" s="26"/>
    </row>
    <row r="421">
      <c r="A421" s="26"/>
    </row>
    <row r="422">
      <c r="A422" s="26"/>
    </row>
    <row r="423">
      <c r="A423" s="26"/>
    </row>
    <row r="424">
      <c r="A424" s="26"/>
    </row>
    <row r="425">
      <c r="A425" s="26"/>
    </row>
    <row r="426">
      <c r="A426" s="26"/>
    </row>
    <row r="427">
      <c r="A427" s="26"/>
    </row>
    <row r="428">
      <c r="A428" s="26"/>
    </row>
    <row r="429">
      <c r="A429" s="26"/>
    </row>
    <row r="430">
      <c r="A430" s="26"/>
    </row>
    <row r="431">
      <c r="A431" s="26"/>
    </row>
    <row r="432">
      <c r="A432" s="26"/>
    </row>
    <row r="433">
      <c r="A433" s="26"/>
    </row>
    <row r="434">
      <c r="A434" s="26"/>
    </row>
    <row r="435">
      <c r="A435" s="26"/>
    </row>
    <row r="436">
      <c r="A436" s="26"/>
    </row>
    <row r="437">
      <c r="A437" s="26"/>
    </row>
    <row r="438">
      <c r="A438" s="26"/>
    </row>
    <row r="439">
      <c r="A439" s="26"/>
    </row>
    <row r="440">
      <c r="A440" s="26"/>
    </row>
    <row r="441">
      <c r="A441" s="26"/>
    </row>
    <row r="442">
      <c r="A442" s="26"/>
    </row>
    <row r="443">
      <c r="A443" s="26"/>
    </row>
    <row r="444">
      <c r="A444" s="26"/>
    </row>
    <row r="445">
      <c r="A445" s="26"/>
    </row>
    <row r="446">
      <c r="A446" s="26"/>
    </row>
    <row r="447">
      <c r="A447" s="26"/>
    </row>
    <row r="448">
      <c r="A448" s="26"/>
    </row>
    <row r="449">
      <c r="A449" s="26"/>
    </row>
    <row r="450">
      <c r="A450" s="26"/>
    </row>
    <row r="451">
      <c r="A451" s="26"/>
    </row>
    <row r="452">
      <c r="A452" s="26"/>
    </row>
    <row r="453">
      <c r="A453" s="26"/>
    </row>
    <row r="454">
      <c r="A454" s="26"/>
    </row>
    <row r="455">
      <c r="A455" s="26"/>
    </row>
    <row r="456">
      <c r="A456" s="26"/>
    </row>
    <row r="457">
      <c r="A457" s="26"/>
    </row>
    <row r="458">
      <c r="A458" s="26"/>
    </row>
    <row r="459">
      <c r="A459" s="26"/>
    </row>
    <row r="460">
      <c r="A460" s="26"/>
    </row>
    <row r="461">
      <c r="A461" s="26"/>
    </row>
    <row r="462">
      <c r="A462" s="26"/>
    </row>
    <row r="463">
      <c r="A463" s="26"/>
    </row>
    <row r="464">
      <c r="A464" s="26"/>
    </row>
    <row r="465">
      <c r="A465" s="26"/>
    </row>
    <row r="466">
      <c r="A466" s="26"/>
    </row>
    <row r="467">
      <c r="A467" s="26"/>
    </row>
    <row r="468">
      <c r="A468" s="26"/>
    </row>
    <row r="469">
      <c r="A469" s="26"/>
    </row>
    <row r="470">
      <c r="A470" s="26"/>
    </row>
    <row r="471">
      <c r="A471" s="26"/>
    </row>
    <row r="472">
      <c r="A472" s="26"/>
    </row>
    <row r="473">
      <c r="A473" s="26"/>
    </row>
    <row r="474">
      <c r="A474" s="26"/>
    </row>
    <row r="475">
      <c r="A475" s="26"/>
    </row>
    <row r="476">
      <c r="A476" s="26"/>
    </row>
    <row r="477">
      <c r="A477" s="26"/>
    </row>
    <row r="478">
      <c r="A478" s="26"/>
    </row>
    <row r="479">
      <c r="A479" s="26"/>
    </row>
    <row r="480">
      <c r="A480" s="26"/>
    </row>
    <row r="481">
      <c r="A481" s="26"/>
    </row>
    <row r="482">
      <c r="A482" s="26"/>
    </row>
    <row r="483">
      <c r="A483" s="26"/>
    </row>
    <row r="484">
      <c r="A484" s="26"/>
    </row>
    <row r="485">
      <c r="A485" s="26"/>
    </row>
    <row r="486">
      <c r="A486" s="26"/>
    </row>
    <row r="487">
      <c r="A487" s="26"/>
    </row>
    <row r="488">
      <c r="A488" s="26"/>
    </row>
    <row r="489">
      <c r="A489" s="26"/>
    </row>
    <row r="490">
      <c r="A490" s="26"/>
    </row>
    <row r="491">
      <c r="A491" s="26"/>
    </row>
    <row r="492">
      <c r="A492" s="26"/>
    </row>
    <row r="493">
      <c r="A493" s="26"/>
    </row>
    <row r="494">
      <c r="A494" s="26"/>
    </row>
    <row r="495">
      <c r="A495" s="26"/>
    </row>
    <row r="496">
      <c r="A496" s="26"/>
    </row>
    <row r="497">
      <c r="A497" s="26"/>
    </row>
    <row r="498">
      <c r="A498" s="26"/>
    </row>
    <row r="499">
      <c r="A499" s="26"/>
    </row>
    <row r="500">
      <c r="A500" s="26"/>
    </row>
    <row r="501">
      <c r="A501" s="26"/>
    </row>
    <row r="502">
      <c r="A502" s="26"/>
    </row>
    <row r="503">
      <c r="A503" s="26"/>
    </row>
    <row r="504">
      <c r="A504" s="26"/>
    </row>
    <row r="505">
      <c r="A505" s="26"/>
    </row>
    <row r="506">
      <c r="A506" s="26"/>
    </row>
    <row r="507">
      <c r="A507" s="26"/>
    </row>
    <row r="508">
      <c r="A508" s="26"/>
    </row>
    <row r="509">
      <c r="A509" s="26"/>
    </row>
    <row r="510">
      <c r="A510" s="26"/>
    </row>
    <row r="511">
      <c r="A511" s="26"/>
    </row>
    <row r="512">
      <c r="A512" s="26"/>
    </row>
    <row r="513">
      <c r="A513" s="26"/>
    </row>
    <row r="514">
      <c r="A514" s="26"/>
    </row>
    <row r="515">
      <c r="A515" s="26"/>
    </row>
    <row r="516">
      <c r="A516" s="26"/>
    </row>
    <row r="517">
      <c r="A517" s="26"/>
    </row>
    <row r="518">
      <c r="A518" s="26"/>
    </row>
    <row r="519">
      <c r="A519" s="26"/>
    </row>
    <row r="520">
      <c r="A520" s="26"/>
    </row>
    <row r="521">
      <c r="A521" s="26"/>
    </row>
    <row r="522">
      <c r="A522" s="26"/>
    </row>
    <row r="523">
      <c r="A523" s="26"/>
    </row>
    <row r="524">
      <c r="A524" s="26"/>
    </row>
    <row r="525">
      <c r="A525" s="26"/>
    </row>
    <row r="526">
      <c r="A526" s="26"/>
    </row>
    <row r="527">
      <c r="A527" s="26"/>
    </row>
    <row r="528">
      <c r="A528" s="26"/>
    </row>
    <row r="529">
      <c r="A529" s="26"/>
    </row>
    <row r="530">
      <c r="A530" s="26"/>
    </row>
    <row r="531">
      <c r="A531" s="26"/>
    </row>
    <row r="532">
      <c r="A532" s="26"/>
    </row>
    <row r="533">
      <c r="A533" s="26"/>
    </row>
    <row r="534">
      <c r="A534" s="26"/>
    </row>
    <row r="535">
      <c r="A535" s="26"/>
    </row>
    <row r="536">
      <c r="A536" s="26"/>
    </row>
    <row r="537">
      <c r="A537" s="26"/>
    </row>
    <row r="538">
      <c r="A538" s="26"/>
    </row>
    <row r="539">
      <c r="A539" s="26"/>
    </row>
    <row r="540">
      <c r="A540" s="26"/>
    </row>
    <row r="541">
      <c r="A541" s="26"/>
    </row>
    <row r="542">
      <c r="A542" s="26"/>
    </row>
    <row r="543">
      <c r="A543" s="26"/>
    </row>
    <row r="544">
      <c r="A544" s="26"/>
    </row>
    <row r="545">
      <c r="A545" s="26"/>
    </row>
    <row r="546">
      <c r="A546" s="26"/>
    </row>
    <row r="547">
      <c r="A547" s="26"/>
    </row>
    <row r="548">
      <c r="A548" s="26"/>
    </row>
    <row r="549">
      <c r="A549" s="26"/>
    </row>
    <row r="550">
      <c r="A550" s="26"/>
    </row>
    <row r="551">
      <c r="A551" s="26"/>
    </row>
    <row r="552">
      <c r="A552" s="26"/>
    </row>
    <row r="553">
      <c r="A553" s="26"/>
    </row>
    <row r="554">
      <c r="A554" s="26"/>
    </row>
    <row r="555">
      <c r="A555" s="26"/>
    </row>
    <row r="556">
      <c r="A556" s="26"/>
    </row>
    <row r="557">
      <c r="A557" s="26"/>
    </row>
    <row r="558">
      <c r="A558" s="26"/>
    </row>
    <row r="559">
      <c r="A559" s="26"/>
    </row>
    <row r="560">
      <c r="A560" s="26"/>
    </row>
    <row r="561">
      <c r="A561" s="26"/>
    </row>
    <row r="562">
      <c r="A562" s="26"/>
    </row>
    <row r="563">
      <c r="A563" s="26"/>
    </row>
    <row r="564">
      <c r="A564" s="26"/>
    </row>
    <row r="565">
      <c r="A565" s="26"/>
    </row>
    <row r="566">
      <c r="A566" s="26"/>
    </row>
    <row r="567">
      <c r="A567" s="26"/>
    </row>
    <row r="568">
      <c r="A568" s="26"/>
    </row>
    <row r="569">
      <c r="A569" s="26"/>
    </row>
    <row r="570">
      <c r="A570" s="26"/>
    </row>
    <row r="571">
      <c r="A571" s="26"/>
    </row>
    <row r="572">
      <c r="A572" s="26"/>
    </row>
    <row r="573">
      <c r="A573" s="26"/>
    </row>
    <row r="574">
      <c r="A574" s="26"/>
    </row>
    <row r="575">
      <c r="A575" s="26"/>
    </row>
    <row r="576">
      <c r="A576" s="26"/>
    </row>
    <row r="577">
      <c r="A577" s="26"/>
    </row>
    <row r="578">
      <c r="A578" s="26"/>
    </row>
    <row r="579">
      <c r="A579" s="26"/>
    </row>
    <row r="580">
      <c r="A580" s="26"/>
    </row>
    <row r="581">
      <c r="A581" s="26"/>
    </row>
    <row r="582">
      <c r="A582" s="26"/>
    </row>
    <row r="583">
      <c r="A583" s="26"/>
    </row>
    <row r="584">
      <c r="A584" s="26"/>
    </row>
    <row r="585">
      <c r="A585" s="26"/>
    </row>
    <row r="586">
      <c r="A586" s="26"/>
    </row>
    <row r="587">
      <c r="A587" s="26"/>
    </row>
    <row r="588">
      <c r="A588" s="26"/>
    </row>
    <row r="589">
      <c r="A589" s="26"/>
    </row>
    <row r="590">
      <c r="A590" s="26"/>
    </row>
    <row r="591">
      <c r="A591" s="26"/>
    </row>
    <row r="592">
      <c r="A592" s="26"/>
    </row>
    <row r="593">
      <c r="A593" s="26"/>
    </row>
    <row r="594">
      <c r="A594" s="26"/>
    </row>
    <row r="595">
      <c r="A595" s="26"/>
    </row>
    <row r="596">
      <c r="A596" s="26"/>
    </row>
    <row r="597">
      <c r="A597" s="26"/>
    </row>
    <row r="598">
      <c r="A598" s="26"/>
    </row>
    <row r="599">
      <c r="A599" s="26"/>
    </row>
    <row r="600">
      <c r="A600" s="26"/>
    </row>
    <row r="601">
      <c r="A601" s="26"/>
    </row>
    <row r="602">
      <c r="A602" s="26"/>
    </row>
    <row r="603">
      <c r="A603" s="26"/>
    </row>
    <row r="604">
      <c r="A604" s="26"/>
    </row>
    <row r="605">
      <c r="A605" s="26"/>
    </row>
    <row r="606">
      <c r="A606" s="26"/>
    </row>
    <row r="607">
      <c r="A607" s="26"/>
    </row>
    <row r="608">
      <c r="A608" s="26"/>
    </row>
    <row r="609">
      <c r="A609" s="26"/>
    </row>
    <row r="610">
      <c r="A610" s="26"/>
    </row>
    <row r="611">
      <c r="A611" s="26"/>
    </row>
    <row r="612">
      <c r="A612" s="26"/>
    </row>
    <row r="613">
      <c r="A613" s="26"/>
    </row>
    <row r="614">
      <c r="A614" s="26"/>
    </row>
    <row r="615">
      <c r="A615" s="26"/>
    </row>
    <row r="616">
      <c r="A616" s="26"/>
    </row>
    <row r="617">
      <c r="A617" s="26"/>
    </row>
    <row r="618">
      <c r="A618" s="26"/>
    </row>
    <row r="619">
      <c r="A619" s="26"/>
    </row>
    <row r="620">
      <c r="A620" s="26"/>
    </row>
    <row r="621">
      <c r="A621" s="26"/>
    </row>
    <row r="622">
      <c r="A622" s="26"/>
    </row>
    <row r="623">
      <c r="A623" s="26"/>
    </row>
    <row r="624">
      <c r="A624" s="26"/>
    </row>
    <row r="625">
      <c r="A625" s="26"/>
    </row>
    <row r="626">
      <c r="A626" s="26"/>
    </row>
    <row r="627">
      <c r="A627" s="26"/>
    </row>
    <row r="628">
      <c r="A628" s="26"/>
    </row>
    <row r="629">
      <c r="A629" s="26"/>
    </row>
    <row r="630">
      <c r="A630" s="26"/>
    </row>
    <row r="631">
      <c r="A631" s="26"/>
    </row>
    <row r="632">
      <c r="A632" s="26"/>
    </row>
    <row r="633">
      <c r="A633" s="26"/>
    </row>
    <row r="634">
      <c r="A634" s="26"/>
    </row>
    <row r="635">
      <c r="A635" s="26"/>
    </row>
    <row r="636">
      <c r="A636" s="26"/>
    </row>
    <row r="637">
      <c r="A637" s="26"/>
    </row>
    <row r="638">
      <c r="A638" s="26"/>
    </row>
    <row r="639">
      <c r="A639" s="26"/>
    </row>
    <row r="640">
      <c r="A640" s="26"/>
    </row>
    <row r="641">
      <c r="A641" s="26"/>
    </row>
    <row r="642">
      <c r="A642" s="26"/>
    </row>
    <row r="643">
      <c r="A643" s="26"/>
    </row>
    <row r="644">
      <c r="A644" s="26"/>
    </row>
    <row r="645">
      <c r="A645" s="26"/>
    </row>
    <row r="646">
      <c r="A646" s="26"/>
    </row>
    <row r="647">
      <c r="A647" s="26"/>
    </row>
    <row r="648">
      <c r="A648" s="26"/>
    </row>
    <row r="649">
      <c r="A649" s="26"/>
    </row>
    <row r="650">
      <c r="A650" s="26"/>
    </row>
    <row r="651">
      <c r="A651" s="26"/>
    </row>
    <row r="652">
      <c r="A652" s="26"/>
    </row>
    <row r="653">
      <c r="A653" s="26"/>
    </row>
    <row r="654">
      <c r="A654" s="26"/>
    </row>
    <row r="655">
      <c r="A655" s="26"/>
    </row>
    <row r="656">
      <c r="A656" s="26"/>
    </row>
    <row r="657">
      <c r="A657" s="26"/>
    </row>
    <row r="658">
      <c r="A658" s="26"/>
    </row>
    <row r="659">
      <c r="A659" s="26"/>
    </row>
    <row r="660">
      <c r="A660" s="26"/>
    </row>
    <row r="661">
      <c r="A661" s="26"/>
    </row>
    <row r="662">
      <c r="A662" s="26"/>
    </row>
    <row r="663">
      <c r="A663" s="26"/>
    </row>
    <row r="664">
      <c r="A664" s="26"/>
    </row>
    <row r="665">
      <c r="A665" s="26"/>
    </row>
    <row r="666">
      <c r="A666" s="26"/>
    </row>
    <row r="667">
      <c r="A667" s="26"/>
    </row>
    <row r="668">
      <c r="A668" s="26"/>
    </row>
    <row r="669">
      <c r="A669" s="26"/>
    </row>
    <row r="670">
      <c r="A670" s="26"/>
    </row>
    <row r="671">
      <c r="A671" s="26"/>
    </row>
    <row r="672">
      <c r="A672" s="26"/>
    </row>
    <row r="673">
      <c r="A673" s="26"/>
    </row>
    <row r="674">
      <c r="A674" s="26"/>
    </row>
    <row r="675">
      <c r="A675" s="26"/>
    </row>
    <row r="676">
      <c r="A676" s="26"/>
    </row>
    <row r="677">
      <c r="A677" s="26"/>
    </row>
    <row r="678">
      <c r="A678" s="26"/>
    </row>
    <row r="679">
      <c r="A679" s="26"/>
    </row>
    <row r="680">
      <c r="A680" s="26"/>
    </row>
    <row r="681">
      <c r="A681" s="26"/>
    </row>
    <row r="682">
      <c r="A682" s="26"/>
    </row>
    <row r="683">
      <c r="A683" s="26"/>
    </row>
    <row r="684">
      <c r="A684" s="26"/>
    </row>
    <row r="685">
      <c r="A685" s="26"/>
    </row>
    <row r="686">
      <c r="A686" s="26"/>
    </row>
    <row r="687">
      <c r="A687" s="26"/>
    </row>
    <row r="688">
      <c r="A688" s="26"/>
    </row>
    <row r="689">
      <c r="A689" s="26"/>
    </row>
    <row r="690">
      <c r="A690" s="26"/>
    </row>
    <row r="691">
      <c r="A691" s="26"/>
    </row>
    <row r="692">
      <c r="A692" s="26"/>
    </row>
    <row r="693">
      <c r="A693" s="26"/>
    </row>
    <row r="694">
      <c r="A694" s="26"/>
    </row>
    <row r="695">
      <c r="A695" s="26"/>
    </row>
    <row r="696">
      <c r="A696" s="26"/>
    </row>
    <row r="697">
      <c r="A697" s="26"/>
    </row>
    <row r="698">
      <c r="A698" s="26"/>
    </row>
    <row r="699">
      <c r="A699" s="26"/>
    </row>
    <row r="700">
      <c r="A700" s="26"/>
    </row>
    <row r="701">
      <c r="A701" s="26"/>
    </row>
    <row r="702">
      <c r="A702" s="26"/>
    </row>
    <row r="703">
      <c r="A703" s="26"/>
    </row>
    <row r="704">
      <c r="A704" s="26"/>
    </row>
    <row r="705">
      <c r="A705" s="26"/>
    </row>
    <row r="706">
      <c r="A706" s="26"/>
    </row>
    <row r="707">
      <c r="A707" s="26"/>
    </row>
    <row r="708">
      <c r="A708" s="26"/>
    </row>
    <row r="709">
      <c r="A709" s="26"/>
    </row>
    <row r="710">
      <c r="A710" s="26"/>
    </row>
    <row r="711">
      <c r="A711" s="26"/>
    </row>
    <row r="712">
      <c r="A712" s="26"/>
    </row>
    <row r="713">
      <c r="A713" s="26"/>
    </row>
    <row r="714">
      <c r="A714" s="26"/>
    </row>
    <row r="715">
      <c r="A715" s="26"/>
    </row>
    <row r="716">
      <c r="A716" s="26"/>
    </row>
    <row r="717">
      <c r="A717" s="26"/>
    </row>
    <row r="718">
      <c r="A718" s="26"/>
    </row>
    <row r="719">
      <c r="A719" s="26"/>
    </row>
    <row r="720">
      <c r="A720" s="26"/>
    </row>
    <row r="721">
      <c r="A721" s="26"/>
    </row>
    <row r="722">
      <c r="A722" s="26"/>
    </row>
    <row r="723">
      <c r="A723" s="26"/>
    </row>
    <row r="724">
      <c r="A724" s="26"/>
    </row>
    <row r="725">
      <c r="A725" s="26"/>
    </row>
    <row r="726">
      <c r="A726" s="26"/>
    </row>
    <row r="727">
      <c r="A727" s="26"/>
    </row>
    <row r="728">
      <c r="A728" s="26"/>
    </row>
    <row r="729">
      <c r="A729" s="26"/>
    </row>
    <row r="730">
      <c r="A730" s="26"/>
    </row>
    <row r="731">
      <c r="A731" s="26"/>
    </row>
    <row r="732">
      <c r="A732" s="26"/>
    </row>
    <row r="733">
      <c r="A733" s="26"/>
    </row>
    <row r="734">
      <c r="A734" s="26"/>
    </row>
    <row r="735">
      <c r="A735" s="26"/>
    </row>
    <row r="736">
      <c r="A736" s="26"/>
    </row>
    <row r="737">
      <c r="A737" s="26"/>
    </row>
    <row r="738">
      <c r="A738" s="26"/>
    </row>
    <row r="739">
      <c r="A739" s="26"/>
    </row>
    <row r="740">
      <c r="A740" s="26"/>
    </row>
    <row r="741">
      <c r="A741" s="26"/>
    </row>
    <row r="742">
      <c r="A742" s="26"/>
    </row>
    <row r="743">
      <c r="A743" s="26"/>
    </row>
    <row r="744">
      <c r="A744" s="26"/>
    </row>
    <row r="745">
      <c r="A745" s="26"/>
    </row>
    <row r="746">
      <c r="A746" s="26"/>
    </row>
    <row r="747">
      <c r="A747" s="26"/>
    </row>
    <row r="748">
      <c r="A748" s="26"/>
    </row>
    <row r="749">
      <c r="A749" s="26"/>
    </row>
    <row r="750">
      <c r="A750" s="26"/>
    </row>
    <row r="751">
      <c r="A751" s="26"/>
    </row>
    <row r="752">
      <c r="A752" s="26"/>
    </row>
    <row r="753">
      <c r="A753" s="26"/>
    </row>
    <row r="754">
      <c r="A754" s="26"/>
    </row>
    <row r="755">
      <c r="A755" s="26"/>
    </row>
    <row r="756">
      <c r="A756" s="26"/>
    </row>
    <row r="757">
      <c r="A757" s="26"/>
    </row>
    <row r="758">
      <c r="A758" s="26"/>
    </row>
    <row r="759">
      <c r="A759" s="26"/>
    </row>
    <row r="760">
      <c r="A760" s="26"/>
    </row>
    <row r="761">
      <c r="A761" s="26"/>
    </row>
    <row r="762">
      <c r="A762" s="26"/>
    </row>
    <row r="763">
      <c r="A763" s="26"/>
    </row>
    <row r="764">
      <c r="A764" s="26"/>
    </row>
    <row r="765">
      <c r="A765" s="26"/>
    </row>
    <row r="766">
      <c r="A766" s="26"/>
    </row>
    <row r="767">
      <c r="A767" s="26"/>
    </row>
    <row r="768">
      <c r="A768" s="26"/>
    </row>
    <row r="769">
      <c r="A769" s="26"/>
    </row>
    <row r="770">
      <c r="A770" s="26"/>
    </row>
    <row r="771">
      <c r="A771" s="26"/>
    </row>
    <row r="772">
      <c r="A772" s="26"/>
    </row>
    <row r="773">
      <c r="A773" s="26"/>
    </row>
    <row r="774">
      <c r="A774" s="26"/>
    </row>
    <row r="775">
      <c r="A775" s="26"/>
    </row>
    <row r="776">
      <c r="A776" s="26"/>
    </row>
    <row r="777">
      <c r="A777" s="26"/>
    </row>
    <row r="778">
      <c r="A778" s="26"/>
    </row>
    <row r="779">
      <c r="A779" s="26"/>
    </row>
    <row r="780">
      <c r="A780" s="26"/>
    </row>
    <row r="781">
      <c r="A781" s="26"/>
    </row>
    <row r="782">
      <c r="A782" s="26"/>
    </row>
    <row r="783">
      <c r="A783" s="26"/>
    </row>
    <row r="784">
      <c r="A784" s="26"/>
    </row>
    <row r="785">
      <c r="A785" s="26"/>
    </row>
    <row r="786">
      <c r="A786" s="26"/>
    </row>
    <row r="787">
      <c r="A787" s="26"/>
    </row>
    <row r="788">
      <c r="A788" s="26"/>
    </row>
    <row r="789">
      <c r="A789" s="26"/>
    </row>
    <row r="790">
      <c r="A790" s="26"/>
    </row>
    <row r="791">
      <c r="A791" s="26"/>
    </row>
    <row r="792">
      <c r="A792" s="26"/>
    </row>
    <row r="793">
      <c r="A793" s="26"/>
    </row>
    <row r="794">
      <c r="A794" s="26"/>
    </row>
    <row r="795">
      <c r="A795" s="26"/>
    </row>
    <row r="796">
      <c r="A796" s="26"/>
    </row>
    <row r="797">
      <c r="A797" s="26"/>
    </row>
    <row r="798">
      <c r="A798" s="26"/>
    </row>
    <row r="799">
      <c r="A799" s="26"/>
    </row>
    <row r="800">
      <c r="A800" s="26"/>
    </row>
    <row r="801">
      <c r="A801" s="26"/>
    </row>
    <row r="802">
      <c r="A802" s="26"/>
    </row>
    <row r="803">
      <c r="A803" s="26"/>
    </row>
    <row r="804">
      <c r="A804" s="26"/>
    </row>
    <row r="805">
      <c r="A805" s="26"/>
    </row>
    <row r="806">
      <c r="A806" s="26"/>
    </row>
    <row r="807">
      <c r="A807" s="26"/>
    </row>
    <row r="808">
      <c r="A808" s="26"/>
    </row>
    <row r="809">
      <c r="A809" s="26"/>
    </row>
    <row r="810">
      <c r="A810" s="26"/>
    </row>
    <row r="811">
      <c r="A811" s="26"/>
    </row>
    <row r="812">
      <c r="A812" s="26"/>
    </row>
    <row r="813">
      <c r="A813" s="26"/>
    </row>
    <row r="814">
      <c r="A814" s="26"/>
    </row>
    <row r="815">
      <c r="A815" s="26"/>
    </row>
    <row r="816">
      <c r="A816" s="26"/>
    </row>
    <row r="817">
      <c r="A817" s="26"/>
    </row>
    <row r="818">
      <c r="A818" s="26"/>
    </row>
    <row r="819">
      <c r="A819" s="26"/>
    </row>
    <row r="820">
      <c r="A820" s="26"/>
    </row>
    <row r="821">
      <c r="A821" s="26"/>
    </row>
    <row r="822">
      <c r="A822" s="26"/>
    </row>
    <row r="823">
      <c r="A823" s="26"/>
    </row>
    <row r="824">
      <c r="A824" s="26"/>
    </row>
    <row r="825">
      <c r="A825" s="26"/>
    </row>
    <row r="826">
      <c r="A826" s="26"/>
    </row>
    <row r="827">
      <c r="A827" s="26"/>
    </row>
    <row r="828">
      <c r="A828" s="26"/>
    </row>
    <row r="829">
      <c r="A829" s="26"/>
    </row>
    <row r="830">
      <c r="A830" s="26"/>
    </row>
    <row r="831">
      <c r="A831" s="26"/>
    </row>
    <row r="832">
      <c r="A832" s="26"/>
    </row>
    <row r="833">
      <c r="A833" s="26"/>
    </row>
    <row r="834">
      <c r="A834" s="26"/>
    </row>
    <row r="835">
      <c r="A835" s="26"/>
    </row>
    <row r="836">
      <c r="A836" s="26"/>
    </row>
    <row r="837">
      <c r="A837" s="26"/>
    </row>
    <row r="838">
      <c r="A838" s="26"/>
    </row>
    <row r="839">
      <c r="A839" s="26"/>
    </row>
    <row r="840">
      <c r="A840" s="26"/>
    </row>
    <row r="841">
      <c r="A841" s="26"/>
    </row>
    <row r="842">
      <c r="A842" s="26"/>
    </row>
    <row r="843">
      <c r="A843" s="26"/>
    </row>
    <row r="844">
      <c r="A844" s="26"/>
    </row>
    <row r="845">
      <c r="A845" s="26"/>
    </row>
    <row r="846">
      <c r="A846" s="26"/>
    </row>
    <row r="847">
      <c r="A847" s="26"/>
    </row>
    <row r="848">
      <c r="A848" s="26"/>
    </row>
    <row r="849">
      <c r="A849" s="26"/>
    </row>
    <row r="850">
      <c r="A850" s="26"/>
    </row>
    <row r="851">
      <c r="A851" s="26"/>
    </row>
    <row r="852">
      <c r="A852" s="26"/>
    </row>
    <row r="853">
      <c r="A853" s="26"/>
    </row>
    <row r="854">
      <c r="A854" s="26"/>
    </row>
    <row r="855">
      <c r="A855" s="26"/>
    </row>
    <row r="856">
      <c r="A856" s="26"/>
    </row>
    <row r="857">
      <c r="A857" s="26"/>
    </row>
    <row r="858">
      <c r="A858" s="26"/>
    </row>
    <row r="859">
      <c r="A859" s="26"/>
    </row>
    <row r="860">
      <c r="A860" s="26"/>
    </row>
    <row r="861">
      <c r="A861" s="26"/>
    </row>
    <row r="862">
      <c r="A862" s="26"/>
    </row>
    <row r="863">
      <c r="A863" s="26"/>
    </row>
    <row r="864">
      <c r="A864" s="26"/>
    </row>
    <row r="865">
      <c r="A865" s="26"/>
    </row>
    <row r="866">
      <c r="A866" s="26"/>
    </row>
    <row r="867">
      <c r="A867" s="26"/>
    </row>
    <row r="868">
      <c r="A868" s="26"/>
    </row>
    <row r="869">
      <c r="A869" s="26"/>
    </row>
    <row r="870">
      <c r="A870" s="26"/>
    </row>
    <row r="871">
      <c r="A871" s="26"/>
    </row>
    <row r="872">
      <c r="A872" s="26"/>
    </row>
    <row r="873">
      <c r="A873" s="26"/>
    </row>
    <row r="874">
      <c r="A874" s="26"/>
    </row>
    <row r="875">
      <c r="A875" s="26"/>
    </row>
    <row r="876">
      <c r="A876" s="26"/>
    </row>
    <row r="877">
      <c r="A877" s="26"/>
    </row>
    <row r="878">
      <c r="A878" s="26"/>
    </row>
    <row r="879">
      <c r="A879" s="26"/>
    </row>
    <row r="880">
      <c r="A880" s="26"/>
    </row>
    <row r="881">
      <c r="A881" s="26"/>
    </row>
    <row r="882">
      <c r="A882" s="26"/>
    </row>
    <row r="883">
      <c r="A883" s="26"/>
    </row>
    <row r="884">
      <c r="A884" s="26"/>
    </row>
    <row r="885">
      <c r="A885" s="26"/>
    </row>
    <row r="886">
      <c r="A886" s="26"/>
    </row>
    <row r="887">
      <c r="A887" s="26"/>
    </row>
    <row r="888">
      <c r="A888" s="26"/>
    </row>
    <row r="889">
      <c r="A889" s="26"/>
    </row>
    <row r="890">
      <c r="A890" s="26"/>
    </row>
    <row r="891">
      <c r="A891" s="26"/>
    </row>
    <row r="892">
      <c r="A892" s="26"/>
    </row>
    <row r="893">
      <c r="A893" s="26"/>
    </row>
    <row r="894">
      <c r="A894" s="26"/>
    </row>
    <row r="895">
      <c r="A895" s="26"/>
    </row>
    <row r="896">
      <c r="A896" s="26"/>
    </row>
    <row r="897">
      <c r="A897" s="26"/>
    </row>
    <row r="898">
      <c r="A898" s="26"/>
    </row>
    <row r="899">
      <c r="A899" s="26"/>
    </row>
    <row r="900">
      <c r="A900" s="26"/>
    </row>
    <row r="901">
      <c r="A901" s="26"/>
    </row>
    <row r="902">
      <c r="A902" s="26"/>
    </row>
    <row r="903">
      <c r="A903" s="26"/>
    </row>
    <row r="904">
      <c r="A904" s="26"/>
    </row>
    <row r="905">
      <c r="A905" s="26"/>
    </row>
    <row r="906">
      <c r="A906" s="26"/>
    </row>
    <row r="907">
      <c r="A907" s="26"/>
    </row>
    <row r="908">
      <c r="A908" s="26"/>
    </row>
    <row r="909">
      <c r="A909" s="26"/>
    </row>
    <row r="910">
      <c r="A910" s="26"/>
    </row>
    <row r="911">
      <c r="A911" s="26"/>
    </row>
    <row r="912">
      <c r="A912" s="26"/>
    </row>
    <row r="913">
      <c r="A913" s="26"/>
    </row>
    <row r="914">
      <c r="A914" s="26"/>
    </row>
    <row r="915">
      <c r="A915" s="26"/>
    </row>
    <row r="916">
      <c r="A916" s="26"/>
    </row>
    <row r="917">
      <c r="A917" s="26"/>
    </row>
    <row r="918">
      <c r="A918" s="26"/>
    </row>
    <row r="919">
      <c r="A919" s="26"/>
    </row>
    <row r="920">
      <c r="A920" s="26"/>
    </row>
    <row r="921">
      <c r="A921" s="26"/>
    </row>
    <row r="922">
      <c r="A922" s="26"/>
    </row>
    <row r="923">
      <c r="A923" s="26"/>
    </row>
    <row r="924">
      <c r="A924" s="26"/>
    </row>
    <row r="925">
      <c r="A925" s="26"/>
    </row>
    <row r="926">
      <c r="A926" s="26"/>
    </row>
    <row r="927">
      <c r="A927" s="26"/>
    </row>
    <row r="928">
      <c r="A928" s="26"/>
    </row>
    <row r="929">
      <c r="A929" s="26"/>
    </row>
    <row r="930">
      <c r="A930" s="26"/>
    </row>
    <row r="931">
      <c r="A931" s="26"/>
    </row>
    <row r="932">
      <c r="A932" s="26"/>
    </row>
    <row r="933">
      <c r="A933" s="26"/>
    </row>
    <row r="934">
      <c r="A934" s="26"/>
    </row>
    <row r="935">
      <c r="A935" s="26"/>
    </row>
    <row r="936">
      <c r="A936" s="26"/>
    </row>
    <row r="937">
      <c r="A937" s="26"/>
    </row>
    <row r="938">
      <c r="A938" s="26"/>
    </row>
    <row r="939">
      <c r="A939" s="26"/>
    </row>
    <row r="940">
      <c r="A940" s="26"/>
    </row>
    <row r="941">
      <c r="A941" s="26"/>
    </row>
    <row r="942">
      <c r="A942" s="26"/>
    </row>
    <row r="943">
      <c r="A943" s="26"/>
    </row>
    <row r="944">
      <c r="A944" s="26"/>
    </row>
    <row r="945">
      <c r="A945" s="26"/>
    </row>
    <row r="946">
      <c r="A946" s="26"/>
    </row>
    <row r="947">
      <c r="A947" s="26"/>
    </row>
    <row r="948">
      <c r="A948" s="26"/>
    </row>
    <row r="949">
      <c r="A949" s="26"/>
    </row>
    <row r="950">
      <c r="A950" s="26"/>
    </row>
    <row r="951">
      <c r="A951" s="26"/>
    </row>
    <row r="952">
      <c r="A952" s="26"/>
    </row>
    <row r="953">
      <c r="A953" s="26"/>
    </row>
    <row r="954">
      <c r="A954" s="26"/>
    </row>
    <row r="955">
      <c r="A955" s="26"/>
    </row>
    <row r="956">
      <c r="A956" s="26"/>
    </row>
    <row r="957">
      <c r="A957" s="26"/>
    </row>
    <row r="958">
      <c r="A958" s="26"/>
    </row>
    <row r="959">
      <c r="A959" s="26"/>
    </row>
    <row r="960">
      <c r="A960" s="26"/>
    </row>
    <row r="961">
      <c r="A961" s="26"/>
    </row>
    <row r="962">
      <c r="A962" s="26"/>
    </row>
    <row r="963">
      <c r="A963" s="26"/>
    </row>
    <row r="964">
      <c r="A964" s="26"/>
    </row>
    <row r="965">
      <c r="A965" s="26"/>
    </row>
    <row r="966">
      <c r="A966" s="26"/>
    </row>
    <row r="967">
      <c r="A967" s="26"/>
    </row>
    <row r="968">
      <c r="A968" s="26"/>
    </row>
    <row r="969">
      <c r="A969" s="26"/>
    </row>
    <row r="970">
      <c r="A970" s="26"/>
    </row>
    <row r="971">
      <c r="A971" s="26"/>
    </row>
    <row r="972">
      <c r="A972" s="26"/>
    </row>
    <row r="973">
      <c r="A973" s="26"/>
    </row>
    <row r="974">
      <c r="A974" s="26"/>
    </row>
    <row r="975">
      <c r="A975" s="26"/>
    </row>
    <row r="976">
      <c r="A976" s="26"/>
    </row>
    <row r="977">
      <c r="A977" s="26"/>
    </row>
    <row r="978">
      <c r="A978" s="26"/>
    </row>
    <row r="979">
      <c r="A979" s="26"/>
    </row>
    <row r="980">
      <c r="A980" s="26"/>
    </row>
    <row r="981">
      <c r="A981" s="26"/>
    </row>
    <row r="982">
      <c r="A982" s="26"/>
    </row>
    <row r="983">
      <c r="A983" s="26"/>
    </row>
    <row r="984">
      <c r="A984" s="26"/>
    </row>
    <row r="985">
      <c r="A985" s="26"/>
    </row>
    <row r="986">
      <c r="A986" s="26"/>
    </row>
    <row r="987">
      <c r="A987" s="26"/>
    </row>
    <row r="988">
      <c r="A988" s="26"/>
    </row>
    <row r="989">
      <c r="A989" s="26"/>
    </row>
    <row r="990">
      <c r="A990" s="26"/>
    </row>
    <row r="991">
      <c r="A991" s="26"/>
    </row>
    <row r="992">
      <c r="A992" s="26"/>
    </row>
    <row r="993">
      <c r="A993" s="26"/>
    </row>
    <row r="994">
      <c r="A994" s="26"/>
    </row>
    <row r="995">
      <c r="A995" s="26"/>
    </row>
    <row r="996">
      <c r="A996" s="26"/>
    </row>
    <row r="997">
      <c r="A997" s="26"/>
    </row>
    <row r="998">
      <c r="A998" s="26"/>
    </row>
    <row r="999">
      <c r="A999" s="26"/>
    </row>
    <row r="1000">
      <c r="A1000" s="26"/>
    </row>
  </sheetData>
  <mergeCells count="3">
    <mergeCell ref="B2:C2"/>
    <mergeCell ref="D2:J2"/>
    <mergeCell ref="B3:C3"/>
  </mergeCells>
  <hyperlinks>
    <hyperlink r:id="rId1" ref="A1"/>
    <hyperlink r:id="rId2" ref="D2"/>
    <hyperlink r:id="rId3" ref="A285"/>
    <hyperlink r:id="rId4" ref="B285"/>
  </hyperlinks>
  <drawing r:id="rId5"/>
</worksheet>
</file>