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ior" sheetId="1" r:id="rId4"/>
  </sheets>
  <definedNames/>
  <calcPr/>
</workbook>
</file>

<file path=xl/sharedStrings.xml><?xml version="1.0" encoding="utf-8"?>
<sst xmlns="http://schemas.openxmlformats.org/spreadsheetml/2006/main" count="1343" uniqueCount="289">
  <si>
    <t>Dataset: National Monitoring</t>
  </si>
  <si>
    <t>Indicator</t>
  </si>
  <si>
    <t>Enrolment in tertiary education, all programmes, both sexes (number)</t>
  </si>
  <si>
    <t>Time</t>
  </si>
  <si>
    <t>Country</t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</si>
  <si>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</si>
  <si>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</si>
  <si>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</si>
  <si>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</si>
  <si>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</si>
  <si>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</si>
  <si>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</si>
  <si>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</si>
  <si>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</si>
  <si>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</si>
  <si>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</si>
  <si>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</si>
  <si>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</si>
  <si>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</si>
  <si>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</si>
  <si>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</si>
  <si>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</si>
  <si>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</si>
  <si>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</si>
  <si>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</si>
  <si>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</si>
  <si>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</si>
  <si>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</si>
  <si>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</si>
  <si>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</si>
  <si>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</si>
  <si>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</si>
  <si>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</si>
  <si>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</si>
  <si>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</si>
  <si>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</si>
  <si>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</si>
  <si>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</si>
  <si>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</si>
  <si>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</si>
  <si>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</si>
  <si>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</si>
  <si>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</si>
  <si>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</si>
  <si>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</si>
  <si>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</si>
  <si>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</si>
  <si>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</si>
  <si>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</si>
  <si>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</si>
  <si>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</si>
  <si>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</si>
  <si>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</si>
  <si>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</si>
  <si>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</si>
  <si>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</si>
  <si>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</si>
  <si>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</si>
  <si>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</si>
  <si>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</si>
  <si>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</si>
  <si>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</si>
  <si>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</si>
  <si>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</si>
  <si>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</si>
  <si>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</si>
  <si>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</si>
  <si>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</si>
  <si>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</si>
  <si>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</si>
  <si>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</si>
  <si>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</si>
  <si>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</si>
  <si>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</si>
  <si>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</si>
  <si>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</si>
  <si>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</si>
  <si>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</si>
  <si>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</si>
  <si>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</si>
  <si>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</si>
  <si>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</si>
  <si>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</si>
  <si>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</si>
  <si>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</si>
  <si>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</si>
  <si>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</si>
  <si>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</si>
  <si>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</si>
  <si>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</si>
  <si>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</si>
  <si>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</si>
  <si>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</si>
  <si>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</si>
  <si>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</si>
  <si>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</si>
  <si>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</si>
  <si>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</si>
  <si>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</si>
  <si>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</si>
  <si>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</si>
  <si>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</si>
  <si>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</si>
  <si>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</si>
  <si>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</si>
  <si>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</si>
  <si>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</si>
  <si>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</si>
  <si>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</si>
  <si>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</si>
  <si>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</si>
  <si>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</si>
  <si>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</si>
  <si>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</si>
  <si>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</si>
  <si>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</si>
  <si>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</si>
  <si>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</si>
  <si>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</si>
  <si>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</si>
  <si>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</si>
  <si>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</si>
  <si>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</si>
  <si>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</si>
  <si>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</si>
  <si>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</si>
  <si>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</si>
  <si>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</si>
  <si>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</si>
  <si>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</si>
  <si>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</si>
  <si>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</si>
  <si>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</si>
  <si>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</si>
  <si>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</si>
  <si>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</si>
  <si>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</si>
  <si>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</si>
  <si>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</si>
  <si>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</si>
  <si>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</si>
  <si>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</si>
  <si>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</si>
  <si>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</si>
  <si>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</si>
  <si>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</si>
  <si>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</si>
  <si>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</si>
  <si>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</si>
  <si>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</si>
  <si>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</si>
  <si>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</si>
  <si>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</si>
  <si>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</si>
  <si>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</si>
  <si>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</si>
  <si>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</si>
  <si>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</si>
  <si>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</si>
  <si>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</si>
  <si>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</si>
  <si>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</si>
  <si>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</si>
  <si>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</si>
  <si>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</si>
  <si>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</si>
  <si>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</si>
  <si>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</si>
  <si>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</si>
  <si>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</si>
  <si>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</si>
  <si>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</si>
  <si>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</si>
  <si>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</si>
  <si>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</si>
  <si>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</si>
  <si>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</si>
  <si>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</si>
  <si>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</si>
  <si>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</si>
  <si>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</si>
  <si>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</si>
  <si>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</si>
  <si>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</si>
  <si>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</si>
  <si>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</si>
  <si>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</si>
  <si>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</si>
  <si>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</si>
  <si>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</si>
  <si>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</si>
  <si>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</si>
  <si>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</si>
  <si>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</si>
  <si>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</si>
  <si>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</si>
  <si>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</si>
  <si>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</si>
  <si>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</si>
  <si>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</si>
  <si>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</si>
  <si>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</si>
  <si>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</si>
  <si>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</si>
  <si>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</si>
  <si>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</si>
  <si>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</si>
  <si>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</si>
  <si>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</si>
  <si>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</si>
  <si>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</si>
  <si>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</si>
  <si>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</si>
  <si>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</si>
  <si>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</si>
  <si>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</si>
  <si>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</si>
  <si>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</si>
  <si>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</si>
  <si>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</si>
  <si>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</si>
  <si>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</si>
  <si>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</si>
  <si>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</si>
  <si>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</si>
  <si>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</si>
  <si>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</si>
  <si>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</si>
  <si>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</si>
  <si>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</si>
  <si>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</si>
  <si>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</si>
  <si>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</si>
  <si>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</si>
  <si>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</si>
  <si>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</si>
  <si>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</si>
  <si>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</si>
  <si>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</si>
  <si>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</si>
  <si>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</si>
  <si>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</si>
  <si>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</si>
  <si>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</si>
  <si>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</si>
  <si>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</si>
  <si>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</si>
  <si>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</si>
  <si>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>World</t>
  </si>
  <si>
    <t>Landlocked Developing Countries</t>
  </si>
  <si>
    <t>Least Developed Countries</t>
  </si>
  <si>
    <t>Small Island Developing States</t>
  </si>
  <si>
    <t>Africa (Sub-Saharan)</t>
  </si>
  <si>
    <t>Western Asia and Northern Africa</t>
  </si>
  <si>
    <t>Africa (Northern)</t>
  </si>
  <si>
    <t>Asia (Western)</t>
  </si>
  <si>
    <t>Asia (Central and Southern)</t>
  </si>
  <si>
    <t>Asia (Central)</t>
  </si>
  <si>
    <t>Asia (Southern)</t>
  </si>
  <si>
    <t>Asia (Eastern and South-eastern)</t>
  </si>
  <si>
    <t>Asia (Eastern)</t>
  </si>
  <si>
    <t>Asia (South-eastern)</t>
  </si>
  <si>
    <t>Latin America and the Caribbean</t>
  </si>
  <si>
    <t>Oceania</t>
  </si>
  <si>
    <t>Oceania (Australia/New Zealand)</t>
  </si>
  <si>
    <t>Oceania (excl. Australia/New Zealand)</t>
  </si>
  <si>
    <t>Northern America and Europe</t>
  </si>
  <si>
    <t>Europe</t>
  </si>
  <si>
    <t>Northern America</t>
  </si>
  <si>
    <t>UIS Regions</t>
  </si>
  <si>
    <t>Arab States</t>
  </si>
  <si>
    <t>Central and Eastern Europe</t>
  </si>
  <si>
    <t>Central Asia</t>
  </si>
  <si>
    <t>East Asia and the Pacific</t>
  </si>
  <si>
    <t>North America and Western Europe</t>
  </si>
  <si>
    <t>South and West Asia</t>
  </si>
  <si>
    <t>Sub-Saharan Africa</t>
  </si>
  <si>
    <t>World Bank Income Groups</t>
  </si>
  <si>
    <t>Low income countries</t>
  </si>
  <si>
    <t>Lower middle income countries</t>
  </si>
  <si>
    <t>Middle income countries</t>
  </si>
  <si>
    <t>Upper middle income countries</t>
  </si>
  <si>
    <t>High income countries</t>
  </si>
  <si>
    <t>Data extracted on 28 Nov 2020 22:39 UTC (GMT) from UIS.Stat</t>
  </si>
  <si>
    <t>Legend: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</si>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</sst>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9.0"/>
      <color rgb="FF000080"/>
      <name val="Verdana"/>
    </font>
    <font>
      <b/>
      <u/>
      <sz val="9.0"/>
      <color rgb="FF000080"/>
      <name val="Verdana"/>
    </font>
    <font>
      <color theme="1"/>
      <name val="Arial"/>
    </font>
    <font>
      <b/>
      <sz val="8.0"/>
      <color rgb="FFFFFFFF"/>
      <name val="Verdana"/>
    </font>
    <font/>
    <font>
      <u/>
      <sz val="8.0"/>
      <color rgb="FFFFFFFF"/>
      <name val="Verdana"/>
    </font>
    <font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Arial"/>
    </font>
    <font>
      <sz val="8.0"/>
      <color theme="1"/>
      <name val="Verdana"/>
    </font>
    <font>
      <sz val="8.0"/>
      <color theme="1"/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9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/>
      <bottom style="thin">
        <color rgb="FFC0C0C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ill="1" applyFont="1">
      <alignment horizontal="right" vertical="top"/>
    </xf>
    <xf borderId="4" fillId="2" fontId="4" numFmtId="0" xfId="0" applyAlignment="1" applyBorder="1" applyFont="1">
      <alignment horizontal="right" readingOrder="0" vertical="top"/>
    </xf>
    <xf borderId="5" fillId="0" fontId="5" numFmtId="0" xfId="0" applyBorder="1" applyFont="1"/>
    <xf borderId="6" fillId="2" fontId="6" numFmtId="0" xfId="0" applyAlignment="1" applyBorder="1" applyFont="1">
      <alignment readingOrder="0" vertical="top"/>
    </xf>
    <xf borderId="6" fillId="0" fontId="5" numFmtId="0" xfId="0" applyBorder="1" applyFont="1"/>
    <xf borderId="3" fillId="3" fontId="4" numFmtId="0" xfId="0" applyAlignment="1" applyBorder="1" applyFill="1" applyFont="1">
      <alignment horizontal="right" vertical="bottom"/>
    </xf>
    <xf borderId="4" fillId="3" fontId="4" numFmtId="0" xfId="0" applyAlignment="1" applyBorder="1" applyFont="1">
      <alignment horizontal="right" readingOrder="0"/>
    </xf>
    <xf borderId="7" fillId="3" fontId="7" numFmtId="0" xfId="0" applyAlignment="1" applyBorder="1" applyFont="1">
      <alignment horizontal="center" readingOrder="0" vertical="top"/>
    </xf>
    <xf borderId="3" fillId="4" fontId="8" numFmtId="0" xfId="0" applyAlignment="1" applyBorder="1" applyFill="1" applyFont="1">
      <alignment vertical="bottom"/>
    </xf>
    <xf borderId="3" fillId="4" fontId="8" numFmtId="0" xfId="0" applyAlignment="1" applyBorder="1" applyFont="1">
      <alignment readingOrder="0" vertical="bottom"/>
    </xf>
    <xf borderId="7" fillId="5" fontId="9" numFmtId="0" xfId="0" applyAlignment="1" applyBorder="1" applyFill="1" applyFont="1">
      <alignment horizontal="center" shrinkToFit="0" vertical="bottom" wrapText="0"/>
    </xf>
    <xf borderId="3" fillId="4" fontId="10" numFmtId="0" xfId="0" applyAlignment="1" applyBorder="1" applyFont="1">
      <alignment vertical="top"/>
    </xf>
    <xf borderId="7" fillId="0" fontId="11" numFmtId="0" xfId="0" applyAlignment="1" applyBorder="1" applyFont="1">
      <alignment horizontal="right" readingOrder="0" shrinkToFit="0" vertical="bottom" wrapText="0"/>
    </xf>
    <xf borderId="7" fillId="6" fontId="11" numFmtId="0" xfId="0" applyAlignment="1" applyBorder="1" applyFill="1" applyFont="1">
      <alignment horizontal="right" readingOrder="0" shrinkToFit="0" vertical="bottom" wrapText="0"/>
    </xf>
    <xf borderId="8" fillId="4" fontId="10" numFmtId="0" xfId="0" applyAlignment="1" applyBorder="1" applyFont="1">
      <alignment shrinkToFit="0" vertical="top" wrapText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is.unesco.org/OECDStat_Metadata/ShowMetadata.ashx?Dataset=NATMON_DS&amp;ShowOnWeb=true&amp;Lang=en" TargetMode="External"/><Relationship Id="rId2" Type="http://schemas.openxmlformats.org/officeDocument/2006/relationships/hyperlink" Target="http://data.uis.unesco.org/OECDStat_Metadata/ShowMetadata.ashx?Dataset=NATMON_DS&amp;Coords=%5bNATMON_IND%5d.%5b25053%5d&amp;ShowOnWeb=true&amp;Lang=en" TargetMode="External"/><Relationship Id="rId3" Type="http://schemas.openxmlformats.org/officeDocument/2006/relationships/hyperlink" Target="http://data.uis.unesco.org/" TargetMode="External"/><Relationship Id="rId4" Type="http://schemas.openxmlformats.org/officeDocument/2006/relationships/hyperlink" Target="http://data.uis.unesco.org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4" t="s">
        <v>1</v>
      </c>
      <c r="B2" s="5" t="s">
        <v>1</v>
      </c>
      <c r="C2" s="6"/>
      <c r="D2" s="7" t="s">
        <v>2</v>
      </c>
      <c r="E2" s="8"/>
      <c r="F2" s="8"/>
      <c r="G2" s="8"/>
      <c r="H2" s="8"/>
      <c r="I2" s="8"/>
      <c r="J2" s="6"/>
    </row>
    <row r="3">
      <c r="A3" s="9" t="s">
        <v>3</v>
      </c>
      <c r="B3" s="10" t="s">
        <v>3</v>
      </c>
      <c r="C3" s="6"/>
      <c r="D3" s="11">
        <v>2014.0</v>
      </c>
      <c r="E3" s="11">
        <v>2015.0</v>
      </c>
      <c r="F3" s="11">
        <v>2016.0</v>
      </c>
      <c r="G3" s="11">
        <v>2017.0</v>
      </c>
      <c r="H3" s="11">
        <v>2018.0</v>
      </c>
      <c r="I3" s="11">
        <v>2019.0</v>
      </c>
      <c r="J3" s="11">
        <v>2020.0</v>
      </c>
    </row>
    <row r="4">
      <c r="A4" s="12" t="s">
        <v>4</v>
      </c>
      <c r="B4" s="13" t="str">
        <f>IFERROR(__xludf.DUMMYFUNCTION("GOOGLETRANSLATE(A4,""en"",""es"")"),"País")</f>
        <v>País</v>
      </c>
      <c r="C4" s="14"/>
      <c r="D4" s="14"/>
      <c r="E4" s="14"/>
      <c r="F4" s="14"/>
      <c r="G4" s="14"/>
      <c r="H4" s="14"/>
      <c r="I4" s="14"/>
      <c r="J4" s="14"/>
    </row>
    <row r="5">
      <c r="A5" s="15" t="s">
        <v>5</v>
      </c>
      <c r="B5" s="13" t="str">
        <f>IFERROR(__xludf.DUMMYFUNCTION("GOOGLETRANSLATE(A5,""en"",""es"")"),"Afganistán")</f>
        <v>Afganistán</v>
      </c>
      <c r="C5" s="14"/>
      <c r="D5" s="16">
        <v>262874.0</v>
      </c>
      <c r="E5" s="16" t="s">
        <v>6</v>
      </c>
      <c r="F5" s="16" t="s">
        <v>6</v>
      </c>
      <c r="G5" s="16" t="s">
        <v>6</v>
      </c>
      <c r="H5" s="16">
        <v>370610.0</v>
      </c>
      <c r="I5" s="16" t="s">
        <v>6</v>
      </c>
      <c r="J5" s="16" t="s">
        <v>6</v>
      </c>
    </row>
    <row r="6">
      <c r="A6" s="15" t="s">
        <v>7</v>
      </c>
      <c r="B6" s="13" t="str">
        <f>IFERROR(__xludf.DUMMYFUNCTION("GOOGLETRANSLATE(A6,""en"",""es"")"),"Islas Aland")</f>
        <v>Islas Aland</v>
      </c>
      <c r="C6" s="14"/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</row>
    <row r="7">
      <c r="A7" s="15" t="s">
        <v>8</v>
      </c>
      <c r="B7" s="13" t="str">
        <f>IFERROR(__xludf.DUMMYFUNCTION("GOOGLETRANSLATE(A7,""en"",""es"")"),"Albania")</f>
        <v>Albania</v>
      </c>
      <c r="C7" s="14"/>
      <c r="D7" s="16">
        <v>176003.0</v>
      </c>
      <c r="E7" s="16">
        <v>162659.0</v>
      </c>
      <c r="F7" s="16">
        <v>148597.0</v>
      </c>
      <c r="G7" s="16">
        <v>141850.0</v>
      </c>
      <c r="H7" s="16">
        <v>131833.0</v>
      </c>
      <c r="I7" s="16">
        <v>139043.0</v>
      </c>
      <c r="J7" s="16" t="s">
        <v>6</v>
      </c>
    </row>
    <row r="8">
      <c r="A8" s="15" t="s">
        <v>9</v>
      </c>
      <c r="B8" s="13" t="str">
        <f>IFERROR(__xludf.DUMMYFUNCTION("GOOGLETRANSLATE(A8,""en"",""es"")"),"Argelia")</f>
        <v>Argelia</v>
      </c>
      <c r="C8" s="14"/>
      <c r="D8" s="17">
        <v>1245478.0</v>
      </c>
      <c r="E8" s="17">
        <v>1289474.0</v>
      </c>
      <c r="F8" s="17">
        <v>1439594.0</v>
      </c>
      <c r="G8" s="17">
        <v>1545523.0</v>
      </c>
      <c r="H8" s="17">
        <v>1600676.0</v>
      </c>
      <c r="I8" s="17" t="s">
        <v>6</v>
      </c>
      <c r="J8" s="17" t="s">
        <v>6</v>
      </c>
    </row>
    <row r="9">
      <c r="A9" s="15" t="s">
        <v>10</v>
      </c>
      <c r="B9" s="13" t="str">
        <f>IFERROR(__xludf.DUMMYFUNCTION("GOOGLETRANSLATE(A9,""en"",""es"")"),"Samoa Americana")</f>
        <v>Samoa Americana</v>
      </c>
      <c r="C9" s="14"/>
      <c r="D9" s="16" t="s">
        <v>6</v>
      </c>
      <c r="E9" s="16" t="s">
        <v>6</v>
      </c>
      <c r="F9" s="16" t="s">
        <v>6</v>
      </c>
      <c r="G9" s="16" t="s">
        <v>6</v>
      </c>
      <c r="H9" s="16" t="s">
        <v>6</v>
      </c>
      <c r="I9" s="16" t="s">
        <v>6</v>
      </c>
      <c r="J9" s="16" t="s">
        <v>6</v>
      </c>
    </row>
    <row r="10">
      <c r="A10" s="15" t="s">
        <v>11</v>
      </c>
      <c r="B10" s="13" t="str">
        <f>IFERROR(__xludf.DUMMYFUNCTION("GOOGLETRANSLATE(A10,""en"",""es"")"),"Andorra")</f>
        <v>Andorra</v>
      </c>
      <c r="C10" s="14"/>
      <c r="D10" s="17">
        <v>498.0</v>
      </c>
      <c r="E10" s="17">
        <v>501.0</v>
      </c>
      <c r="F10" s="17">
        <v>548.0</v>
      </c>
      <c r="G10" s="17">
        <v>590.0</v>
      </c>
      <c r="H10" s="17">
        <v>629.0</v>
      </c>
      <c r="I10" s="17">
        <v>633.0</v>
      </c>
      <c r="J10" s="17" t="s">
        <v>6</v>
      </c>
    </row>
    <row r="11">
      <c r="A11" s="15" t="s">
        <v>12</v>
      </c>
      <c r="B11" s="13" t="str">
        <f>IFERROR(__xludf.DUMMYFUNCTION("GOOGLETRANSLATE(A11,""en"",""es"")"),"Angola")</f>
        <v>Angola</v>
      </c>
      <c r="C11" s="14"/>
      <c r="D11" s="16" t="s">
        <v>6</v>
      </c>
      <c r="E11" s="16">
        <v>221037.0</v>
      </c>
      <c r="F11" s="16">
        <v>253287.0</v>
      </c>
      <c r="G11" s="16" t="s">
        <v>6</v>
      </c>
      <c r="H11" s="16" t="s">
        <v>6</v>
      </c>
      <c r="I11" s="16" t="s">
        <v>6</v>
      </c>
      <c r="J11" s="16" t="s">
        <v>6</v>
      </c>
    </row>
    <row r="12">
      <c r="A12" s="15" t="s">
        <v>13</v>
      </c>
      <c r="B12" s="13" t="str">
        <f>IFERROR(__xludf.DUMMYFUNCTION("GOOGLETRANSLATE(A12,""en"",""es"")"),"Anguilla")</f>
        <v>Anguilla</v>
      </c>
      <c r="C12" s="14"/>
      <c r="D12" s="17" t="s">
        <v>6</v>
      </c>
      <c r="E12" s="17" t="s">
        <v>6</v>
      </c>
      <c r="F12" s="17" t="s">
        <v>6</v>
      </c>
      <c r="G12" s="17" t="s">
        <v>6</v>
      </c>
      <c r="H12" s="17" t="s">
        <v>6</v>
      </c>
      <c r="I12" s="17" t="s">
        <v>6</v>
      </c>
      <c r="J12" s="17" t="s">
        <v>6</v>
      </c>
    </row>
    <row r="13">
      <c r="A13" s="18" t="s">
        <v>14</v>
      </c>
      <c r="B13" s="13" t="str">
        <f>IFERROR(__xludf.DUMMYFUNCTION("GOOGLETRANSLATE(A13,""en"",""es"")"),"Antigua y Barbuda")</f>
        <v>Antigua y Barbuda</v>
      </c>
      <c r="C13" s="14"/>
      <c r="D13" s="16" t="s">
        <v>6</v>
      </c>
      <c r="E13" s="16" t="s">
        <v>6</v>
      </c>
      <c r="F13" s="16" t="s">
        <v>6</v>
      </c>
      <c r="G13" s="16" t="s">
        <v>6</v>
      </c>
      <c r="H13" s="16" t="s">
        <v>6</v>
      </c>
      <c r="I13" s="16" t="s">
        <v>6</v>
      </c>
      <c r="J13" s="16" t="s">
        <v>6</v>
      </c>
    </row>
    <row r="14">
      <c r="A14" s="15" t="s">
        <v>15</v>
      </c>
      <c r="B14" s="13" t="str">
        <f>IFERROR(__xludf.DUMMYFUNCTION("GOOGLETRANSLATE(A14,""en"",""es"")"),"Argentina")</f>
        <v>Argentina</v>
      </c>
      <c r="C14" s="14"/>
      <c r="D14" s="17">
        <v>2869450.0</v>
      </c>
      <c r="E14" s="17">
        <v>2966125.0</v>
      </c>
      <c r="F14" s="17">
        <v>3061139.0</v>
      </c>
      <c r="G14" s="17">
        <v>3140963.0</v>
      </c>
      <c r="H14" s="17" t="s">
        <v>6</v>
      </c>
      <c r="I14" s="17" t="s">
        <v>6</v>
      </c>
      <c r="J14" s="17" t="s">
        <v>6</v>
      </c>
    </row>
    <row r="15">
      <c r="A15" s="15" t="s">
        <v>16</v>
      </c>
      <c r="B15" s="13" t="str">
        <f>IFERROR(__xludf.DUMMYFUNCTION("GOOGLETRANSLATE(A15,""en"",""es"")"),"Armenia")</f>
        <v>Armenia</v>
      </c>
      <c r="C15" s="14"/>
      <c r="D15" s="16">
        <v>113090.0</v>
      </c>
      <c r="E15" s="16">
        <v>105865.0</v>
      </c>
      <c r="F15" s="16">
        <v>109330.0</v>
      </c>
      <c r="G15" s="16">
        <v>104838.0</v>
      </c>
      <c r="H15" s="16">
        <v>102891.0</v>
      </c>
      <c r="I15" s="16">
        <v>92087.0</v>
      </c>
      <c r="J15" s="16" t="s">
        <v>6</v>
      </c>
    </row>
    <row r="16">
      <c r="A16" s="15" t="s">
        <v>17</v>
      </c>
      <c r="B16" s="13" t="str">
        <f>IFERROR(__xludf.DUMMYFUNCTION("GOOGLETRANSLATE(A16,""en"",""es"")"),"Aruba")</f>
        <v>Aruba</v>
      </c>
      <c r="C16" s="14"/>
      <c r="D16" s="17">
        <v>1235.0</v>
      </c>
      <c r="E16" s="17">
        <v>1166.0</v>
      </c>
      <c r="F16" s="17">
        <v>1191.0</v>
      </c>
      <c r="G16" s="17" t="s">
        <v>6</v>
      </c>
      <c r="H16" s="17" t="s">
        <v>6</v>
      </c>
      <c r="I16" s="17" t="s">
        <v>6</v>
      </c>
      <c r="J16" s="17" t="s">
        <v>6</v>
      </c>
    </row>
    <row r="17">
      <c r="A17" s="15" t="s">
        <v>18</v>
      </c>
      <c r="B17" s="13" t="str">
        <f>IFERROR(__xludf.DUMMYFUNCTION("GOOGLETRANSLATE(A17,""en"",""es"")"),"Australia")</f>
        <v>Australia</v>
      </c>
      <c r="C17" s="14"/>
      <c r="D17" s="16" t="s">
        <v>6</v>
      </c>
      <c r="E17" s="16">
        <v>1903454.0</v>
      </c>
      <c r="F17" s="16">
        <v>1918625.0</v>
      </c>
      <c r="G17" s="16">
        <v>1774852.0</v>
      </c>
      <c r="H17" s="16">
        <v>1677242.0</v>
      </c>
      <c r="I17" s="16" t="s">
        <v>6</v>
      </c>
      <c r="J17" s="16" t="s">
        <v>6</v>
      </c>
    </row>
    <row r="18">
      <c r="A18" s="15" t="s">
        <v>19</v>
      </c>
      <c r="B18" s="13" t="str">
        <f>IFERROR(__xludf.DUMMYFUNCTION("GOOGLETRANSLATE(A18,""en"",""es"")"),"Austria")</f>
        <v>Austria</v>
      </c>
      <c r="C18" s="14"/>
      <c r="D18" s="17">
        <v>421224.8167</v>
      </c>
      <c r="E18" s="17">
        <v>425971.698</v>
      </c>
      <c r="F18" s="17">
        <v>431124.9548</v>
      </c>
      <c r="G18" s="17">
        <v>430370.3972</v>
      </c>
      <c r="H18" s="17">
        <v>430195.275</v>
      </c>
      <c r="I18" s="17" t="s">
        <v>6</v>
      </c>
      <c r="J18" s="17" t="s">
        <v>6</v>
      </c>
    </row>
    <row r="19">
      <c r="A19" s="15" t="s">
        <v>20</v>
      </c>
      <c r="B19" s="13" t="str">
        <f>IFERROR(__xludf.DUMMYFUNCTION("GOOGLETRANSLATE(A19,""en"",""es"")"),"Azerbaiyán")</f>
        <v>Azerbaiyán</v>
      </c>
      <c r="C19" s="14"/>
      <c r="D19" s="16">
        <v>195401.0</v>
      </c>
      <c r="E19" s="16">
        <v>204152.0</v>
      </c>
      <c r="F19" s="16">
        <v>207604.0</v>
      </c>
      <c r="G19" s="16">
        <v>206196.0</v>
      </c>
      <c r="H19" s="16">
        <v>200609.0</v>
      </c>
      <c r="I19" s="16">
        <v>218279.0</v>
      </c>
      <c r="J19" s="16" t="s">
        <v>6</v>
      </c>
    </row>
    <row r="20">
      <c r="A20" s="15" t="s">
        <v>21</v>
      </c>
      <c r="B20" s="13" t="str">
        <f>IFERROR(__xludf.DUMMYFUNCTION("GOOGLETRANSLATE(A20,""en"",""es"")"),"Bahamas")</f>
        <v>Bahamas</v>
      </c>
      <c r="C20" s="14"/>
      <c r="D20" s="17" t="s">
        <v>6</v>
      </c>
      <c r="E20" s="17" t="s">
        <v>6</v>
      </c>
      <c r="F20" s="17" t="s">
        <v>6</v>
      </c>
      <c r="G20" s="17" t="s">
        <v>6</v>
      </c>
      <c r="H20" s="17" t="s">
        <v>6</v>
      </c>
      <c r="I20" s="17" t="s">
        <v>6</v>
      </c>
      <c r="J20" s="17" t="s">
        <v>6</v>
      </c>
    </row>
    <row r="21">
      <c r="A21" s="15" t="s">
        <v>22</v>
      </c>
      <c r="B21" s="13" t="str">
        <f>IFERROR(__xludf.DUMMYFUNCTION("GOOGLETRANSLATE(A21,""en"",""es"")"),"Bahrein")</f>
        <v>Bahrein</v>
      </c>
      <c r="C21" s="14"/>
      <c r="D21" s="16">
        <v>38113.0</v>
      </c>
      <c r="E21" s="16">
        <v>38901.0</v>
      </c>
      <c r="F21" s="16">
        <v>40669.0</v>
      </c>
      <c r="G21" s="16">
        <v>42717.0</v>
      </c>
      <c r="H21" s="16">
        <v>44940.0</v>
      </c>
      <c r="I21" s="16">
        <v>47193.0</v>
      </c>
      <c r="J21" s="16" t="s">
        <v>6</v>
      </c>
    </row>
    <row r="22">
      <c r="A22" s="15" t="s">
        <v>23</v>
      </c>
      <c r="B22" s="13" t="str">
        <f>IFERROR(__xludf.DUMMYFUNCTION("GOOGLETRANSLATE(A22,""en"",""es"")"),"Bangladesh")</f>
        <v>Bangladesh</v>
      </c>
      <c r="C22" s="14"/>
      <c r="D22" s="17">
        <v>2068355.0</v>
      </c>
      <c r="E22" s="17" t="s">
        <v>6</v>
      </c>
      <c r="F22" s="17">
        <v>2699345.0</v>
      </c>
      <c r="G22" s="17">
        <v>2763253.627</v>
      </c>
      <c r="H22" s="17">
        <v>3150539.0</v>
      </c>
      <c r="I22" s="17">
        <v>3695233.0</v>
      </c>
      <c r="J22" s="17" t="s">
        <v>6</v>
      </c>
    </row>
    <row r="23">
      <c r="A23" s="15" t="s">
        <v>24</v>
      </c>
      <c r="B23" s="13" t="str">
        <f>IFERROR(__xludf.DUMMYFUNCTION("GOOGLETRANSLATE(A23,""en"",""es"")"),"Barbados")</f>
        <v>Barbados</v>
      </c>
      <c r="C23" s="14"/>
      <c r="D23" s="16" t="s">
        <v>6</v>
      </c>
      <c r="E23" s="16" t="s">
        <v>6</v>
      </c>
      <c r="F23" s="16" t="s">
        <v>6</v>
      </c>
      <c r="G23" s="16" t="s">
        <v>6</v>
      </c>
      <c r="H23" s="16" t="s">
        <v>6</v>
      </c>
      <c r="I23" s="16" t="s">
        <v>6</v>
      </c>
      <c r="J23" s="16" t="s">
        <v>6</v>
      </c>
    </row>
    <row r="24">
      <c r="A24" s="15" t="s">
        <v>25</v>
      </c>
      <c r="B24" s="13" t="str">
        <f>IFERROR(__xludf.DUMMYFUNCTION("GOOGLETRANSLATE(A24,""en"",""es"")"),"Bielorrusia")</f>
        <v>Bielorrusia</v>
      </c>
      <c r="C24" s="14"/>
      <c r="D24" s="17">
        <v>517578.0</v>
      </c>
      <c r="E24" s="17">
        <v>477221.0</v>
      </c>
      <c r="F24" s="17">
        <v>443997.0</v>
      </c>
      <c r="G24" s="17">
        <v>418745.0</v>
      </c>
      <c r="H24" s="17">
        <v>389327.0</v>
      </c>
      <c r="I24" s="17" t="s">
        <v>6</v>
      </c>
      <c r="J24" s="17" t="s">
        <v>6</v>
      </c>
    </row>
    <row r="25">
      <c r="A25" s="15" t="s">
        <v>26</v>
      </c>
      <c r="B25" s="13" t="str">
        <f>IFERROR(__xludf.DUMMYFUNCTION("GOOGLETRANSLATE(A25,""en"",""es"")"),"Bélgica")</f>
        <v>Bélgica</v>
      </c>
      <c r="C25" s="14"/>
      <c r="D25" s="16">
        <v>495910.0</v>
      </c>
      <c r="E25" s="16">
        <v>504745.0</v>
      </c>
      <c r="F25" s="16">
        <v>508270.0</v>
      </c>
      <c r="G25" s="16">
        <v>526760.0</v>
      </c>
      <c r="H25" s="16">
        <v>515530.0</v>
      </c>
      <c r="I25" s="16" t="s">
        <v>6</v>
      </c>
      <c r="J25" s="16" t="s">
        <v>6</v>
      </c>
    </row>
    <row r="26">
      <c r="A26" s="15" t="s">
        <v>27</v>
      </c>
      <c r="B26" s="13" t="str">
        <f>IFERROR(__xludf.DUMMYFUNCTION("GOOGLETRANSLATE(A26,""en"",""es"")"),"Belice")</f>
        <v>Belice</v>
      </c>
      <c r="C26" s="14"/>
      <c r="D26" s="17">
        <v>8635.0</v>
      </c>
      <c r="E26" s="17">
        <v>8562.0</v>
      </c>
      <c r="F26" s="17">
        <v>9097.0</v>
      </c>
      <c r="G26" s="17">
        <v>9425.0</v>
      </c>
      <c r="H26" s="17">
        <v>9527.0</v>
      </c>
      <c r="I26" s="17">
        <v>9830.0</v>
      </c>
      <c r="J26" s="17" t="s">
        <v>6</v>
      </c>
    </row>
    <row r="27">
      <c r="A27" s="15" t="s">
        <v>28</v>
      </c>
      <c r="B27" s="13" t="str">
        <f>IFERROR(__xludf.DUMMYFUNCTION("GOOGLETRANSLATE(A27,""en"",""es"")"),"Benin")</f>
        <v>Benin</v>
      </c>
      <c r="C27" s="14"/>
      <c r="D27" s="16">
        <v>149913.0</v>
      </c>
      <c r="E27" s="16">
        <v>131299.0</v>
      </c>
      <c r="F27" s="16">
        <v>129302.0</v>
      </c>
      <c r="G27" s="16">
        <v>126178.0</v>
      </c>
      <c r="H27" s="16">
        <v>132429.0</v>
      </c>
      <c r="I27" s="16" t="s">
        <v>6</v>
      </c>
      <c r="J27" s="16" t="s">
        <v>6</v>
      </c>
    </row>
    <row r="28">
      <c r="A28" s="15" t="s">
        <v>29</v>
      </c>
      <c r="B28" s="13" t="str">
        <f>IFERROR(__xludf.DUMMYFUNCTION("GOOGLETRANSLATE(A28,""en"",""es"")"),"islas Bermudas")</f>
        <v>islas Bermudas</v>
      </c>
      <c r="C28" s="14"/>
      <c r="D28" s="17">
        <v>1108.0</v>
      </c>
      <c r="E28" s="17">
        <v>973.0</v>
      </c>
      <c r="F28" s="17" t="s">
        <v>6</v>
      </c>
      <c r="G28" s="17">
        <v>675.0</v>
      </c>
      <c r="H28" s="17">
        <v>712.0</v>
      </c>
      <c r="I28" s="17" t="s">
        <v>6</v>
      </c>
      <c r="J28" s="17" t="s">
        <v>6</v>
      </c>
    </row>
    <row r="29">
      <c r="A29" s="15" t="s">
        <v>30</v>
      </c>
      <c r="B29" s="13" t="str">
        <f>IFERROR(__xludf.DUMMYFUNCTION("GOOGLETRANSLATE(A29,""en"",""es"")"),"Bután")</f>
        <v>Bután</v>
      </c>
      <c r="C29" s="14"/>
      <c r="D29" s="16" t="s">
        <v>6</v>
      </c>
      <c r="E29" s="16" t="s">
        <v>6</v>
      </c>
      <c r="F29" s="16" t="s">
        <v>6</v>
      </c>
      <c r="G29" s="16" t="s">
        <v>6</v>
      </c>
      <c r="H29" s="16">
        <v>11944.0</v>
      </c>
      <c r="I29" s="16" t="s">
        <v>6</v>
      </c>
      <c r="J29" s="16">
        <v>12248.0</v>
      </c>
    </row>
    <row r="30">
      <c r="A30" s="18" t="s">
        <v>31</v>
      </c>
      <c r="B30" s="13" t="str">
        <f>IFERROR(__xludf.DUMMYFUNCTION("GOOGLETRANSLATE(A30,""en"",""es"")"),"Bolivia (Estado Plurinacional de)")</f>
        <v>Bolivia (Estado Plurinacional de)</v>
      </c>
      <c r="C30" s="14"/>
      <c r="D30" s="17" t="s">
        <v>6</v>
      </c>
      <c r="E30" s="17" t="s">
        <v>6</v>
      </c>
      <c r="F30" s="17" t="s">
        <v>6</v>
      </c>
      <c r="G30" s="17" t="s">
        <v>6</v>
      </c>
      <c r="H30" s="17" t="s">
        <v>6</v>
      </c>
      <c r="I30" s="17" t="s">
        <v>6</v>
      </c>
      <c r="J30" s="17" t="s">
        <v>6</v>
      </c>
    </row>
    <row r="31">
      <c r="A31" s="18" t="s">
        <v>32</v>
      </c>
      <c r="B31" s="13" t="str">
        <f>IFERROR(__xludf.DUMMYFUNCTION("GOOGLETRANSLATE(A31,""en"",""es"")"),"Bosnia y Herzegovina")</f>
        <v>Bosnia y Herzegovina</v>
      </c>
      <c r="C31" s="14"/>
      <c r="D31" s="16">
        <v>111970.0</v>
      </c>
      <c r="E31" s="16">
        <v>108475.0</v>
      </c>
      <c r="F31" s="16">
        <v>106975.0</v>
      </c>
      <c r="G31" s="16">
        <v>102232.0</v>
      </c>
      <c r="H31" s="16">
        <v>95142.0</v>
      </c>
      <c r="I31" s="16">
        <v>89016.0</v>
      </c>
      <c r="J31" s="16" t="s">
        <v>6</v>
      </c>
    </row>
    <row r="32">
      <c r="A32" s="15" t="s">
        <v>33</v>
      </c>
      <c r="B32" s="13" t="str">
        <f>IFERROR(__xludf.DUMMYFUNCTION("GOOGLETRANSLATE(A32,""en"",""es"")"),"Botswana")</f>
        <v>Botswana</v>
      </c>
      <c r="C32" s="14"/>
      <c r="D32" s="17">
        <v>55128.0</v>
      </c>
      <c r="E32" s="17">
        <v>60583.0</v>
      </c>
      <c r="F32" s="17">
        <v>51573.0</v>
      </c>
      <c r="G32" s="17">
        <v>49444.0</v>
      </c>
      <c r="H32" s="17" t="s">
        <v>6</v>
      </c>
      <c r="I32" s="17">
        <v>50846.0</v>
      </c>
      <c r="J32" s="17" t="s">
        <v>6</v>
      </c>
    </row>
    <row r="33">
      <c r="A33" s="15" t="s">
        <v>34</v>
      </c>
      <c r="B33" s="13" t="str">
        <f>IFERROR(__xludf.DUMMYFUNCTION("GOOGLETRANSLATE(A33,""en"",""es"")"),"Brasil")</f>
        <v>Brasil</v>
      </c>
      <c r="C33" s="14"/>
      <c r="D33" s="16">
        <v>8072146.0</v>
      </c>
      <c r="E33" s="16">
        <v>8285475.0</v>
      </c>
      <c r="F33" s="16">
        <v>8319089.0</v>
      </c>
      <c r="G33" s="16">
        <v>8571423.0</v>
      </c>
      <c r="H33" s="16">
        <v>8741996.0</v>
      </c>
      <c r="I33" s="16" t="s">
        <v>6</v>
      </c>
      <c r="J33" s="16" t="s">
        <v>6</v>
      </c>
    </row>
    <row r="34">
      <c r="A34" s="18" t="s">
        <v>35</v>
      </c>
      <c r="B34" s="13" t="str">
        <f>IFERROR(__xludf.DUMMYFUNCTION("GOOGLETRANSLATE(A34,""en"",""es"")"),"Islas Vírgenes Británicas")</f>
        <v>Islas Vírgenes Británicas</v>
      </c>
      <c r="C34" s="14"/>
      <c r="D34" s="17" t="s">
        <v>6</v>
      </c>
      <c r="E34" s="17">
        <v>827.0</v>
      </c>
      <c r="F34" s="17">
        <v>834.0</v>
      </c>
      <c r="G34" s="17" t="s">
        <v>6</v>
      </c>
      <c r="H34" s="17">
        <v>348.0</v>
      </c>
      <c r="I34" s="17" t="s">
        <v>6</v>
      </c>
      <c r="J34" s="17" t="s">
        <v>6</v>
      </c>
    </row>
    <row r="35">
      <c r="A35" s="18" t="s">
        <v>36</v>
      </c>
      <c r="B35" s="13" t="str">
        <f>IFERROR(__xludf.DUMMYFUNCTION("GOOGLETRANSLATE(A35,""en"",""es"")"),"Brunei Darussalam")</f>
        <v>Brunei Darussalam</v>
      </c>
      <c r="C35" s="14"/>
      <c r="D35" s="16">
        <v>11292.0</v>
      </c>
      <c r="E35" s="16">
        <v>10866.0</v>
      </c>
      <c r="F35" s="16">
        <v>11010.0</v>
      </c>
      <c r="G35" s="16">
        <v>11593.0</v>
      </c>
      <c r="H35" s="16">
        <v>10877.0</v>
      </c>
      <c r="I35" s="16">
        <v>11064.0</v>
      </c>
      <c r="J35" s="16" t="s">
        <v>6</v>
      </c>
    </row>
    <row r="36">
      <c r="A36" s="15" t="s">
        <v>37</v>
      </c>
      <c r="B36" s="13" t="str">
        <f>IFERROR(__xludf.DUMMYFUNCTION("GOOGLETRANSLATE(A36,""en"",""es"")"),"Bulgaria")</f>
        <v>Bulgaria</v>
      </c>
      <c r="C36" s="14"/>
      <c r="D36" s="17">
        <v>283294.0</v>
      </c>
      <c r="E36" s="17">
        <v>278953.0</v>
      </c>
      <c r="F36" s="17">
        <v>266707.0</v>
      </c>
      <c r="G36" s="17">
        <v>249937.0</v>
      </c>
      <c r="H36" s="17">
        <v>236335.0</v>
      </c>
      <c r="I36" s="17" t="s">
        <v>6</v>
      </c>
      <c r="J36" s="17" t="s">
        <v>6</v>
      </c>
    </row>
    <row r="37">
      <c r="A37" s="15" t="s">
        <v>38</v>
      </c>
      <c r="B37" s="13" t="str">
        <f>IFERROR(__xludf.DUMMYFUNCTION("GOOGLETRANSLATE(A37,""en"",""es"")"),"Burkina Faso")</f>
        <v>Burkina Faso</v>
      </c>
      <c r="C37" s="14"/>
      <c r="D37" s="16">
        <v>81314.0</v>
      </c>
      <c r="E37" s="16">
        <v>83598.0</v>
      </c>
      <c r="F37" s="16">
        <v>94728.0</v>
      </c>
      <c r="G37" s="16">
        <v>105404.0</v>
      </c>
      <c r="H37" s="16">
        <v>117725.0</v>
      </c>
      <c r="I37" s="16">
        <v>132569.0</v>
      </c>
      <c r="J37" s="16" t="s">
        <v>6</v>
      </c>
    </row>
    <row r="38">
      <c r="A38" s="15" t="s">
        <v>39</v>
      </c>
      <c r="B38" s="13" t="str">
        <f>IFERROR(__xludf.DUMMYFUNCTION("GOOGLETRANSLATE(A38,""en"",""es"")"),"Burundi")</f>
        <v>Burundi</v>
      </c>
      <c r="C38" s="14"/>
      <c r="D38" s="17">
        <v>44887.0</v>
      </c>
      <c r="E38" s="17">
        <v>51225.0</v>
      </c>
      <c r="F38" s="17">
        <v>37266.0</v>
      </c>
      <c r="G38" s="17">
        <v>40120.0</v>
      </c>
      <c r="H38" s="17">
        <v>41869.0</v>
      </c>
      <c r="I38" s="17" t="s">
        <v>6</v>
      </c>
      <c r="J38" s="17" t="s">
        <v>6</v>
      </c>
    </row>
    <row r="39">
      <c r="A39" s="15" t="s">
        <v>40</v>
      </c>
      <c r="B39" s="13" t="str">
        <f>IFERROR(__xludf.DUMMYFUNCTION("GOOGLETRANSLATE(A39,""en"",""es"")"),"Camboya")</f>
        <v>Camboya</v>
      </c>
      <c r="C39" s="14"/>
      <c r="D39" s="16" t="s">
        <v>6</v>
      </c>
      <c r="E39" s="16">
        <v>217364.0</v>
      </c>
      <c r="F39" s="16" t="s">
        <v>6</v>
      </c>
      <c r="G39" s="16">
        <v>207603.0</v>
      </c>
      <c r="H39" s="16">
        <v>211484.0</v>
      </c>
      <c r="I39" s="16">
        <v>222879.0</v>
      </c>
      <c r="J39" s="16" t="s">
        <v>6</v>
      </c>
    </row>
    <row r="40">
      <c r="A40" s="15" t="s">
        <v>41</v>
      </c>
      <c r="B40" s="13" t="str">
        <f>IFERROR(__xludf.DUMMYFUNCTION("GOOGLETRANSLATE(A40,""en"",""es"")"),"Camerún")</f>
        <v>Camerún</v>
      </c>
      <c r="C40" s="14"/>
      <c r="D40" s="17">
        <v>349756.0</v>
      </c>
      <c r="E40" s="17">
        <v>371568.0</v>
      </c>
      <c r="F40" s="17">
        <v>278747.0</v>
      </c>
      <c r="G40" s="17">
        <v>290259.0</v>
      </c>
      <c r="H40" s="17">
        <v>330793.0</v>
      </c>
      <c r="I40" s="17" t="s">
        <v>6</v>
      </c>
      <c r="J40" s="17" t="s">
        <v>6</v>
      </c>
    </row>
    <row r="41">
      <c r="A41" s="15" t="s">
        <v>42</v>
      </c>
      <c r="B41" s="13" t="str">
        <f>IFERROR(__xludf.DUMMYFUNCTION("GOOGLETRANSLATE(A41,""en"",""es"")"),"Canadá")</f>
        <v>Canadá</v>
      </c>
      <c r="C41" s="14"/>
      <c r="D41" s="16">
        <v>1577766.0</v>
      </c>
      <c r="E41" s="16">
        <v>1564125.0</v>
      </c>
      <c r="F41" s="16">
        <v>1593383.0</v>
      </c>
      <c r="G41" s="16">
        <v>1625578.0</v>
      </c>
      <c r="H41" s="16">
        <v>1622693.0</v>
      </c>
      <c r="I41" s="16" t="s">
        <v>6</v>
      </c>
      <c r="J41" s="16" t="s">
        <v>6</v>
      </c>
    </row>
    <row r="42">
      <c r="A42" s="15" t="s">
        <v>43</v>
      </c>
      <c r="B42" s="13" t="str">
        <f>IFERROR(__xludf.DUMMYFUNCTION("GOOGLETRANSLATE(A42,""en"",""es"")"),"Cabo Verde")</f>
        <v>Cabo Verde</v>
      </c>
      <c r="C42" s="14"/>
      <c r="D42" s="17">
        <v>13397.0</v>
      </c>
      <c r="E42" s="17">
        <v>12538.0</v>
      </c>
      <c r="F42" s="17">
        <v>12622.0</v>
      </c>
      <c r="G42" s="17">
        <v>12446.0</v>
      </c>
      <c r="H42" s="17">
        <v>11659.0</v>
      </c>
      <c r="I42" s="17" t="s">
        <v>6</v>
      </c>
      <c r="J42" s="17" t="s">
        <v>6</v>
      </c>
    </row>
    <row r="43">
      <c r="A43" s="15" t="s">
        <v>44</v>
      </c>
      <c r="B43" s="13" t="str">
        <f>IFERROR(__xludf.DUMMYFUNCTION("GOOGLETRANSLATE(A43,""en"",""es"")"),"Islas Caimán")</f>
        <v>Islas Caimán</v>
      </c>
      <c r="C43" s="14"/>
      <c r="D43" s="16" t="s">
        <v>6</v>
      </c>
      <c r="E43" s="16" t="s">
        <v>6</v>
      </c>
      <c r="F43" s="16" t="s">
        <v>6</v>
      </c>
      <c r="G43" s="16" t="s">
        <v>6</v>
      </c>
      <c r="H43" s="16" t="s">
        <v>6</v>
      </c>
      <c r="I43" s="16" t="s">
        <v>6</v>
      </c>
      <c r="J43" s="16" t="s">
        <v>6</v>
      </c>
    </row>
    <row r="44">
      <c r="A44" s="18" t="s">
        <v>45</v>
      </c>
      <c r="B44" s="13" t="str">
        <f>IFERROR(__xludf.DUMMYFUNCTION("GOOGLETRANSLATE(A44,""en"",""es"")"),"República Centroafricana")</f>
        <v>República Centroafricana</v>
      </c>
      <c r="C44" s="14"/>
      <c r="D44" s="17" t="s">
        <v>6</v>
      </c>
      <c r="E44" s="17" t="s">
        <v>6</v>
      </c>
      <c r="F44" s="17" t="s">
        <v>6</v>
      </c>
      <c r="G44" s="17" t="s">
        <v>6</v>
      </c>
      <c r="H44" s="17" t="s">
        <v>6</v>
      </c>
      <c r="I44" s="17" t="s">
        <v>6</v>
      </c>
      <c r="J44" s="17" t="s">
        <v>6</v>
      </c>
    </row>
    <row r="45">
      <c r="A45" s="15" t="s">
        <v>46</v>
      </c>
      <c r="B45" s="13" t="str">
        <f>IFERROR(__xludf.DUMMYFUNCTION("GOOGLETRANSLATE(A45,""en"",""es"")"),"Chad")</f>
        <v>Chad</v>
      </c>
      <c r="C45" s="14"/>
      <c r="D45" s="16">
        <v>42463.0</v>
      </c>
      <c r="E45" s="16">
        <v>41821.0</v>
      </c>
      <c r="F45" s="16" t="s">
        <v>6</v>
      </c>
      <c r="G45" s="16" t="s">
        <v>6</v>
      </c>
      <c r="H45" s="16" t="s">
        <v>6</v>
      </c>
      <c r="I45" s="16" t="s">
        <v>6</v>
      </c>
      <c r="J45" s="16" t="s">
        <v>6</v>
      </c>
    </row>
    <row r="46">
      <c r="A46" s="15" t="s">
        <v>47</v>
      </c>
      <c r="B46" s="13" t="str">
        <f>IFERROR(__xludf.DUMMYFUNCTION("GOOGLETRANSLATE(A46,""en"",""es"")"),"Islas del Canal")</f>
        <v>Islas del Canal</v>
      </c>
      <c r="C46" s="14"/>
      <c r="D46" s="17" t="s">
        <v>6</v>
      </c>
      <c r="E46" s="17" t="s">
        <v>6</v>
      </c>
      <c r="F46" s="17" t="s">
        <v>6</v>
      </c>
      <c r="G46" s="17" t="s">
        <v>6</v>
      </c>
      <c r="H46" s="17" t="s">
        <v>6</v>
      </c>
      <c r="I46" s="17" t="s">
        <v>6</v>
      </c>
      <c r="J46" s="17" t="s">
        <v>6</v>
      </c>
    </row>
    <row r="47">
      <c r="A47" s="15" t="s">
        <v>48</v>
      </c>
      <c r="B47" s="13" t="str">
        <f>IFERROR(__xludf.DUMMYFUNCTION("GOOGLETRANSLATE(A47,""en"",""es"")"),"Chile")</f>
        <v>Chile</v>
      </c>
      <c r="C47" s="14"/>
      <c r="D47" s="16">
        <v>1205182.0</v>
      </c>
      <c r="E47" s="16">
        <v>1221774.0</v>
      </c>
      <c r="F47" s="16">
        <v>1236701.0</v>
      </c>
      <c r="G47" s="16">
        <v>1238992.0</v>
      </c>
      <c r="H47" s="16">
        <v>1254839.0</v>
      </c>
      <c r="I47" s="16" t="s">
        <v>6</v>
      </c>
      <c r="J47" s="16" t="s">
        <v>6</v>
      </c>
    </row>
    <row r="48">
      <c r="A48" s="15" t="s">
        <v>49</v>
      </c>
      <c r="B48" s="13" t="str">
        <f>IFERROR(__xludf.DUMMYFUNCTION("GOOGLETRANSLATE(A48,""en"",""es"")"),"China")</f>
        <v>China</v>
      </c>
      <c r="C48" s="14"/>
      <c r="D48" s="17">
        <v>4.1924198E7</v>
      </c>
      <c r="E48" s="17">
        <v>4.3367394E7</v>
      </c>
      <c r="F48" s="17">
        <v>4.3886104E7</v>
      </c>
      <c r="G48" s="17">
        <v>4.4127509E7</v>
      </c>
      <c r="H48" s="17">
        <v>4.4935169E7</v>
      </c>
      <c r="I48" s="17">
        <v>4.6993614E7</v>
      </c>
      <c r="J48" s="17" t="s">
        <v>6</v>
      </c>
    </row>
    <row r="49">
      <c r="A49" s="18" t="s">
        <v>50</v>
      </c>
      <c r="B49" s="13" t="str">
        <f>IFERROR(__xludf.DUMMYFUNCTION("GOOGLETRANSLATE(A49,""en"",""es"")"),"China, Hong Kong, Región Administrativa Especial")</f>
        <v>China, Hong Kong, Región Administrativa Especial</v>
      </c>
      <c r="C49" s="14"/>
      <c r="D49" s="16">
        <v>304885.783</v>
      </c>
      <c r="E49" s="16">
        <v>298642.69</v>
      </c>
      <c r="F49" s="16">
        <v>300316.094</v>
      </c>
      <c r="G49" s="16">
        <v>300223.38</v>
      </c>
      <c r="H49" s="16">
        <v>298196.724</v>
      </c>
      <c r="I49" s="16">
        <v>297934.015</v>
      </c>
      <c r="J49" s="16" t="s">
        <v>6</v>
      </c>
    </row>
    <row r="50">
      <c r="A50" s="18" t="s">
        <v>51</v>
      </c>
      <c r="B50" s="13" t="str">
        <f>IFERROR(__xludf.DUMMYFUNCTION("GOOGLETRANSLATE(A50,""en"",""es"")"),"China, Macao, Región Administrativa Especial")</f>
        <v>China, Macao, Región Administrativa Especial</v>
      </c>
      <c r="C50" s="14"/>
      <c r="D50" s="17">
        <v>29521.0</v>
      </c>
      <c r="E50" s="17">
        <v>30771.0</v>
      </c>
      <c r="F50" s="17">
        <v>31970.0</v>
      </c>
      <c r="G50" s="17">
        <v>32750.0</v>
      </c>
      <c r="H50" s="17">
        <v>33098.0</v>
      </c>
      <c r="I50" s="17">
        <v>34279.0</v>
      </c>
      <c r="J50" s="17" t="s">
        <v>6</v>
      </c>
    </row>
    <row r="51">
      <c r="A51" s="15" t="s">
        <v>52</v>
      </c>
      <c r="B51" s="13" t="str">
        <f>IFERROR(__xludf.DUMMYFUNCTION("GOOGLETRANSLATE(A51,""en"",""es"")"),"Colombia")</f>
        <v>Colombia</v>
      </c>
      <c r="C51" s="14"/>
      <c r="D51" s="16">
        <v>2220652.0</v>
      </c>
      <c r="E51" s="16">
        <v>2293550.0</v>
      </c>
      <c r="F51" s="16">
        <v>2394434.0</v>
      </c>
      <c r="G51" s="16">
        <v>2446314.0</v>
      </c>
      <c r="H51" s="16">
        <v>2408041.0</v>
      </c>
      <c r="I51" s="16" t="s">
        <v>6</v>
      </c>
      <c r="J51" s="16" t="s">
        <v>6</v>
      </c>
    </row>
    <row r="52">
      <c r="A52" s="15" t="s">
        <v>53</v>
      </c>
      <c r="B52" s="13" t="str">
        <f>IFERROR(__xludf.DUMMYFUNCTION("GOOGLETRANSLATE(A52,""en"",""es"")"),"Comoras")</f>
        <v>Comoras</v>
      </c>
      <c r="C52" s="14"/>
      <c r="D52" s="17">
        <v>6499.0</v>
      </c>
      <c r="E52" s="17" t="s">
        <v>6</v>
      </c>
      <c r="F52" s="17" t="s">
        <v>6</v>
      </c>
      <c r="G52" s="17" t="s">
        <v>6</v>
      </c>
      <c r="H52" s="17" t="s">
        <v>6</v>
      </c>
      <c r="I52" s="17" t="s">
        <v>6</v>
      </c>
      <c r="J52" s="17" t="s">
        <v>6</v>
      </c>
    </row>
    <row r="53">
      <c r="A53" s="15" t="s">
        <v>54</v>
      </c>
      <c r="B53" s="13" t="str">
        <f>IFERROR(__xludf.DUMMYFUNCTION("GOOGLETRANSLATE(A53,""en"",""es"")"),"Congo")</f>
        <v>Congo</v>
      </c>
      <c r="C53" s="14"/>
      <c r="D53" s="16" t="s">
        <v>6</v>
      </c>
      <c r="E53" s="16" t="s">
        <v>6</v>
      </c>
      <c r="F53" s="16" t="s">
        <v>6</v>
      </c>
      <c r="G53" s="16">
        <v>54821.0</v>
      </c>
      <c r="H53" s="16" t="s">
        <v>6</v>
      </c>
      <c r="I53" s="16" t="s">
        <v>6</v>
      </c>
      <c r="J53" s="16" t="s">
        <v>6</v>
      </c>
    </row>
    <row r="54">
      <c r="A54" s="15" t="s">
        <v>55</v>
      </c>
      <c r="B54" s="13" t="str">
        <f>IFERROR(__xludf.DUMMYFUNCTION("GOOGLETRANSLATE(A54,""en"",""es"")"),"Islas Cook")</f>
        <v>Islas Cook</v>
      </c>
      <c r="C54" s="14"/>
      <c r="D54" s="17" t="s">
        <v>6</v>
      </c>
      <c r="E54" s="17" t="s">
        <v>6</v>
      </c>
      <c r="F54" s="17" t="s">
        <v>6</v>
      </c>
      <c r="G54" s="17" t="s">
        <v>6</v>
      </c>
      <c r="H54" s="17" t="s">
        <v>6</v>
      </c>
      <c r="I54" s="17" t="s">
        <v>6</v>
      </c>
      <c r="J54" s="17" t="s">
        <v>6</v>
      </c>
    </row>
    <row r="55">
      <c r="A55" s="15" t="s">
        <v>56</v>
      </c>
      <c r="B55" s="13" t="str">
        <f>IFERROR(__xludf.DUMMYFUNCTION("GOOGLETRANSLATE(A55,""en"",""es"")"),"Costa Rica")</f>
        <v>Costa Rica</v>
      </c>
      <c r="C55" s="14"/>
      <c r="D55" s="16">
        <v>216751.0</v>
      </c>
      <c r="E55" s="16">
        <v>217841.0</v>
      </c>
      <c r="F55" s="16">
        <v>217550.0</v>
      </c>
      <c r="G55" s="16">
        <v>222707.0</v>
      </c>
      <c r="H55" s="16">
        <v>216700.0</v>
      </c>
      <c r="I55" s="16">
        <v>221811.0</v>
      </c>
      <c r="J55" s="16" t="s">
        <v>6</v>
      </c>
    </row>
    <row r="56">
      <c r="A56" s="15" t="s">
        <v>57</v>
      </c>
      <c r="B56" s="13" t="str">
        <f>IFERROR(__xludf.DUMMYFUNCTION("GOOGLETRANSLATE(A56,""en"",""es"")"),"Costa de Marfil")</f>
        <v>Costa de Marfil</v>
      </c>
      <c r="C56" s="14"/>
      <c r="D56" s="17">
        <v>176504.0</v>
      </c>
      <c r="E56" s="17">
        <v>192689.0</v>
      </c>
      <c r="F56" s="17">
        <v>202509.0</v>
      </c>
      <c r="G56" s="17">
        <v>217914.0</v>
      </c>
      <c r="H56" s="17" t="s">
        <v>6</v>
      </c>
      <c r="I56" s="17" t="s">
        <v>6</v>
      </c>
      <c r="J56" s="17" t="s">
        <v>6</v>
      </c>
    </row>
    <row r="57">
      <c r="A57" s="15" t="s">
        <v>58</v>
      </c>
      <c r="B57" s="13" t="str">
        <f>IFERROR(__xludf.DUMMYFUNCTION("GOOGLETRANSLATE(A57,""en"",""es"")"),"Croacia")</f>
        <v>Croacia</v>
      </c>
      <c r="C57" s="14"/>
      <c r="D57" s="16">
        <v>166061.0</v>
      </c>
      <c r="E57" s="16">
        <v>162022.0</v>
      </c>
      <c r="F57" s="16">
        <v>162017.0</v>
      </c>
      <c r="G57" s="16">
        <v>165197.0</v>
      </c>
      <c r="H57" s="16">
        <v>164826.0</v>
      </c>
      <c r="I57" s="16" t="s">
        <v>6</v>
      </c>
      <c r="J57" s="16" t="s">
        <v>6</v>
      </c>
    </row>
    <row r="58">
      <c r="A58" s="15" t="s">
        <v>59</v>
      </c>
      <c r="B58" s="13" t="str">
        <f>IFERROR(__xludf.DUMMYFUNCTION("GOOGLETRANSLATE(A58,""en"",""es"")"),"Cuba")</f>
        <v>Cuba</v>
      </c>
      <c r="C58" s="14"/>
      <c r="D58" s="17">
        <v>301773.0</v>
      </c>
      <c r="E58" s="17">
        <v>261413.0</v>
      </c>
      <c r="F58" s="17">
        <v>244943.0</v>
      </c>
      <c r="G58" s="17">
        <v>286542.0</v>
      </c>
      <c r="H58" s="17">
        <v>296028.0</v>
      </c>
      <c r="I58" s="17" t="s">
        <v>6</v>
      </c>
      <c r="J58" s="17" t="s">
        <v>6</v>
      </c>
    </row>
    <row r="59">
      <c r="A59" s="15" t="s">
        <v>60</v>
      </c>
      <c r="B59" s="13" t="str">
        <f>IFERROR(__xludf.DUMMYFUNCTION("GOOGLETRANSLATE(A59,""en"",""es"")"),"Curaçao")</f>
        <v>Curaçao</v>
      </c>
      <c r="C59" s="14"/>
      <c r="D59" s="16" t="s">
        <v>6</v>
      </c>
      <c r="E59" s="16" t="s">
        <v>6</v>
      </c>
      <c r="F59" s="16" t="s">
        <v>6</v>
      </c>
      <c r="G59" s="16" t="s">
        <v>6</v>
      </c>
      <c r="H59" s="16" t="s">
        <v>6</v>
      </c>
      <c r="I59" s="16" t="s">
        <v>6</v>
      </c>
      <c r="J59" s="16" t="s">
        <v>6</v>
      </c>
    </row>
    <row r="60">
      <c r="A60" s="15" t="s">
        <v>61</v>
      </c>
      <c r="B60" s="13" t="str">
        <f>IFERROR(__xludf.DUMMYFUNCTION("GOOGLETRANSLATE(A60,""en"",""es"")"),"Chipre")</f>
        <v>Chipre</v>
      </c>
      <c r="C60" s="14"/>
      <c r="D60" s="17">
        <v>33674.0</v>
      </c>
      <c r="E60" s="17">
        <v>37166.0</v>
      </c>
      <c r="F60" s="17">
        <v>40347.0</v>
      </c>
      <c r="G60" s="17">
        <v>45263.0</v>
      </c>
      <c r="H60" s="17">
        <v>47169.0</v>
      </c>
      <c r="I60" s="17" t="s">
        <v>6</v>
      </c>
      <c r="J60" s="17" t="s">
        <v>6</v>
      </c>
    </row>
    <row r="61">
      <c r="A61" s="15" t="s">
        <v>62</v>
      </c>
      <c r="B61" s="13" t="str">
        <f>IFERROR(__xludf.DUMMYFUNCTION("GOOGLETRANSLATE(A61,""en"",""es"")"),"Chequia")</f>
        <v>Chequia</v>
      </c>
      <c r="C61" s="14"/>
      <c r="D61" s="16">
        <v>418624.0</v>
      </c>
      <c r="E61" s="16">
        <v>395529.0</v>
      </c>
      <c r="F61" s="16">
        <v>371948.0</v>
      </c>
      <c r="G61" s="16">
        <v>352873.0</v>
      </c>
      <c r="H61" s="16">
        <v>329036.0</v>
      </c>
      <c r="I61" s="16" t="s">
        <v>6</v>
      </c>
      <c r="J61" s="16" t="s">
        <v>6</v>
      </c>
    </row>
    <row r="62">
      <c r="A62" s="18" t="s">
        <v>63</v>
      </c>
      <c r="B62" s="13" t="str">
        <f>IFERROR(__xludf.DUMMYFUNCTION("GOOGLETRANSLATE(A62,""en"",""es"")"),"República Popular Democrática de Corea")</f>
        <v>República Popular Democrática de Corea</v>
      </c>
      <c r="C62" s="14"/>
      <c r="D62" s="17" t="s">
        <v>6</v>
      </c>
      <c r="E62" s="17">
        <v>565350.0</v>
      </c>
      <c r="F62" s="17" t="s">
        <v>6</v>
      </c>
      <c r="G62" s="17" t="s">
        <v>6</v>
      </c>
      <c r="H62" s="17">
        <v>526400.0</v>
      </c>
      <c r="I62" s="17" t="s">
        <v>6</v>
      </c>
      <c r="J62" s="17" t="s">
        <v>6</v>
      </c>
    </row>
    <row r="63">
      <c r="A63" s="18" t="s">
        <v>64</v>
      </c>
      <c r="B63" s="13" t="str">
        <f>IFERROR(__xludf.DUMMYFUNCTION("GOOGLETRANSLATE(A63,""en"",""es"")"),"República Democrática del Congo")</f>
        <v>República Democrática del Congo</v>
      </c>
      <c r="C63" s="14"/>
      <c r="D63" s="16" t="s">
        <v>6</v>
      </c>
      <c r="E63" s="16" t="s">
        <v>6</v>
      </c>
      <c r="F63" s="16">
        <v>464678.0</v>
      </c>
      <c r="G63" s="16" t="s">
        <v>6</v>
      </c>
      <c r="H63" s="16" t="s">
        <v>6</v>
      </c>
      <c r="I63" s="16" t="s">
        <v>6</v>
      </c>
      <c r="J63" s="16" t="s">
        <v>6</v>
      </c>
    </row>
    <row r="64">
      <c r="A64" s="15" t="s">
        <v>65</v>
      </c>
      <c r="B64" s="13" t="str">
        <f>IFERROR(__xludf.DUMMYFUNCTION("GOOGLETRANSLATE(A64,""en"",""es"")"),"Dinamarca")</f>
        <v>Dinamarca</v>
      </c>
      <c r="C64" s="14"/>
      <c r="D64" s="17">
        <v>301399.0</v>
      </c>
      <c r="E64" s="17">
        <v>313756.0</v>
      </c>
      <c r="F64" s="17">
        <v>314822.0</v>
      </c>
      <c r="G64" s="17">
        <v>312379.0</v>
      </c>
      <c r="H64" s="17">
        <v>310903.0</v>
      </c>
      <c r="I64" s="17" t="s">
        <v>6</v>
      </c>
      <c r="J64" s="17" t="s">
        <v>6</v>
      </c>
    </row>
    <row r="65">
      <c r="A65" s="15" t="s">
        <v>66</v>
      </c>
      <c r="B65" s="13" t="str">
        <f>IFERROR(__xludf.DUMMYFUNCTION("GOOGLETRANSLATE(A65,""en"",""es"")"),"Djibouti")</f>
        <v>Djibouti</v>
      </c>
      <c r="C65" s="14"/>
      <c r="D65" s="16" t="s">
        <v>6</v>
      </c>
      <c r="E65" s="16" t="s">
        <v>6</v>
      </c>
      <c r="F65" s="16" t="s">
        <v>6</v>
      </c>
      <c r="G65" s="16" t="s">
        <v>6</v>
      </c>
      <c r="H65" s="16" t="s">
        <v>6</v>
      </c>
      <c r="I65" s="16" t="s">
        <v>6</v>
      </c>
      <c r="J65" s="16" t="s">
        <v>6</v>
      </c>
    </row>
    <row r="66">
      <c r="A66" s="15" t="s">
        <v>67</v>
      </c>
      <c r="B66" s="13" t="str">
        <f>IFERROR(__xludf.DUMMYFUNCTION("GOOGLETRANSLATE(A66,""en"",""es"")"),"dominica")</f>
        <v>dominica</v>
      </c>
      <c r="C66" s="14"/>
      <c r="D66" s="17" t="s">
        <v>6</v>
      </c>
      <c r="E66" s="17" t="s">
        <v>6</v>
      </c>
      <c r="F66" s="17" t="s">
        <v>6</v>
      </c>
      <c r="G66" s="17" t="s">
        <v>6</v>
      </c>
      <c r="H66" s="17" t="s">
        <v>6</v>
      </c>
      <c r="I66" s="17" t="s">
        <v>6</v>
      </c>
      <c r="J66" s="17" t="s">
        <v>6</v>
      </c>
    </row>
    <row r="67">
      <c r="A67" s="18" t="s">
        <v>68</v>
      </c>
      <c r="B67" s="13" t="str">
        <f>IFERROR(__xludf.DUMMYFUNCTION("GOOGLETRANSLATE(A67,""en"",""es"")"),"República Dominicana")</f>
        <v>República Dominicana</v>
      </c>
      <c r="C67" s="14"/>
      <c r="D67" s="16">
        <v>455822.0</v>
      </c>
      <c r="E67" s="16">
        <v>480103.0</v>
      </c>
      <c r="F67" s="16">
        <v>505936.0</v>
      </c>
      <c r="G67" s="16">
        <v>556523.0</v>
      </c>
      <c r="H67" s="16" t="s">
        <v>6</v>
      </c>
      <c r="I67" s="16" t="s">
        <v>6</v>
      </c>
      <c r="J67" s="16" t="s">
        <v>6</v>
      </c>
    </row>
    <row r="68">
      <c r="A68" s="15" t="s">
        <v>69</v>
      </c>
      <c r="B68" s="13" t="str">
        <f>IFERROR(__xludf.DUMMYFUNCTION("GOOGLETRANSLATE(A68,""en"",""es"")"),"Ecuador")</f>
        <v>Ecuador</v>
      </c>
      <c r="C68" s="14"/>
      <c r="D68" s="17" t="s">
        <v>6</v>
      </c>
      <c r="E68" s="17">
        <v>669437.0</v>
      </c>
      <c r="F68" s="17" t="s">
        <v>6</v>
      </c>
      <c r="G68" s="17" t="s">
        <v>6</v>
      </c>
      <c r="H68" s="17" t="s">
        <v>6</v>
      </c>
      <c r="I68" s="17" t="s">
        <v>6</v>
      </c>
      <c r="J68" s="17" t="s">
        <v>6</v>
      </c>
    </row>
    <row r="69">
      <c r="A69" s="15" t="s">
        <v>70</v>
      </c>
      <c r="B69" s="13" t="str">
        <f>IFERROR(__xludf.DUMMYFUNCTION("GOOGLETRANSLATE(A69,""en"",""es"")"),"Egipto")</f>
        <v>Egipto</v>
      </c>
      <c r="C69" s="14"/>
      <c r="D69" s="16">
        <v>2544107.0</v>
      </c>
      <c r="E69" s="16">
        <v>2868912.0</v>
      </c>
      <c r="F69" s="16">
        <v>2789278.0</v>
      </c>
      <c r="G69" s="16">
        <v>2914473.0</v>
      </c>
      <c r="H69" s="16" t="s">
        <v>6</v>
      </c>
      <c r="I69" s="16" t="s">
        <v>6</v>
      </c>
      <c r="J69" s="16" t="s">
        <v>6</v>
      </c>
    </row>
    <row r="70">
      <c r="A70" s="15" t="s">
        <v>71</v>
      </c>
      <c r="B70" s="13" t="str">
        <f>IFERROR(__xludf.DUMMYFUNCTION("GOOGLETRANSLATE(A70,""en"",""es"")"),"El Salvador")</f>
        <v>El Salvador</v>
      </c>
      <c r="C70" s="14"/>
      <c r="D70" s="17">
        <v>176293.0</v>
      </c>
      <c r="E70" s="17">
        <v>179396.0</v>
      </c>
      <c r="F70" s="17">
        <v>180955.0</v>
      </c>
      <c r="G70" s="17">
        <v>186067.0</v>
      </c>
      <c r="H70" s="17">
        <v>190519.0</v>
      </c>
      <c r="I70" s="17" t="s">
        <v>6</v>
      </c>
      <c r="J70" s="17" t="s">
        <v>6</v>
      </c>
    </row>
    <row r="71">
      <c r="A71" s="15" t="s">
        <v>72</v>
      </c>
      <c r="B71" s="13" t="str">
        <f>IFERROR(__xludf.DUMMYFUNCTION("GOOGLETRANSLATE(A71,""en"",""es"")"),"Guinea Ecuatorial")</f>
        <v>Guinea Ecuatorial</v>
      </c>
      <c r="C71" s="14"/>
      <c r="D71" s="16" t="s">
        <v>6</v>
      </c>
      <c r="E71" s="16" t="s">
        <v>6</v>
      </c>
      <c r="F71" s="16" t="s">
        <v>6</v>
      </c>
      <c r="G71" s="16" t="s">
        <v>6</v>
      </c>
      <c r="H71" s="16" t="s">
        <v>6</v>
      </c>
      <c r="I71" s="16" t="s">
        <v>6</v>
      </c>
      <c r="J71" s="16" t="s">
        <v>6</v>
      </c>
    </row>
    <row r="72">
      <c r="A72" s="15" t="s">
        <v>73</v>
      </c>
      <c r="B72" s="13" t="str">
        <f>IFERROR(__xludf.DUMMYFUNCTION("GOOGLETRANSLATE(A72,""en"",""es"")"),"Eritrea")</f>
        <v>Eritrea</v>
      </c>
      <c r="C72" s="14"/>
      <c r="D72" s="17">
        <v>12554.0</v>
      </c>
      <c r="E72" s="17">
        <v>10938.0</v>
      </c>
      <c r="F72" s="17">
        <v>10231.0</v>
      </c>
      <c r="G72" s="17" t="s">
        <v>6</v>
      </c>
      <c r="H72" s="17" t="s">
        <v>6</v>
      </c>
      <c r="I72" s="17" t="s">
        <v>6</v>
      </c>
      <c r="J72" s="17" t="s">
        <v>6</v>
      </c>
    </row>
    <row r="73">
      <c r="A73" s="15" t="s">
        <v>74</v>
      </c>
      <c r="B73" s="13" t="str">
        <f>IFERROR(__xludf.DUMMYFUNCTION("GOOGLETRANSLATE(A73,""en"",""es"")"),"Estonia")</f>
        <v>Estonia</v>
      </c>
      <c r="C73" s="14"/>
      <c r="D73" s="16">
        <v>59998.0</v>
      </c>
      <c r="E73" s="16">
        <v>55214.0</v>
      </c>
      <c r="F73" s="16">
        <v>51092.0</v>
      </c>
      <c r="G73" s="16">
        <v>47794.0</v>
      </c>
      <c r="H73" s="16">
        <v>45773.416</v>
      </c>
      <c r="I73" s="16" t="s">
        <v>6</v>
      </c>
      <c r="J73" s="16" t="s">
        <v>6</v>
      </c>
    </row>
    <row r="74">
      <c r="A74" s="15" t="s">
        <v>75</v>
      </c>
      <c r="B74" s="13" t="str">
        <f>IFERROR(__xludf.DUMMYFUNCTION("GOOGLETRANSLATE(A74,""en"",""es"")"),"Eswatini")</f>
        <v>Eswatini</v>
      </c>
      <c r="C74" s="14"/>
      <c r="D74" s="17" t="s">
        <v>6</v>
      </c>
      <c r="E74" s="17" t="s">
        <v>6</v>
      </c>
      <c r="F74" s="17" t="s">
        <v>6</v>
      </c>
      <c r="G74" s="17" t="s">
        <v>6</v>
      </c>
      <c r="H74" s="17" t="s">
        <v>6</v>
      </c>
      <c r="I74" s="17" t="s">
        <v>6</v>
      </c>
      <c r="J74" s="17" t="s">
        <v>6</v>
      </c>
    </row>
    <row r="75">
      <c r="A75" s="15" t="s">
        <v>76</v>
      </c>
      <c r="B75" s="13" t="str">
        <f>IFERROR(__xludf.DUMMYFUNCTION("GOOGLETRANSLATE(A75,""en"",""es"")"),"Etiopía")</f>
        <v>Etiopía</v>
      </c>
      <c r="C75" s="14"/>
      <c r="D75" s="16">
        <v>757175.0</v>
      </c>
      <c r="E75" s="16" t="s">
        <v>6</v>
      </c>
      <c r="F75" s="16" t="s">
        <v>6</v>
      </c>
      <c r="G75" s="16" t="s">
        <v>6</v>
      </c>
      <c r="H75" s="16" t="s">
        <v>6</v>
      </c>
      <c r="I75" s="16" t="s">
        <v>6</v>
      </c>
      <c r="J75" s="16" t="s">
        <v>6</v>
      </c>
    </row>
    <row r="76">
      <c r="A76" s="15" t="s">
        <v>77</v>
      </c>
      <c r="B76" s="13" t="str">
        <f>IFERROR(__xludf.DUMMYFUNCTION("GOOGLETRANSLATE(A76,""en"",""es"")"),"Islas Feroe")</f>
        <v>Islas Feroe</v>
      </c>
      <c r="C76" s="14"/>
      <c r="D76" s="17" t="s">
        <v>6</v>
      </c>
      <c r="E76" s="17" t="s">
        <v>6</v>
      </c>
      <c r="F76" s="17" t="s">
        <v>6</v>
      </c>
      <c r="G76" s="17" t="s">
        <v>6</v>
      </c>
      <c r="H76" s="17" t="s">
        <v>6</v>
      </c>
      <c r="I76" s="17" t="s">
        <v>6</v>
      </c>
      <c r="J76" s="17" t="s">
        <v>6</v>
      </c>
    </row>
    <row r="77">
      <c r="A77" s="18" t="s">
        <v>78</v>
      </c>
      <c r="B77" s="13" t="str">
        <f>IFERROR(__xludf.DUMMYFUNCTION("GOOGLETRANSLATE(A77,""en"",""es"")"),"Islas Malvinas (Falkland)")</f>
        <v>Islas Malvinas (Falkland)</v>
      </c>
      <c r="C77" s="14"/>
      <c r="D77" s="16" t="s">
        <v>6</v>
      </c>
      <c r="E77" s="16" t="s">
        <v>6</v>
      </c>
      <c r="F77" s="16" t="s">
        <v>6</v>
      </c>
      <c r="G77" s="16" t="s">
        <v>6</v>
      </c>
      <c r="H77" s="16" t="s">
        <v>6</v>
      </c>
      <c r="I77" s="16" t="s">
        <v>6</v>
      </c>
      <c r="J77" s="16" t="s">
        <v>6</v>
      </c>
    </row>
    <row r="78">
      <c r="A78" s="15" t="s">
        <v>79</v>
      </c>
      <c r="B78" s="13" t="str">
        <f>IFERROR(__xludf.DUMMYFUNCTION("GOOGLETRANSLATE(A78,""en"",""es"")"),"Fiji")</f>
        <v>Fiji</v>
      </c>
      <c r="C78" s="14"/>
      <c r="D78" s="17" t="s">
        <v>6</v>
      </c>
      <c r="E78" s="17" t="s">
        <v>6</v>
      </c>
      <c r="F78" s="17" t="s">
        <v>6</v>
      </c>
      <c r="G78" s="17" t="s">
        <v>6</v>
      </c>
      <c r="H78" s="17" t="s">
        <v>6</v>
      </c>
      <c r="I78" s="17" t="s">
        <v>6</v>
      </c>
      <c r="J78" s="17" t="s">
        <v>6</v>
      </c>
    </row>
    <row r="79">
      <c r="A79" s="15" t="s">
        <v>80</v>
      </c>
      <c r="B79" s="13" t="str">
        <f>IFERROR(__xludf.DUMMYFUNCTION("GOOGLETRANSLATE(A79,""en"",""es"")"),"Finlandia")</f>
        <v>Finlandia</v>
      </c>
      <c r="C79" s="14"/>
      <c r="D79" s="16">
        <v>306080.0</v>
      </c>
      <c r="E79" s="16">
        <v>302478.0</v>
      </c>
      <c r="F79" s="16">
        <v>297163.0</v>
      </c>
      <c r="G79" s="16">
        <v>295528.0</v>
      </c>
      <c r="H79" s="16">
        <v>294516.0</v>
      </c>
      <c r="I79" s="16" t="s">
        <v>6</v>
      </c>
      <c r="J79" s="16" t="s">
        <v>6</v>
      </c>
    </row>
    <row r="80">
      <c r="A80" s="15" t="s">
        <v>81</v>
      </c>
      <c r="B80" s="13" t="str">
        <f>IFERROR(__xludf.DUMMYFUNCTION("GOOGLETRANSLATE(A80,""en"",""es"")"),"Francia")</f>
        <v>Francia</v>
      </c>
      <c r="C80" s="14"/>
      <c r="D80" s="17">
        <v>2388880.0</v>
      </c>
      <c r="E80" s="17">
        <v>2424158.0</v>
      </c>
      <c r="F80" s="17">
        <v>2480186.0</v>
      </c>
      <c r="G80" s="17">
        <v>2532831.0</v>
      </c>
      <c r="H80" s="17">
        <v>2618729.0</v>
      </c>
      <c r="I80" s="17" t="s">
        <v>6</v>
      </c>
      <c r="J80" s="17" t="s">
        <v>6</v>
      </c>
    </row>
    <row r="81">
      <c r="A81" s="15" t="s">
        <v>82</v>
      </c>
      <c r="B81" s="13" t="str">
        <f>IFERROR(__xludf.DUMMYFUNCTION("GOOGLETRANSLATE(A81,""en"",""es"")"),"Guayana francés")</f>
        <v>Guayana francés</v>
      </c>
      <c r="C81" s="14"/>
      <c r="D81" s="16" t="s">
        <v>6</v>
      </c>
      <c r="E81" s="16" t="s">
        <v>6</v>
      </c>
      <c r="F81" s="16" t="s">
        <v>6</v>
      </c>
      <c r="G81" s="16" t="s">
        <v>6</v>
      </c>
      <c r="H81" s="16" t="s">
        <v>6</v>
      </c>
      <c r="I81" s="16" t="s">
        <v>6</v>
      </c>
      <c r="J81" s="16" t="s">
        <v>6</v>
      </c>
    </row>
    <row r="82">
      <c r="A82" s="15" t="s">
        <v>83</v>
      </c>
      <c r="B82" s="13" t="str">
        <f>IFERROR(__xludf.DUMMYFUNCTION("GOOGLETRANSLATE(A82,""en"",""es"")"),"Polinesia francés")</f>
        <v>Polinesia francés</v>
      </c>
      <c r="C82" s="14"/>
      <c r="D82" s="17" t="s">
        <v>6</v>
      </c>
      <c r="E82" s="17" t="s">
        <v>6</v>
      </c>
      <c r="F82" s="17" t="s">
        <v>6</v>
      </c>
      <c r="G82" s="17" t="s">
        <v>6</v>
      </c>
      <c r="H82" s="17" t="s">
        <v>6</v>
      </c>
      <c r="I82" s="17" t="s">
        <v>6</v>
      </c>
      <c r="J82" s="17" t="s">
        <v>6</v>
      </c>
    </row>
    <row r="83">
      <c r="A83" s="15" t="s">
        <v>84</v>
      </c>
      <c r="B83" s="13" t="str">
        <f>IFERROR(__xludf.DUMMYFUNCTION("GOOGLETRANSLATE(A83,""en"",""es"")"),"Gabón")</f>
        <v>Gabón</v>
      </c>
      <c r="C83" s="14"/>
      <c r="D83" s="16" t="s">
        <v>6</v>
      </c>
      <c r="E83" s="16" t="s">
        <v>6</v>
      </c>
      <c r="F83" s="16" t="s">
        <v>6</v>
      </c>
      <c r="G83" s="16" t="s">
        <v>6</v>
      </c>
      <c r="H83" s="16" t="s">
        <v>6</v>
      </c>
      <c r="I83" s="16" t="s">
        <v>6</v>
      </c>
      <c r="J83" s="16" t="s">
        <v>6</v>
      </c>
    </row>
    <row r="84">
      <c r="A84" s="15" t="s">
        <v>85</v>
      </c>
      <c r="B84" s="13" t="str">
        <f>IFERROR(__xludf.DUMMYFUNCTION("GOOGLETRANSLATE(A84,""en"",""es"")"),"Gambia")</f>
        <v>Gambia</v>
      </c>
      <c r="C84" s="14"/>
      <c r="D84" s="17" t="s">
        <v>6</v>
      </c>
      <c r="E84" s="17" t="s">
        <v>6</v>
      </c>
      <c r="F84" s="17" t="s">
        <v>6</v>
      </c>
      <c r="G84" s="17" t="s">
        <v>6</v>
      </c>
      <c r="H84" s="17" t="s">
        <v>6</v>
      </c>
      <c r="I84" s="17" t="s">
        <v>6</v>
      </c>
      <c r="J84" s="17" t="s">
        <v>6</v>
      </c>
    </row>
    <row r="85">
      <c r="A85" s="15" t="s">
        <v>86</v>
      </c>
      <c r="B85" s="13" t="str">
        <f>IFERROR(__xludf.DUMMYFUNCTION("GOOGLETRANSLATE(A85,""en"",""es"")"),"Georgia")</f>
        <v>Georgia</v>
      </c>
      <c r="C85" s="14"/>
      <c r="D85" s="16">
        <v>120923.0</v>
      </c>
      <c r="E85" s="16">
        <v>127633.0</v>
      </c>
      <c r="F85" s="16">
        <v>136709.0</v>
      </c>
      <c r="G85" s="16">
        <v>144337.0</v>
      </c>
      <c r="H85" s="16">
        <v>147785.0</v>
      </c>
      <c r="I85" s="16">
        <v>151226.0</v>
      </c>
      <c r="J85" s="16" t="s">
        <v>6</v>
      </c>
    </row>
    <row r="86">
      <c r="A86" s="15" t="s">
        <v>87</v>
      </c>
      <c r="B86" s="13" t="str">
        <f>IFERROR(__xludf.DUMMYFUNCTION("GOOGLETRANSLATE(A86,""en"",""es"")"),"Alemania")</f>
        <v>Alemania</v>
      </c>
      <c r="C86" s="14"/>
      <c r="D86" s="17">
        <v>2912203.435</v>
      </c>
      <c r="E86" s="17">
        <v>2977781.0</v>
      </c>
      <c r="F86" s="17">
        <v>3043084.0</v>
      </c>
      <c r="G86" s="17">
        <v>3091694.0</v>
      </c>
      <c r="H86" s="17">
        <v>3127927.0</v>
      </c>
      <c r="I86" s="17" t="s">
        <v>6</v>
      </c>
      <c r="J86" s="17" t="s">
        <v>6</v>
      </c>
    </row>
    <row r="87">
      <c r="A87" s="15" t="s">
        <v>88</v>
      </c>
      <c r="B87" s="13" t="str">
        <f>IFERROR(__xludf.DUMMYFUNCTION("GOOGLETRANSLATE(A87,""en"",""es"")"),"Ghana")</f>
        <v>Ghana</v>
      </c>
      <c r="C87" s="14"/>
      <c r="D87" s="16">
        <v>402142.0</v>
      </c>
      <c r="E87" s="16">
        <v>417534.0</v>
      </c>
      <c r="F87" s="16">
        <v>422122.0</v>
      </c>
      <c r="G87" s="16">
        <v>443978.0</v>
      </c>
      <c r="H87" s="16">
        <v>443693.0</v>
      </c>
      <c r="I87" s="16">
        <v>496148.0</v>
      </c>
      <c r="J87" s="16" t="s">
        <v>6</v>
      </c>
    </row>
    <row r="88">
      <c r="A88" s="15" t="s">
        <v>89</v>
      </c>
      <c r="B88" s="13" t="str">
        <f>IFERROR(__xludf.DUMMYFUNCTION("GOOGLETRANSLATE(A88,""en"",""es"")"),"Gibraltar")</f>
        <v>Gibraltar</v>
      </c>
      <c r="C88" s="14"/>
      <c r="D88" s="17" t="s">
        <v>6</v>
      </c>
      <c r="E88" s="17" t="s">
        <v>6</v>
      </c>
      <c r="F88" s="17" t="s">
        <v>6</v>
      </c>
      <c r="G88" s="17" t="s">
        <v>6</v>
      </c>
      <c r="H88" s="17" t="s">
        <v>6</v>
      </c>
      <c r="I88" s="17" t="s">
        <v>6</v>
      </c>
      <c r="J88" s="17" t="s">
        <v>6</v>
      </c>
    </row>
    <row r="89">
      <c r="A89" s="15" t="s">
        <v>90</v>
      </c>
      <c r="B89" s="13" t="str">
        <f>IFERROR(__xludf.DUMMYFUNCTION("GOOGLETRANSLATE(A89,""en"",""es"")"),"Grecia")</f>
        <v>Grecia</v>
      </c>
      <c r="C89" s="14"/>
      <c r="D89" s="16">
        <v>677429.0</v>
      </c>
      <c r="E89" s="16" t="s">
        <v>6</v>
      </c>
      <c r="F89" s="16">
        <v>709488.0</v>
      </c>
      <c r="G89" s="16">
        <v>735027.0</v>
      </c>
      <c r="H89" s="16">
        <v>766874.0</v>
      </c>
      <c r="I89" s="16" t="s">
        <v>6</v>
      </c>
      <c r="J89" s="16" t="s">
        <v>6</v>
      </c>
    </row>
    <row r="90">
      <c r="A90" s="15" t="s">
        <v>91</v>
      </c>
      <c r="B90" s="13" t="str">
        <f>IFERROR(__xludf.DUMMYFUNCTION("GOOGLETRANSLATE(A90,""en"",""es"")"),"Groenlandia")</f>
        <v>Groenlandia</v>
      </c>
      <c r="C90" s="14"/>
      <c r="D90" s="17" t="s">
        <v>6</v>
      </c>
      <c r="E90" s="17" t="s">
        <v>6</v>
      </c>
      <c r="F90" s="17" t="s">
        <v>6</v>
      </c>
      <c r="G90" s="17" t="s">
        <v>6</v>
      </c>
      <c r="H90" s="17" t="s">
        <v>6</v>
      </c>
      <c r="I90" s="17" t="s">
        <v>6</v>
      </c>
      <c r="J90" s="17" t="s">
        <v>6</v>
      </c>
    </row>
    <row r="91">
      <c r="A91" s="15" t="s">
        <v>92</v>
      </c>
      <c r="B91" s="13" t="str">
        <f>IFERROR(__xludf.DUMMYFUNCTION("GOOGLETRANSLATE(A91,""en"",""es"")"),"Granada")</f>
        <v>Granada</v>
      </c>
      <c r="C91" s="14"/>
      <c r="D91" s="16" t="s">
        <v>6</v>
      </c>
      <c r="E91" s="16">
        <v>9236.0</v>
      </c>
      <c r="F91" s="16">
        <v>9091.0</v>
      </c>
      <c r="G91" s="16">
        <v>9182.0</v>
      </c>
      <c r="H91" s="16">
        <v>9260.0</v>
      </c>
      <c r="I91" s="16" t="s">
        <v>6</v>
      </c>
      <c r="J91" s="16" t="s">
        <v>6</v>
      </c>
    </row>
    <row r="92">
      <c r="A92" s="15" t="s">
        <v>93</v>
      </c>
      <c r="B92" s="13" t="str">
        <f>IFERROR(__xludf.DUMMYFUNCTION("GOOGLETRANSLATE(A92,""en"",""es"")"),"Guadalupe")</f>
        <v>Guadalupe</v>
      </c>
      <c r="C92" s="14"/>
      <c r="D92" s="17" t="s">
        <v>6</v>
      </c>
      <c r="E92" s="17" t="s">
        <v>6</v>
      </c>
      <c r="F92" s="17" t="s">
        <v>6</v>
      </c>
      <c r="G92" s="17" t="s">
        <v>6</v>
      </c>
      <c r="H92" s="17" t="s">
        <v>6</v>
      </c>
      <c r="I92" s="17" t="s">
        <v>6</v>
      </c>
      <c r="J92" s="17" t="s">
        <v>6</v>
      </c>
    </row>
    <row r="93">
      <c r="A93" s="15" t="s">
        <v>94</v>
      </c>
      <c r="B93" s="13" t="str">
        <f>IFERROR(__xludf.DUMMYFUNCTION("GOOGLETRANSLATE(A93,""en"",""es"")"),"Guam")</f>
        <v>Guam</v>
      </c>
      <c r="C93" s="14"/>
      <c r="D93" s="16" t="s">
        <v>6</v>
      </c>
      <c r="E93" s="16" t="s">
        <v>6</v>
      </c>
      <c r="F93" s="16" t="s">
        <v>6</v>
      </c>
      <c r="G93" s="16" t="s">
        <v>6</v>
      </c>
      <c r="H93" s="16" t="s">
        <v>6</v>
      </c>
      <c r="I93" s="16" t="s">
        <v>6</v>
      </c>
      <c r="J93" s="16" t="s">
        <v>6</v>
      </c>
    </row>
    <row r="94">
      <c r="A94" s="15" t="s">
        <v>95</v>
      </c>
      <c r="B94" s="13" t="str">
        <f>IFERROR(__xludf.DUMMYFUNCTION("GOOGLETRANSLATE(A94,""en"",""es"")"),"Guatemala")</f>
        <v>Guatemala</v>
      </c>
      <c r="C94" s="14"/>
      <c r="D94" s="17">
        <v>298761.0</v>
      </c>
      <c r="E94" s="17">
        <v>366674.0</v>
      </c>
      <c r="F94" s="17" t="s">
        <v>6</v>
      </c>
      <c r="G94" s="17" t="s">
        <v>6</v>
      </c>
      <c r="H94" s="17" t="s">
        <v>6</v>
      </c>
      <c r="I94" s="17" t="s">
        <v>6</v>
      </c>
      <c r="J94" s="17" t="s">
        <v>6</v>
      </c>
    </row>
    <row r="95">
      <c r="A95" s="15" t="s">
        <v>96</v>
      </c>
      <c r="B95" s="13" t="str">
        <f>IFERROR(__xludf.DUMMYFUNCTION("GOOGLETRANSLATE(A95,""en"",""es"")"),"Guernesey")</f>
        <v>Guernesey</v>
      </c>
      <c r="C95" s="14"/>
      <c r="D95" s="16" t="s">
        <v>6</v>
      </c>
      <c r="E95" s="16" t="s">
        <v>6</v>
      </c>
      <c r="F95" s="16" t="s">
        <v>6</v>
      </c>
      <c r="G95" s="16" t="s">
        <v>6</v>
      </c>
      <c r="H95" s="16" t="s">
        <v>6</v>
      </c>
      <c r="I95" s="16" t="s">
        <v>6</v>
      </c>
      <c r="J95" s="16" t="s">
        <v>6</v>
      </c>
    </row>
    <row r="96">
      <c r="A96" s="15" t="s">
        <v>97</v>
      </c>
      <c r="B96" s="13" t="str">
        <f>IFERROR(__xludf.DUMMYFUNCTION("GOOGLETRANSLATE(A96,""en"",""es"")"),"Guinea")</f>
        <v>Guinea</v>
      </c>
      <c r="C96" s="14"/>
      <c r="D96" s="17">
        <v>117943.0</v>
      </c>
      <c r="E96" s="17" t="s">
        <v>6</v>
      </c>
      <c r="F96" s="17" t="s">
        <v>6</v>
      </c>
      <c r="G96" s="17" t="s">
        <v>6</v>
      </c>
      <c r="H96" s="17" t="s">
        <v>6</v>
      </c>
      <c r="I96" s="17" t="s">
        <v>6</v>
      </c>
      <c r="J96" s="17" t="s">
        <v>6</v>
      </c>
    </row>
    <row r="97">
      <c r="A97" s="15" t="s">
        <v>98</v>
      </c>
      <c r="B97" s="13" t="str">
        <f>IFERROR(__xludf.DUMMYFUNCTION("GOOGLETRANSLATE(A97,""en"",""es"")"),"Guinea-Bissau")</f>
        <v>Guinea-Bissau</v>
      </c>
      <c r="C97" s="14"/>
      <c r="D97" s="16" t="s">
        <v>6</v>
      </c>
      <c r="E97" s="16" t="s">
        <v>6</v>
      </c>
      <c r="F97" s="16" t="s">
        <v>6</v>
      </c>
      <c r="G97" s="16" t="s">
        <v>6</v>
      </c>
      <c r="H97" s="16" t="s">
        <v>6</v>
      </c>
      <c r="I97" s="16" t="s">
        <v>6</v>
      </c>
      <c r="J97" s="16" t="s">
        <v>6</v>
      </c>
    </row>
    <row r="98">
      <c r="A98" s="15" t="s">
        <v>99</v>
      </c>
      <c r="B98" s="13" t="str">
        <f>IFERROR(__xludf.DUMMYFUNCTION("GOOGLETRANSLATE(A98,""en"",""es"")"),"Guayana")</f>
        <v>Guayana</v>
      </c>
      <c r="C98" s="14"/>
      <c r="D98" s="17" t="s">
        <v>6</v>
      </c>
      <c r="E98" s="17" t="s">
        <v>6</v>
      </c>
      <c r="F98" s="17" t="s">
        <v>6</v>
      </c>
      <c r="G98" s="17" t="s">
        <v>6</v>
      </c>
      <c r="H98" s="17" t="s">
        <v>6</v>
      </c>
      <c r="I98" s="17" t="s">
        <v>6</v>
      </c>
      <c r="J98" s="17" t="s">
        <v>6</v>
      </c>
    </row>
    <row r="99">
      <c r="A99" s="15" t="s">
        <v>100</v>
      </c>
      <c r="B99" s="13" t="str">
        <f>IFERROR(__xludf.DUMMYFUNCTION("GOOGLETRANSLATE(A99,""en"",""es"")"),"Haití")</f>
        <v>Haití</v>
      </c>
      <c r="C99" s="14"/>
      <c r="D99" s="16" t="s">
        <v>6</v>
      </c>
      <c r="E99" s="16" t="s">
        <v>6</v>
      </c>
      <c r="F99" s="16" t="s">
        <v>6</v>
      </c>
      <c r="G99" s="16" t="s">
        <v>6</v>
      </c>
      <c r="H99" s="16" t="s">
        <v>6</v>
      </c>
      <c r="I99" s="16" t="s">
        <v>6</v>
      </c>
      <c r="J99" s="16" t="s">
        <v>6</v>
      </c>
    </row>
    <row r="100">
      <c r="A100" s="15" t="s">
        <v>101</v>
      </c>
      <c r="B100" s="13" t="str">
        <f>IFERROR(__xludf.DUMMYFUNCTION("GOOGLETRANSLATE(A100,""en"",""es"")"),"Santa Sede")</f>
        <v>Santa Sede</v>
      </c>
      <c r="C100" s="14"/>
      <c r="D100" s="17" t="s">
        <v>6</v>
      </c>
      <c r="E100" s="17" t="s">
        <v>6</v>
      </c>
      <c r="F100" s="17" t="s">
        <v>6</v>
      </c>
      <c r="G100" s="17" t="s">
        <v>6</v>
      </c>
      <c r="H100" s="17" t="s">
        <v>6</v>
      </c>
      <c r="I100" s="17" t="s">
        <v>6</v>
      </c>
      <c r="J100" s="17" t="s">
        <v>6</v>
      </c>
    </row>
    <row r="101">
      <c r="A101" s="15" t="s">
        <v>102</v>
      </c>
      <c r="B101" s="13" t="str">
        <f>IFERROR(__xludf.DUMMYFUNCTION("GOOGLETRANSLATE(A101,""en"",""es"")"),"Honduras")</f>
        <v>Honduras</v>
      </c>
      <c r="C101" s="14"/>
      <c r="D101" s="16">
        <v>185876.0</v>
      </c>
      <c r="E101" s="16">
        <v>195469.0</v>
      </c>
      <c r="F101" s="16">
        <v>205797.0</v>
      </c>
      <c r="G101" s="16">
        <v>244548.0</v>
      </c>
      <c r="H101" s="16">
        <v>266908.0</v>
      </c>
      <c r="I101" s="16" t="s">
        <v>6</v>
      </c>
      <c r="J101" s="16" t="s">
        <v>6</v>
      </c>
    </row>
    <row r="102">
      <c r="A102" s="15" t="s">
        <v>103</v>
      </c>
      <c r="B102" s="13" t="str">
        <f>IFERROR(__xludf.DUMMYFUNCTION("GOOGLETRANSLATE(A102,""en"",""es"")"),"Hungría")</f>
        <v>Hungría</v>
      </c>
      <c r="C102" s="14"/>
      <c r="D102" s="17">
        <v>329455.0</v>
      </c>
      <c r="E102" s="17">
        <v>307729.0</v>
      </c>
      <c r="F102" s="17">
        <v>295328.0</v>
      </c>
      <c r="G102" s="17">
        <v>287018.0</v>
      </c>
      <c r="H102" s="17">
        <v>283350.0</v>
      </c>
      <c r="I102" s="17" t="s">
        <v>6</v>
      </c>
      <c r="J102" s="17" t="s">
        <v>6</v>
      </c>
    </row>
    <row r="103">
      <c r="A103" s="15" t="s">
        <v>104</v>
      </c>
      <c r="B103" s="13" t="str">
        <f>IFERROR(__xludf.DUMMYFUNCTION("GOOGLETRANSLATE(A103,""en"",""es"")"),"Islandia")</f>
        <v>Islandia</v>
      </c>
      <c r="C103" s="14"/>
      <c r="D103" s="16">
        <v>19901.0</v>
      </c>
      <c r="E103" s="16">
        <v>18940.0</v>
      </c>
      <c r="F103" s="16">
        <v>18590.0</v>
      </c>
      <c r="G103" s="16">
        <v>17967.0</v>
      </c>
      <c r="H103" s="16">
        <v>17835.0</v>
      </c>
      <c r="I103" s="16" t="s">
        <v>6</v>
      </c>
      <c r="J103" s="16" t="s">
        <v>6</v>
      </c>
    </row>
    <row r="104">
      <c r="A104" s="15" t="s">
        <v>105</v>
      </c>
      <c r="B104" s="13" t="str">
        <f>IFERROR(__xludf.DUMMYFUNCTION("GOOGLETRANSLATE(A104,""en"",""es"")"),"India")</f>
        <v>India</v>
      </c>
      <c r="C104" s="14"/>
      <c r="D104" s="17">
        <v>3.0305849E7</v>
      </c>
      <c r="E104" s="17">
        <v>3.2107419E7</v>
      </c>
      <c r="F104" s="17">
        <v>3.23918E7</v>
      </c>
      <c r="G104" s="17">
        <v>3.3374107E7</v>
      </c>
      <c r="H104" s="17">
        <v>3.4337594E7</v>
      </c>
      <c r="I104" s="17">
        <v>3.5148118E7</v>
      </c>
      <c r="J104" s="17" t="s">
        <v>6</v>
      </c>
    </row>
    <row r="105">
      <c r="A105" s="15" t="s">
        <v>106</v>
      </c>
      <c r="B105" s="13" t="str">
        <f>IFERROR(__xludf.DUMMYFUNCTION("GOOGLETRANSLATE(A105,""en"",""es"")"),"Indonesia")</f>
        <v>Indonesia</v>
      </c>
      <c r="C105" s="14"/>
      <c r="D105" s="16">
        <v>6463297.0</v>
      </c>
      <c r="E105" s="16">
        <v>7043934.0</v>
      </c>
      <c r="F105" s="16">
        <v>7614845.0</v>
      </c>
      <c r="G105" s="16">
        <v>7944099.0</v>
      </c>
      <c r="H105" s="16">
        <v>8037218.0</v>
      </c>
      <c r="I105" s="16" t="s">
        <v>6</v>
      </c>
      <c r="J105" s="16" t="s">
        <v>6</v>
      </c>
    </row>
    <row r="106">
      <c r="A106" s="18" t="s">
        <v>107</v>
      </c>
      <c r="B106" s="13" t="str">
        <f>IFERROR(__xludf.DUMMYFUNCTION("GOOGLETRANSLATE(A106,""en"",""es"")"),"Irán (República Islámica de)")</f>
        <v>Irán (República Islámica de)</v>
      </c>
      <c r="C106" s="14"/>
      <c r="D106" s="17">
        <v>4685386.0</v>
      </c>
      <c r="E106" s="17" t="s">
        <v>6</v>
      </c>
      <c r="F106" s="17">
        <v>4348383.0</v>
      </c>
      <c r="G106" s="17">
        <v>4073827.0</v>
      </c>
      <c r="H106" s="17">
        <v>3616114.0</v>
      </c>
      <c r="I106" s="17" t="s">
        <v>6</v>
      </c>
      <c r="J106" s="17" t="s">
        <v>6</v>
      </c>
    </row>
    <row r="107">
      <c r="A107" s="15" t="s">
        <v>108</v>
      </c>
      <c r="B107" s="13" t="str">
        <f>IFERROR(__xludf.DUMMYFUNCTION("GOOGLETRANSLATE(A107,""en"",""es"")"),"Irak")</f>
        <v>Irak</v>
      </c>
      <c r="C107" s="14"/>
      <c r="D107" s="16" t="s">
        <v>6</v>
      </c>
      <c r="E107" s="16" t="s">
        <v>6</v>
      </c>
      <c r="F107" s="16" t="s">
        <v>6</v>
      </c>
      <c r="G107" s="16" t="s">
        <v>6</v>
      </c>
      <c r="H107" s="16" t="s">
        <v>6</v>
      </c>
      <c r="I107" s="16" t="s">
        <v>6</v>
      </c>
      <c r="J107" s="16" t="s">
        <v>6</v>
      </c>
    </row>
    <row r="108">
      <c r="A108" s="15" t="s">
        <v>109</v>
      </c>
      <c r="B108" s="13" t="str">
        <f>IFERROR(__xludf.DUMMYFUNCTION("GOOGLETRANSLATE(A108,""en"",""es"")"),"Irlanda")</f>
        <v>Irlanda</v>
      </c>
      <c r="C108" s="14"/>
      <c r="D108" s="17">
        <v>203912.0</v>
      </c>
      <c r="E108" s="17">
        <v>214632.0</v>
      </c>
      <c r="F108" s="17">
        <v>218411.0</v>
      </c>
      <c r="G108" s="17">
        <v>225031.0</v>
      </c>
      <c r="H108" s="17">
        <v>231201.0</v>
      </c>
      <c r="I108" s="17" t="s">
        <v>6</v>
      </c>
      <c r="J108" s="17" t="s">
        <v>6</v>
      </c>
    </row>
    <row r="109">
      <c r="A109" s="15" t="s">
        <v>110</v>
      </c>
      <c r="B109" s="13" t="str">
        <f>IFERROR(__xludf.DUMMYFUNCTION("GOOGLETRANSLATE(A109,""en"",""es"")"),"Isla del hombre")</f>
        <v>Isla del hombre</v>
      </c>
      <c r="C109" s="14"/>
      <c r="D109" s="16" t="s">
        <v>6</v>
      </c>
      <c r="E109" s="16" t="s">
        <v>6</v>
      </c>
      <c r="F109" s="16" t="s">
        <v>6</v>
      </c>
      <c r="G109" s="16" t="s">
        <v>6</v>
      </c>
      <c r="H109" s="16" t="s">
        <v>6</v>
      </c>
      <c r="I109" s="16" t="s">
        <v>6</v>
      </c>
      <c r="J109" s="16" t="s">
        <v>6</v>
      </c>
    </row>
    <row r="110">
      <c r="A110" s="15" t="s">
        <v>111</v>
      </c>
      <c r="B110" s="13" t="str">
        <f>IFERROR(__xludf.DUMMYFUNCTION("GOOGLETRANSLATE(A110,""en"",""es"")"),"Israel")</f>
        <v>Israel</v>
      </c>
      <c r="C110" s="14"/>
      <c r="D110" s="17">
        <v>376952.0</v>
      </c>
      <c r="E110" s="17">
        <v>374048.0</v>
      </c>
      <c r="F110" s="17">
        <v>377860.0</v>
      </c>
      <c r="G110" s="17">
        <v>377210.0</v>
      </c>
      <c r="H110" s="17">
        <v>374305.0</v>
      </c>
      <c r="I110" s="17" t="s">
        <v>6</v>
      </c>
      <c r="J110" s="17" t="s">
        <v>6</v>
      </c>
    </row>
    <row r="111">
      <c r="A111" s="15" t="s">
        <v>112</v>
      </c>
      <c r="B111" s="13" t="str">
        <f>IFERROR(__xludf.DUMMYFUNCTION("GOOGLETRANSLATE(A111,""en"",""es"")"),"Italia")</f>
        <v>Italia</v>
      </c>
      <c r="C111" s="14"/>
      <c r="D111" s="16">
        <v>1854360.0</v>
      </c>
      <c r="E111" s="16">
        <v>1826477.0</v>
      </c>
      <c r="F111" s="16">
        <v>1815950.0</v>
      </c>
      <c r="G111" s="16">
        <v>1837051.0</v>
      </c>
      <c r="H111" s="16">
        <v>1895990.0</v>
      </c>
      <c r="I111" s="16" t="s">
        <v>6</v>
      </c>
      <c r="J111" s="16" t="s">
        <v>6</v>
      </c>
    </row>
    <row r="112">
      <c r="A112" s="15" t="s">
        <v>113</v>
      </c>
      <c r="B112" s="13" t="str">
        <f>IFERROR(__xludf.DUMMYFUNCTION("GOOGLETRANSLATE(A112,""en"",""es"")"),"Jamaica")</f>
        <v>Jamaica</v>
      </c>
      <c r="C112" s="14"/>
      <c r="D112" s="17" t="s">
        <v>6</v>
      </c>
      <c r="E112" s="17">
        <v>74537.0</v>
      </c>
      <c r="F112" s="17" t="s">
        <v>6</v>
      </c>
      <c r="G112" s="17" t="s">
        <v>6</v>
      </c>
      <c r="H112" s="17" t="s">
        <v>6</v>
      </c>
      <c r="I112" s="17" t="s">
        <v>6</v>
      </c>
      <c r="J112" s="17" t="s">
        <v>6</v>
      </c>
    </row>
    <row r="113">
      <c r="A113" s="15" t="s">
        <v>114</v>
      </c>
      <c r="B113" s="13" t="str">
        <f>IFERROR(__xludf.DUMMYFUNCTION("GOOGLETRANSLATE(A113,""en"",""es"")"),"Japón")</f>
        <v>Japón</v>
      </c>
      <c r="C113" s="14"/>
      <c r="D113" s="16">
        <v>3862460.0</v>
      </c>
      <c r="E113" s="16">
        <v>3845395.0</v>
      </c>
      <c r="F113" s="16">
        <v>3846927.0</v>
      </c>
      <c r="G113" s="16">
        <v>3853034.0</v>
      </c>
      <c r="H113" s="16">
        <v>3861847.0</v>
      </c>
      <c r="I113" s="16" t="s">
        <v>6</v>
      </c>
      <c r="J113" s="16" t="s">
        <v>6</v>
      </c>
    </row>
    <row r="114">
      <c r="A114" s="15" t="s">
        <v>115</v>
      </c>
      <c r="B114" s="13" t="str">
        <f>IFERROR(__xludf.DUMMYFUNCTION("GOOGLETRANSLATE(A114,""en"",""es"")"),"Jersey")</f>
        <v>Jersey</v>
      </c>
      <c r="C114" s="14"/>
      <c r="D114" s="17" t="s">
        <v>6</v>
      </c>
      <c r="E114" s="17" t="s">
        <v>6</v>
      </c>
      <c r="F114" s="17" t="s">
        <v>6</v>
      </c>
      <c r="G114" s="17" t="s">
        <v>6</v>
      </c>
      <c r="H114" s="17" t="s">
        <v>6</v>
      </c>
      <c r="I114" s="17" t="s">
        <v>6</v>
      </c>
      <c r="J114" s="17" t="s">
        <v>6</v>
      </c>
    </row>
    <row r="115">
      <c r="A115" s="15" t="s">
        <v>116</v>
      </c>
      <c r="B115" s="13" t="str">
        <f>IFERROR(__xludf.DUMMYFUNCTION("GOOGLETRANSLATE(A115,""en"",""es"")"),"Jordán")</f>
        <v>Jordán</v>
      </c>
      <c r="C115" s="14"/>
      <c r="D115" s="16" t="s">
        <v>6</v>
      </c>
      <c r="E115" s="16">
        <v>312750.0</v>
      </c>
      <c r="F115" s="16">
        <v>315596.0</v>
      </c>
      <c r="G115" s="16">
        <v>283904.0</v>
      </c>
      <c r="H115" s="16">
        <v>320896.0</v>
      </c>
      <c r="I115" s="16" t="s">
        <v>6</v>
      </c>
      <c r="J115" s="16" t="s">
        <v>6</v>
      </c>
    </row>
    <row r="116">
      <c r="A116" s="15" t="s">
        <v>117</v>
      </c>
      <c r="B116" s="13" t="str">
        <f>IFERROR(__xludf.DUMMYFUNCTION("GOOGLETRANSLATE(A116,""en"",""es"")"),"Kazajstán")</f>
        <v>Kazajstán</v>
      </c>
      <c r="C116" s="14"/>
      <c r="D116" s="17">
        <v>727401.0</v>
      </c>
      <c r="E116" s="17">
        <v>658413.0</v>
      </c>
      <c r="F116" s="17">
        <v>623534.0</v>
      </c>
      <c r="G116" s="17">
        <v>626576.0</v>
      </c>
      <c r="H116" s="17">
        <v>632048.0</v>
      </c>
      <c r="I116" s="17">
        <v>685045.0</v>
      </c>
      <c r="J116" s="17" t="s">
        <v>6</v>
      </c>
    </row>
    <row r="117">
      <c r="A117" s="15" t="s">
        <v>118</v>
      </c>
      <c r="B117" s="13" t="str">
        <f>IFERROR(__xludf.DUMMYFUNCTION("GOOGLETRANSLATE(A117,""en"",""es"")"),"Kenia")</f>
        <v>Kenia</v>
      </c>
      <c r="C117" s="14"/>
      <c r="D117" s="16" t="s">
        <v>6</v>
      </c>
      <c r="E117" s="16">
        <v>421134.0</v>
      </c>
      <c r="F117" s="16">
        <v>539749.0</v>
      </c>
      <c r="G117" s="16">
        <v>562521.0</v>
      </c>
      <c r="H117" s="16" t="s">
        <v>6</v>
      </c>
      <c r="I117" s="16" t="s">
        <v>6</v>
      </c>
      <c r="J117" s="16" t="s">
        <v>6</v>
      </c>
    </row>
    <row r="118">
      <c r="A118" s="15" t="s">
        <v>119</v>
      </c>
      <c r="B118" s="13" t="str">
        <f>IFERROR(__xludf.DUMMYFUNCTION("GOOGLETRANSLATE(A118,""en"",""es"")"),"Kiribati")</f>
        <v>Kiribati</v>
      </c>
      <c r="C118" s="14"/>
      <c r="D118" s="17" t="s">
        <v>6</v>
      </c>
      <c r="E118" s="17" t="s">
        <v>6</v>
      </c>
      <c r="F118" s="17" t="s">
        <v>6</v>
      </c>
      <c r="G118" s="17" t="s">
        <v>6</v>
      </c>
      <c r="H118" s="17" t="s">
        <v>6</v>
      </c>
      <c r="I118" s="17" t="s">
        <v>6</v>
      </c>
      <c r="J118" s="17" t="s">
        <v>6</v>
      </c>
    </row>
    <row r="119">
      <c r="A119" s="15" t="s">
        <v>120</v>
      </c>
      <c r="B119" s="13" t="str">
        <f>IFERROR(__xludf.DUMMYFUNCTION("GOOGLETRANSLATE(A119,""en"",""es"")"),"Kuwait")</f>
        <v>Kuwait</v>
      </c>
      <c r="C119" s="14"/>
      <c r="D119" s="16">
        <v>105856.0</v>
      </c>
      <c r="E119" s="16">
        <v>112582.0</v>
      </c>
      <c r="F119" s="16">
        <v>117247.0</v>
      </c>
      <c r="G119" s="16">
        <v>116742.0</v>
      </c>
      <c r="H119" s="16">
        <v>116336.0</v>
      </c>
      <c r="I119" s="16">
        <v>117945.0</v>
      </c>
      <c r="J119" s="16" t="s">
        <v>6</v>
      </c>
    </row>
    <row r="120">
      <c r="A120" s="15" t="s">
        <v>121</v>
      </c>
      <c r="B120" s="13" t="str">
        <f>IFERROR(__xludf.DUMMYFUNCTION("GOOGLETRANSLATE(A120,""en"",""es"")"),"Kirguizistán")</f>
        <v>Kirguizistán</v>
      </c>
      <c r="C120" s="14"/>
      <c r="D120" s="17">
        <v>267920.0</v>
      </c>
      <c r="E120" s="17">
        <v>265382.0</v>
      </c>
      <c r="F120" s="17">
        <v>249903.0</v>
      </c>
      <c r="G120" s="17">
        <v>231191.0</v>
      </c>
      <c r="H120" s="17">
        <v>217693.0</v>
      </c>
      <c r="I120" s="17">
        <v>218660.0</v>
      </c>
      <c r="J120" s="17" t="s">
        <v>6</v>
      </c>
    </row>
    <row r="121">
      <c r="A121" s="18" t="s">
        <v>122</v>
      </c>
      <c r="B121" s="13" t="str">
        <f>IFERROR(__xludf.DUMMYFUNCTION("GOOGLETRANSLATE(A121,""en"",""es"")"),"República Democrática Popular de Lao")</f>
        <v>República Democrática Popular de Lao</v>
      </c>
      <c r="C121" s="14"/>
      <c r="D121" s="16">
        <v>132435.0</v>
      </c>
      <c r="E121" s="16">
        <v>130191.0</v>
      </c>
      <c r="F121" s="16">
        <v>122508.0</v>
      </c>
      <c r="G121" s="16">
        <v>111411.0</v>
      </c>
      <c r="H121" s="16">
        <v>105439.0</v>
      </c>
      <c r="I121" s="16">
        <v>101342.0</v>
      </c>
      <c r="J121" s="16" t="s">
        <v>6</v>
      </c>
    </row>
    <row r="122">
      <c r="A122" s="15" t="s">
        <v>123</v>
      </c>
      <c r="B122" s="13" t="str">
        <f>IFERROR(__xludf.DUMMYFUNCTION("GOOGLETRANSLATE(A122,""en"",""es"")"),"Letonia")</f>
        <v>Letonia</v>
      </c>
      <c r="C122" s="14"/>
      <c r="D122" s="17">
        <v>89671.0</v>
      </c>
      <c r="E122" s="17">
        <v>85881.0</v>
      </c>
      <c r="F122" s="17">
        <v>84282.0</v>
      </c>
      <c r="G122" s="17">
        <v>82914.0</v>
      </c>
      <c r="H122" s="17">
        <v>81602.0</v>
      </c>
      <c r="I122" s="17" t="s">
        <v>6</v>
      </c>
      <c r="J122" s="17" t="s">
        <v>6</v>
      </c>
    </row>
    <row r="123">
      <c r="A123" s="15" t="s">
        <v>124</v>
      </c>
      <c r="B123" s="13" t="str">
        <f>IFERROR(__xludf.DUMMYFUNCTION("GOOGLETRANSLATE(A123,""en"",""es"")"),"Líbano")</f>
        <v>Líbano</v>
      </c>
      <c r="C123" s="14"/>
      <c r="D123" s="16">
        <v>228954.0</v>
      </c>
      <c r="E123" s="16">
        <v>216468.0</v>
      </c>
      <c r="F123" s="16">
        <v>221146.0</v>
      </c>
      <c r="G123" s="16">
        <v>221159.0</v>
      </c>
      <c r="H123" s="16">
        <v>231215.0</v>
      </c>
      <c r="I123" s="16">
        <v>242642.0</v>
      </c>
      <c r="J123" s="16" t="s">
        <v>6</v>
      </c>
    </row>
    <row r="124">
      <c r="A124" s="15" t="s">
        <v>125</v>
      </c>
      <c r="B124" s="13" t="str">
        <f>IFERROR(__xludf.DUMMYFUNCTION("GOOGLETRANSLATE(A124,""en"",""es"")"),"Lesoto")</f>
        <v>Lesoto</v>
      </c>
      <c r="C124" s="14"/>
      <c r="D124" s="17">
        <v>23545.0</v>
      </c>
      <c r="E124" s="17">
        <v>21664.0</v>
      </c>
      <c r="F124" s="17" t="s">
        <v>6</v>
      </c>
      <c r="G124" s="17">
        <v>22572.0</v>
      </c>
      <c r="H124" s="17">
        <v>21586.0</v>
      </c>
      <c r="I124" s="17" t="s">
        <v>6</v>
      </c>
      <c r="J124" s="17" t="s">
        <v>6</v>
      </c>
    </row>
    <row r="125">
      <c r="A125" s="15" t="s">
        <v>126</v>
      </c>
      <c r="B125" s="13" t="str">
        <f>IFERROR(__xludf.DUMMYFUNCTION("GOOGLETRANSLATE(A125,""en"",""es"")"),"Liberia")</f>
        <v>Liberia</v>
      </c>
      <c r="C125" s="14"/>
      <c r="D125" s="16" t="s">
        <v>6</v>
      </c>
      <c r="E125" s="16" t="s">
        <v>6</v>
      </c>
      <c r="F125" s="16" t="s">
        <v>6</v>
      </c>
      <c r="G125" s="16" t="s">
        <v>6</v>
      </c>
      <c r="H125" s="16" t="s">
        <v>6</v>
      </c>
      <c r="I125" s="16" t="s">
        <v>6</v>
      </c>
      <c r="J125" s="16" t="s">
        <v>6</v>
      </c>
    </row>
    <row r="126">
      <c r="A126" s="15" t="s">
        <v>127</v>
      </c>
      <c r="B126" s="13" t="str">
        <f>IFERROR(__xludf.DUMMYFUNCTION("GOOGLETRANSLATE(A126,""en"",""es"")"),"Libia")</f>
        <v>Libia</v>
      </c>
      <c r="C126" s="14"/>
      <c r="D126" s="17" t="s">
        <v>6</v>
      </c>
      <c r="E126" s="17" t="s">
        <v>6</v>
      </c>
      <c r="F126" s="17" t="s">
        <v>6</v>
      </c>
      <c r="G126" s="17" t="s">
        <v>6</v>
      </c>
      <c r="H126" s="17" t="s">
        <v>6</v>
      </c>
      <c r="I126" s="17" t="s">
        <v>6</v>
      </c>
      <c r="J126" s="17" t="s">
        <v>6</v>
      </c>
    </row>
    <row r="127">
      <c r="A127" s="15" t="s">
        <v>128</v>
      </c>
      <c r="B127" s="13" t="str">
        <f>IFERROR(__xludf.DUMMYFUNCTION("GOOGLETRANSLATE(A127,""en"",""es"")"),"Liechtenstein")</f>
        <v>Liechtenstein</v>
      </c>
      <c r="C127" s="14"/>
      <c r="D127" s="16">
        <v>830.0</v>
      </c>
      <c r="E127" s="16">
        <v>750.0</v>
      </c>
      <c r="F127" s="16">
        <v>774.0</v>
      </c>
      <c r="G127" s="16">
        <v>799.0</v>
      </c>
      <c r="H127" s="16">
        <v>849.5</v>
      </c>
      <c r="I127" s="16" t="s">
        <v>6</v>
      </c>
      <c r="J127" s="16" t="s">
        <v>6</v>
      </c>
    </row>
    <row r="128">
      <c r="A128" s="15" t="s">
        <v>129</v>
      </c>
      <c r="B128" s="13" t="str">
        <f>IFERROR(__xludf.DUMMYFUNCTION("GOOGLETRANSLATE(A128,""en"",""es"")"),"Lituania")</f>
        <v>Lituania</v>
      </c>
      <c r="C128" s="14"/>
      <c r="D128" s="17">
        <v>148389.0</v>
      </c>
      <c r="E128" s="17">
        <v>140629.0</v>
      </c>
      <c r="F128" s="17">
        <v>133759.0</v>
      </c>
      <c r="G128" s="17">
        <v>125863.0</v>
      </c>
      <c r="H128" s="17">
        <v>118287.0</v>
      </c>
      <c r="I128" s="17" t="s">
        <v>6</v>
      </c>
      <c r="J128" s="17" t="s">
        <v>6</v>
      </c>
    </row>
    <row r="129">
      <c r="A129" s="15" t="s">
        <v>130</v>
      </c>
      <c r="B129" s="13" t="str">
        <f>IFERROR(__xludf.DUMMYFUNCTION("GOOGLETRANSLATE(A129,""en"",""es"")"),"Luxemburgo")</f>
        <v>Luxemburgo</v>
      </c>
      <c r="C129" s="14"/>
      <c r="D129" s="16" t="s">
        <v>6</v>
      </c>
      <c r="E129" s="16">
        <v>6896.0</v>
      </c>
      <c r="F129" s="16">
        <v>6954.0</v>
      </c>
      <c r="G129" s="16">
        <v>7058.0</v>
      </c>
      <c r="H129" s="16">
        <v>7043.0</v>
      </c>
      <c r="I129" s="16" t="s">
        <v>6</v>
      </c>
      <c r="J129" s="16" t="s">
        <v>6</v>
      </c>
    </row>
    <row r="130">
      <c r="A130" s="15" t="s">
        <v>131</v>
      </c>
      <c r="B130" s="13" t="str">
        <f>IFERROR(__xludf.DUMMYFUNCTION("GOOGLETRANSLATE(A130,""en"",""es"")"),"Madagascar")</f>
        <v>Madagascar</v>
      </c>
      <c r="C130" s="14"/>
      <c r="D130" s="17">
        <v>113025.0</v>
      </c>
      <c r="E130" s="17">
        <v>117012.0</v>
      </c>
      <c r="F130" s="17">
        <v>121818.0</v>
      </c>
      <c r="G130" s="17">
        <v>137894.0</v>
      </c>
      <c r="H130" s="17">
        <v>143759.0</v>
      </c>
      <c r="I130" s="17" t="s">
        <v>6</v>
      </c>
      <c r="J130" s="17" t="s">
        <v>6</v>
      </c>
    </row>
    <row r="131">
      <c r="A131" s="15" t="s">
        <v>132</v>
      </c>
      <c r="B131" s="13" t="str">
        <f>IFERROR(__xludf.DUMMYFUNCTION("GOOGLETRANSLATE(A131,""en"",""es"")"),"Malawi")</f>
        <v>Malawi</v>
      </c>
      <c r="C131" s="14"/>
      <c r="D131" s="16" t="s">
        <v>6</v>
      </c>
      <c r="E131" s="16" t="s">
        <v>6</v>
      </c>
      <c r="F131" s="16" t="s">
        <v>6</v>
      </c>
      <c r="G131" s="16" t="s">
        <v>6</v>
      </c>
      <c r="H131" s="16" t="s">
        <v>6</v>
      </c>
      <c r="I131" s="16" t="s">
        <v>6</v>
      </c>
      <c r="J131" s="16" t="s">
        <v>6</v>
      </c>
    </row>
    <row r="132">
      <c r="A132" s="15" t="s">
        <v>133</v>
      </c>
      <c r="B132" s="13" t="str">
        <f>IFERROR(__xludf.DUMMYFUNCTION("GOOGLETRANSLATE(A132,""en"",""es"")"),"Malasia")</f>
        <v>Malasia</v>
      </c>
      <c r="C132" s="14"/>
      <c r="D132" s="17">
        <v>1128027.0</v>
      </c>
      <c r="E132" s="17">
        <v>1302091.0</v>
      </c>
      <c r="F132" s="17">
        <v>1336550.0</v>
      </c>
      <c r="G132" s="17">
        <v>1248927.0</v>
      </c>
      <c r="H132" s="17">
        <v>1284876.0</v>
      </c>
      <c r="I132" s="17">
        <v>1218246.0</v>
      </c>
      <c r="J132" s="17" t="s">
        <v>6</v>
      </c>
    </row>
    <row r="133">
      <c r="A133" s="15" t="s">
        <v>134</v>
      </c>
      <c r="B133" s="13" t="str">
        <f>IFERROR(__xludf.DUMMYFUNCTION("GOOGLETRANSLATE(A133,""en"",""es"")"),"Maldivas")</f>
        <v>Maldivas</v>
      </c>
      <c r="C133" s="14"/>
      <c r="D133" s="16">
        <v>6089.0</v>
      </c>
      <c r="E133" s="16" t="s">
        <v>6</v>
      </c>
      <c r="F133" s="16" t="s">
        <v>6</v>
      </c>
      <c r="G133" s="16">
        <v>14484.0</v>
      </c>
      <c r="H133" s="16" t="s">
        <v>6</v>
      </c>
      <c r="I133" s="16" t="s">
        <v>6</v>
      </c>
      <c r="J133" s="16" t="s">
        <v>6</v>
      </c>
    </row>
    <row r="134">
      <c r="A134" s="15" t="s">
        <v>135</v>
      </c>
      <c r="B134" s="13" t="str">
        <f>IFERROR(__xludf.DUMMYFUNCTION("GOOGLETRANSLATE(A134,""en"",""es"")"),"mali")</f>
        <v>mali</v>
      </c>
      <c r="C134" s="14"/>
      <c r="D134" s="17">
        <v>87662.0</v>
      </c>
      <c r="E134" s="17">
        <v>83150.0</v>
      </c>
      <c r="F134" s="17" t="s">
        <v>6</v>
      </c>
      <c r="G134" s="17" t="s">
        <v>6</v>
      </c>
      <c r="H134" s="17" t="s">
        <v>6</v>
      </c>
      <c r="I134" s="17" t="s">
        <v>6</v>
      </c>
      <c r="J134" s="17" t="s">
        <v>6</v>
      </c>
    </row>
    <row r="135">
      <c r="A135" s="15" t="s">
        <v>136</v>
      </c>
      <c r="B135" s="13" t="str">
        <f>IFERROR(__xludf.DUMMYFUNCTION("GOOGLETRANSLATE(A135,""en"",""es"")"),"Malta")</f>
        <v>Malta</v>
      </c>
      <c r="C135" s="14"/>
      <c r="D135" s="16">
        <v>12610.0</v>
      </c>
      <c r="E135" s="16">
        <v>13216.0</v>
      </c>
      <c r="F135" s="16">
        <v>13329.0</v>
      </c>
      <c r="G135" s="16">
        <v>14425.0</v>
      </c>
      <c r="H135" s="16">
        <v>15220.0</v>
      </c>
      <c r="I135" s="16" t="s">
        <v>6</v>
      </c>
      <c r="J135" s="16" t="s">
        <v>6</v>
      </c>
    </row>
    <row r="136">
      <c r="A136" s="15" t="s">
        <v>137</v>
      </c>
      <c r="B136" s="13" t="str">
        <f>IFERROR(__xludf.DUMMYFUNCTION("GOOGLETRANSLATE(A136,""en"",""es"")"),"Islas Marshall")</f>
        <v>Islas Marshall</v>
      </c>
      <c r="C136" s="14"/>
      <c r="D136" s="17" t="s">
        <v>6</v>
      </c>
      <c r="E136" s="17" t="s">
        <v>6</v>
      </c>
      <c r="F136" s="17" t="s">
        <v>6</v>
      </c>
      <c r="G136" s="17" t="s">
        <v>6</v>
      </c>
      <c r="H136" s="17" t="s">
        <v>6</v>
      </c>
      <c r="I136" s="17">
        <v>1530.0</v>
      </c>
      <c r="J136" s="17" t="s">
        <v>6</v>
      </c>
    </row>
    <row r="137">
      <c r="A137" s="15" t="s">
        <v>138</v>
      </c>
      <c r="B137" s="13" t="str">
        <f>IFERROR(__xludf.DUMMYFUNCTION("GOOGLETRANSLATE(A137,""en"",""es"")"),"Martinica")</f>
        <v>Martinica</v>
      </c>
      <c r="C137" s="14"/>
      <c r="D137" s="16" t="s">
        <v>6</v>
      </c>
      <c r="E137" s="16" t="s">
        <v>6</v>
      </c>
      <c r="F137" s="16" t="s">
        <v>6</v>
      </c>
      <c r="G137" s="16" t="s">
        <v>6</v>
      </c>
      <c r="H137" s="16" t="s">
        <v>6</v>
      </c>
      <c r="I137" s="16" t="s">
        <v>6</v>
      </c>
      <c r="J137" s="16" t="s">
        <v>6</v>
      </c>
    </row>
    <row r="138">
      <c r="A138" s="15" t="s">
        <v>139</v>
      </c>
      <c r="B138" s="13" t="str">
        <f>IFERROR(__xludf.DUMMYFUNCTION("GOOGLETRANSLATE(A138,""en"",""es"")"),"Mauritania")</f>
        <v>Mauritania</v>
      </c>
      <c r="C138" s="14"/>
      <c r="D138" s="17" t="s">
        <v>6</v>
      </c>
      <c r="E138" s="17">
        <v>20800.0</v>
      </c>
      <c r="F138" s="17">
        <v>20280.0</v>
      </c>
      <c r="G138" s="17">
        <v>19371.0</v>
      </c>
      <c r="H138" s="17">
        <v>19844.0</v>
      </c>
      <c r="I138" s="17">
        <v>23417.0</v>
      </c>
      <c r="J138" s="17" t="s">
        <v>6</v>
      </c>
    </row>
    <row r="139">
      <c r="A139" s="15" t="s">
        <v>140</v>
      </c>
      <c r="B139" s="13" t="str">
        <f>IFERROR(__xludf.DUMMYFUNCTION("GOOGLETRANSLATE(A139,""en"",""es"")"),"Isla mauricio")</f>
        <v>Isla mauricio</v>
      </c>
      <c r="C139" s="14"/>
      <c r="D139" s="16">
        <v>40457.0</v>
      </c>
      <c r="E139" s="16">
        <v>37871.0</v>
      </c>
      <c r="F139" s="16">
        <v>38178.0</v>
      </c>
      <c r="G139" s="16">
        <v>38850.0</v>
      </c>
      <c r="H139" s="16" t="s">
        <v>6</v>
      </c>
      <c r="I139" s="16" t="s">
        <v>6</v>
      </c>
      <c r="J139" s="16" t="s">
        <v>6</v>
      </c>
    </row>
    <row r="140">
      <c r="A140" s="15" t="s">
        <v>141</v>
      </c>
      <c r="B140" s="13" t="str">
        <f>IFERROR(__xludf.DUMMYFUNCTION("GOOGLETRANSLATE(A140,""en"",""es"")"),"Mayotte")</f>
        <v>Mayotte</v>
      </c>
      <c r="C140" s="14"/>
      <c r="D140" s="17" t="s">
        <v>6</v>
      </c>
      <c r="E140" s="17" t="s">
        <v>6</v>
      </c>
      <c r="F140" s="17" t="s">
        <v>6</v>
      </c>
      <c r="G140" s="17" t="s">
        <v>6</v>
      </c>
      <c r="H140" s="17" t="s">
        <v>6</v>
      </c>
      <c r="I140" s="17" t="s">
        <v>6</v>
      </c>
      <c r="J140" s="17" t="s">
        <v>6</v>
      </c>
    </row>
    <row r="141">
      <c r="A141" s="15" t="s">
        <v>142</v>
      </c>
      <c r="B141" s="13" t="str">
        <f>IFERROR(__xludf.DUMMYFUNCTION("GOOGLETRANSLATE(A141,""en"",""es"")"),"México")</f>
        <v>México</v>
      </c>
      <c r="C141" s="14"/>
      <c r="D141" s="16">
        <v>3419391.0</v>
      </c>
      <c r="E141" s="16">
        <v>3515404.0</v>
      </c>
      <c r="F141" s="16">
        <v>4244401.0</v>
      </c>
      <c r="G141" s="16">
        <v>4430248.0</v>
      </c>
      <c r="H141" s="16">
        <v>4561792.0</v>
      </c>
      <c r="I141" s="16" t="s">
        <v>6</v>
      </c>
      <c r="J141" s="16" t="s">
        <v>6</v>
      </c>
    </row>
    <row r="142">
      <c r="A142" s="18" t="s">
        <v>143</v>
      </c>
      <c r="B142" s="13" t="str">
        <f>IFERROR(__xludf.DUMMYFUNCTION("GOOGLETRANSLATE(A142,""en"",""es"")"),"Micronesia (Estados Federados de)")</f>
        <v>Micronesia (Estados Federados de)</v>
      </c>
      <c r="C142" s="14"/>
      <c r="D142" s="17" t="s">
        <v>6</v>
      </c>
      <c r="E142" s="17" t="s">
        <v>6</v>
      </c>
      <c r="F142" s="17" t="s">
        <v>6</v>
      </c>
      <c r="G142" s="17" t="s">
        <v>6</v>
      </c>
      <c r="H142" s="17" t="s">
        <v>6</v>
      </c>
      <c r="I142" s="17" t="s">
        <v>6</v>
      </c>
      <c r="J142" s="17" t="s">
        <v>6</v>
      </c>
    </row>
    <row r="143">
      <c r="A143" s="15" t="s">
        <v>144</v>
      </c>
      <c r="B143" s="13" t="str">
        <f>IFERROR(__xludf.DUMMYFUNCTION("GOOGLETRANSLATE(A143,""en"",""es"")"),"Mónaco")</f>
        <v>Mónaco</v>
      </c>
      <c r="C143" s="14"/>
      <c r="D143" s="16" t="s">
        <v>6</v>
      </c>
      <c r="E143" s="16" t="s">
        <v>6</v>
      </c>
      <c r="F143" s="16">
        <v>826.0</v>
      </c>
      <c r="G143" s="16">
        <v>872.0</v>
      </c>
      <c r="H143" s="16">
        <v>1007.0</v>
      </c>
      <c r="I143" s="16">
        <v>971.0</v>
      </c>
      <c r="J143" s="16">
        <v>953.0</v>
      </c>
    </row>
    <row r="144">
      <c r="A144" s="15" t="s">
        <v>145</v>
      </c>
      <c r="B144" s="13" t="str">
        <f>IFERROR(__xludf.DUMMYFUNCTION("GOOGLETRANSLATE(A144,""en"",""es"")"),"Mongolia")</f>
        <v>Mongolia</v>
      </c>
      <c r="C144" s="14"/>
      <c r="D144" s="17">
        <v>175205.0</v>
      </c>
      <c r="E144" s="17">
        <v>179540.0</v>
      </c>
      <c r="F144" s="17">
        <v>162626.0</v>
      </c>
      <c r="G144" s="17">
        <v>157138.0</v>
      </c>
      <c r="H144" s="17">
        <v>155248.0</v>
      </c>
      <c r="I144" s="17" t="s">
        <v>6</v>
      </c>
      <c r="J144" s="17" t="s">
        <v>6</v>
      </c>
    </row>
    <row r="145">
      <c r="A145" s="15" t="s">
        <v>146</v>
      </c>
      <c r="B145" s="13" t="str">
        <f>IFERROR(__xludf.DUMMYFUNCTION("GOOGLETRANSLATE(A145,""en"",""es"")"),"Montenegro")</f>
        <v>Montenegro</v>
      </c>
      <c r="C145" s="14"/>
      <c r="D145" s="16" t="s">
        <v>6</v>
      </c>
      <c r="E145" s="16" t="s">
        <v>6</v>
      </c>
      <c r="F145" s="16">
        <v>24643.0</v>
      </c>
      <c r="G145" s="16">
        <v>25014.0</v>
      </c>
      <c r="H145" s="16">
        <v>23826.0</v>
      </c>
      <c r="I145" s="16">
        <v>22709.0</v>
      </c>
      <c r="J145" s="16" t="s">
        <v>6</v>
      </c>
    </row>
    <row r="146">
      <c r="A146" s="15" t="s">
        <v>147</v>
      </c>
      <c r="B146" s="13" t="str">
        <f>IFERROR(__xludf.DUMMYFUNCTION("GOOGLETRANSLATE(A146,""en"",""es"")"),"Montserrat")</f>
        <v>Montserrat</v>
      </c>
      <c r="C146" s="14"/>
      <c r="D146" s="17" t="s">
        <v>6</v>
      </c>
      <c r="E146" s="17" t="s">
        <v>6</v>
      </c>
      <c r="F146" s="17" t="s">
        <v>6</v>
      </c>
      <c r="G146" s="17" t="s">
        <v>6</v>
      </c>
      <c r="H146" s="17" t="s">
        <v>6</v>
      </c>
      <c r="I146" s="17" t="s">
        <v>6</v>
      </c>
      <c r="J146" s="17" t="s">
        <v>6</v>
      </c>
    </row>
    <row r="147">
      <c r="A147" s="15" t="s">
        <v>148</v>
      </c>
      <c r="B147" s="13" t="str">
        <f>IFERROR(__xludf.DUMMYFUNCTION("GOOGLETRANSLATE(A147,""en"",""es"")"),"Marruecos")</f>
        <v>Marruecos</v>
      </c>
      <c r="C147" s="14"/>
      <c r="D147" s="16">
        <v>789407.0</v>
      </c>
      <c r="E147" s="16">
        <v>877404.0</v>
      </c>
      <c r="F147" s="16">
        <v>974240.0</v>
      </c>
      <c r="G147" s="16">
        <v>1009785.0</v>
      </c>
      <c r="H147" s="16">
        <v>1056257.0</v>
      </c>
      <c r="I147" s="16">
        <v>1120285.0</v>
      </c>
      <c r="J147" s="16" t="s">
        <v>6</v>
      </c>
    </row>
    <row r="148">
      <c r="A148" s="15" t="s">
        <v>149</v>
      </c>
      <c r="B148" s="13" t="str">
        <f>IFERROR(__xludf.DUMMYFUNCTION("GOOGLETRANSLATE(A148,""en"",""es"")"),"Mozambique")</f>
        <v>Mozambique</v>
      </c>
      <c r="C148" s="14"/>
      <c r="D148" s="17">
        <v>157431.0</v>
      </c>
      <c r="E148" s="17">
        <v>174802.0</v>
      </c>
      <c r="F148" s="17">
        <v>196801.0</v>
      </c>
      <c r="G148" s="17">
        <v>200649.0</v>
      </c>
      <c r="H148" s="17">
        <v>213930.0</v>
      </c>
      <c r="I148" s="17" t="s">
        <v>6</v>
      </c>
      <c r="J148" s="17" t="s">
        <v>6</v>
      </c>
    </row>
    <row r="149">
      <c r="A149" s="15" t="s">
        <v>150</v>
      </c>
      <c r="B149" s="13" t="str">
        <f>IFERROR(__xludf.DUMMYFUNCTION("GOOGLETRANSLATE(A149,""en"",""es"")"),"Myanmar")</f>
        <v>Myanmar</v>
      </c>
      <c r="C149" s="14"/>
      <c r="D149" s="16" t="s">
        <v>6</v>
      </c>
      <c r="E149" s="16" t="s">
        <v>6</v>
      </c>
      <c r="F149" s="16" t="s">
        <v>6</v>
      </c>
      <c r="G149" s="16" t="s">
        <v>6</v>
      </c>
      <c r="H149" s="16">
        <v>932199.0</v>
      </c>
      <c r="I149" s="16" t="s">
        <v>6</v>
      </c>
      <c r="J149" s="16" t="s">
        <v>6</v>
      </c>
    </row>
    <row r="150">
      <c r="A150" s="15" t="s">
        <v>151</v>
      </c>
      <c r="B150" s="13" t="str">
        <f>IFERROR(__xludf.DUMMYFUNCTION("GOOGLETRANSLATE(A150,""en"",""es"")"),"Namibia")</f>
        <v>Namibia</v>
      </c>
      <c r="C150" s="14"/>
      <c r="D150" s="17">
        <v>46963.0</v>
      </c>
      <c r="E150" s="17">
        <v>49678.0</v>
      </c>
      <c r="F150" s="17">
        <v>53661.0</v>
      </c>
      <c r="G150" s="17">
        <v>56046.0</v>
      </c>
      <c r="H150" s="17" t="s">
        <v>6</v>
      </c>
      <c r="I150" s="17" t="s">
        <v>6</v>
      </c>
      <c r="J150" s="17" t="s">
        <v>6</v>
      </c>
    </row>
    <row r="151">
      <c r="A151" s="15" t="s">
        <v>152</v>
      </c>
      <c r="B151" s="13" t="str">
        <f>IFERROR(__xludf.DUMMYFUNCTION("GOOGLETRANSLATE(A151,""en"",""es"")"),"Nauru")</f>
        <v>Nauru</v>
      </c>
      <c r="C151" s="14"/>
      <c r="D151" s="16" t="s">
        <v>6</v>
      </c>
      <c r="E151" s="16" t="s">
        <v>6</v>
      </c>
      <c r="F151" s="16" t="s">
        <v>6</v>
      </c>
      <c r="G151" s="16" t="s">
        <v>6</v>
      </c>
      <c r="H151" s="16" t="s">
        <v>6</v>
      </c>
      <c r="I151" s="16" t="s">
        <v>6</v>
      </c>
      <c r="J151" s="16" t="s">
        <v>6</v>
      </c>
    </row>
    <row r="152">
      <c r="A152" s="15" t="s">
        <v>153</v>
      </c>
      <c r="B152" s="13" t="str">
        <f>IFERROR(__xludf.DUMMYFUNCTION("GOOGLETRANSLATE(A152,""en"",""es"")"),"Nepal")</f>
        <v>Nepal</v>
      </c>
      <c r="C152" s="14"/>
      <c r="D152" s="17">
        <v>458621.0</v>
      </c>
      <c r="E152" s="17">
        <v>445324.0</v>
      </c>
      <c r="F152" s="17">
        <v>361077.0</v>
      </c>
      <c r="G152" s="17">
        <v>371184.0</v>
      </c>
      <c r="H152" s="17">
        <v>404718.0</v>
      </c>
      <c r="I152" s="17">
        <v>438177.0</v>
      </c>
      <c r="J152" s="17" t="s">
        <v>6</v>
      </c>
    </row>
    <row r="153">
      <c r="A153" s="15" t="s">
        <v>154</v>
      </c>
      <c r="B153" s="13" t="str">
        <f>IFERROR(__xludf.DUMMYFUNCTION("GOOGLETRANSLATE(A153,""en"",""es"")"),"Países Bajos")</f>
        <v>Países Bajos</v>
      </c>
      <c r="C153" s="14"/>
      <c r="D153" s="16" t="s">
        <v>6</v>
      </c>
      <c r="E153" s="16">
        <v>842601.0</v>
      </c>
      <c r="F153" s="16">
        <v>836946.0</v>
      </c>
      <c r="G153" s="16">
        <v>875455.0</v>
      </c>
      <c r="H153" s="16">
        <v>889506.0</v>
      </c>
      <c r="I153" s="16" t="s">
        <v>6</v>
      </c>
      <c r="J153" s="16" t="s">
        <v>6</v>
      </c>
    </row>
    <row r="154">
      <c r="A154" s="18" t="s">
        <v>155</v>
      </c>
      <c r="B154" s="13" t="str">
        <f>IFERROR(__xludf.DUMMYFUNCTION("GOOGLETRANSLATE(A154,""en"",""es"")"),"Antillas Holandesas")</f>
        <v>Antillas Holandesas</v>
      </c>
      <c r="C154" s="14"/>
      <c r="D154" s="17" t="s">
        <v>6</v>
      </c>
      <c r="E154" s="17" t="s">
        <v>6</v>
      </c>
      <c r="F154" s="17" t="s">
        <v>6</v>
      </c>
      <c r="G154" s="17" t="s">
        <v>6</v>
      </c>
      <c r="H154" s="17" t="s">
        <v>6</v>
      </c>
      <c r="I154" s="17" t="s">
        <v>6</v>
      </c>
      <c r="J154" s="17" t="s">
        <v>6</v>
      </c>
    </row>
    <row r="155">
      <c r="A155" s="15" t="s">
        <v>156</v>
      </c>
      <c r="B155" s="13" t="str">
        <f>IFERROR(__xludf.DUMMYFUNCTION("GOOGLETRANSLATE(A155,""en"",""es"")"),"Nueva Caledonia")</f>
        <v>Nueva Caledonia</v>
      </c>
      <c r="C155" s="14"/>
      <c r="D155" s="16" t="s">
        <v>6</v>
      </c>
      <c r="E155" s="16" t="s">
        <v>6</v>
      </c>
      <c r="F155" s="16" t="s">
        <v>6</v>
      </c>
      <c r="G155" s="16" t="s">
        <v>6</v>
      </c>
      <c r="H155" s="16" t="s">
        <v>6</v>
      </c>
      <c r="I155" s="16" t="s">
        <v>6</v>
      </c>
      <c r="J155" s="16" t="s">
        <v>6</v>
      </c>
    </row>
    <row r="156">
      <c r="A156" s="15" t="s">
        <v>157</v>
      </c>
      <c r="B156" s="13" t="str">
        <f>IFERROR(__xludf.DUMMYFUNCTION("GOOGLETRANSLATE(A156,""en"",""es"")"),"Nueva Zelanda")</f>
        <v>Nueva Zelanda</v>
      </c>
      <c r="C156" s="14"/>
      <c r="D156" s="17">
        <v>260846.6802</v>
      </c>
      <c r="E156" s="17">
        <v>270074.2157</v>
      </c>
      <c r="F156" s="17">
        <v>271450.7201</v>
      </c>
      <c r="G156" s="17">
        <v>268645.6583</v>
      </c>
      <c r="H156" s="17">
        <v>267796.1809</v>
      </c>
      <c r="I156" s="17" t="s">
        <v>6</v>
      </c>
      <c r="J156" s="17" t="s">
        <v>6</v>
      </c>
    </row>
    <row r="157">
      <c r="A157" s="15" t="s">
        <v>158</v>
      </c>
      <c r="B157" s="13" t="str">
        <f>IFERROR(__xludf.DUMMYFUNCTION("GOOGLETRANSLATE(A157,""en"",""es"")"),"Nicaragua")</f>
        <v>Nicaragua</v>
      </c>
      <c r="C157" s="14"/>
      <c r="D157" s="16" t="s">
        <v>6</v>
      </c>
      <c r="E157" s="16" t="s">
        <v>6</v>
      </c>
      <c r="F157" s="16" t="s">
        <v>6</v>
      </c>
      <c r="G157" s="16" t="s">
        <v>6</v>
      </c>
      <c r="H157" s="16" t="s">
        <v>6</v>
      </c>
      <c r="I157" s="16" t="s">
        <v>6</v>
      </c>
      <c r="J157" s="16" t="s">
        <v>6</v>
      </c>
    </row>
    <row r="158">
      <c r="A158" s="15" t="s">
        <v>159</v>
      </c>
      <c r="B158" s="13" t="str">
        <f>IFERROR(__xludf.DUMMYFUNCTION("GOOGLETRANSLATE(A158,""en"",""es"")"),"Níger")</f>
        <v>Níger</v>
      </c>
      <c r="C158" s="14"/>
      <c r="D158" s="17" t="s">
        <v>6</v>
      </c>
      <c r="E158" s="17">
        <v>52001.0</v>
      </c>
      <c r="F158" s="17">
        <v>57989.0</v>
      </c>
      <c r="G158" s="17">
        <v>64666.0</v>
      </c>
      <c r="H158" s="17">
        <v>80125.0</v>
      </c>
      <c r="I158" s="17">
        <v>80415.0</v>
      </c>
      <c r="J158" s="17" t="s">
        <v>6</v>
      </c>
    </row>
    <row r="159">
      <c r="A159" s="15" t="s">
        <v>160</v>
      </c>
      <c r="B159" s="13" t="str">
        <f>IFERROR(__xludf.DUMMYFUNCTION("GOOGLETRANSLATE(A159,""en"",""es"")"),"Nigeria")</f>
        <v>Nigeria</v>
      </c>
      <c r="C159" s="14"/>
      <c r="D159" s="16" t="s">
        <v>6</v>
      </c>
      <c r="E159" s="16" t="s">
        <v>6</v>
      </c>
      <c r="F159" s="16" t="s">
        <v>6</v>
      </c>
      <c r="G159" s="16" t="s">
        <v>6</v>
      </c>
      <c r="H159" s="16" t="s">
        <v>6</v>
      </c>
      <c r="I159" s="16" t="s">
        <v>6</v>
      </c>
      <c r="J159" s="16" t="s">
        <v>6</v>
      </c>
    </row>
    <row r="160">
      <c r="A160" s="15" t="s">
        <v>161</v>
      </c>
      <c r="B160" s="13" t="str">
        <f>IFERROR(__xludf.DUMMYFUNCTION("GOOGLETRANSLATE(A160,""en"",""es"")"),"Niue")</f>
        <v>Niue</v>
      </c>
      <c r="C160" s="14"/>
      <c r="D160" s="17" t="s">
        <v>6</v>
      </c>
      <c r="E160" s="17" t="s">
        <v>6</v>
      </c>
      <c r="F160" s="17" t="s">
        <v>6</v>
      </c>
      <c r="G160" s="17" t="s">
        <v>6</v>
      </c>
      <c r="H160" s="17" t="s">
        <v>6</v>
      </c>
      <c r="I160" s="17" t="s">
        <v>6</v>
      </c>
      <c r="J160" s="17" t="s">
        <v>6</v>
      </c>
    </row>
    <row r="161">
      <c r="A161" s="15" t="s">
        <v>162</v>
      </c>
      <c r="B161" s="13" t="str">
        <f>IFERROR(__xludf.DUMMYFUNCTION("GOOGLETRANSLATE(A161,""en"",""es"")"),"Isla Norfolk")</f>
        <v>Isla Norfolk</v>
      </c>
      <c r="C161" s="14"/>
      <c r="D161" s="16" t="s">
        <v>6</v>
      </c>
      <c r="E161" s="16" t="s">
        <v>6</v>
      </c>
      <c r="F161" s="16" t="s">
        <v>6</v>
      </c>
      <c r="G161" s="16" t="s">
        <v>6</v>
      </c>
      <c r="H161" s="16" t="s">
        <v>6</v>
      </c>
      <c r="I161" s="16" t="s">
        <v>6</v>
      </c>
      <c r="J161" s="16" t="s">
        <v>6</v>
      </c>
    </row>
    <row r="162">
      <c r="A162" s="15" t="s">
        <v>163</v>
      </c>
      <c r="B162" s="13" t="str">
        <f>IFERROR(__xludf.DUMMYFUNCTION("GOOGLETRANSLATE(A162,""en"",""es"")"),"Norte Macedonia")</f>
        <v>Norte Macedonia</v>
      </c>
      <c r="C162" s="14"/>
      <c r="D162" s="17">
        <v>60572.0</v>
      </c>
      <c r="E162" s="17">
        <v>63543.0</v>
      </c>
      <c r="F162" s="17" t="s">
        <v>6</v>
      </c>
      <c r="G162" s="17">
        <v>61488.0</v>
      </c>
      <c r="H162" s="17">
        <v>60110.0</v>
      </c>
      <c r="I162" s="17" t="s">
        <v>6</v>
      </c>
      <c r="J162" s="17" t="s">
        <v>6</v>
      </c>
    </row>
    <row r="163">
      <c r="A163" s="18" t="s">
        <v>164</v>
      </c>
      <c r="B163" s="13" t="str">
        <f>IFERROR(__xludf.DUMMYFUNCTION("GOOGLETRANSLATE(A163,""en"",""es"")"),"Islas Marianas del Norte")</f>
        <v>Islas Marianas del Norte</v>
      </c>
      <c r="C163" s="14"/>
      <c r="D163" s="16" t="s">
        <v>6</v>
      </c>
      <c r="E163" s="16" t="s">
        <v>6</v>
      </c>
      <c r="F163" s="16" t="s">
        <v>6</v>
      </c>
      <c r="G163" s="16" t="s">
        <v>6</v>
      </c>
      <c r="H163" s="16" t="s">
        <v>6</v>
      </c>
      <c r="I163" s="16" t="s">
        <v>6</v>
      </c>
      <c r="J163" s="16" t="s">
        <v>6</v>
      </c>
    </row>
    <row r="164">
      <c r="A164" s="15" t="s">
        <v>165</v>
      </c>
      <c r="B164" s="13" t="str">
        <f>IFERROR(__xludf.DUMMYFUNCTION("GOOGLETRANSLATE(A164,""en"",""es"")"),"Noruega")</f>
        <v>Noruega</v>
      </c>
      <c r="C164" s="14"/>
      <c r="D164" s="17">
        <v>264207.0</v>
      </c>
      <c r="E164" s="17">
        <v>268231.0</v>
      </c>
      <c r="F164" s="17">
        <v>277449.0</v>
      </c>
      <c r="G164" s="17">
        <v>284042.0</v>
      </c>
      <c r="H164" s="17">
        <v>288739.0</v>
      </c>
      <c r="I164" s="17" t="s">
        <v>6</v>
      </c>
      <c r="J164" s="17" t="s">
        <v>6</v>
      </c>
    </row>
    <row r="165">
      <c r="A165" s="15" t="s">
        <v>166</v>
      </c>
      <c r="B165" s="13" t="str">
        <f>IFERROR(__xludf.DUMMYFUNCTION("GOOGLETRANSLATE(A165,""en"",""es"")"),"Omán")</f>
        <v>Omán</v>
      </c>
      <c r="C165" s="14"/>
      <c r="D165" s="16">
        <v>118299.0</v>
      </c>
      <c r="E165" s="16">
        <v>126947.0</v>
      </c>
      <c r="F165" s="16">
        <v>131678.0</v>
      </c>
      <c r="G165" s="16">
        <v>121289.0</v>
      </c>
      <c r="H165" s="16">
        <v>119722.0</v>
      </c>
      <c r="I165" s="16">
        <v>119184.0</v>
      </c>
      <c r="J165" s="16" t="s">
        <v>6</v>
      </c>
    </row>
    <row r="166">
      <c r="A166" s="15" t="s">
        <v>167</v>
      </c>
      <c r="B166" s="13" t="str">
        <f>IFERROR(__xludf.DUMMYFUNCTION("GOOGLETRANSLATE(A166,""en"",""es"")"),"Pakistán")</f>
        <v>Pakistán</v>
      </c>
      <c r="C166" s="14"/>
      <c r="D166" s="17">
        <v>1931875.0</v>
      </c>
      <c r="E166" s="17">
        <v>1871575.0</v>
      </c>
      <c r="F166" s="17">
        <v>1856156.0</v>
      </c>
      <c r="G166" s="17">
        <v>1941478.0</v>
      </c>
      <c r="H166" s="17">
        <v>1878101.0</v>
      </c>
      <c r="I166" s="17" t="s">
        <v>6</v>
      </c>
      <c r="J166" s="17" t="s">
        <v>6</v>
      </c>
    </row>
    <row r="167">
      <c r="A167" s="15" t="s">
        <v>168</v>
      </c>
      <c r="B167" s="13" t="str">
        <f>IFERROR(__xludf.DUMMYFUNCTION("GOOGLETRANSLATE(A167,""en"",""es"")"),"Palau")</f>
        <v>Palau</v>
      </c>
      <c r="C167" s="14"/>
      <c r="D167" s="16" t="s">
        <v>6</v>
      </c>
      <c r="E167" s="16" t="s">
        <v>6</v>
      </c>
      <c r="F167" s="16" t="s">
        <v>6</v>
      </c>
      <c r="G167" s="16" t="s">
        <v>6</v>
      </c>
      <c r="H167" s="16" t="s">
        <v>6</v>
      </c>
      <c r="I167" s="16" t="s">
        <v>6</v>
      </c>
      <c r="J167" s="16" t="s">
        <v>6</v>
      </c>
    </row>
    <row r="168">
      <c r="A168" s="15" t="s">
        <v>169</v>
      </c>
      <c r="B168" s="13" t="str">
        <f>IFERROR(__xludf.DUMMYFUNCTION("GOOGLETRANSLATE(A168,""en"",""es"")"),"Palestina")</f>
        <v>Palestina</v>
      </c>
      <c r="C168" s="14"/>
      <c r="D168" s="17">
        <v>213935.0</v>
      </c>
      <c r="E168" s="17">
        <v>221018.0</v>
      </c>
      <c r="F168" s="17">
        <v>217652.0</v>
      </c>
      <c r="G168" s="17">
        <v>218276.0</v>
      </c>
      <c r="H168" s="17">
        <v>222336.0</v>
      </c>
      <c r="I168" s="17">
        <v>217880.0</v>
      </c>
      <c r="J168" s="17" t="s">
        <v>6</v>
      </c>
    </row>
    <row r="169">
      <c r="A169" s="15" t="s">
        <v>170</v>
      </c>
      <c r="B169" s="13" t="str">
        <f>IFERROR(__xludf.DUMMYFUNCTION("GOOGLETRANSLATE(A169,""en"",""es"")"),"Panamá")</f>
        <v>Panamá</v>
      </c>
      <c r="C169" s="14"/>
      <c r="D169" s="16">
        <v>145430.0</v>
      </c>
      <c r="E169" s="16">
        <v>156635.0</v>
      </c>
      <c r="F169" s="16">
        <v>161102.0</v>
      </c>
      <c r="G169" s="16" t="s">
        <v>6</v>
      </c>
      <c r="H169" s="16" t="s">
        <v>6</v>
      </c>
      <c r="I169" s="16" t="s">
        <v>6</v>
      </c>
      <c r="J169" s="16" t="s">
        <v>6</v>
      </c>
    </row>
    <row r="170">
      <c r="A170" s="18" t="s">
        <v>171</v>
      </c>
      <c r="B170" s="13" t="str">
        <f>IFERROR(__xludf.DUMMYFUNCTION("GOOGLETRANSLATE(A170,""en"",""es"")"),"Papúa Nueva Guinea")</f>
        <v>Papúa Nueva Guinea</v>
      </c>
      <c r="C170" s="14"/>
      <c r="D170" s="17" t="s">
        <v>6</v>
      </c>
      <c r="E170" s="17" t="s">
        <v>6</v>
      </c>
      <c r="F170" s="17" t="s">
        <v>6</v>
      </c>
      <c r="G170" s="17" t="s">
        <v>6</v>
      </c>
      <c r="H170" s="17" t="s">
        <v>6</v>
      </c>
      <c r="I170" s="17" t="s">
        <v>6</v>
      </c>
      <c r="J170" s="17" t="s">
        <v>6</v>
      </c>
    </row>
    <row r="171">
      <c r="A171" s="15" t="s">
        <v>172</v>
      </c>
      <c r="B171" s="13" t="str">
        <f>IFERROR(__xludf.DUMMYFUNCTION("GOOGLETRANSLATE(A171,""en"",""es"")"),"Paraguay")</f>
        <v>Paraguay</v>
      </c>
      <c r="C171" s="14"/>
      <c r="D171" s="16" t="s">
        <v>6</v>
      </c>
      <c r="E171" s="16" t="s">
        <v>6</v>
      </c>
      <c r="F171" s="16" t="s">
        <v>6</v>
      </c>
      <c r="G171" s="16" t="s">
        <v>6</v>
      </c>
      <c r="H171" s="16" t="s">
        <v>6</v>
      </c>
      <c r="I171" s="16" t="s">
        <v>6</v>
      </c>
      <c r="J171" s="16" t="s">
        <v>6</v>
      </c>
    </row>
    <row r="172">
      <c r="A172" s="15" t="s">
        <v>173</v>
      </c>
      <c r="B172" s="13" t="str">
        <f>IFERROR(__xludf.DUMMYFUNCTION("GOOGLETRANSLATE(A172,""en"",""es"")"),"Perú")</f>
        <v>Perú</v>
      </c>
      <c r="C172" s="14"/>
      <c r="D172" s="17" t="s">
        <v>6</v>
      </c>
      <c r="E172" s="17" t="s">
        <v>6</v>
      </c>
      <c r="F172" s="17">
        <v>1929934.0</v>
      </c>
      <c r="G172" s="17">
        <v>1895907.0</v>
      </c>
      <c r="H172" s="17" t="s">
        <v>6</v>
      </c>
      <c r="I172" s="17" t="s">
        <v>6</v>
      </c>
      <c r="J172" s="17" t="s">
        <v>6</v>
      </c>
    </row>
    <row r="173">
      <c r="A173" s="15" t="s">
        <v>174</v>
      </c>
      <c r="B173" s="13" t="str">
        <f>IFERROR(__xludf.DUMMYFUNCTION("GOOGLETRANSLATE(A173,""en"",""es"")"),"Filipinas")</f>
        <v>Filipinas</v>
      </c>
      <c r="C173" s="14"/>
      <c r="D173" s="16">
        <v>3563396.0</v>
      </c>
      <c r="E173" s="16" t="s">
        <v>6</v>
      </c>
      <c r="F173" s="16" t="s">
        <v>6</v>
      </c>
      <c r="G173" s="16">
        <v>3589484.0</v>
      </c>
      <c r="H173" s="16" t="s">
        <v>6</v>
      </c>
      <c r="I173" s="16" t="s">
        <v>6</v>
      </c>
      <c r="J173" s="16" t="s">
        <v>6</v>
      </c>
    </row>
    <row r="174">
      <c r="A174" s="15" t="s">
        <v>175</v>
      </c>
      <c r="B174" s="13" t="str">
        <f>IFERROR(__xludf.DUMMYFUNCTION("GOOGLETRANSLATE(A174,""en"",""es"")"),"Pitcairn")</f>
        <v>Pitcairn</v>
      </c>
      <c r="C174" s="14"/>
      <c r="D174" s="17" t="s">
        <v>6</v>
      </c>
      <c r="E174" s="17" t="s">
        <v>6</v>
      </c>
      <c r="F174" s="17" t="s">
        <v>6</v>
      </c>
      <c r="G174" s="17" t="s">
        <v>6</v>
      </c>
      <c r="H174" s="17" t="s">
        <v>6</v>
      </c>
      <c r="I174" s="17" t="s">
        <v>6</v>
      </c>
      <c r="J174" s="17" t="s">
        <v>6</v>
      </c>
    </row>
    <row r="175">
      <c r="A175" s="15" t="s">
        <v>176</v>
      </c>
      <c r="B175" s="13" t="str">
        <f>IFERROR(__xludf.DUMMYFUNCTION("GOOGLETRANSLATE(A175,""en"",""es"")"),"Polonia")</f>
        <v>Polonia</v>
      </c>
      <c r="C175" s="14"/>
      <c r="D175" s="16">
        <v>1762666.0</v>
      </c>
      <c r="E175" s="16">
        <v>1665305.0</v>
      </c>
      <c r="F175" s="16">
        <v>1600208.0</v>
      </c>
      <c r="G175" s="16">
        <v>1550203.0</v>
      </c>
      <c r="H175" s="16">
        <v>1492899.0</v>
      </c>
      <c r="I175" s="16" t="s">
        <v>6</v>
      </c>
      <c r="J175" s="16" t="s">
        <v>6</v>
      </c>
    </row>
    <row r="176">
      <c r="A176" s="15" t="s">
        <v>177</v>
      </c>
      <c r="B176" s="13" t="str">
        <f>IFERROR(__xludf.DUMMYFUNCTION("GOOGLETRANSLATE(A176,""en"",""es"")"),"Portugal")</f>
        <v>Portugal</v>
      </c>
      <c r="C176" s="14"/>
      <c r="D176" s="17">
        <v>362200.0</v>
      </c>
      <c r="E176" s="17">
        <v>337507.0</v>
      </c>
      <c r="F176" s="17">
        <v>343117.0</v>
      </c>
      <c r="G176" s="17">
        <v>346963.0</v>
      </c>
      <c r="H176" s="17">
        <v>356390.0</v>
      </c>
      <c r="I176" s="17" t="s">
        <v>6</v>
      </c>
      <c r="J176" s="17" t="s">
        <v>6</v>
      </c>
    </row>
    <row r="177">
      <c r="A177" s="15" t="s">
        <v>178</v>
      </c>
      <c r="B177" s="13" t="str">
        <f>IFERROR(__xludf.DUMMYFUNCTION("GOOGLETRANSLATE(A177,""en"",""es"")"),"Puerto Rico")</f>
        <v>Puerto Rico</v>
      </c>
      <c r="C177" s="14"/>
      <c r="D177" s="16">
        <v>241168.0</v>
      </c>
      <c r="E177" s="16">
        <v>240878.0</v>
      </c>
      <c r="F177" s="16">
        <v>233070.0</v>
      </c>
      <c r="G177" s="16" t="s">
        <v>6</v>
      </c>
      <c r="H177" s="16">
        <v>216742.0</v>
      </c>
      <c r="I177" s="16" t="s">
        <v>6</v>
      </c>
      <c r="J177" s="16" t="s">
        <v>6</v>
      </c>
    </row>
    <row r="178">
      <c r="A178" s="15" t="s">
        <v>179</v>
      </c>
      <c r="B178" s="13" t="str">
        <f>IFERROR(__xludf.DUMMYFUNCTION("GOOGLETRANSLATE(A178,""en"",""es"")"),"Katar")</f>
        <v>Katar</v>
      </c>
      <c r="C178" s="14"/>
      <c r="D178" s="17">
        <v>25255.0</v>
      </c>
      <c r="E178" s="17">
        <v>27866.0</v>
      </c>
      <c r="F178" s="17">
        <v>28480.0</v>
      </c>
      <c r="G178" s="17">
        <v>31277.0</v>
      </c>
      <c r="H178" s="17">
        <v>33668.0</v>
      </c>
      <c r="I178" s="17">
        <v>34941.0</v>
      </c>
      <c r="J178" s="17" t="s">
        <v>6</v>
      </c>
    </row>
    <row r="179">
      <c r="A179" s="15" t="s">
        <v>180</v>
      </c>
      <c r="B179" s="13" t="str">
        <f>IFERROR(__xludf.DUMMYFUNCTION("GOOGLETRANSLATE(A179,""en"",""es"")"),"República de Corea")</f>
        <v>República de Corea</v>
      </c>
      <c r="C179" s="14"/>
      <c r="D179" s="16">
        <v>3318307.0</v>
      </c>
      <c r="E179" s="16">
        <v>3268099.0</v>
      </c>
      <c r="F179" s="16">
        <v>3204348.0</v>
      </c>
      <c r="G179" s="16">
        <v>3136395.0</v>
      </c>
      <c r="H179" s="16">
        <v>3083800.0</v>
      </c>
      <c r="I179" s="16" t="s">
        <v>6</v>
      </c>
      <c r="J179" s="16" t="s">
        <v>6</v>
      </c>
    </row>
    <row r="180">
      <c r="A180" s="18" t="s">
        <v>181</v>
      </c>
      <c r="B180" s="13" t="str">
        <f>IFERROR(__xludf.DUMMYFUNCTION("GOOGLETRANSLATE(A180,""en"",""es"")"),"República de Moldova")</f>
        <v>República de Moldova</v>
      </c>
      <c r="C180" s="14"/>
      <c r="D180" s="17">
        <v>116325.0</v>
      </c>
      <c r="E180" s="17">
        <v>109395.0</v>
      </c>
      <c r="F180" s="17">
        <v>102655.0</v>
      </c>
      <c r="G180" s="17">
        <v>95967.0</v>
      </c>
      <c r="H180" s="17">
        <v>87277.0</v>
      </c>
      <c r="I180" s="17">
        <v>81435.0</v>
      </c>
      <c r="J180" s="17" t="s">
        <v>6</v>
      </c>
    </row>
    <row r="181">
      <c r="A181" s="15" t="s">
        <v>182</v>
      </c>
      <c r="B181" s="13" t="str">
        <f>IFERROR(__xludf.DUMMYFUNCTION("GOOGLETRANSLATE(A181,""en"",""es"")"),"Reunión")</f>
        <v>Reunión</v>
      </c>
      <c r="C181" s="14"/>
      <c r="D181" s="16" t="s">
        <v>6</v>
      </c>
      <c r="E181" s="16" t="s">
        <v>6</v>
      </c>
      <c r="F181" s="16" t="s">
        <v>6</v>
      </c>
      <c r="G181" s="16" t="s">
        <v>6</v>
      </c>
      <c r="H181" s="16" t="s">
        <v>6</v>
      </c>
      <c r="I181" s="16" t="s">
        <v>6</v>
      </c>
      <c r="J181" s="16" t="s">
        <v>6</v>
      </c>
    </row>
    <row r="182">
      <c r="A182" s="15" t="s">
        <v>183</v>
      </c>
      <c r="B182" s="13" t="str">
        <f>IFERROR(__xludf.DUMMYFUNCTION("GOOGLETRANSLATE(A182,""en"",""es"")"),"Rumania")</f>
        <v>Rumania</v>
      </c>
      <c r="C182" s="14"/>
      <c r="D182" s="17">
        <v>578706.0</v>
      </c>
      <c r="E182" s="17">
        <v>541653.0</v>
      </c>
      <c r="F182" s="17">
        <v>535218.0</v>
      </c>
      <c r="G182" s="17">
        <v>531586.0</v>
      </c>
      <c r="H182" s="17">
        <v>538871.0</v>
      </c>
      <c r="I182" s="17" t="s">
        <v>6</v>
      </c>
      <c r="J182" s="17" t="s">
        <v>6</v>
      </c>
    </row>
    <row r="183">
      <c r="A183" s="18" t="s">
        <v>184</v>
      </c>
      <c r="B183" s="13" t="str">
        <f>IFERROR(__xludf.DUMMYFUNCTION("GOOGLETRANSLATE(A183,""en"",""es"")"),"Federación Rusa")</f>
        <v>Federación Rusa</v>
      </c>
      <c r="C183" s="14"/>
      <c r="D183" s="16">
        <v>6995732.0</v>
      </c>
      <c r="E183" s="16">
        <v>6592416.0</v>
      </c>
      <c r="F183" s="16">
        <v>6182300.0</v>
      </c>
      <c r="G183" s="16">
        <v>5886641.0</v>
      </c>
      <c r="H183" s="16">
        <v>5774913.0</v>
      </c>
      <c r="I183" s="16" t="s">
        <v>6</v>
      </c>
      <c r="J183" s="16" t="s">
        <v>6</v>
      </c>
    </row>
    <row r="184">
      <c r="A184" s="15" t="s">
        <v>185</v>
      </c>
      <c r="B184" s="13" t="str">
        <f>IFERROR(__xludf.DUMMYFUNCTION("GOOGLETRANSLATE(A184,""en"",""es"")"),"Ruanda")</f>
        <v>Ruanda</v>
      </c>
      <c r="C184" s="14"/>
      <c r="D184" s="17">
        <v>77512.0</v>
      </c>
      <c r="E184" s="17">
        <v>80335.0</v>
      </c>
      <c r="F184" s="17">
        <v>81983.0</v>
      </c>
      <c r="G184" s="17">
        <v>80773.0</v>
      </c>
      <c r="H184" s="17">
        <v>75713.0</v>
      </c>
      <c r="I184" s="17">
        <v>72128.0</v>
      </c>
      <c r="J184" s="17" t="s">
        <v>6</v>
      </c>
    </row>
    <row r="185">
      <c r="A185" s="15" t="s">
        <v>186</v>
      </c>
      <c r="B185" s="13" t="str">
        <f>IFERROR(__xludf.DUMMYFUNCTION("GOOGLETRANSLATE(A185,""en"",""es"")"),"Santa Helena")</f>
        <v>Santa Helena</v>
      </c>
      <c r="C185" s="14"/>
      <c r="D185" s="16" t="s">
        <v>6</v>
      </c>
      <c r="E185" s="16" t="s">
        <v>6</v>
      </c>
      <c r="F185" s="16" t="s">
        <v>6</v>
      </c>
      <c r="G185" s="16" t="s">
        <v>6</v>
      </c>
      <c r="H185" s="16" t="s">
        <v>6</v>
      </c>
      <c r="I185" s="16" t="s">
        <v>6</v>
      </c>
      <c r="J185" s="16" t="s">
        <v>6</v>
      </c>
    </row>
    <row r="186">
      <c r="A186" s="18" t="s">
        <v>187</v>
      </c>
      <c r="B186" s="13" t="str">
        <f>IFERROR(__xludf.DUMMYFUNCTION("GOOGLETRANSLATE(A186,""en"",""es"")"),"Saint Kitts y Nevis")</f>
        <v>Saint Kitts y Nevis</v>
      </c>
      <c r="C186" s="14"/>
      <c r="D186" s="17">
        <v>3411.0</v>
      </c>
      <c r="E186" s="17">
        <v>3508.0</v>
      </c>
      <c r="F186" s="17" t="s">
        <v>6</v>
      </c>
      <c r="G186" s="17" t="s">
        <v>6</v>
      </c>
      <c r="H186" s="17" t="s">
        <v>6</v>
      </c>
      <c r="I186" s="17" t="s">
        <v>6</v>
      </c>
      <c r="J186" s="17" t="s">
        <v>6</v>
      </c>
    </row>
    <row r="187">
      <c r="A187" s="15" t="s">
        <v>188</v>
      </c>
      <c r="B187" s="13" t="str">
        <f>IFERROR(__xludf.DUMMYFUNCTION("GOOGLETRANSLATE(A187,""en"",""es"")"),"Santa Lucía")</f>
        <v>Santa Lucía</v>
      </c>
      <c r="C187" s="14"/>
      <c r="D187" s="16">
        <v>2830.0</v>
      </c>
      <c r="E187" s="16">
        <v>2788.0</v>
      </c>
      <c r="F187" s="16">
        <v>3175.0</v>
      </c>
      <c r="G187" s="16">
        <v>3249.0</v>
      </c>
      <c r="H187" s="16">
        <v>2237.0</v>
      </c>
      <c r="I187" s="16">
        <v>2370.0</v>
      </c>
      <c r="J187" s="16" t="s">
        <v>6</v>
      </c>
    </row>
    <row r="188">
      <c r="A188" s="18" t="s">
        <v>189</v>
      </c>
      <c r="B188" s="13" t="str">
        <f>IFERROR(__xludf.DUMMYFUNCTION("GOOGLETRANSLATE(A188,""en"",""es"")"),"San Pedro y Miquelón")</f>
        <v>San Pedro y Miquelón</v>
      </c>
      <c r="C188" s="14"/>
      <c r="D188" s="17" t="s">
        <v>6</v>
      </c>
      <c r="E188" s="17" t="s">
        <v>6</v>
      </c>
      <c r="F188" s="17" t="s">
        <v>6</v>
      </c>
      <c r="G188" s="17" t="s">
        <v>6</v>
      </c>
      <c r="H188" s="17" t="s">
        <v>6</v>
      </c>
      <c r="I188" s="17" t="s">
        <v>6</v>
      </c>
      <c r="J188" s="17" t="s">
        <v>6</v>
      </c>
    </row>
    <row r="189">
      <c r="A189" s="18" t="s">
        <v>190</v>
      </c>
      <c r="B189" s="13" t="str">
        <f>IFERROR(__xludf.DUMMYFUNCTION("GOOGLETRANSLATE(A189,""en"",""es"")"),"San Vicente y las Granadinas")</f>
        <v>San Vicente y las Granadinas</v>
      </c>
      <c r="C189" s="14"/>
      <c r="D189" s="16">
        <v>2271.0</v>
      </c>
      <c r="E189" s="16">
        <v>2180.0</v>
      </c>
      <c r="F189" s="16" t="s">
        <v>6</v>
      </c>
      <c r="G189" s="16" t="s">
        <v>6</v>
      </c>
      <c r="H189" s="16" t="s">
        <v>6</v>
      </c>
      <c r="I189" s="16" t="s">
        <v>6</v>
      </c>
      <c r="J189" s="16" t="s">
        <v>6</v>
      </c>
    </row>
    <row r="190">
      <c r="A190" s="15" t="s">
        <v>191</v>
      </c>
      <c r="B190" s="13" t="str">
        <f>IFERROR(__xludf.DUMMYFUNCTION("GOOGLETRANSLATE(A190,""en"",""es"")"),"Saint-Barthélemy")</f>
        <v>Saint-Barthélemy</v>
      </c>
      <c r="C190" s="14"/>
      <c r="D190" s="17" t="s">
        <v>6</v>
      </c>
      <c r="E190" s="17" t="s">
        <v>6</v>
      </c>
      <c r="F190" s="17" t="s">
        <v>6</v>
      </c>
      <c r="G190" s="17" t="s">
        <v>6</v>
      </c>
      <c r="H190" s="17" t="s">
        <v>6</v>
      </c>
      <c r="I190" s="17" t="s">
        <v>6</v>
      </c>
      <c r="J190" s="17" t="s">
        <v>6</v>
      </c>
    </row>
    <row r="191">
      <c r="A191" s="18" t="s">
        <v>192</v>
      </c>
      <c r="B191" s="13" t="str">
        <f>IFERROR(__xludf.DUMMYFUNCTION("GOOGLETRANSLATE(A191,""en"",""es"")"),"San Martín (parte francesa)")</f>
        <v>San Martín (parte francesa)</v>
      </c>
      <c r="C191" s="14"/>
      <c r="D191" s="16" t="s">
        <v>6</v>
      </c>
      <c r="E191" s="16" t="s">
        <v>6</v>
      </c>
      <c r="F191" s="16" t="s">
        <v>6</v>
      </c>
      <c r="G191" s="16" t="s">
        <v>6</v>
      </c>
      <c r="H191" s="16" t="s">
        <v>6</v>
      </c>
      <c r="I191" s="16" t="s">
        <v>6</v>
      </c>
      <c r="J191" s="16" t="s">
        <v>6</v>
      </c>
    </row>
    <row r="192">
      <c r="A192" s="15" t="s">
        <v>193</v>
      </c>
      <c r="B192" s="13" t="str">
        <f>IFERROR(__xludf.DUMMYFUNCTION("GOOGLETRANSLATE(A192,""en"",""es"")"),"Samoa")</f>
        <v>Samoa</v>
      </c>
      <c r="C192" s="14"/>
      <c r="D192" s="17" t="s">
        <v>6</v>
      </c>
      <c r="E192" s="17" t="s">
        <v>6</v>
      </c>
      <c r="F192" s="17" t="s">
        <v>6</v>
      </c>
      <c r="G192" s="17">
        <v>2365.0</v>
      </c>
      <c r="H192" s="17">
        <v>2530.0</v>
      </c>
      <c r="I192" s="17" t="s">
        <v>6</v>
      </c>
      <c r="J192" s="17" t="s">
        <v>6</v>
      </c>
    </row>
    <row r="193">
      <c r="A193" s="15" t="s">
        <v>194</v>
      </c>
      <c r="B193" s="13" t="str">
        <f>IFERROR(__xludf.DUMMYFUNCTION("GOOGLETRANSLATE(A193,""en"",""es"")"),"San Marino")</f>
        <v>San Marino</v>
      </c>
      <c r="C193" s="14"/>
      <c r="D193" s="16" t="s">
        <v>6</v>
      </c>
      <c r="E193" s="16" t="s">
        <v>6</v>
      </c>
      <c r="F193" s="16" t="s">
        <v>6</v>
      </c>
      <c r="G193" s="16" t="s">
        <v>6</v>
      </c>
      <c r="H193" s="16">
        <v>739.0</v>
      </c>
      <c r="I193" s="16">
        <v>853.0</v>
      </c>
      <c r="J193" s="16" t="s">
        <v>6</v>
      </c>
    </row>
    <row r="194">
      <c r="A194" s="18" t="s">
        <v>195</v>
      </c>
      <c r="B194" s="13" t="str">
        <f>IFERROR(__xludf.DUMMYFUNCTION("GOOGLETRANSLATE(A194,""en"",""es"")"),"Santo Tomé y Príncipe")</f>
        <v>Santo Tomé y Príncipe</v>
      </c>
      <c r="C194" s="14"/>
      <c r="D194" s="17">
        <v>1680.0</v>
      </c>
      <c r="E194" s="17">
        <v>2336.0</v>
      </c>
      <c r="F194" s="17" t="s">
        <v>6</v>
      </c>
      <c r="G194" s="17" t="s">
        <v>6</v>
      </c>
      <c r="H194" s="17" t="s">
        <v>6</v>
      </c>
      <c r="I194" s="17" t="s">
        <v>6</v>
      </c>
      <c r="J194" s="17" t="s">
        <v>6</v>
      </c>
    </row>
    <row r="195">
      <c r="A195" s="15" t="s">
        <v>196</v>
      </c>
      <c r="B195" s="13" t="str">
        <f>IFERROR(__xludf.DUMMYFUNCTION("GOOGLETRANSLATE(A195,""en"",""es"")"),"Arabia Saudita")</f>
        <v>Arabia Saudita</v>
      </c>
      <c r="C195" s="14"/>
      <c r="D195" s="16">
        <v>1496730.0</v>
      </c>
      <c r="E195" s="16">
        <v>1527769.0</v>
      </c>
      <c r="F195" s="16">
        <v>1622441.0</v>
      </c>
      <c r="G195" s="16">
        <v>1680913.0</v>
      </c>
      <c r="H195" s="16">
        <v>1620491.0</v>
      </c>
      <c r="I195" s="16">
        <v>1653069.0</v>
      </c>
      <c r="J195" s="16" t="s">
        <v>6</v>
      </c>
    </row>
    <row r="196">
      <c r="A196" s="15" t="s">
        <v>197</v>
      </c>
      <c r="B196" s="13" t="str">
        <f>IFERROR(__xludf.DUMMYFUNCTION("GOOGLETRANSLATE(A196,""en"",""es"")"),"Senegal")</f>
        <v>Senegal</v>
      </c>
      <c r="C196" s="14"/>
      <c r="D196" s="17">
        <v>141151.0</v>
      </c>
      <c r="E196" s="17">
        <v>144827.0</v>
      </c>
      <c r="F196" s="17">
        <v>150367.0</v>
      </c>
      <c r="G196" s="17">
        <v>162635.0</v>
      </c>
      <c r="H196" s="17">
        <v>184879.0</v>
      </c>
      <c r="I196" s="17">
        <v>195207.0</v>
      </c>
      <c r="J196" s="17" t="s">
        <v>6</v>
      </c>
    </row>
    <row r="197">
      <c r="A197" s="15" t="s">
        <v>198</v>
      </c>
      <c r="B197" s="13" t="str">
        <f>IFERROR(__xludf.DUMMYFUNCTION("GOOGLETRANSLATE(A197,""en"",""es"")"),"Serbia")</f>
        <v>Serbia</v>
      </c>
      <c r="C197" s="14"/>
      <c r="D197" s="16">
        <v>242848.0</v>
      </c>
      <c r="E197" s="16">
        <v>241054.0</v>
      </c>
      <c r="F197" s="16">
        <v>251162.0</v>
      </c>
      <c r="G197" s="16">
        <v>262108.0</v>
      </c>
      <c r="H197" s="16">
        <v>256172.0</v>
      </c>
      <c r="I197" s="16">
        <v>249771.0</v>
      </c>
      <c r="J197" s="16" t="s">
        <v>6</v>
      </c>
    </row>
    <row r="198">
      <c r="A198" s="15" t="s">
        <v>199</v>
      </c>
      <c r="B198" s="13" t="str">
        <f>IFERROR(__xludf.DUMMYFUNCTION("GOOGLETRANSLATE(A198,""en"",""es"")"),"Seychelles")</f>
        <v>Seychelles</v>
      </c>
      <c r="C198" s="14"/>
      <c r="D198" s="17">
        <v>478.0</v>
      </c>
      <c r="E198" s="17">
        <v>1035.0</v>
      </c>
      <c r="F198" s="17">
        <v>1280.0</v>
      </c>
      <c r="G198" s="17">
        <v>1338.0</v>
      </c>
      <c r="H198" s="17">
        <v>1123.0</v>
      </c>
      <c r="I198" s="17">
        <v>1229.0</v>
      </c>
      <c r="J198" s="17" t="s">
        <v>6</v>
      </c>
    </row>
    <row r="199">
      <c r="A199" s="15" t="s">
        <v>200</v>
      </c>
      <c r="B199" s="13" t="str">
        <f>IFERROR(__xludf.DUMMYFUNCTION("GOOGLETRANSLATE(A199,""en"",""es"")"),"Sierra Leona")</f>
        <v>Sierra Leona</v>
      </c>
      <c r="C199" s="14"/>
      <c r="D199" s="16" t="s">
        <v>6</v>
      </c>
      <c r="E199" s="16" t="s">
        <v>6</v>
      </c>
      <c r="F199" s="16" t="s">
        <v>6</v>
      </c>
      <c r="G199" s="16" t="s">
        <v>6</v>
      </c>
      <c r="H199" s="16" t="s">
        <v>6</v>
      </c>
      <c r="I199" s="16" t="s">
        <v>6</v>
      </c>
      <c r="J199" s="16" t="s">
        <v>6</v>
      </c>
    </row>
    <row r="200">
      <c r="A200" s="15" t="s">
        <v>201</v>
      </c>
      <c r="B200" s="13" t="str">
        <f>IFERROR(__xludf.DUMMYFUNCTION("GOOGLETRANSLATE(A200,""en"",""es"")"),"Singapur")</f>
        <v>Singapur</v>
      </c>
      <c r="C200" s="14"/>
      <c r="D200" s="17" t="s">
        <v>6</v>
      </c>
      <c r="E200" s="17" t="s">
        <v>6</v>
      </c>
      <c r="F200" s="17">
        <v>195125.0</v>
      </c>
      <c r="G200" s="17">
        <v>194615.0</v>
      </c>
      <c r="H200" s="17">
        <v>198047.0</v>
      </c>
      <c r="I200" s="17" t="s">
        <v>6</v>
      </c>
      <c r="J200" s="17" t="s">
        <v>6</v>
      </c>
    </row>
    <row r="201">
      <c r="A201" s="18" t="s">
        <v>202</v>
      </c>
      <c r="B201" s="13" t="str">
        <f>IFERROR(__xludf.DUMMYFUNCTION("GOOGLETRANSLATE(A201,""en"",""es"")"),"Sint Maarten (parte neerlandesa)")</f>
        <v>Sint Maarten (parte neerlandesa)</v>
      </c>
      <c r="C201" s="14"/>
      <c r="D201" s="16">
        <v>178.0</v>
      </c>
      <c r="E201" s="16">
        <v>194.0</v>
      </c>
      <c r="F201" s="16" t="s">
        <v>6</v>
      </c>
      <c r="G201" s="16" t="s">
        <v>6</v>
      </c>
      <c r="H201" s="16" t="s">
        <v>6</v>
      </c>
      <c r="I201" s="16" t="s">
        <v>6</v>
      </c>
      <c r="J201" s="16" t="s">
        <v>6</v>
      </c>
    </row>
    <row r="202">
      <c r="A202" s="15" t="s">
        <v>203</v>
      </c>
      <c r="B202" s="13" t="str">
        <f>IFERROR(__xludf.DUMMYFUNCTION("GOOGLETRANSLATE(A202,""en"",""es"")"),"Eslovaquia")</f>
        <v>Eslovaquia</v>
      </c>
      <c r="C202" s="14"/>
      <c r="D202" s="17">
        <v>197854.0</v>
      </c>
      <c r="E202" s="17">
        <v>184390.0</v>
      </c>
      <c r="F202" s="17">
        <v>167280.0</v>
      </c>
      <c r="G202" s="17">
        <v>156048.0</v>
      </c>
      <c r="H202" s="17">
        <v>144447.0</v>
      </c>
      <c r="I202" s="17" t="s">
        <v>6</v>
      </c>
      <c r="J202" s="17" t="s">
        <v>6</v>
      </c>
    </row>
    <row r="203">
      <c r="A203" s="15" t="s">
        <v>204</v>
      </c>
      <c r="B203" s="13" t="str">
        <f>IFERROR(__xludf.DUMMYFUNCTION("GOOGLETRANSLATE(A203,""en"",""es"")"),"Eslovenia")</f>
        <v>Eslovenia</v>
      </c>
      <c r="C203" s="14"/>
      <c r="D203" s="16">
        <v>90622.0</v>
      </c>
      <c r="E203" s="16">
        <v>85616.0</v>
      </c>
      <c r="F203" s="16">
        <v>80798.0</v>
      </c>
      <c r="G203" s="16">
        <v>79547.0</v>
      </c>
      <c r="H203" s="16">
        <v>76534.0</v>
      </c>
      <c r="I203" s="16" t="s">
        <v>6</v>
      </c>
      <c r="J203" s="16" t="s">
        <v>6</v>
      </c>
    </row>
    <row r="204">
      <c r="A204" s="15" t="s">
        <v>205</v>
      </c>
      <c r="B204" s="13" t="str">
        <f>IFERROR(__xludf.DUMMYFUNCTION("GOOGLETRANSLATE(A204,""en"",""es"")"),"Islas Salomón")</f>
        <v>Islas Salomón</v>
      </c>
      <c r="C204" s="14"/>
      <c r="D204" s="17" t="s">
        <v>6</v>
      </c>
      <c r="E204" s="17" t="s">
        <v>6</v>
      </c>
      <c r="F204" s="17" t="s">
        <v>6</v>
      </c>
      <c r="G204" s="17" t="s">
        <v>6</v>
      </c>
      <c r="H204" s="17" t="s">
        <v>6</v>
      </c>
      <c r="I204" s="17" t="s">
        <v>6</v>
      </c>
      <c r="J204" s="17" t="s">
        <v>6</v>
      </c>
    </row>
    <row r="205">
      <c r="A205" s="15" t="s">
        <v>206</v>
      </c>
      <c r="B205" s="13" t="str">
        <f>IFERROR(__xludf.DUMMYFUNCTION("GOOGLETRANSLATE(A205,""en"",""es"")"),"Somalia")</f>
        <v>Somalia</v>
      </c>
      <c r="C205" s="14"/>
      <c r="D205" s="16" t="s">
        <v>6</v>
      </c>
      <c r="E205" s="16" t="s">
        <v>6</v>
      </c>
      <c r="F205" s="16" t="s">
        <v>6</v>
      </c>
      <c r="G205" s="16" t="s">
        <v>6</v>
      </c>
      <c r="H205" s="16" t="s">
        <v>6</v>
      </c>
      <c r="I205" s="16" t="s">
        <v>6</v>
      </c>
      <c r="J205" s="16" t="s">
        <v>6</v>
      </c>
    </row>
    <row r="206">
      <c r="A206" s="15" t="s">
        <v>207</v>
      </c>
      <c r="B206" s="13" t="str">
        <f>IFERROR(__xludf.DUMMYFUNCTION("GOOGLETRANSLATE(A206,""en"",""es"")"),"Sudáfrica")</f>
        <v>Sudáfrica</v>
      </c>
      <c r="C206" s="14"/>
      <c r="D206" s="17">
        <v>1018543.0</v>
      </c>
      <c r="E206" s="17">
        <v>1050860.0</v>
      </c>
      <c r="F206" s="17">
        <v>1053607.0</v>
      </c>
      <c r="G206" s="17">
        <v>1116017.0</v>
      </c>
      <c r="H206" s="17">
        <v>1177684.0</v>
      </c>
      <c r="I206" s="17" t="s">
        <v>6</v>
      </c>
      <c r="J206" s="17" t="s">
        <v>6</v>
      </c>
    </row>
    <row r="207">
      <c r="A207" s="15" t="s">
        <v>208</v>
      </c>
      <c r="B207" s="13" t="str">
        <f>IFERROR(__xludf.DUMMYFUNCTION("GOOGLETRANSLATE(A207,""en"",""es"")"),"Sudán del Sur")</f>
        <v>Sudán del Sur</v>
      </c>
      <c r="C207" s="14"/>
      <c r="D207" s="16" t="s">
        <v>6</v>
      </c>
      <c r="E207" s="16" t="s">
        <v>6</v>
      </c>
      <c r="F207" s="16" t="s">
        <v>6</v>
      </c>
      <c r="G207" s="16" t="s">
        <v>6</v>
      </c>
      <c r="H207" s="16" t="s">
        <v>6</v>
      </c>
      <c r="I207" s="16" t="s">
        <v>6</v>
      </c>
      <c r="J207" s="16" t="s">
        <v>6</v>
      </c>
    </row>
    <row r="208">
      <c r="A208" s="15" t="s">
        <v>209</v>
      </c>
      <c r="B208" s="13" t="str">
        <f>IFERROR(__xludf.DUMMYFUNCTION("GOOGLETRANSLATE(A208,""en"",""es"")"),"España")</f>
        <v>España</v>
      </c>
      <c r="C208" s="14"/>
      <c r="D208" s="17">
        <v>1982162.0</v>
      </c>
      <c r="E208" s="17">
        <v>1963924.0</v>
      </c>
      <c r="F208" s="17">
        <v>1968702.0</v>
      </c>
      <c r="G208" s="17">
        <v>2010183.0</v>
      </c>
      <c r="H208" s="17">
        <v>2051826.0</v>
      </c>
      <c r="I208" s="17" t="s">
        <v>6</v>
      </c>
      <c r="J208" s="17" t="s">
        <v>6</v>
      </c>
    </row>
    <row r="209">
      <c r="A209" s="15" t="s">
        <v>210</v>
      </c>
      <c r="B209" s="13" t="str">
        <f>IFERROR(__xludf.DUMMYFUNCTION("GOOGLETRANSLATE(A209,""en"",""es"")"),"Sri Lanka")</f>
        <v>Sri Lanka</v>
      </c>
      <c r="C209" s="14"/>
      <c r="D209" s="16">
        <v>301681.0</v>
      </c>
      <c r="E209" s="16">
        <v>308000.0</v>
      </c>
      <c r="F209" s="16">
        <v>290494.0</v>
      </c>
      <c r="G209" s="16">
        <v>290495.0</v>
      </c>
      <c r="H209" s="16">
        <v>300794.0</v>
      </c>
      <c r="I209" s="16">
        <v>325868.0</v>
      </c>
      <c r="J209" s="16" t="s">
        <v>6</v>
      </c>
    </row>
    <row r="210">
      <c r="A210" s="15" t="s">
        <v>211</v>
      </c>
      <c r="B210" s="13" t="str">
        <f>IFERROR(__xludf.DUMMYFUNCTION("GOOGLETRANSLATE(A210,""en"",""es"")"),"Sudán")</f>
        <v>Sudán</v>
      </c>
      <c r="C210" s="14"/>
      <c r="D210" s="17">
        <v>632377.0</v>
      </c>
      <c r="E210" s="17">
        <v>653088.0</v>
      </c>
      <c r="F210" s="17" t="s">
        <v>6</v>
      </c>
      <c r="G210" s="17" t="s">
        <v>6</v>
      </c>
      <c r="H210" s="17" t="s">
        <v>6</v>
      </c>
      <c r="I210" s="17" t="s">
        <v>6</v>
      </c>
      <c r="J210" s="17" t="s">
        <v>6</v>
      </c>
    </row>
    <row r="211">
      <c r="A211" s="18" t="s">
        <v>212</v>
      </c>
      <c r="B211" s="13" t="str">
        <f>IFERROR(__xludf.DUMMYFUNCTION("GOOGLETRANSLATE(A211,""en"",""es"")"),"Sudán (pre-secesión)")</f>
        <v>Sudán (pre-secesión)</v>
      </c>
      <c r="C211" s="14"/>
      <c r="D211" s="16" t="s">
        <v>6</v>
      </c>
      <c r="E211" s="16" t="s">
        <v>6</v>
      </c>
      <c r="F211" s="16" t="s">
        <v>6</v>
      </c>
      <c r="G211" s="16" t="s">
        <v>6</v>
      </c>
      <c r="H211" s="16" t="s">
        <v>6</v>
      </c>
      <c r="I211" s="16" t="s">
        <v>6</v>
      </c>
      <c r="J211" s="16" t="s">
        <v>6</v>
      </c>
    </row>
    <row r="212">
      <c r="A212" s="15" t="s">
        <v>213</v>
      </c>
      <c r="B212" s="13" t="str">
        <f>IFERROR(__xludf.DUMMYFUNCTION("GOOGLETRANSLATE(A212,""en"",""es"")"),"Surinam")</f>
        <v>Surinam</v>
      </c>
      <c r="C212" s="14"/>
      <c r="D212" s="17" t="s">
        <v>6</v>
      </c>
      <c r="E212" s="17" t="s">
        <v>6</v>
      </c>
      <c r="F212" s="17" t="s">
        <v>6</v>
      </c>
      <c r="G212" s="17" t="s">
        <v>6</v>
      </c>
      <c r="H212" s="17" t="s">
        <v>6</v>
      </c>
      <c r="I212" s="17" t="s">
        <v>6</v>
      </c>
      <c r="J212" s="17" t="s">
        <v>6</v>
      </c>
    </row>
    <row r="213">
      <c r="A213" s="18" t="s">
        <v>214</v>
      </c>
      <c r="B213" s="13" t="str">
        <f>IFERROR(__xludf.DUMMYFUNCTION("GOOGLETRANSLATE(A213,""en"",""es"")"),"Svalbard y Jan Mayen")</f>
        <v>Svalbard y Jan Mayen</v>
      </c>
      <c r="C213" s="14"/>
      <c r="D213" s="16" t="s">
        <v>6</v>
      </c>
      <c r="E213" s="16" t="s">
        <v>6</v>
      </c>
      <c r="F213" s="16" t="s">
        <v>6</v>
      </c>
      <c r="G213" s="16" t="s">
        <v>6</v>
      </c>
      <c r="H213" s="16" t="s">
        <v>6</v>
      </c>
      <c r="I213" s="16" t="s">
        <v>6</v>
      </c>
      <c r="J213" s="16" t="s">
        <v>6</v>
      </c>
    </row>
    <row r="214">
      <c r="A214" s="15" t="s">
        <v>215</v>
      </c>
      <c r="B214" s="13" t="str">
        <f>IFERROR(__xludf.DUMMYFUNCTION("GOOGLETRANSLATE(A214,""en"",""es"")"),"Suecia")</f>
        <v>Suecia</v>
      </c>
      <c r="C214" s="14"/>
      <c r="D214" s="17">
        <v>429444.0</v>
      </c>
      <c r="E214" s="17">
        <v>428557.0</v>
      </c>
      <c r="F214" s="17">
        <v>426188.0</v>
      </c>
      <c r="G214" s="17">
        <v>426354.0</v>
      </c>
      <c r="H214" s="17">
        <v>431065.0</v>
      </c>
      <c r="I214" s="17" t="s">
        <v>6</v>
      </c>
      <c r="J214" s="17" t="s">
        <v>6</v>
      </c>
    </row>
    <row r="215">
      <c r="A215" s="15" t="s">
        <v>216</v>
      </c>
      <c r="B215" s="13" t="str">
        <f>IFERROR(__xludf.DUMMYFUNCTION("GOOGLETRANSLATE(A215,""en"",""es"")"),"Suiza")</f>
        <v>Suiza</v>
      </c>
      <c r="C215" s="14"/>
      <c r="D215" s="16">
        <v>289722.0</v>
      </c>
      <c r="E215" s="16">
        <v>294450.0</v>
      </c>
      <c r="F215" s="16">
        <v>295149.0</v>
      </c>
      <c r="G215" s="16">
        <v>300618.0</v>
      </c>
      <c r="H215" s="16">
        <v>306743.0</v>
      </c>
      <c r="I215" s="16" t="s">
        <v>6</v>
      </c>
      <c r="J215" s="16" t="s">
        <v>6</v>
      </c>
    </row>
    <row r="216">
      <c r="A216" s="18" t="s">
        <v>217</v>
      </c>
      <c r="B216" s="13" t="str">
        <f>IFERROR(__xludf.DUMMYFUNCTION("GOOGLETRANSLATE(A216,""en"",""es"")"),"República Árabe Siria")</f>
        <v>República Árabe Siria</v>
      </c>
      <c r="C216" s="14"/>
      <c r="D216" s="17">
        <v>791775.0</v>
      </c>
      <c r="E216" s="17">
        <v>772877.0</v>
      </c>
      <c r="F216" s="17">
        <v>697415.0</v>
      </c>
      <c r="G216" s="17" t="s">
        <v>6</v>
      </c>
      <c r="H216" s="17" t="s">
        <v>6</v>
      </c>
      <c r="I216" s="17" t="s">
        <v>6</v>
      </c>
      <c r="J216" s="17" t="s">
        <v>6</v>
      </c>
    </row>
    <row r="217">
      <c r="A217" s="15" t="s">
        <v>218</v>
      </c>
      <c r="B217" s="13" t="str">
        <f>IFERROR(__xludf.DUMMYFUNCTION("GOOGLETRANSLATE(A217,""en"",""es"")"),"Tayikistán")</f>
        <v>Tayikistán</v>
      </c>
      <c r="C217" s="14"/>
      <c r="D217" s="16">
        <v>209170.0</v>
      </c>
      <c r="E217" s="16">
        <v>224764.0</v>
      </c>
      <c r="F217" s="16">
        <v>247092.0</v>
      </c>
      <c r="G217" s="16">
        <v>265426.0</v>
      </c>
      <c r="H217" s="16" t="s">
        <v>6</v>
      </c>
      <c r="I217" s="16" t="s">
        <v>6</v>
      </c>
      <c r="J217" s="16" t="s">
        <v>6</v>
      </c>
    </row>
    <row r="218">
      <c r="A218" s="15" t="s">
        <v>219</v>
      </c>
      <c r="B218" s="13" t="str">
        <f>IFERROR(__xludf.DUMMYFUNCTION("GOOGLETRANSLATE(A218,""en"",""es"")"),"Tailandia")</f>
        <v>Tailandia</v>
      </c>
      <c r="C218" s="14"/>
      <c r="D218" s="17">
        <v>2433140.0</v>
      </c>
      <c r="E218" s="17" t="s">
        <v>6</v>
      </c>
      <c r="F218" s="17">
        <v>2410713.0</v>
      </c>
      <c r="G218" s="17" t="s">
        <v>6</v>
      </c>
      <c r="H218" s="17" t="s">
        <v>6</v>
      </c>
      <c r="I218" s="17" t="s">
        <v>6</v>
      </c>
      <c r="J218" s="17" t="s">
        <v>6</v>
      </c>
    </row>
    <row r="219">
      <c r="A219" s="15" t="s">
        <v>220</v>
      </c>
      <c r="B219" s="13" t="str">
        <f>IFERROR(__xludf.DUMMYFUNCTION("GOOGLETRANSLATE(A219,""en"",""es"")"),"Timor Oriental")</f>
        <v>Timor Oriental</v>
      </c>
      <c r="C219" s="14"/>
      <c r="D219" s="16" t="s">
        <v>6</v>
      </c>
      <c r="E219" s="16" t="s">
        <v>6</v>
      </c>
      <c r="F219" s="16" t="s">
        <v>6</v>
      </c>
      <c r="G219" s="16" t="s">
        <v>6</v>
      </c>
      <c r="H219" s="16" t="s">
        <v>6</v>
      </c>
      <c r="I219" s="16" t="s">
        <v>6</v>
      </c>
      <c r="J219" s="16" t="s">
        <v>6</v>
      </c>
    </row>
    <row r="220">
      <c r="A220" s="15" t="s">
        <v>221</v>
      </c>
      <c r="B220" s="13" t="str">
        <f>IFERROR(__xludf.DUMMYFUNCTION("GOOGLETRANSLATE(A220,""en"",""es"")"),"Ir")</f>
        <v>Ir</v>
      </c>
      <c r="C220" s="14"/>
      <c r="D220" s="17">
        <v>66525.0</v>
      </c>
      <c r="E220" s="17">
        <v>71154.0</v>
      </c>
      <c r="F220" s="17">
        <v>83021.0</v>
      </c>
      <c r="G220" s="17">
        <v>89092.0</v>
      </c>
      <c r="H220" s="17">
        <v>101922.0</v>
      </c>
      <c r="I220" s="17">
        <v>101387.0</v>
      </c>
      <c r="J220" s="17" t="s">
        <v>6</v>
      </c>
    </row>
    <row r="221">
      <c r="A221" s="15" t="s">
        <v>222</v>
      </c>
      <c r="B221" s="13" t="str">
        <f>IFERROR(__xludf.DUMMYFUNCTION("GOOGLETRANSLATE(A221,""en"",""es"")"),"Tokelau")</f>
        <v>Tokelau</v>
      </c>
      <c r="C221" s="14"/>
      <c r="D221" s="16" t="s">
        <v>6</v>
      </c>
      <c r="E221" s="16" t="s">
        <v>6</v>
      </c>
      <c r="F221" s="16" t="s">
        <v>6</v>
      </c>
      <c r="G221" s="16" t="s">
        <v>6</v>
      </c>
      <c r="H221" s="16" t="s">
        <v>6</v>
      </c>
      <c r="I221" s="16" t="s">
        <v>6</v>
      </c>
      <c r="J221" s="16" t="s">
        <v>6</v>
      </c>
    </row>
    <row r="222">
      <c r="A222" s="15" t="s">
        <v>223</v>
      </c>
      <c r="B222" s="13" t="str">
        <f>IFERROR(__xludf.DUMMYFUNCTION("GOOGLETRANSLATE(A222,""en"",""es"")"),"Tonga")</f>
        <v>Tonga</v>
      </c>
      <c r="C222" s="14"/>
      <c r="D222" s="17" t="s">
        <v>6</v>
      </c>
      <c r="E222" s="17" t="s">
        <v>6</v>
      </c>
      <c r="F222" s="17" t="s">
        <v>6</v>
      </c>
      <c r="G222" s="17" t="s">
        <v>6</v>
      </c>
      <c r="H222" s="17" t="s">
        <v>6</v>
      </c>
      <c r="I222" s="17" t="s">
        <v>6</v>
      </c>
      <c r="J222" s="17" t="s">
        <v>6</v>
      </c>
    </row>
    <row r="223">
      <c r="A223" s="18" t="s">
        <v>224</v>
      </c>
      <c r="B223" s="13" t="str">
        <f>IFERROR(__xludf.DUMMYFUNCTION("GOOGLETRANSLATE(A223,""en"",""es"")"),"Trinidad y Tobago")</f>
        <v>Trinidad y Tobago</v>
      </c>
      <c r="C223" s="14"/>
      <c r="D223" s="16" t="s">
        <v>6</v>
      </c>
      <c r="E223" s="16" t="s">
        <v>6</v>
      </c>
      <c r="F223" s="16" t="s">
        <v>6</v>
      </c>
      <c r="G223" s="16" t="s">
        <v>6</v>
      </c>
      <c r="H223" s="16" t="s">
        <v>6</v>
      </c>
      <c r="I223" s="16" t="s">
        <v>6</v>
      </c>
      <c r="J223" s="16" t="s">
        <v>6</v>
      </c>
    </row>
    <row r="224">
      <c r="A224" s="15" t="s">
        <v>225</v>
      </c>
      <c r="B224" s="13" t="str">
        <f>IFERROR(__xludf.DUMMYFUNCTION("GOOGLETRANSLATE(A224,""en"",""es"")"),"Túnez")</f>
        <v>Túnez</v>
      </c>
      <c r="C224" s="14"/>
      <c r="D224" s="17">
        <v>331802.0</v>
      </c>
      <c r="E224" s="17">
        <v>322625.0</v>
      </c>
      <c r="F224" s="17">
        <v>294486.0</v>
      </c>
      <c r="G224" s="17">
        <v>282204.0</v>
      </c>
      <c r="H224" s="17">
        <v>272261.0</v>
      </c>
      <c r="I224" s="17">
        <v>267154.0</v>
      </c>
      <c r="J224" s="17" t="s">
        <v>6</v>
      </c>
    </row>
    <row r="225">
      <c r="A225" s="15" t="s">
        <v>226</v>
      </c>
      <c r="B225" s="13" t="str">
        <f>IFERROR(__xludf.DUMMYFUNCTION("GOOGLETRANSLATE(A225,""en"",""es"")"),"pavo")</f>
        <v>pavo</v>
      </c>
      <c r="C225" s="14"/>
      <c r="D225" s="16">
        <v>5472521.0</v>
      </c>
      <c r="E225" s="16">
        <v>6062886.0</v>
      </c>
      <c r="F225" s="16">
        <v>6689185.0</v>
      </c>
      <c r="G225" s="16">
        <v>7198987.0</v>
      </c>
      <c r="H225" s="16">
        <v>7560371.0</v>
      </c>
      <c r="I225" s="16" t="s">
        <v>6</v>
      </c>
      <c r="J225" s="16" t="s">
        <v>6</v>
      </c>
    </row>
    <row r="226">
      <c r="A226" s="15" t="s">
        <v>227</v>
      </c>
      <c r="B226" s="13" t="str">
        <f>IFERROR(__xludf.DUMMYFUNCTION("GOOGLETRANSLATE(A226,""en"",""es"")"),"Turkmenistán")</f>
        <v>Turkmenistán</v>
      </c>
      <c r="C226" s="14"/>
      <c r="D226" s="17">
        <v>44411.0</v>
      </c>
      <c r="E226" s="17" t="s">
        <v>6</v>
      </c>
      <c r="F226" s="17" t="s">
        <v>6</v>
      </c>
      <c r="G226" s="17" t="s">
        <v>6</v>
      </c>
      <c r="H226" s="17" t="s">
        <v>6</v>
      </c>
      <c r="I226" s="17">
        <v>65890.0</v>
      </c>
      <c r="J226" s="17" t="s">
        <v>6</v>
      </c>
    </row>
    <row r="227">
      <c r="A227" s="18" t="s">
        <v>228</v>
      </c>
      <c r="B227" s="13" t="str">
        <f>IFERROR(__xludf.DUMMYFUNCTION("GOOGLETRANSLATE(A227,""en"",""es"")"),"Islas Turcas y Caicos")</f>
        <v>Islas Turcas y Caicos</v>
      </c>
      <c r="C227" s="14"/>
      <c r="D227" s="16" t="s">
        <v>6</v>
      </c>
      <c r="E227" s="16">
        <v>286.0</v>
      </c>
      <c r="F227" s="16" t="s">
        <v>6</v>
      </c>
      <c r="G227" s="16" t="s">
        <v>6</v>
      </c>
      <c r="H227" s="16" t="s">
        <v>6</v>
      </c>
      <c r="I227" s="16" t="s">
        <v>6</v>
      </c>
      <c r="J227" s="16" t="s">
        <v>6</v>
      </c>
    </row>
    <row r="228">
      <c r="A228" s="15" t="s">
        <v>229</v>
      </c>
      <c r="B228" s="13" t="str">
        <f>IFERROR(__xludf.DUMMYFUNCTION("GOOGLETRANSLATE(A228,""en"",""es"")"),"Tuvalu")</f>
        <v>Tuvalu</v>
      </c>
      <c r="C228" s="14"/>
      <c r="D228" s="17" t="s">
        <v>6</v>
      </c>
      <c r="E228" s="17" t="s">
        <v>6</v>
      </c>
      <c r="F228" s="17" t="s">
        <v>6</v>
      </c>
      <c r="G228" s="17" t="s">
        <v>6</v>
      </c>
      <c r="H228" s="17" t="s">
        <v>6</v>
      </c>
      <c r="I228" s="17" t="s">
        <v>6</v>
      </c>
      <c r="J228" s="17" t="s">
        <v>6</v>
      </c>
    </row>
    <row r="229">
      <c r="A229" s="15" t="s">
        <v>230</v>
      </c>
      <c r="B229" s="13" t="str">
        <f>IFERROR(__xludf.DUMMYFUNCTION("GOOGLETRANSLATE(A229,""en"",""es"")"),"Uganda")</f>
        <v>Uganda</v>
      </c>
      <c r="C229" s="14"/>
      <c r="D229" s="16">
        <v>165396.0</v>
      </c>
      <c r="E229" s="16" t="s">
        <v>6</v>
      </c>
      <c r="F229" s="16" t="s">
        <v>6</v>
      </c>
      <c r="G229" s="16" t="s">
        <v>6</v>
      </c>
      <c r="H229" s="16" t="s">
        <v>6</v>
      </c>
      <c r="I229" s="16" t="s">
        <v>6</v>
      </c>
      <c r="J229" s="16" t="s">
        <v>6</v>
      </c>
    </row>
    <row r="230">
      <c r="A230" s="15" t="s">
        <v>231</v>
      </c>
      <c r="B230" s="13" t="str">
        <f>IFERROR(__xludf.DUMMYFUNCTION("GOOGLETRANSLATE(A230,""en"",""es"")"),"Ucrania")</f>
        <v>Ucrania</v>
      </c>
      <c r="C230" s="14"/>
      <c r="D230" s="17">
        <v>2146028.0</v>
      </c>
      <c r="E230" s="17">
        <v>1776190.0</v>
      </c>
      <c r="F230" s="17">
        <v>1689724.0</v>
      </c>
      <c r="G230" s="17">
        <v>1667288.0</v>
      </c>
      <c r="H230" s="17">
        <v>1614636.0</v>
      </c>
      <c r="I230" s="17">
        <v>1601557.0</v>
      </c>
      <c r="J230" s="17" t="s">
        <v>6</v>
      </c>
    </row>
    <row r="231">
      <c r="A231" s="18" t="s">
        <v>232</v>
      </c>
      <c r="B231" s="13" t="str">
        <f>IFERROR(__xludf.DUMMYFUNCTION("GOOGLETRANSLATE(A231,""en"",""es"")"),"Emiratos Árabes Unidos")</f>
        <v>Emiratos Árabes Unidos</v>
      </c>
      <c r="C231" s="14"/>
      <c r="D231" s="16">
        <v>143060.0</v>
      </c>
      <c r="E231" s="16">
        <v>156613.0</v>
      </c>
      <c r="F231" s="16">
        <v>159553.0</v>
      </c>
      <c r="G231" s="16">
        <v>191794.0</v>
      </c>
      <c r="H231" s="16" t="s">
        <v>6</v>
      </c>
      <c r="I231" s="16" t="s">
        <v>6</v>
      </c>
      <c r="J231" s="16" t="s">
        <v>6</v>
      </c>
    </row>
    <row r="232">
      <c r="A232" s="18" t="s">
        <v>233</v>
      </c>
      <c r="B232" s="13" t="str">
        <f>IFERROR(__xludf.DUMMYFUNCTION("GOOGLETRANSLATE(A232,""en"",""es"")"),"Reino Unido de Gran Bretaña e Irlanda del Norte")</f>
        <v>Reino Unido de Gran Bretaña e Irlanda del Norte</v>
      </c>
      <c r="C232" s="14"/>
      <c r="D232" s="17">
        <v>2352932.782</v>
      </c>
      <c r="E232" s="17">
        <v>2330334.479</v>
      </c>
      <c r="F232" s="17">
        <v>2387280.167</v>
      </c>
      <c r="G232" s="17">
        <v>2431886.377</v>
      </c>
      <c r="H232" s="17">
        <v>2467086.412</v>
      </c>
      <c r="I232" s="17" t="s">
        <v>6</v>
      </c>
      <c r="J232" s="17" t="s">
        <v>6</v>
      </c>
    </row>
    <row r="233">
      <c r="A233" s="18" t="s">
        <v>234</v>
      </c>
      <c r="B233" s="13" t="str">
        <f>IFERROR(__xludf.DUMMYFUNCTION("GOOGLETRANSLATE(A233,""en"",""es"")"),"República Unida de Tanzania")</f>
        <v>República Unida de Tanzania</v>
      </c>
      <c r="C233" s="14"/>
      <c r="D233" s="16" t="s">
        <v>6</v>
      </c>
      <c r="E233" s="16">
        <v>182404.0</v>
      </c>
      <c r="F233" s="16">
        <v>178598.0</v>
      </c>
      <c r="G233" s="16" t="s">
        <v>6</v>
      </c>
      <c r="H233" s="16" t="s">
        <v>6</v>
      </c>
      <c r="I233" s="16">
        <v>154035.0</v>
      </c>
      <c r="J233" s="16" t="s">
        <v>6</v>
      </c>
    </row>
    <row r="234">
      <c r="A234" s="18" t="s">
        <v>235</v>
      </c>
      <c r="B234" s="13" t="str">
        <f>IFERROR(__xludf.DUMMYFUNCTION("GOOGLETRANSLATE(A234,""en"",""es"")"),"Estados Unidos de America")</f>
        <v>Estados Unidos de America</v>
      </c>
      <c r="C234" s="14"/>
      <c r="D234" s="17">
        <v>1.9700221E7</v>
      </c>
      <c r="E234" s="17">
        <v>1.953172701E7</v>
      </c>
      <c r="F234" s="17">
        <v>1.928842351E7</v>
      </c>
      <c r="G234" s="17">
        <v>1.901453009E7</v>
      </c>
      <c r="H234" s="17">
        <v>1.894196742E7</v>
      </c>
      <c r="I234" s="17" t="s">
        <v>6</v>
      </c>
      <c r="J234" s="17" t="s">
        <v>6</v>
      </c>
    </row>
    <row r="235">
      <c r="A235" s="18" t="s">
        <v>236</v>
      </c>
      <c r="B235" s="13" t="str">
        <f>IFERROR(__xludf.DUMMYFUNCTION("GOOGLETRANSLATE(A235,""en"",""es"")"),"Islas Vírgenes de los Estados")</f>
        <v>Islas Vírgenes de los Estados</v>
      </c>
      <c r="C235" s="14"/>
      <c r="D235" s="16" t="s">
        <v>6</v>
      </c>
      <c r="E235" s="16" t="s">
        <v>6</v>
      </c>
      <c r="F235" s="16" t="s">
        <v>6</v>
      </c>
      <c r="G235" s="16" t="s">
        <v>6</v>
      </c>
      <c r="H235" s="16" t="s">
        <v>6</v>
      </c>
      <c r="I235" s="16" t="s">
        <v>6</v>
      </c>
      <c r="J235" s="16" t="s">
        <v>6</v>
      </c>
    </row>
    <row r="236">
      <c r="A236" s="15" t="s">
        <v>237</v>
      </c>
      <c r="B236" s="13" t="str">
        <f>IFERROR(__xludf.DUMMYFUNCTION("GOOGLETRANSLATE(A236,""en"",""es"")"),"Uruguay")</f>
        <v>Uruguay</v>
      </c>
      <c r="C236" s="14"/>
      <c r="D236" s="17">
        <v>159772.0</v>
      </c>
      <c r="E236" s="17">
        <v>156342.0</v>
      </c>
      <c r="F236" s="17">
        <v>162427.0</v>
      </c>
      <c r="G236" s="17">
        <v>162463.0</v>
      </c>
      <c r="H236" s="17" t="s">
        <v>6</v>
      </c>
      <c r="I236" s="17" t="s">
        <v>6</v>
      </c>
      <c r="J236" s="17" t="s">
        <v>6</v>
      </c>
    </row>
    <row r="237">
      <c r="A237" s="15" t="s">
        <v>238</v>
      </c>
      <c r="B237" s="13" t="str">
        <f>IFERROR(__xludf.DUMMYFUNCTION("GOOGLETRANSLATE(A237,""en"",""es"")"),"Uzbekistán")</f>
        <v>Uzbekistán</v>
      </c>
      <c r="C237" s="14"/>
      <c r="D237" s="16">
        <v>260453.0</v>
      </c>
      <c r="E237" s="16">
        <v>262368.0</v>
      </c>
      <c r="F237" s="16">
        <v>265679.0</v>
      </c>
      <c r="G237" s="16">
        <v>281451.0</v>
      </c>
      <c r="H237" s="16">
        <v>299634.0</v>
      </c>
      <c r="I237" s="16">
        <v>361968.0</v>
      </c>
      <c r="J237" s="16" t="s">
        <v>6</v>
      </c>
    </row>
    <row r="238">
      <c r="A238" s="15" t="s">
        <v>239</v>
      </c>
      <c r="B238" s="13" t="str">
        <f>IFERROR(__xludf.DUMMYFUNCTION("GOOGLETRANSLATE(A238,""en"",""es"")"),"Vanuatu")</f>
        <v>Vanuatu</v>
      </c>
      <c r="C238" s="14"/>
      <c r="D238" s="17" t="s">
        <v>6</v>
      </c>
      <c r="E238" s="17" t="s">
        <v>6</v>
      </c>
      <c r="F238" s="17" t="s">
        <v>6</v>
      </c>
      <c r="G238" s="17" t="s">
        <v>6</v>
      </c>
      <c r="H238" s="17" t="s">
        <v>6</v>
      </c>
      <c r="I238" s="17" t="s">
        <v>6</v>
      </c>
      <c r="J238" s="17" t="s">
        <v>6</v>
      </c>
    </row>
    <row r="239">
      <c r="A239" s="18" t="s">
        <v>240</v>
      </c>
      <c r="B239" s="13" t="str">
        <f>IFERROR(__xludf.DUMMYFUNCTION("GOOGLETRANSLATE(A239,""en"",""es"")"),"Venezuela (República Bolivariana de)")</f>
        <v>Venezuela (República Bolivariana de)</v>
      </c>
      <c r="C239" s="14"/>
      <c r="D239" s="16" t="s">
        <v>6</v>
      </c>
      <c r="E239" s="16" t="s">
        <v>6</v>
      </c>
      <c r="F239" s="16" t="s">
        <v>6</v>
      </c>
      <c r="G239" s="16" t="s">
        <v>6</v>
      </c>
      <c r="H239" s="16" t="s">
        <v>6</v>
      </c>
      <c r="I239" s="16" t="s">
        <v>6</v>
      </c>
      <c r="J239" s="16" t="s">
        <v>6</v>
      </c>
    </row>
    <row r="240">
      <c r="A240" s="15" t="s">
        <v>241</v>
      </c>
      <c r="B240" s="13" t="str">
        <f>IFERROR(__xludf.DUMMYFUNCTION("GOOGLETRANSLATE(A240,""en"",""es"")"),"Vietnam")</f>
        <v>Vietnam</v>
      </c>
      <c r="C240" s="14"/>
      <c r="D240" s="17">
        <v>2692124.0</v>
      </c>
      <c r="E240" s="17">
        <v>2466643.0</v>
      </c>
      <c r="F240" s="17">
        <v>2307361.0</v>
      </c>
      <c r="G240" s="17" t="s">
        <v>6</v>
      </c>
      <c r="H240" s="17" t="s">
        <v>6</v>
      </c>
      <c r="I240" s="17">
        <v>1966245.0</v>
      </c>
      <c r="J240" s="17" t="s">
        <v>6</v>
      </c>
    </row>
    <row r="241">
      <c r="A241" s="18" t="s">
        <v>242</v>
      </c>
      <c r="B241" s="13" t="str">
        <f>IFERROR(__xludf.DUMMYFUNCTION("GOOGLETRANSLATE(A241,""en"",""es"")"),"Wallis y Futuna")</f>
        <v>Wallis y Futuna</v>
      </c>
      <c r="C241" s="14"/>
      <c r="D241" s="16" t="s">
        <v>6</v>
      </c>
      <c r="E241" s="16" t="s">
        <v>6</v>
      </c>
      <c r="F241" s="16" t="s">
        <v>6</v>
      </c>
      <c r="G241" s="16" t="s">
        <v>6</v>
      </c>
      <c r="H241" s="16" t="s">
        <v>6</v>
      </c>
      <c r="I241" s="16" t="s">
        <v>6</v>
      </c>
      <c r="J241" s="16" t="s">
        <v>6</v>
      </c>
    </row>
    <row r="242">
      <c r="A242" s="15" t="s">
        <v>243</v>
      </c>
      <c r="B242" s="13" t="str">
        <f>IFERROR(__xludf.DUMMYFUNCTION("GOOGLETRANSLATE(A242,""en"",""es"")"),"Sahara Occidental")</f>
        <v>Sahara Occidental</v>
      </c>
      <c r="C242" s="14"/>
      <c r="D242" s="17" t="s">
        <v>6</v>
      </c>
      <c r="E242" s="17" t="s">
        <v>6</v>
      </c>
      <c r="F242" s="17" t="s">
        <v>6</v>
      </c>
      <c r="G242" s="17" t="s">
        <v>6</v>
      </c>
      <c r="H242" s="17" t="s">
        <v>6</v>
      </c>
      <c r="I242" s="17" t="s">
        <v>6</v>
      </c>
      <c r="J242" s="17" t="s">
        <v>6</v>
      </c>
    </row>
    <row r="243">
      <c r="A243" s="15" t="s">
        <v>244</v>
      </c>
      <c r="B243" s="13" t="str">
        <f>IFERROR(__xludf.DUMMYFUNCTION("GOOGLETRANSLATE(A243,""en"",""es"")"),"Yemen")</f>
        <v>Yemen</v>
      </c>
      <c r="C243" s="14"/>
      <c r="D243" s="16" t="s">
        <v>6</v>
      </c>
      <c r="E243" s="16" t="s">
        <v>6</v>
      </c>
      <c r="F243" s="16" t="s">
        <v>6</v>
      </c>
      <c r="G243" s="16" t="s">
        <v>6</v>
      </c>
      <c r="H243" s="16" t="s">
        <v>6</v>
      </c>
      <c r="I243" s="16" t="s">
        <v>6</v>
      </c>
      <c r="J243" s="16" t="s">
        <v>6</v>
      </c>
    </row>
    <row r="244">
      <c r="A244" s="15" t="s">
        <v>245</v>
      </c>
      <c r="B244" s="13" t="str">
        <f>IFERROR(__xludf.DUMMYFUNCTION("GOOGLETRANSLATE(A244,""en"",""es"")"),"Zambia")</f>
        <v>Zambia</v>
      </c>
      <c r="C244" s="14"/>
      <c r="D244" s="17" t="s">
        <v>6</v>
      </c>
      <c r="E244" s="17" t="s">
        <v>6</v>
      </c>
      <c r="F244" s="17" t="s">
        <v>6</v>
      </c>
      <c r="G244" s="17" t="s">
        <v>6</v>
      </c>
      <c r="H244" s="17" t="s">
        <v>6</v>
      </c>
      <c r="I244" s="17" t="s">
        <v>6</v>
      </c>
      <c r="J244" s="17" t="s">
        <v>6</v>
      </c>
    </row>
    <row r="245">
      <c r="A245" s="15" t="s">
        <v>246</v>
      </c>
      <c r="B245" s="13" t="str">
        <f>IFERROR(__xludf.DUMMYFUNCTION("GOOGLETRANSLATE(A245,""en"",""es"")"),"Zimbabue")</f>
        <v>Zimbabue</v>
      </c>
      <c r="C245" s="14"/>
      <c r="D245" s="16" t="s">
        <v>6</v>
      </c>
      <c r="E245" s="16">
        <v>135575.0</v>
      </c>
      <c r="F245" s="16" t="s">
        <v>6</v>
      </c>
      <c r="G245" s="16" t="s">
        <v>6</v>
      </c>
      <c r="H245" s="16" t="s">
        <v>6</v>
      </c>
      <c r="I245" s="16" t="s">
        <v>6</v>
      </c>
      <c r="J245" s="16" t="s">
        <v>6</v>
      </c>
    </row>
    <row r="246">
      <c r="A246" s="18" t="s">
        <v>247</v>
      </c>
      <c r="B246" s="13" t="str">
        <f>IFERROR(__xludf.DUMMYFUNCTION("GOOGLETRANSLATE(A246,""en"",""es"")"),"Sostenible Objetivo regiones de desarrollo")</f>
        <v>Sostenible Objetivo regiones de desarrollo</v>
      </c>
      <c r="C246" s="14"/>
      <c r="D246" s="17" t="s">
        <v>6</v>
      </c>
      <c r="E246" s="17" t="s">
        <v>6</v>
      </c>
      <c r="F246" s="17" t="s">
        <v>6</v>
      </c>
      <c r="G246" s="17" t="s">
        <v>6</v>
      </c>
      <c r="H246" s="17" t="s">
        <v>6</v>
      </c>
      <c r="I246" s="17" t="s">
        <v>6</v>
      </c>
      <c r="J246" s="17" t="s">
        <v>6</v>
      </c>
    </row>
    <row r="247">
      <c r="A247" s="15" t="s">
        <v>248</v>
      </c>
      <c r="B247" s="13" t="str">
        <f>IFERROR(__xludf.DUMMYFUNCTION("GOOGLETRANSLATE(A247,""en"",""es"")"),"Mundo")</f>
        <v>Mundo</v>
      </c>
      <c r="C247" s="14"/>
      <c r="D247" s="16">
        <v>2.130599984E8</v>
      </c>
      <c r="E247" s="16">
        <v>2.176944625E8</v>
      </c>
      <c r="F247" s="16">
        <v>2.202564382E8</v>
      </c>
      <c r="G247" s="16">
        <v>2.226416094E8</v>
      </c>
      <c r="H247" s="16">
        <v>2.250700992E8</v>
      </c>
      <c r="I247" s="16">
        <v>2.275556244E8</v>
      </c>
      <c r="J247" s="16" t="s">
        <v>6</v>
      </c>
    </row>
    <row r="248">
      <c r="A248" s="18" t="s">
        <v>249</v>
      </c>
      <c r="B248" s="13" t="str">
        <f>IFERROR(__xludf.DUMMYFUNCTION("GOOGLETRANSLATE(A248,""en"",""es"")"),"Países en desarrollo sin")</f>
        <v>Países en desarrollo sin</v>
      </c>
      <c r="C248" s="14"/>
      <c r="D248" s="17">
        <v>5425915.372</v>
      </c>
      <c r="E248" s="17">
        <v>5457477.601</v>
      </c>
      <c r="F248" s="17">
        <v>5366997.964</v>
      </c>
      <c r="G248" s="17">
        <v>5433289.257</v>
      </c>
      <c r="H248" s="17">
        <v>5513181.197</v>
      </c>
      <c r="I248" s="17">
        <v>5677638.831</v>
      </c>
      <c r="J248" s="17" t="s">
        <v>6</v>
      </c>
    </row>
    <row r="249">
      <c r="A249" s="18" t="s">
        <v>250</v>
      </c>
      <c r="B249" s="13" t="str">
        <f>IFERROR(__xludf.DUMMYFUNCTION("GOOGLETRANSLATE(A249,""en"",""es"")"),"Países menos desarrollados")</f>
        <v>Países menos desarrollados</v>
      </c>
      <c r="C249" s="14"/>
      <c r="D249" s="16">
        <v>8137694.496</v>
      </c>
      <c r="E249" s="16">
        <v>8581164.355</v>
      </c>
      <c r="F249" s="16">
        <v>8968729.124</v>
      </c>
      <c r="G249" s="16">
        <v>9159539.154</v>
      </c>
      <c r="H249" s="16">
        <v>9733377.743</v>
      </c>
      <c r="I249" s="16">
        <v>1.033656716E7</v>
      </c>
      <c r="J249" s="16" t="s">
        <v>6</v>
      </c>
    </row>
    <row r="250">
      <c r="A250" s="18" t="s">
        <v>251</v>
      </c>
      <c r="B250" s="13" t="str">
        <f>IFERROR(__xludf.DUMMYFUNCTION("GOOGLETRANSLATE(A250,""en"",""es"")"),"Los pequeños Estados insulares en desarrollo")</f>
        <v>Los pequeños Estados insulares en desarrollo</v>
      </c>
      <c r="C250" s="14"/>
      <c r="D250" s="17">
        <v>1658241.517</v>
      </c>
      <c r="E250" s="17">
        <v>1586079.365</v>
      </c>
      <c r="F250" s="17">
        <v>1532844.932</v>
      </c>
      <c r="G250" s="17">
        <v>1621105.681</v>
      </c>
      <c r="H250" s="17">
        <v>1622109.195</v>
      </c>
      <c r="I250" s="17">
        <v>1621321.659</v>
      </c>
      <c r="J250" s="17" t="s">
        <v>6</v>
      </c>
    </row>
    <row r="251">
      <c r="A251" s="18" t="s">
        <v>252</v>
      </c>
      <c r="B251" s="13" t="str">
        <f>IFERROR(__xludf.DUMMYFUNCTION("GOOGLETRANSLATE(A251,""en"",""es"")"),"África (subsahariana)")</f>
        <v>África (subsahariana)</v>
      </c>
      <c r="C251" s="14"/>
      <c r="D251" s="16">
        <v>7501367.46</v>
      </c>
      <c r="E251" s="16">
        <v>7723265.399</v>
      </c>
      <c r="F251" s="16">
        <v>7856030.67</v>
      </c>
      <c r="G251" s="16">
        <v>8049077.647</v>
      </c>
      <c r="H251" s="16">
        <v>8248249.098</v>
      </c>
      <c r="I251" s="16">
        <v>8339405.993</v>
      </c>
      <c r="J251" s="16" t="s">
        <v>6</v>
      </c>
    </row>
    <row r="252">
      <c r="A252" s="18" t="s">
        <v>253</v>
      </c>
      <c r="B252" s="13" t="str">
        <f>IFERROR(__xludf.DUMMYFUNCTION("GOOGLETRANSLATE(A252,""en"",""es"")"),"Asia occidental y África del Norte")</f>
        <v>Asia occidental y África del Norte</v>
      </c>
      <c r="C252" s="14"/>
      <c r="D252" s="17">
        <v>1.650460105E7</v>
      </c>
      <c r="E252" s="17">
        <v>1.762800889E7</v>
      </c>
      <c r="F252" s="17">
        <v>1.844997146E7</v>
      </c>
      <c r="G252" s="17">
        <v>1.926917194E7</v>
      </c>
      <c r="H252" s="17">
        <v>1.970588805E7</v>
      </c>
      <c r="I252" s="17">
        <v>1.981926208E7</v>
      </c>
      <c r="J252" s="17" t="s">
        <v>6</v>
      </c>
    </row>
    <row r="253">
      <c r="A253" s="15" t="s">
        <v>254</v>
      </c>
      <c r="B253" s="13" t="str">
        <f>IFERROR(__xludf.DUMMYFUNCTION("GOOGLETRANSLATE(A253,""en"",""es"")"),"África (Norte)")</f>
        <v>África (Norte)</v>
      </c>
      <c r="C253" s="14"/>
      <c r="D253" s="16">
        <v>5889960.017</v>
      </c>
      <c r="E253" s="16">
        <v>6353700.418</v>
      </c>
      <c r="F253" s="16">
        <v>6488291.987</v>
      </c>
      <c r="G253" s="16">
        <v>6738087.389</v>
      </c>
      <c r="H253" s="16">
        <v>6825177.482</v>
      </c>
      <c r="I253" s="16">
        <v>6884098.496</v>
      </c>
      <c r="J253" s="16" t="s">
        <v>6</v>
      </c>
    </row>
    <row r="254">
      <c r="A254" s="15" t="s">
        <v>255</v>
      </c>
      <c r="B254" s="13" t="str">
        <f>IFERROR(__xludf.DUMMYFUNCTION("GOOGLETRANSLATE(A254,""en"",""es"")"),"Asia (occidental)")</f>
        <v>Asia (occidental)</v>
      </c>
      <c r="C254" s="14"/>
      <c r="D254" s="17">
        <v>1.061464103E7</v>
      </c>
      <c r="E254" s="17">
        <v>1.127430847E7</v>
      </c>
      <c r="F254" s="17">
        <v>1.196167947E7</v>
      </c>
      <c r="G254" s="17">
        <v>1.253108455E7</v>
      </c>
      <c r="H254" s="17">
        <v>1.288071057E7</v>
      </c>
      <c r="I254" s="17">
        <v>1.293516359E7</v>
      </c>
      <c r="J254" s="17" t="s">
        <v>6</v>
      </c>
    </row>
    <row r="255">
      <c r="A255" s="18" t="s">
        <v>256</v>
      </c>
      <c r="B255" s="13" t="str">
        <f>IFERROR(__xludf.DUMMYFUNCTION("GOOGLETRANSLATE(A255,""en"",""es"")"),"Asia (Central y del Sur)")</f>
        <v>Asia (Central y del Sur)</v>
      </c>
      <c r="C255" s="14"/>
      <c r="D255" s="16">
        <v>4.153938501E7</v>
      </c>
      <c r="E255" s="16">
        <v>4.339178591E7</v>
      </c>
      <c r="F255" s="16">
        <v>4.372627682E7</v>
      </c>
      <c r="G255" s="16">
        <v>4.464627946E7</v>
      </c>
      <c r="H255" s="16">
        <v>4.556223951E7</v>
      </c>
      <c r="I255" s="16">
        <v>4.709563854E7</v>
      </c>
      <c r="J255" s="16" t="s">
        <v>6</v>
      </c>
    </row>
    <row r="256">
      <c r="A256" s="15" t="s">
        <v>257</v>
      </c>
      <c r="B256" s="13" t="str">
        <f>IFERROR(__xludf.DUMMYFUNCTION("GOOGLETRANSLATE(A256,""en"",""es"")"),"Asia (Central)")</f>
        <v>Asia (Central)</v>
      </c>
      <c r="C256" s="14"/>
      <c r="D256" s="17">
        <v>1509355.0</v>
      </c>
      <c r="E256" s="17">
        <v>1460580.1</v>
      </c>
      <c r="F256" s="17">
        <v>1440630.049</v>
      </c>
      <c r="G256" s="17">
        <v>1463361.846</v>
      </c>
      <c r="H256" s="17">
        <v>1477341.509</v>
      </c>
      <c r="I256" s="17">
        <v>1596989.019</v>
      </c>
      <c r="J256" s="17" t="s">
        <v>6</v>
      </c>
    </row>
    <row r="257">
      <c r="A257" s="15" t="s">
        <v>258</v>
      </c>
      <c r="B257" s="13" t="str">
        <f>IFERROR(__xludf.DUMMYFUNCTION("GOOGLETRANSLATE(A257,""en"",""es"")"),"Asia (Sur)")</f>
        <v>Asia (Sur)</v>
      </c>
      <c r="C257" s="14"/>
      <c r="D257" s="16">
        <v>4.003003001E7</v>
      </c>
      <c r="E257" s="16">
        <v>4.193120581E7</v>
      </c>
      <c r="F257" s="16">
        <v>4.228564677E7</v>
      </c>
      <c r="G257" s="16">
        <v>4.318291761E7</v>
      </c>
      <c r="H257" s="16">
        <v>4.4084898E7</v>
      </c>
      <c r="I257" s="16">
        <v>4.549864952E7</v>
      </c>
      <c r="J257" s="16" t="s">
        <v>6</v>
      </c>
    </row>
    <row r="258">
      <c r="A258" s="18" t="s">
        <v>259</v>
      </c>
      <c r="B258" s="13" t="str">
        <f>IFERROR(__xludf.DUMMYFUNCTION("GOOGLETRANSLATE(A258,""en"",""es"")"),"Asia (Este y Sur-oriental)")</f>
        <v>Asia (Este y Sur-oriental)</v>
      </c>
      <c r="C258" s="14"/>
      <c r="D258" s="17">
        <v>6.790566148E7</v>
      </c>
      <c r="E258" s="17">
        <v>6.97787266E7</v>
      </c>
      <c r="F258" s="17">
        <v>7.063140355E7</v>
      </c>
      <c r="G258" s="17">
        <v>7.094732246E7</v>
      </c>
      <c r="H258" s="17">
        <v>7.175260998E7</v>
      </c>
      <c r="I258" s="17">
        <v>7.257167529E7</v>
      </c>
      <c r="J258" s="17" t="s">
        <v>6</v>
      </c>
    </row>
    <row r="259">
      <c r="A259" s="15" t="s">
        <v>260</v>
      </c>
      <c r="B259" s="13" t="str">
        <f>IFERROR(__xludf.DUMMYFUNCTION("GOOGLETRANSLATE(A259,""en"",""es"")"),"Asia (Este)")</f>
        <v>Asia (Este)</v>
      </c>
      <c r="C259" s="14"/>
      <c r="D259" s="16">
        <v>5.019109652E7</v>
      </c>
      <c r="E259" s="16">
        <v>5.155519169E7</v>
      </c>
      <c r="F259" s="16">
        <v>5.198614179E7</v>
      </c>
      <c r="G259" s="16">
        <v>5.214704083E7</v>
      </c>
      <c r="H259" s="16">
        <v>5.289375872E7</v>
      </c>
      <c r="I259" s="16">
        <v>5.386410006E7</v>
      </c>
      <c r="J259" s="16" t="s">
        <v>6</v>
      </c>
    </row>
    <row r="260">
      <c r="A260" s="18" t="s">
        <v>261</v>
      </c>
      <c r="B260" s="13" t="str">
        <f>IFERROR(__xludf.DUMMYFUNCTION("GOOGLETRANSLATE(A260,""en"",""es"")"),"Asia (Sudeste)")</f>
        <v>Asia (Sudeste)</v>
      </c>
      <c r="C260" s="14"/>
      <c r="D260" s="17">
        <v>1.771456495E7</v>
      </c>
      <c r="E260" s="17">
        <v>1.822353491E7</v>
      </c>
      <c r="F260" s="17">
        <v>1.864526176E7</v>
      </c>
      <c r="G260" s="17">
        <v>1.880028163E7</v>
      </c>
      <c r="H260" s="17">
        <v>1.885885125E7</v>
      </c>
      <c r="I260" s="17">
        <v>1.870757523E7</v>
      </c>
      <c r="J260" s="17" t="s">
        <v>6</v>
      </c>
    </row>
    <row r="261">
      <c r="A261" s="18" t="s">
        <v>262</v>
      </c>
      <c r="B261" s="13" t="str">
        <f>IFERROR(__xludf.DUMMYFUNCTION("GOOGLETRANSLATE(A261,""en"",""es"")"),"América Latina y el Caribe")</f>
        <v>América Latina y el Caribe</v>
      </c>
      <c r="C261" s="14"/>
      <c r="D261" s="16">
        <v>2.552832895E7</v>
      </c>
      <c r="E261" s="16">
        <v>2.622285401E7</v>
      </c>
      <c r="F261" s="16">
        <v>2.733040346E7</v>
      </c>
      <c r="G261" s="16">
        <v>2.801723618E7</v>
      </c>
      <c r="H261" s="16">
        <v>2.828543505E7</v>
      </c>
      <c r="I261" s="16">
        <v>2.823914181E7</v>
      </c>
      <c r="J261" s="16" t="s">
        <v>6</v>
      </c>
    </row>
    <row r="262">
      <c r="A262" s="15" t="s">
        <v>263</v>
      </c>
      <c r="B262" s="13" t="str">
        <f>IFERROR(__xludf.DUMMYFUNCTION("GOOGLETRANSLATE(A262,""en"",""es"")"),"Oceanía")</f>
        <v>Oceanía</v>
      </c>
      <c r="C262" s="14"/>
      <c r="D262" s="17">
        <v>2172674.568</v>
      </c>
      <c r="E262" s="17">
        <v>2206702.9</v>
      </c>
      <c r="F262" s="17">
        <v>2223176.253</v>
      </c>
      <c r="G262" s="17">
        <v>2076765.24</v>
      </c>
      <c r="H262" s="17">
        <v>1978565.49</v>
      </c>
      <c r="I262" s="17">
        <v>1978662.194</v>
      </c>
      <c r="J262" s="17" t="s">
        <v>6</v>
      </c>
    </row>
    <row r="263">
      <c r="A263" s="18" t="s">
        <v>264</v>
      </c>
      <c r="B263" s="13" t="str">
        <f>IFERROR(__xludf.DUMMYFUNCTION("GOOGLETRANSLATE(A263,""en"",""es"")"),"Oceanía (Australia / Nueva Zelanda)")</f>
        <v>Oceanía (Australia / Nueva Zelanda)</v>
      </c>
      <c r="C263" s="14"/>
      <c r="D263" s="16">
        <v>2139359.011</v>
      </c>
      <c r="E263" s="16">
        <v>2173528.216</v>
      </c>
      <c r="F263" s="16">
        <v>2190075.72</v>
      </c>
      <c r="G263" s="16">
        <v>2043497.658</v>
      </c>
      <c r="H263" s="16">
        <v>1945038.181</v>
      </c>
      <c r="I263" s="16">
        <v>1945038.261</v>
      </c>
      <c r="J263" s="16" t="s">
        <v>6</v>
      </c>
    </row>
    <row r="264">
      <c r="A264" s="18" t="s">
        <v>265</v>
      </c>
      <c r="B264" s="13" t="str">
        <f>IFERROR(__xludf.DUMMYFUNCTION("GOOGLETRANSLATE(A264,""en"",""es"")"),"Oceanía (excl. Australia / Nueva Zelanda)")</f>
        <v>Oceanía (excl. Australia / Nueva Zelanda)</v>
      </c>
      <c r="C264" s="14"/>
      <c r="D264" s="17" t="s">
        <v>6</v>
      </c>
      <c r="E264" s="17" t="s">
        <v>6</v>
      </c>
      <c r="F264" s="17" t="s">
        <v>6</v>
      </c>
      <c r="G264" s="17" t="s">
        <v>6</v>
      </c>
      <c r="H264" s="17" t="s">
        <v>6</v>
      </c>
      <c r="I264" s="17" t="s">
        <v>6</v>
      </c>
      <c r="J264" s="17" t="s">
        <v>6</v>
      </c>
    </row>
    <row r="265">
      <c r="A265" s="18" t="s">
        <v>266</v>
      </c>
      <c r="B265" s="13" t="str">
        <f>IFERROR(__xludf.DUMMYFUNCTION("GOOGLETRANSLATE(A265,""en"",""es"")"),"Norte América y Europa")</f>
        <v>Norte América y Europa</v>
      </c>
      <c r="C265" s="14"/>
      <c r="D265" s="16">
        <v>5.190797991E7</v>
      </c>
      <c r="E265" s="16">
        <v>5.074311878E7</v>
      </c>
      <c r="F265" s="16">
        <v>5.003917601E7</v>
      </c>
      <c r="G265" s="16">
        <v>4.963575649E7</v>
      </c>
      <c r="H265" s="16">
        <v>4.953711203E7</v>
      </c>
      <c r="I265" s="16">
        <v>4.951183848E7</v>
      </c>
      <c r="J265" s="16" t="s">
        <v>6</v>
      </c>
    </row>
    <row r="266">
      <c r="A266" s="15" t="s">
        <v>267</v>
      </c>
      <c r="B266" s="13" t="str">
        <f>IFERROR(__xludf.DUMMYFUNCTION("GOOGLETRANSLATE(A266,""en"",""es"")"),"Europa")</f>
        <v>Europa</v>
      </c>
      <c r="C266" s="14"/>
      <c r="D266" s="17">
        <v>3.062888491E7</v>
      </c>
      <c r="E266" s="17">
        <v>2.964629377E7</v>
      </c>
      <c r="F266" s="17">
        <v>2.915654706E7</v>
      </c>
      <c r="G266" s="17">
        <v>2.89949734E7</v>
      </c>
      <c r="H266" s="17">
        <v>2.89717396E7</v>
      </c>
      <c r="I266" s="17">
        <v>2.894646608E7</v>
      </c>
      <c r="J266" s="17" t="s">
        <v>6</v>
      </c>
    </row>
    <row r="267">
      <c r="A267" s="15" t="s">
        <v>268</v>
      </c>
      <c r="B267" s="13" t="str">
        <f>IFERROR(__xludf.DUMMYFUNCTION("GOOGLETRANSLATE(A267,""en"",""es"")"),"América del Norte")</f>
        <v>América del Norte</v>
      </c>
      <c r="C267" s="14"/>
      <c r="D267" s="16">
        <v>2.1279095E7</v>
      </c>
      <c r="E267" s="16">
        <v>2.109682501E7</v>
      </c>
      <c r="F267" s="16">
        <v>2.088262896E7</v>
      </c>
      <c r="G267" s="16">
        <v>2.064078309E7</v>
      </c>
      <c r="H267" s="16">
        <v>2.056537242E7</v>
      </c>
      <c r="I267" s="16">
        <v>2.05653724E7</v>
      </c>
      <c r="J267" s="16" t="s">
        <v>6</v>
      </c>
    </row>
    <row r="268">
      <c r="A268" s="15" t="s">
        <v>269</v>
      </c>
      <c r="B268" s="13" t="str">
        <f>IFERROR(__xludf.DUMMYFUNCTION("GOOGLETRANSLATE(A268,""en"",""es"")"),"UIS Regiones")</f>
        <v>UIS Regiones</v>
      </c>
      <c r="C268" s="14"/>
      <c r="D268" s="17" t="s">
        <v>6</v>
      </c>
      <c r="E268" s="17" t="s">
        <v>6</v>
      </c>
      <c r="F268" s="17" t="s">
        <v>6</v>
      </c>
      <c r="G268" s="17" t="s">
        <v>6</v>
      </c>
      <c r="H268" s="17" t="s">
        <v>6</v>
      </c>
      <c r="I268" s="17" t="s">
        <v>6</v>
      </c>
      <c r="J268" s="17" t="s">
        <v>6</v>
      </c>
    </row>
    <row r="269">
      <c r="A269" s="15" t="s">
        <v>248</v>
      </c>
      <c r="B269" s="13" t="str">
        <f>IFERROR(__xludf.DUMMYFUNCTION("GOOGLETRANSLATE(A269,""en"",""es"")"),"Mundo")</f>
        <v>Mundo</v>
      </c>
      <c r="C269" s="14"/>
      <c r="D269" s="16">
        <v>2.130599984E8</v>
      </c>
      <c r="E269" s="16">
        <v>2.176944625E8</v>
      </c>
      <c r="F269" s="16">
        <v>2.202564382E8</v>
      </c>
      <c r="G269" s="16">
        <v>2.226416094E8</v>
      </c>
      <c r="H269" s="16">
        <v>2.250700992E8</v>
      </c>
      <c r="I269" s="16">
        <v>2.275556244E8</v>
      </c>
      <c r="J269" s="16" t="s">
        <v>6</v>
      </c>
    </row>
    <row r="270">
      <c r="A270" s="15" t="s">
        <v>270</v>
      </c>
      <c r="B270" s="13" t="str">
        <f>IFERROR(__xludf.DUMMYFUNCTION("GOOGLETRANSLATE(A270,""en"",""es"")"),"Estados Árabes")</f>
        <v>Estados Árabes</v>
      </c>
      <c r="C270" s="14"/>
      <c r="D270" s="17">
        <v>1.021670714E7</v>
      </c>
      <c r="E270" s="17">
        <v>1.0741726E7</v>
      </c>
      <c r="F270" s="17">
        <v>1.091388357E7</v>
      </c>
      <c r="G270" s="17">
        <v>1.121637905E7</v>
      </c>
      <c r="H270" s="17">
        <v>1.129726916E7</v>
      </c>
      <c r="I270" s="17">
        <v>1.140390919E7</v>
      </c>
      <c r="J270" s="17" t="s">
        <v>6</v>
      </c>
    </row>
    <row r="271">
      <c r="A271" s="18" t="s">
        <v>271</v>
      </c>
      <c r="B271" s="13" t="str">
        <f>IFERROR(__xludf.DUMMYFUNCTION("GOOGLETRANSLATE(A271,""en"",""es"")"),"Europa central y oriental")</f>
        <v>Europa central y oriental</v>
      </c>
      <c r="C271" s="14"/>
      <c r="D271" s="16">
        <v>1.998934424E7</v>
      </c>
      <c r="E271" s="16">
        <v>1.952129827E7</v>
      </c>
      <c r="F271" s="16">
        <v>1.945056578E7</v>
      </c>
      <c r="G271" s="16">
        <v>1.94893E7</v>
      </c>
      <c r="H271" s="16">
        <v>1.950556742E7</v>
      </c>
      <c r="I271" s="16">
        <v>1.948021199E7</v>
      </c>
      <c r="J271" s="16" t="s">
        <v>6</v>
      </c>
    </row>
    <row r="272">
      <c r="A272" s="15" t="s">
        <v>272</v>
      </c>
      <c r="B272" s="13" t="str">
        <f>IFERROR(__xludf.DUMMYFUNCTION("GOOGLETRANSLATE(A272,""en"",""es"")"),"Asia Central")</f>
        <v>Asia Central</v>
      </c>
      <c r="C272" s="14"/>
      <c r="D272" s="17">
        <v>2113974.0</v>
      </c>
      <c r="E272" s="17">
        <v>2077770.1</v>
      </c>
      <c r="F272" s="17">
        <v>2056899.049</v>
      </c>
      <c r="G272" s="17">
        <v>2075870.846</v>
      </c>
      <c r="H272" s="17">
        <v>2083874.509</v>
      </c>
      <c r="I272" s="17">
        <v>2213829.027</v>
      </c>
      <c r="J272" s="17" t="s">
        <v>6</v>
      </c>
    </row>
    <row r="273">
      <c r="A273" s="18" t="s">
        <v>273</v>
      </c>
      <c r="B273" s="13" t="str">
        <f>IFERROR(__xludf.DUMMYFUNCTION("GOOGLETRANSLATE(A273,""en"",""es"")"),"Este de Asia y el Pacífico")</f>
        <v>Este de Asia y el Pacífico</v>
      </c>
      <c r="C273" s="14"/>
      <c r="D273" s="16">
        <v>6.990313104E7</v>
      </c>
      <c r="E273" s="16">
        <v>7.18058895E7</v>
      </c>
      <c r="F273" s="16">
        <v>7.269195381E7</v>
      </c>
      <c r="G273" s="16">
        <v>7.28669497E7</v>
      </c>
      <c r="H273" s="16">
        <v>7.357592747E7</v>
      </c>
      <c r="I273" s="16">
        <v>7.439508947E7</v>
      </c>
      <c r="J273" s="16" t="s">
        <v>6</v>
      </c>
    </row>
    <row r="274">
      <c r="A274" s="18" t="s">
        <v>262</v>
      </c>
      <c r="B274" s="13" t="str">
        <f>IFERROR(__xludf.DUMMYFUNCTION("GOOGLETRANSLATE(A274,""en"",""es"")"),"América Latina y el Caribe")</f>
        <v>América Latina y el Caribe</v>
      </c>
      <c r="C274" s="14"/>
      <c r="D274" s="17">
        <v>2.552943695E7</v>
      </c>
      <c r="E274" s="17">
        <v>2.622382701E7</v>
      </c>
      <c r="F274" s="17">
        <v>2.733122591E7</v>
      </c>
      <c r="G274" s="17">
        <v>2.801791118E7</v>
      </c>
      <c r="H274" s="17">
        <v>2.828614705E7</v>
      </c>
      <c r="I274" s="17">
        <v>2.823985381E7</v>
      </c>
      <c r="J274" s="17" t="s">
        <v>6</v>
      </c>
    </row>
    <row r="275">
      <c r="A275" s="18" t="s">
        <v>274</v>
      </c>
      <c r="B275" s="13" t="str">
        <f>IFERROR(__xludf.DUMMYFUNCTION("GOOGLETRANSLATE(A275,""en"",""es"")"),"América del Norte y Europa Occidental")</f>
        <v>América del Norte y Europa Occidental</v>
      </c>
      <c r="C275" s="14"/>
      <c r="D275" s="16">
        <v>3.780067467E7</v>
      </c>
      <c r="E275" s="16">
        <v>3.769494752E7</v>
      </c>
      <c r="F275" s="16">
        <v>3.769517979E7</v>
      </c>
      <c r="G275" s="16">
        <v>3.776724149E7</v>
      </c>
      <c r="H275" s="16">
        <v>3.801267761E7</v>
      </c>
      <c r="I275" s="16">
        <v>3.801275949E7</v>
      </c>
      <c r="J275" s="16" t="s">
        <v>6</v>
      </c>
    </row>
    <row r="276">
      <c r="A276" s="18" t="s">
        <v>275</v>
      </c>
      <c r="B276" s="13" t="str">
        <f>IFERROR(__xludf.DUMMYFUNCTION("GOOGLETRANSLATE(A276,""en"",""es"")"),"Asia meridional y occidental")</f>
        <v>Asia meridional y occidental</v>
      </c>
      <c r="C276" s="14"/>
      <c r="D276" s="17">
        <v>4.003003001E7</v>
      </c>
      <c r="E276" s="17">
        <v>4.193120581E7</v>
      </c>
      <c r="F276" s="17">
        <v>4.228564677E7</v>
      </c>
      <c r="G276" s="17">
        <v>4.318291761E7</v>
      </c>
      <c r="H276" s="17">
        <v>4.4084898E7</v>
      </c>
      <c r="I276" s="17">
        <v>4.549864952E7</v>
      </c>
      <c r="J276" s="17" t="s">
        <v>6</v>
      </c>
    </row>
    <row r="277">
      <c r="A277" s="18" t="s">
        <v>276</v>
      </c>
      <c r="B277" s="13" t="str">
        <f>IFERROR(__xludf.DUMMYFUNCTION("GOOGLETRANSLATE(A277,""en"",""es"")"),"Africa Sub-sahariana")</f>
        <v>Africa Sub-sahariana</v>
      </c>
      <c r="C277" s="14"/>
      <c r="D277" s="16">
        <v>7476700.363</v>
      </c>
      <c r="E277" s="16">
        <v>7697798.293</v>
      </c>
      <c r="F277" s="16">
        <v>7831083.564</v>
      </c>
      <c r="G277" s="16">
        <v>8025039.541</v>
      </c>
      <c r="H277" s="16">
        <v>8223737.992</v>
      </c>
      <c r="I277" s="16">
        <v>8311321.887</v>
      </c>
      <c r="J277" s="16" t="s">
        <v>6</v>
      </c>
    </row>
    <row r="278">
      <c r="A278" s="18" t="s">
        <v>251</v>
      </c>
      <c r="B278" s="13" t="str">
        <f>IFERROR(__xludf.DUMMYFUNCTION("GOOGLETRANSLATE(A278,""en"",""es"")"),"Los pequeños Estados insulares en desarrollo")</f>
        <v>Los pequeños Estados insulares en desarrollo</v>
      </c>
      <c r="C278" s="14"/>
      <c r="D278" s="17">
        <v>1418181.07</v>
      </c>
      <c r="E278" s="17">
        <v>1346295.532</v>
      </c>
      <c r="F278" s="17">
        <v>1300869.099</v>
      </c>
      <c r="G278" s="17">
        <v>1396141.489</v>
      </c>
      <c r="H278" s="17">
        <v>1406461.362</v>
      </c>
      <c r="I278" s="17">
        <v>1405673.829</v>
      </c>
      <c r="J278" s="17" t="s">
        <v>6</v>
      </c>
    </row>
    <row r="279">
      <c r="A279" s="18" t="s">
        <v>277</v>
      </c>
      <c r="B279" s="13" t="str">
        <f>IFERROR(__xludf.DUMMYFUNCTION("GOOGLETRANSLATE(A279,""en"",""es"")"),"Grupos de ingresos del Banco Mundial")</f>
        <v>Grupos de ingresos del Banco Mundial</v>
      </c>
      <c r="C279" s="14"/>
      <c r="D279" s="16" t="s">
        <v>6</v>
      </c>
      <c r="E279" s="16" t="s">
        <v>6</v>
      </c>
      <c r="F279" s="16" t="s">
        <v>6</v>
      </c>
      <c r="G279" s="16" t="s">
        <v>6</v>
      </c>
      <c r="H279" s="16" t="s">
        <v>6</v>
      </c>
      <c r="I279" s="16" t="s">
        <v>6</v>
      </c>
      <c r="J279" s="16" t="s">
        <v>6</v>
      </c>
    </row>
    <row r="280">
      <c r="A280" s="18" t="s">
        <v>278</v>
      </c>
      <c r="B280" s="13" t="str">
        <f>IFERROR(__xludf.DUMMYFUNCTION("GOOGLETRANSLATE(A280,""en"",""es"")"),"Países de bajos ingresos")</f>
        <v>Países de bajos ingresos</v>
      </c>
      <c r="C280" s="14"/>
      <c r="D280" s="17">
        <v>5267675.571</v>
      </c>
      <c r="E280" s="17">
        <v>5358850.9</v>
      </c>
      <c r="F280" s="17">
        <v>5377903.411</v>
      </c>
      <c r="G280" s="17">
        <v>5463291.214</v>
      </c>
      <c r="H280" s="17">
        <v>5534992.498</v>
      </c>
      <c r="I280" s="17" t="s">
        <v>6</v>
      </c>
      <c r="J280" s="17" t="s">
        <v>6</v>
      </c>
    </row>
    <row r="281">
      <c r="A281" s="18" t="s">
        <v>279</v>
      </c>
      <c r="B281" s="13" t="str">
        <f>IFERROR(__xludf.DUMMYFUNCTION("GOOGLETRANSLATE(A281,""en"",""es"")"),"Bajar los países de ingresos medios")</f>
        <v>Bajar los países de ingresos medios</v>
      </c>
      <c r="C281" s="14"/>
      <c r="D281" s="16">
        <v>5.538889538E7</v>
      </c>
      <c r="E281" s="16">
        <v>5.749734456E7</v>
      </c>
      <c r="F281" s="16">
        <v>5.79852143E7</v>
      </c>
      <c r="G281" s="16">
        <v>5.939434854E7</v>
      </c>
      <c r="H281" s="16">
        <v>6.080170046E7</v>
      </c>
      <c r="I281" s="16">
        <v>6.230946863E7</v>
      </c>
      <c r="J281" s="16" t="s">
        <v>6</v>
      </c>
    </row>
    <row r="282">
      <c r="A282" s="18" t="s">
        <v>280</v>
      </c>
      <c r="B282" s="13" t="str">
        <f>IFERROR(__xludf.DUMMYFUNCTION("GOOGLETRANSLATE(A282,""en"",""es"")"),"países de ingresos medios")</f>
        <v>países de ingresos medios</v>
      </c>
      <c r="C282" s="14"/>
      <c r="D282" s="17">
        <v>1.524103898E8</v>
      </c>
      <c r="E282" s="17">
        <v>1.57287838E8</v>
      </c>
      <c r="F282" s="17">
        <v>1.599472979E8</v>
      </c>
      <c r="G282" s="17">
        <v>1.624054884E8</v>
      </c>
      <c r="H282" s="17">
        <v>1.648133859E8</v>
      </c>
      <c r="I282" s="17">
        <v>1.683377047E8</v>
      </c>
      <c r="J282" s="17" t="s">
        <v>6</v>
      </c>
    </row>
    <row r="283">
      <c r="A283" s="18" t="s">
        <v>281</v>
      </c>
      <c r="B283" s="13" t="str">
        <f>IFERROR(__xludf.DUMMYFUNCTION("GOOGLETRANSLATE(A283,""en"",""es"")"),"los países de ingresos medios altos")</f>
        <v>los países de ingresos medios altos</v>
      </c>
      <c r="C283" s="14"/>
      <c r="D283" s="16">
        <v>9.702149439E7</v>
      </c>
      <c r="E283" s="16">
        <v>9.979049341E7</v>
      </c>
      <c r="F283" s="16">
        <v>1.019620836E8</v>
      </c>
      <c r="G283" s="16">
        <v>1.030111399E8</v>
      </c>
      <c r="H283" s="16">
        <v>1.040116854E8</v>
      </c>
      <c r="I283" s="16">
        <v>1.06028236E8</v>
      </c>
      <c r="J283" s="16" t="s">
        <v>6</v>
      </c>
    </row>
    <row r="284">
      <c r="A284" s="18" t="s">
        <v>282</v>
      </c>
      <c r="B284" s="13" t="str">
        <f>IFERROR(__xludf.DUMMYFUNCTION("GOOGLETRANSLATE(A284,""en"",""es"")"),"Paises de altos ingresos")</f>
        <v>Paises de altos ingresos</v>
      </c>
      <c r="C284" s="14"/>
      <c r="D284" s="17">
        <v>5.538134824E7</v>
      </c>
      <c r="E284" s="17">
        <v>5.504721298E7</v>
      </c>
      <c r="F284" s="17">
        <v>5.493068773E7</v>
      </c>
      <c r="G284" s="17">
        <v>5.477228559E7</v>
      </c>
      <c r="H284" s="17">
        <v>5.472118111E7</v>
      </c>
      <c r="I284" s="17">
        <v>5.367062737E7</v>
      </c>
      <c r="J284" s="17" t="s">
        <v>6</v>
      </c>
    </row>
    <row r="285">
      <c r="A285" s="19" t="s">
        <v>283</v>
      </c>
      <c r="B285" s="20" t="s">
        <v>283</v>
      </c>
      <c r="D285" s="21"/>
      <c r="E285" s="21"/>
      <c r="F285" s="3"/>
      <c r="G285" s="3"/>
      <c r="H285" s="3"/>
      <c r="I285" s="3"/>
      <c r="J285" s="3"/>
    </row>
    <row r="286">
      <c r="A286" s="22" t="s">
        <v>284</v>
      </c>
      <c r="B286" s="23" t="s">
        <v>284</v>
      </c>
      <c r="C286" s="3"/>
      <c r="D286" s="3"/>
      <c r="E286" s="3"/>
      <c r="F286" s="3"/>
      <c r="G286" s="3"/>
      <c r="H286" s="3"/>
      <c r="I286" s="3"/>
      <c r="J286" s="3"/>
    </row>
    <row r="287">
      <c r="A287" s="24" t="s">
        <v>285</v>
      </c>
      <c r="B287" s="25" t="s">
        <v>285</v>
      </c>
      <c r="C287" s="23" t="s">
        <v>286</v>
      </c>
      <c r="D287" s="23"/>
      <c r="E287" s="23"/>
      <c r="F287" s="3"/>
      <c r="G287" s="3"/>
      <c r="H287" s="3"/>
      <c r="I287" s="3"/>
      <c r="J287" s="3"/>
    </row>
    <row r="288">
      <c r="A288" s="24" t="s">
        <v>287</v>
      </c>
      <c r="B288" s="25" t="s">
        <v>287</v>
      </c>
      <c r="C288" s="23" t="s">
        <v>288</v>
      </c>
      <c r="D288" s="23"/>
      <c r="E288" s="23"/>
      <c r="F288" s="3"/>
      <c r="G288" s="3"/>
      <c r="H288" s="3"/>
      <c r="I288" s="3"/>
      <c r="J288" s="3"/>
    </row>
    <row r="289">
      <c r="A289" s="26"/>
      <c r="B289" s="3"/>
      <c r="C289" s="3"/>
      <c r="D289" s="23"/>
      <c r="E289" s="3"/>
      <c r="F289" s="3"/>
      <c r="G289" s="3"/>
      <c r="H289" s="3"/>
      <c r="I289" s="3"/>
      <c r="J289" s="3"/>
    </row>
    <row r="290">
      <c r="A290" s="26"/>
      <c r="B290" s="3"/>
      <c r="C290" s="3"/>
      <c r="D290" s="3"/>
      <c r="E290" s="3"/>
      <c r="F290" s="3"/>
      <c r="G290" s="3"/>
      <c r="H290" s="3"/>
      <c r="I290" s="3"/>
      <c r="J290" s="3"/>
    </row>
    <row r="291">
      <c r="A291" s="26"/>
      <c r="D291" s="3"/>
      <c r="E291" s="3"/>
      <c r="F291" s="3"/>
      <c r="G291" s="3"/>
      <c r="H291" s="3"/>
      <c r="I291" s="3"/>
      <c r="J291" s="3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mergeCells count="3">
    <mergeCell ref="B2:C2"/>
    <mergeCell ref="D2:J2"/>
    <mergeCell ref="B3:C3"/>
  </mergeCells>
  <hyperlinks>
    <hyperlink r:id="rId1" ref="A1"/>
    <hyperlink r:id="rId2" ref="D2"/>
    <hyperlink r:id="rId3" ref="A285"/>
    <hyperlink r:id="rId4" ref="B285"/>
  </hyperlinks>
  <drawing r:id="rId5"/>
</worksheet>
</file>