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aniranzetti/Desktop/NOVA/Micro-Econometrics/assignment/Assignment_file_Group_8/output/Table2/"/>
    </mc:Choice>
  </mc:AlternateContent>
  <xr:revisionPtr revIDLastSave="0" documentId="13_ncr:9_{426353E3-4824-6C4B-977B-17004058220A}" xr6:coauthVersionLast="47" xr6:coauthVersionMax="47" xr10:uidLastSave="{00000000-0000-0000-0000-000000000000}"/>
  <bookViews>
    <workbookView xWindow="380" yWindow="520" windowWidth="28040" windowHeight="16080" xr2:uid="{39C5E0EA-5D82-7B47-9CF8-28870472C085}"/>
  </bookViews>
  <sheets>
    <sheet name="Table99" sheetId="1" r:id="rId1"/>
  </sheets>
  <definedNames>
    <definedName name="_xlchart.v1.0" hidden="1">Table99!$D$1:$D$2</definedName>
    <definedName name="_xlchart.v1.1" hidden="1">Table99!$D$3:$D$17</definedName>
    <definedName name="_xlchart.v1.2" hidden="1">Table99!$E$1:$E$2</definedName>
    <definedName name="_xlchart.v1.3" hidden="1">Table99!$E$3:$E$17</definedName>
    <definedName name="_xlchart.v1.4" hidden="1">Table99!$F$1:$F$2</definedName>
    <definedName name="_xlchart.v1.5" hidden="1">Table99!$F$3:$F$17</definedName>
    <definedName name="_xlchart.v1.6" hidden="1">Table99!$G$1:$G$2</definedName>
    <definedName name="_xlchart.v1.7" hidden="1">Table99!$G$3:$G$17</definedName>
    <definedName name="_xlchart.v2.10" hidden="1">Table99!$E$1:$E$2</definedName>
    <definedName name="_xlchart.v2.11" hidden="1">Table99!$E$3:$E$17</definedName>
    <definedName name="_xlchart.v2.12" hidden="1">Table99!$F$1:$F$2</definedName>
    <definedName name="_xlchart.v2.13" hidden="1">Table99!$F$3:$F$17</definedName>
    <definedName name="_xlchart.v2.14" hidden="1">Table99!$G$1:$G$2</definedName>
    <definedName name="_xlchart.v2.15" hidden="1">Table99!$G$3:$G$17</definedName>
    <definedName name="_xlchart.v2.8" hidden="1">Table99!$D$1:$D$2</definedName>
    <definedName name="_xlchart.v2.9" hidden="1">Table99!$D$3:$D$17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3" i="1"/>
  <c r="A202" i="1"/>
  <c r="B200" i="1"/>
  <c r="A200" i="1"/>
  <c r="B198" i="1"/>
  <c r="A198" i="1"/>
  <c r="B197" i="1"/>
  <c r="A197" i="1"/>
  <c r="B195" i="1"/>
  <c r="A195" i="1"/>
  <c r="B194" i="1"/>
  <c r="A194" i="1"/>
  <c r="B192" i="1"/>
  <c r="A192" i="1"/>
  <c r="B191" i="1"/>
  <c r="A191" i="1"/>
  <c r="B189" i="1"/>
  <c r="A189" i="1"/>
  <c r="B188" i="1"/>
  <c r="A188" i="1"/>
  <c r="B186" i="1"/>
  <c r="A186" i="1"/>
  <c r="B185" i="1"/>
  <c r="A185" i="1"/>
  <c r="B183" i="1"/>
  <c r="A183" i="1"/>
  <c r="B182" i="1"/>
  <c r="A182" i="1"/>
  <c r="B180" i="1"/>
  <c r="A180" i="1"/>
  <c r="B179" i="1"/>
  <c r="A179" i="1"/>
  <c r="B177" i="1"/>
  <c r="A177" i="1"/>
  <c r="B176" i="1"/>
  <c r="A176" i="1"/>
  <c r="B174" i="1"/>
  <c r="A174" i="1"/>
  <c r="B173" i="1"/>
  <c r="A173" i="1"/>
  <c r="B171" i="1"/>
  <c r="A171" i="1"/>
  <c r="B170" i="1"/>
  <c r="A170" i="1"/>
  <c r="B168" i="1"/>
  <c r="A168" i="1"/>
  <c r="B167" i="1"/>
  <c r="A167" i="1"/>
  <c r="B165" i="1"/>
  <c r="A165" i="1"/>
  <c r="B164" i="1"/>
  <c r="A164" i="1"/>
  <c r="B162" i="1"/>
  <c r="A162" i="1"/>
  <c r="B161" i="1"/>
  <c r="A161" i="1"/>
  <c r="B159" i="1"/>
  <c r="A159" i="1"/>
  <c r="B158" i="1"/>
  <c r="A158" i="1"/>
  <c r="B156" i="1"/>
  <c r="A156" i="1"/>
  <c r="B155" i="1"/>
  <c r="A155" i="1"/>
  <c r="B153" i="1"/>
  <c r="A153" i="1"/>
  <c r="B152" i="1"/>
  <c r="A152" i="1"/>
  <c r="B150" i="1"/>
  <c r="A150" i="1"/>
  <c r="B149" i="1"/>
  <c r="A149" i="1"/>
  <c r="B147" i="1"/>
  <c r="A147" i="1"/>
  <c r="B146" i="1"/>
  <c r="A146" i="1"/>
  <c r="B144" i="1"/>
  <c r="A144" i="1"/>
  <c r="B143" i="1"/>
  <c r="A143" i="1"/>
  <c r="B141" i="1"/>
  <c r="A141" i="1"/>
  <c r="B140" i="1"/>
  <c r="A140" i="1"/>
  <c r="B138" i="1"/>
  <c r="A138" i="1"/>
  <c r="B137" i="1"/>
  <c r="A137" i="1"/>
  <c r="B135" i="1"/>
  <c r="A135" i="1"/>
  <c r="B134" i="1"/>
  <c r="A134" i="1"/>
  <c r="B132" i="1"/>
  <c r="A132" i="1"/>
  <c r="B131" i="1"/>
  <c r="A131" i="1"/>
  <c r="B129" i="1"/>
  <c r="A129" i="1"/>
  <c r="B128" i="1"/>
  <c r="A128" i="1"/>
  <c r="B126" i="1"/>
  <c r="A126" i="1"/>
  <c r="B125" i="1"/>
  <c r="A125" i="1"/>
  <c r="B123" i="1"/>
  <c r="A123" i="1"/>
  <c r="B122" i="1"/>
  <c r="A122" i="1"/>
  <c r="B120" i="1"/>
  <c r="A120" i="1"/>
  <c r="B119" i="1"/>
  <c r="A119" i="1"/>
  <c r="B117" i="1"/>
  <c r="A117" i="1"/>
  <c r="B116" i="1"/>
  <c r="A116" i="1"/>
  <c r="B114" i="1"/>
  <c r="A114" i="1"/>
  <c r="B113" i="1"/>
  <c r="A113" i="1"/>
  <c r="B111" i="1"/>
  <c r="A111" i="1"/>
  <c r="B110" i="1"/>
  <c r="A110" i="1"/>
  <c r="B108" i="1"/>
  <c r="A108" i="1"/>
  <c r="B107" i="1"/>
  <c r="A107" i="1"/>
  <c r="B105" i="1"/>
  <c r="A105" i="1"/>
  <c r="B104" i="1"/>
  <c r="A104" i="1"/>
  <c r="B102" i="1"/>
  <c r="A102" i="1"/>
  <c r="B101" i="1"/>
  <c r="A101" i="1"/>
  <c r="B99" i="1"/>
  <c r="A99" i="1"/>
  <c r="B98" i="1"/>
  <c r="A98" i="1"/>
  <c r="B96" i="1"/>
  <c r="A96" i="1"/>
  <c r="B95" i="1"/>
  <c r="A95" i="1"/>
  <c r="B93" i="1"/>
  <c r="A93" i="1"/>
  <c r="B92" i="1"/>
  <c r="A92" i="1"/>
  <c r="B90" i="1"/>
  <c r="A90" i="1"/>
  <c r="B89" i="1"/>
  <c r="A89" i="1"/>
  <c r="B87" i="1"/>
  <c r="A87" i="1"/>
  <c r="B86" i="1"/>
  <c r="A86" i="1"/>
  <c r="B84" i="1"/>
  <c r="A84" i="1"/>
  <c r="B83" i="1"/>
  <c r="A83" i="1"/>
  <c r="B81" i="1"/>
  <c r="A81" i="1"/>
  <c r="B80" i="1"/>
  <c r="A80" i="1"/>
  <c r="B78" i="1"/>
  <c r="A78" i="1"/>
  <c r="B77" i="1"/>
  <c r="A77" i="1"/>
  <c r="B75" i="1"/>
  <c r="A75" i="1"/>
  <c r="B74" i="1"/>
  <c r="A74" i="1"/>
  <c r="B72" i="1"/>
  <c r="A72" i="1"/>
  <c r="B71" i="1"/>
  <c r="A71" i="1"/>
  <c r="B69" i="1"/>
  <c r="A69" i="1"/>
  <c r="B68" i="1"/>
  <c r="A68" i="1"/>
  <c r="B66" i="1"/>
  <c r="A66" i="1"/>
  <c r="B65" i="1"/>
  <c r="A65" i="1"/>
  <c r="B63" i="1"/>
  <c r="A63" i="1"/>
  <c r="B62" i="1"/>
  <c r="A62" i="1"/>
  <c r="B60" i="1"/>
  <c r="A60" i="1"/>
  <c r="B59" i="1"/>
  <c r="A59" i="1"/>
  <c r="B57" i="1"/>
  <c r="A57" i="1"/>
  <c r="B56" i="1"/>
  <c r="A56" i="1"/>
  <c r="B54" i="1"/>
  <c r="A54" i="1"/>
  <c r="B53" i="1"/>
  <c r="A53" i="1"/>
  <c r="B51" i="1"/>
  <c r="A51" i="1"/>
  <c r="B50" i="1"/>
  <c r="A50" i="1"/>
  <c r="B48" i="1"/>
  <c r="A48" i="1"/>
  <c r="B47" i="1"/>
  <c r="A47" i="1"/>
  <c r="B45" i="1"/>
  <c r="A45" i="1"/>
  <c r="B44" i="1"/>
  <c r="A44" i="1"/>
  <c r="B42" i="1"/>
  <c r="A42" i="1"/>
  <c r="B41" i="1"/>
  <c r="A41" i="1"/>
  <c r="B39" i="1"/>
  <c r="A39" i="1"/>
  <c r="B38" i="1"/>
  <c r="A38" i="1"/>
  <c r="B36" i="1"/>
  <c r="A36" i="1"/>
  <c r="B35" i="1"/>
  <c r="A35" i="1"/>
  <c r="B33" i="1"/>
  <c r="A33" i="1"/>
  <c r="B32" i="1"/>
  <c r="A32" i="1"/>
  <c r="B30" i="1"/>
  <c r="A30" i="1"/>
  <c r="B29" i="1"/>
  <c r="A29" i="1"/>
  <c r="B27" i="1"/>
  <c r="A27" i="1"/>
  <c r="B26" i="1"/>
  <c r="A26" i="1"/>
  <c r="B24" i="1"/>
  <c r="A24" i="1"/>
  <c r="B23" i="1"/>
  <c r="A23" i="1"/>
  <c r="B21" i="1"/>
  <c r="A21" i="1"/>
  <c r="B20" i="1"/>
  <c r="A20" i="1"/>
  <c r="B18" i="1"/>
  <c r="A18" i="1"/>
  <c r="B17" i="1"/>
  <c r="A17" i="1"/>
  <c r="B15" i="1"/>
  <c r="A15" i="1"/>
  <c r="B14" i="1"/>
  <c r="A14" i="1"/>
  <c r="B12" i="1"/>
  <c r="A12" i="1"/>
  <c r="B11" i="1"/>
  <c r="A11" i="1"/>
  <c r="B9" i="1"/>
  <c r="A9" i="1"/>
  <c r="B8" i="1"/>
  <c r="A8" i="1"/>
  <c r="B6" i="1"/>
  <c r="A6" i="1"/>
  <c r="B5" i="1"/>
  <c r="A5" i="1"/>
  <c r="B3" i="1"/>
  <c r="A3" i="1"/>
  <c r="B2" i="1"/>
  <c r="A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</calcChain>
</file>

<file path=xl/sharedStrings.xml><?xml version="1.0" encoding="utf-8"?>
<sst xmlns="http://schemas.openxmlformats.org/spreadsheetml/2006/main" count="25" uniqueCount="25">
  <si>
    <t>="* p&lt;0.05</t>
  </si>
  <si>
    <t xml:space="preserve"> ** p&lt;0.01</t>
  </si>
  <si>
    <t xml:space="preserve"> *** p&lt;0.001"</t>
  </si>
  <si>
    <t>Age arrived</t>
  </si>
  <si>
    <t>English Proficiency</t>
  </si>
  <si>
    <t>English speaking country</t>
  </si>
  <si>
    <t>cons</t>
  </si>
  <si>
    <t>agearr1</t>
  </si>
  <si>
    <t>agearr2</t>
  </si>
  <si>
    <t>agearr3</t>
  </si>
  <si>
    <t>agearr4</t>
  </si>
  <si>
    <t>agearr5</t>
  </si>
  <si>
    <t>agearr6</t>
  </si>
  <si>
    <t>agearr7</t>
  </si>
  <si>
    <t>agearr8</t>
  </si>
  <si>
    <t>agearr9</t>
  </si>
  <si>
    <t>agearr10</t>
  </si>
  <si>
    <t>agearr11</t>
  </si>
  <si>
    <t>agearr12</t>
  </si>
  <si>
    <t>agearr13</t>
  </si>
  <si>
    <t>agearr14</t>
  </si>
  <si>
    <t>Nengdom=0</t>
  </si>
  <si>
    <t>Nengdom=1</t>
  </si>
  <si>
    <t>Difference</t>
  </si>
  <si>
    <t>Non English speaking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</si>
</sst>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Table99!$E$2</c:f>
              <c:strCache>
                <c:ptCount val="1"/>
                <c:pt idx="0">
                  <c:v>Non English speaking country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Table99!$D$3:$D$17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Table99!$E$3:$E$17</c:f>
              <c:numCache>
                <c:formatCode>General</c:formatCode>
                <c:ptCount val="15"/>
                <c:pt idx="0">
                  <c:v>2.9729999999999999</c:v>
                </c:pt>
                <c:pt idx="1">
                  <c:v>3.0128999999999997</c:v>
                </c:pt>
                <c:pt idx="2">
                  <c:v>3.0139</c:v>
                </c:pt>
                <c:pt idx="3">
                  <c:v>3.0179</c:v>
                </c:pt>
                <c:pt idx="4">
                  <c:v>3.0088999999999997</c:v>
                </c:pt>
                <c:pt idx="5">
                  <c:v>2.9956</c:v>
                </c:pt>
                <c:pt idx="6">
                  <c:v>2.9753599999999998</c:v>
                </c:pt>
                <c:pt idx="7">
                  <c:v>2.9667399999999997</c:v>
                </c:pt>
                <c:pt idx="8">
                  <c:v>2.9114999999999998</c:v>
                </c:pt>
                <c:pt idx="9">
                  <c:v>2.8908999999999998</c:v>
                </c:pt>
                <c:pt idx="10">
                  <c:v>2.7989999999999999</c:v>
                </c:pt>
                <c:pt idx="11">
                  <c:v>2.7549999999999999</c:v>
                </c:pt>
                <c:pt idx="12">
                  <c:v>2.653</c:v>
                </c:pt>
                <c:pt idx="13">
                  <c:v>2.544</c:v>
                </c:pt>
                <c:pt idx="14">
                  <c:v>2.431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D-594B-AFAB-32EE2857D86F}"/>
            </c:ext>
          </c:extLst>
        </c:ser>
        <c:ser>
          <c:idx val="1"/>
          <c:order val="1"/>
          <c:tx>
            <c:strRef>
              <c:f>Table99!$F$2</c:f>
              <c:strCache>
                <c:ptCount val="1"/>
                <c:pt idx="0">
                  <c:v>English speaking country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Table99!$D$3:$D$17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Table99!$F$3:$F$17</c:f>
              <c:numCache>
                <c:formatCode>General</c:formatCode>
                <c:ptCount val="15"/>
                <c:pt idx="0">
                  <c:v>2.9729999999999999</c:v>
                </c:pt>
                <c:pt idx="1">
                  <c:v>2.9344999999999999</c:v>
                </c:pt>
                <c:pt idx="2">
                  <c:v>2.9340999999999999</c:v>
                </c:pt>
                <c:pt idx="3">
                  <c:v>2.9301999999999997</c:v>
                </c:pt>
                <c:pt idx="4">
                  <c:v>2.9333</c:v>
                </c:pt>
                <c:pt idx="5">
                  <c:v>2.9289000000000001</c:v>
                </c:pt>
                <c:pt idx="6">
                  <c:v>2.931</c:v>
                </c:pt>
                <c:pt idx="7">
                  <c:v>2.9240999999999997</c:v>
                </c:pt>
                <c:pt idx="8">
                  <c:v>2.9424999999999999</c:v>
                </c:pt>
                <c:pt idx="9">
                  <c:v>2.9295999999999998</c:v>
                </c:pt>
                <c:pt idx="10">
                  <c:v>2.9321999999999999</c:v>
                </c:pt>
                <c:pt idx="11">
                  <c:v>2.9282999999999997</c:v>
                </c:pt>
                <c:pt idx="12">
                  <c:v>2.9333999999999998</c:v>
                </c:pt>
                <c:pt idx="13">
                  <c:v>2.9232999999999998</c:v>
                </c:pt>
                <c:pt idx="14">
                  <c:v>2.9318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D-594B-AFAB-32EE2857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649391"/>
        <c:axId val="1263652191"/>
      </c:lineChart>
      <c:catAx>
        <c:axId val="126364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arrival in the United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52191"/>
        <c:crosses val="autoZero"/>
        <c:auto val="1"/>
        <c:lblAlgn val="ctr"/>
        <c:lblOffset val="100"/>
        <c:noMultiLvlLbl val="0"/>
      </c:catAx>
      <c:valAx>
        <c:axId val="1263652191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English Ability (Ordinal measure, 0 to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4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Table99!$G$1:$G$2</c:f>
              <c:strCache>
                <c:ptCount val="2"/>
                <c:pt idx="0">
                  <c:v>English Proficiency</c:v>
                </c:pt>
                <c:pt idx="1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Table99!$D$3:$D$17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Table99!$G$3:$G$17</c:f>
              <c:numCache>
                <c:formatCode>0.0000</c:formatCode>
                <c:ptCount val="15"/>
                <c:pt idx="0">
                  <c:v>0</c:v>
                </c:pt>
                <c:pt idx="1">
                  <c:v>7.8399999999999803E-2</c:v>
                </c:pt>
                <c:pt idx="2">
                  <c:v>7.9800000000000093E-2</c:v>
                </c:pt>
                <c:pt idx="3">
                  <c:v>8.7700000000000333E-2</c:v>
                </c:pt>
                <c:pt idx="4">
                  <c:v>7.5599999999999667E-2</c:v>
                </c:pt>
                <c:pt idx="5">
                  <c:v>6.6699999999999982E-2</c:v>
                </c:pt>
                <c:pt idx="6">
                  <c:v>4.4359999999999733E-2</c:v>
                </c:pt>
                <c:pt idx="7">
                  <c:v>4.2640000000000011E-2</c:v>
                </c:pt>
                <c:pt idx="8">
                  <c:v>-3.1000000000000139E-2</c:v>
                </c:pt>
                <c:pt idx="9">
                  <c:v>-3.8699999999999957E-2</c:v>
                </c:pt>
                <c:pt idx="10">
                  <c:v>-0.13319999999999999</c:v>
                </c:pt>
                <c:pt idx="11">
                  <c:v>-0.17329999999999979</c:v>
                </c:pt>
                <c:pt idx="12">
                  <c:v>-0.28039999999999976</c:v>
                </c:pt>
                <c:pt idx="13">
                  <c:v>-0.37929999999999975</c:v>
                </c:pt>
                <c:pt idx="14">
                  <c:v>-0.50079999999999991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A-C244-B3B4-06530F83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01247"/>
        <c:axId val="1266377167"/>
      </c:lineChart>
      <c:catAx>
        <c:axId val="115780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Age at arrival in the United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77167"/>
        <c:crosses val="autoZero"/>
        <c:auto val="1"/>
        <c:lblAlgn val="ctr"/>
        <c:lblOffset val="100"/>
        <c:noMultiLvlLbl val="0"/>
      </c:catAx>
      <c:valAx>
        <c:axId val="1266377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0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17</xdr:row>
      <xdr:rowOff>196850</xdr:rowOff>
    </xdr:from>
    <xdr:to>
      <xdr:col>10</xdr:col>
      <xdr:colOff>241300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871EF-B3FE-38D0-A3F3-C28D07316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35</xdr:row>
      <xdr:rowOff>146050</xdr:rowOff>
    </xdr:from>
    <xdr:to>
      <xdr:col>10</xdr:col>
      <xdr:colOff>241300</xdr:colOff>
      <xdr:row>49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30146A-99FF-F050-FBE2-63B602E78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DAB-9511-ED41-92B4-ABA9AE166825}">
  <dimension ref="A1:M203"/>
  <sheetViews>
    <sheetView tabSelected="1" topLeftCell="A16" workbookViewId="0">
      <selection activeCell="M40" sqref="M40"/>
    </sheetView>
  </sheetViews>
  <sheetFormatPr baseColWidth="10" defaultRowHeight="16" x14ac:dyDescent="0.2"/>
  <cols>
    <col min="4" max="4" width="10" bestFit="1" customWidth="1"/>
    <col min="5" max="5" width="24.6640625" bestFit="1" customWidth="1"/>
    <col min="6" max="6" width="20.83203125" bestFit="1" customWidth="1"/>
  </cols>
  <sheetData>
    <row r="1" spans="1:13" x14ac:dyDescent="0.2">
      <c r="D1" s="1"/>
      <c r="E1" s="2" t="s">
        <v>4</v>
      </c>
      <c r="F1" s="2"/>
    </row>
    <row r="2" spans="1:13" x14ac:dyDescent="0.2">
      <c r="A2" t="str">
        <f>""</f>
        <v/>
      </c>
      <c r="B2" t="str">
        <f>"(1)"</f>
        <v>(1)</v>
      </c>
      <c r="D2" s="1" t="s">
        <v>3</v>
      </c>
      <c r="E2" t="s">
        <v>24</v>
      </c>
      <c r="F2" t="s">
        <v>5</v>
      </c>
      <c r="G2" t="s">
        <v>23</v>
      </c>
      <c r="K2" t="s">
        <v>6</v>
      </c>
      <c r="L2">
        <v>2.9729999999999999</v>
      </c>
    </row>
    <row r="3" spans="1:13" x14ac:dyDescent="0.2">
      <c r="A3" t="str">
        <f>""</f>
        <v/>
      </c>
      <c r="B3" t="str">
        <f>"eng"</f>
        <v>eng</v>
      </c>
      <c r="D3">
        <v>0</v>
      </c>
      <c r="E3">
        <f>$L$2</f>
        <v>2.9729999999999999</v>
      </c>
      <c r="F3">
        <f>$L$2</f>
        <v>2.9729999999999999</v>
      </c>
      <c r="G3" s="3">
        <f>F3-E3</f>
        <v>0</v>
      </c>
      <c r="L3" t="s">
        <v>21</v>
      </c>
      <c r="M3" t="s">
        <v>22</v>
      </c>
    </row>
    <row r="4" spans="1:13" x14ac:dyDescent="0.2">
      <c r="D4">
        <v>1</v>
      </c>
      <c r="E4">
        <f>$L$2+M4</f>
        <v>3.0128999999999997</v>
      </c>
      <c r="F4">
        <f>$L$2+L4</f>
        <v>2.9344999999999999</v>
      </c>
      <c r="G4" s="3">
        <f>E4-F4</f>
        <v>7.8399999999999803E-2</v>
      </c>
      <c r="K4" t="s">
        <v>7</v>
      </c>
      <c r="L4">
        <v>-3.85E-2</v>
      </c>
      <c r="M4">
        <v>3.9899999999999998E-2</v>
      </c>
    </row>
    <row r="5" spans="1:13" x14ac:dyDescent="0.2">
      <c r="A5" t="str">
        <f>"agearr1"</f>
        <v>agearr1</v>
      </c>
      <c r="B5" t="str">
        <f>"-0.0385"</f>
        <v>-0.0385</v>
      </c>
      <c r="D5">
        <v>2</v>
      </c>
      <c r="E5">
        <f t="shared" ref="E5:E17" si="0">$L$2+M5</f>
        <v>3.0139</v>
      </c>
      <c r="F5">
        <f t="shared" ref="F5:F17" si="1">$L$2+L5</f>
        <v>2.9340999999999999</v>
      </c>
      <c r="G5" s="3">
        <f t="shared" ref="G5:G17" si="2">E5-F5</f>
        <v>7.9800000000000093E-2</v>
      </c>
      <c r="K5" t="s">
        <v>8</v>
      </c>
      <c r="L5">
        <v>-3.8899999999999997E-2</v>
      </c>
      <c r="M5">
        <v>4.0899999999999999E-2</v>
      </c>
    </row>
    <row r="6" spans="1:13" x14ac:dyDescent="0.2">
      <c r="A6" t="str">
        <f>""</f>
        <v/>
      </c>
      <c r="B6" t="str">
        <f>"(-1.65)"</f>
        <v>(-1.65)</v>
      </c>
      <c r="D6">
        <v>3</v>
      </c>
      <c r="E6">
        <f t="shared" si="0"/>
        <v>3.0179</v>
      </c>
      <c r="F6">
        <f t="shared" si="1"/>
        <v>2.9301999999999997</v>
      </c>
      <c r="G6" s="3">
        <f t="shared" si="2"/>
        <v>8.7700000000000333E-2</v>
      </c>
      <c r="K6" t="s">
        <v>9</v>
      </c>
      <c r="L6">
        <v>-4.2799999999999998E-2</v>
      </c>
      <c r="M6">
        <v>4.4900000000000002E-2</v>
      </c>
    </row>
    <row r="7" spans="1:13" x14ac:dyDescent="0.2">
      <c r="D7">
        <v>4</v>
      </c>
      <c r="E7">
        <f t="shared" si="0"/>
        <v>3.0088999999999997</v>
      </c>
      <c r="F7">
        <f t="shared" si="1"/>
        <v>2.9333</v>
      </c>
      <c r="G7" s="3">
        <f t="shared" si="2"/>
        <v>7.5599999999999667E-2</v>
      </c>
      <c r="K7" t="s">
        <v>10</v>
      </c>
      <c r="L7">
        <v>-3.9699999999999999E-2</v>
      </c>
      <c r="M7">
        <v>3.5900000000000001E-2</v>
      </c>
    </row>
    <row r="8" spans="1:13" x14ac:dyDescent="0.2">
      <c r="A8" t="str">
        <f>"agearr2"</f>
        <v>agearr2</v>
      </c>
      <c r="B8" t="str">
        <f>"-0.0389"</f>
        <v>-0.0389</v>
      </c>
      <c r="D8">
        <v>5</v>
      </c>
      <c r="E8">
        <f t="shared" si="0"/>
        <v>2.9956</v>
      </c>
      <c r="F8">
        <f t="shared" si="1"/>
        <v>2.9289000000000001</v>
      </c>
      <c r="G8" s="3">
        <f t="shared" si="2"/>
        <v>6.6699999999999982E-2</v>
      </c>
      <c r="K8" t="s">
        <v>11</v>
      </c>
      <c r="L8">
        <v>-4.41E-2</v>
      </c>
      <c r="M8">
        <v>2.2599999999999999E-2</v>
      </c>
    </row>
    <row r="9" spans="1:13" x14ac:dyDescent="0.2">
      <c r="A9" t="str">
        <f>""</f>
        <v/>
      </c>
      <c r="B9" t="str">
        <f>"(-1.63)"</f>
        <v>(-1.63)</v>
      </c>
      <c r="D9">
        <v>6</v>
      </c>
      <c r="E9">
        <f t="shared" si="0"/>
        <v>2.9753599999999998</v>
      </c>
      <c r="F9">
        <f t="shared" si="1"/>
        <v>2.931</v>
      </c>
      <c r="G9" s="3">
        <f t="shared" si="2"/>
        <v>4.4359999999999733E-2</v>
      </c>
      <c r="K9" t="s">
        <v>12</v>
      </c>
      <c r="L9">
        <v>-4.2000000000000003E-2</v>
      </c>
      <c r="M9">
        <v>2.3600000000000001E-3</v>
      </c>
    </row>
    <row r="10" spans="1:13" x14ac:dyDescent="0.2">
      <c r="D10">
        <v>7</v>
      </c>
      <c r="E10">
        <f t="shared" si="0"/>
        <v>2.9667399999999997</v>
      </c>
      <c r="F10">
        <f t="shared" si="1"/>
        <v>2.9240999999999997</v>
      </c>
      <c r="G10" s="3">
        <f t="shared" si="2"/>
        <v>4.2640000000000011E-2</v>
      </c>
      <c r="K10" t="s">
        <v>13</v>
      </c>
      <c r="L10">
        <v>-4.8899999999999999E-2</v>
      </c>
      <c r="M10">
        <v>-6.2599999999999999E-3</v>
      </c>
    </row>
    <row r="11" spans="1:13" x14ac:dyDescent="0.2">
      <c r="A11" t="str">
        <f>"agearr3"</f>
        <v>agearr3</v>
      </c>
      <c r="B11" t="str">
        <f>"-0.0428"</f>
        <v>-0.0428</v>
      </c>
      <c r="D11">
        <v>8</v>
      </c>
      <c r="E11">
        <f t="shared" si="0"/>
        <v>2.9114999999999998</v>
      </c>
      <c r="F11">
        <f t="shared" si="1"/>
        <v>2.9424999999999999</v>
      </c>
      <c r="G11" s="3">
        <f t="shared" si="2"/>
        <v>-3.1000000000000139E-2</v>
      </c>
      <c r="K11" t="s">
        <v>14</v>
      </c>
      <c r="L11">
        <v>-3.0499999999999999E-2</v>
      </c>
      <c r="M11">
        <v>-6.1499999999999999E-2</v>
      </c>
    </row>
    <row r="12" spans="1:13" x14ac:dyDescent="0.2">
      <c r="A12" t="str">
        <f>""</f>
        <v/>
      </c>
      <c r="B12" t="str">
        <f>"(-1.70)"</f>
        <v>(-1.70)</v>
      </c>
      <c r="D12">
        <v>9</v>
      </c>
      <c r="E12">
        <f t="shared" si="0"/>
        <v>2.8908999999999998</v>
      </c>
      <c r="F12">
        <f t="shared" si="1"/>
        <v>2.9295999999999998</v>
      </c>
      <c r="G12" s="3">
        <f t="shared" si="2"/>
        <v>-3.8699999999999957E-2</v>
      </c>
      <c r="K12" t="s">
        <v>15</v>
      </c>
      <c r="L12">
        <v>-4.3400000000000001E-2</v>
      </c>
      <c r="M12">
        <v>-8.2100000000000006E-2</v>
      </c>
    </row>
    <row r="13" spans="1:13" x14ac:dyDescent="0.2">
      <c r="D13">
        <v>10</v>
      </c>
      <c r="E13">
        <f t="shared" si="0"/>
        <v>2.7989999999999999</v>
      </c>
      <c r="F13">
        <f t="shared" si="1"/>
        <v>2.9321999999999999</v>
      </c>
      <c r="G13" s="3">
        <f t="shared" si="2"/>
        <v>-0.13319999999999999</v>
      </c>
      <c r="K13" t="s">
        <v>16</v>
      </c>
      <c r="L13">
        <v>-4.0800000000000003E-2</v>
      </c>
      <c r="M13">
        <v>-0.17399999999999999</v>
      </c>
    </row>
    <row r="14" spans="1:13" x14ac:dyDescent="0.2">
      <c r="A14" t="str">
        <f>"agearr4"</f>
        <v>agearr4</v>
      </c>
      <c r="B14" t="str">
        <f>"-0.0397"</f>
        <v>-0.0397</v>
      </c>
      <c r="D14">
        <v>11</v>
      </c>
      <c r="E14">
        <f t="shared" si="0"/>
        <v>2.7549999999999999</v>
      </c>
      <c r="F14">
        <f t="shared" si="1"/>
        <v>2.9282999999999997</v>
      </c>
      <c r="G14" s="3">
        <f t="shared" si="2"/>
        <v>-0.17329999999999979</v>
      </c>
      <c r="K14" t="s">
        <v>17</v>
      </c>
      <c r="L14">
        <v>-4.4699999999999997E-2</v>
      </c>
      <c r="M14">
        <v>-0.218</v>
      </c>
    </row>
    <row r="15" spans="1:13" x14ac:dyDescent="0.2">
      <c r="A15" t="str">
        <f>""</f>
        <v/>
      </c>
      <c r="B15" t="str">
        <f>"(-1.52)"</f>
        <v>(-1.52)</v>
      </c>
      <c r="D15">
        <v>12</v>
      </c>
      <c r="E15">
        <f t="shared" si="0"/>
        <v>2.653</v>
      </c>
      <c r="F15">
        <f t="shared" si="1"/>
        <v>2.9333999999999998</v>
      </c>
      <c r="G15" s="3">
        <f t="shared" si="2"/>
        <v>-0.28039999999999976</v>
      </c>
      <c r="K15" t="s">
        <v>18</v>
      </c>
      <c r="L15">
        <v>-3.9600000000000003E-2</v>
      </c>
      <c r="M15">
        <v>-0.32</v>
      </c>
    </row>
    <row r="16" spans="1:13" x14ac:dyDescent="0.2">
      <c r="D16">
        <v>13</v>
      </c>
      <c r="E16">
        <f t="shared" si="0"/>
        <v>2.544</v>
      </c>
      <c r="F16">
        <f t="shared" si="1"/>
        <v>2.9232999999999998</v>
      </c>
      <c r="G16" s="3">
        <f t="shared" si="2"/>
        <v>-0.37929999999999975</v>
      </c>
      <c r="K16" t="s">
        <v>19</v>
      </c>
      <c r="L16">
        <v>-4.9700000000000001E-2</v>
      </c>
      <c r="M16">
        <v>-0.42899999999999999</v>
      </c>
    </row>
    <row r="17" spans="1:13" x14ac:dyDescent="0.2">
      <c r="A17" t="str">
        <f>"agearr5"</f>
        <v>agearr5</v>
      </c>
      <c r="B17" t="str">
        <f>"-0.0441"</f>
        <v>-0.0441</v>
      </c>
      <c r="D17">
        <v>14</v>
      </c>
      <c r="E17">
        <f t="shared" si="0"/>
        <v>2.431</v>
      </c>
      <c r="F17">
        <f t="shared" si="1"/>
        <v>2.9318</v>
      </c>
      <c r="G17" s="3">
        <f t="shared" si="2"/>
        <v>-0.50079999999999991</v>
      </c>
      <c r="K17" t="s">
        <v>20</v>
      </c>
      <c r="L17">
        <v>-4.1200000000000001E-2</v>
      </c>
      <c r="M17">
        <v>-0.54200000000000004</v>
      </c>
    </row>
    <row r="18" spans="1:13" x14ac:dyDescent="0.2">
      <c r="A18" t="str">
        <f>""</f>
        <v/>
      </c>
      <c r="B18" t="str">
        <f>"(-1.77)"</f>
        <v>(-1.77)</v>
      </c>
    </row>
    <row r="20" spans="1:13" x14ac:dyDescent="0.2">
      <c r="A20" t="str">
        <f>"agearr6"</f>
        <v>agearr6</v>
      </c>
      <c r="B20" t="str">
        <f>"-0.0420"</f>
        <v>-0.0420</v>
      </c>
    </row>
    <row r="21" spans="1:13" x14ac:dyDescent="0.2">
      <c r="A21" t="str">
        <f>""</f>
        <v/>
      </c>
      <c r="B21" t="str">
        <f>"(-1.60)"</f>
        <v>(-1.60)</v>
      </c>
    </row>
    <row r="23" spans="1:13" x14ac:dyDescent="0.2">
      <c r="A23" t="str">
        <f>"agearr7"</f>
        <v>agearr7</v>
      </c>
      <c r="B23" t="str">
        <f>"-0.0489"</f>
        <v>-0.0489</v>
      </c>
    </row>
    <row r="24" spans="1:13" x14ac:dyDescent="0.2">
      <c r="A24" t="str">
        <f>""</f>
        <v/>
      </c>
      <c r="B24" t="str">
        <f>"(-1.79)"</f>
        <v>(-1.79)</v>
      </c>
    </row>
    <row r="26" spans="1:13" x14ac:dyDescent="0.2">
      <c r="A26" t="str">
        <f>"agearr8"</f>
        <v>agearr8</v>
      </c>
      <c r="B26" t="str">
        <f>"-0.0305"</f>
        <v>-0.0305</v>
      </c>
    </row>
    <row r="27" spans="1:13" x14ac:dyDescent="0.2">
      <c r="A27" t="str">
        <f>""</f>
        <v/>
      </c>
      <c r="B27" t="str">
        <f>"(-1.09)"</f>
        <v>(-1.09)</v>
      </c>
    </row>
    <row r="29" spans="1:13" x14ac:dyDescent="0.2">
      <c r="A29" t="str">
        <f>"agearr9"</f>
        <v>agearr9</v>
      </c>
      <c r="B29" t="str">
        <f>"-0.0434"</f>
        <v>-0.0434</v>
      </c>
    </row>
    <row r="30" spans="1:13" x14ac:dyDescent="0.2">
      <c r="A30" t="str">
        <f>""</f>
        <v/>
      </c>
      <c r="B30" t="str">
        <f>"(-1.52)"</f>
        <v>(-1.52)</v>
      </c>
    </row>
    <row r="32" spans="1:13" x14ac:dyDescent="0.2">
      <c r="A32" t="str">
        <f>"agearr10"</f>
        <v>agearr10</v>
      </c>
      <c r="B32" t="str">
        <f>"-0.0408"</f>
        <v>-0.0408</v>
      </c>
    </row>
    <row r="33" spans="1:2" x14ac:dyDescent="0.2">
      <c r="A33" t="str">
        <f>""</f>
        <v/>
      </c>
      <c r="B33" t="str">
        <f>"(-1.40)"</f>
        <v>(-1.40)</v>
      </c>
    </row>
    <row r="35" spans="1:2" x14ac:dyDescent="0.2">
      <c r="A35" t="str">
        <f>"agearr11"</f>
        <v>agearr11</v>
      </c>
      <c r="B35" t="str">
        <f>"-0.0447"</f>
        <v>-0.0447</v>
      </c>
    </row>
    <row r="36" spans="1:2" x14ac:dyDescent="0.2">
      <c r="A36" t="str">
        <f>""</f>
        <v/>
      </c>
      <c r="B36" t="str">
        <f>"(-1.45)"</f>
        <v>(-1.45)</v>
      </c>
    </row>
    <row r="38" spans="1:2" x14ac:dyDescent="0.2">
      <c r="A38" t="str">
        <f>"agearr12"</f>
        <v>agearr12</v>
      </c>
      <c r="B38" t="str">
        <f>"-0.0396"</f>
        <v>-0.0396</v>
      </c>
    </row>
    <row r="39" spans="1:2" x14ac:dyDescent="0.2">
      <c r="A39" t="str">
        <f>""</f>
        <v/>
      </c>
      <c r="B39" t="str">
        <f>"(-1.32)"</f>
        <v>(-1.32)</v>
      </c>
    </row>
    <row r="41" spans="1:2" x14ac:dyDescent="0.2">
      <c r="A41" t="str">
        <f>"agearr13"</f>
        <v>agearr13</v>
      </c>
      <c r="B41" t="str">
        <f>"-0.0497"</f>
        <v>-0.0497</v>
      </c>
    </row>
    <row r="42" spans="1:2" x14ac:dyDescent="0.2">
      <c r="A42" t="str">
        <f>""</f>
        <v/>
      </c>
      <c r="B42" t="str">
        <f>"(-1.50)"</f>
        <v>(-1.50)</v>
      </c>
    </row>
    <row r="44" spans="1:2" x14ac:dyDescent="0.2">
      <c r="A44" t="str">
        <f>"agearr14"</f>
        <v>agearr14</v>
      </c>
      <c r="B44" t="str">
        <f>"-0.0412"</f>
        <v>-0.0412</v>
      </c>
    </row>
    <row r="45" spans="1:2" x14ac:dyDescent="0.2">
      <c r="A45" t="str">
        <f>""</f>
        <v/>
      </c>
      <c r="B45" t="str">
        <f>"(-1.25)"</f>
        <v>(-1.25)</v>
      </c>
    </row>
    <row r="47" spans="1:2" x14ac:dyDescent="0.2">
      <c r="A47" t="str">
        <f>"agearr1_nengdom"</f>
        <v>agearr1_nengdom</v>
      </c>
      <c r="B47" t="str">
        <f>"0.0399"</f>
        <v>0.0399</v>
      </c>
    </row>
    <row r="48" spans="1:2" x14ac:dyDescent="0.2">
      <c r="A48" t="str">
        <f>""</f>
        <v/>
      </c>
      <c r="B48" t="str">
        <f>"(1.44)"</f>
        <v>(1.44)</v>
      </c>
    </row>
    <row r="50" spans="1:2" x14ac:dyDescent="0.2">
      <c r="A50" t="str">
        <f>"agearr2_nengdom"</f>
        <v>agearr2_nengdom</v>
      </c>
      <c r="B50" t="str">
        <f>"0.0409"</f>
        <v>0.0409</v>
      </c>
    </row>
    <row r="51" spans="1:2" x14ac:dyDescent="0.2">
      <c r="A51" t="str">
        <f>""</f>
        <v/>
      </c>
      <c r="B51" t="str">
        <f>"(1.37)"</f>
        <v>(1.37)</v>
      </c>
    </row>
    <row r="53" spans="1:2" x14ac:dyDescent="0.2">
      <c r="A53" t="str">
        <f>"agearr3_nengdom"</f>
        <v>agearr3_nengdom</v>
      </c>
      <c r="B53" t="str">
        <f>"0.0449"</f>
        <v>0.0449</v>
      </c>
    </row>
    <row r="54" spans="1:2" x14ac:dyDescent="0.2">
      <c r="A54" t="str">
        <f>""</f>
        <v/>
      </c>
      <c r="B54" t="str">
        <f>"(1.38)"</f>
        <v>(1.38)</v>
      </c>
    </row>
    <row r="56" spans="1:2" x14ac:dyDescent="0.2">
      <c r="A56" t="str">
        <f>"agearr4_nengdom"</f>
        <v>agearr4_nengdom</v>
      </c>
      <c r="B56" t="str">
        <f>"0.0359"</f>
        <v>0.0359</v>
      </c>
    </row>
    <row r="57" spans="1:2" x14ac:dyDescent="0.2">
      <c r="A57" t="str">
        <f>""</f>
        <v/>
      </c>
      <c r="B57" t="str">
        <f>"(1.09)"</f>
        <v>(1.09)</v>
      </c>
    </row>
    <row r="59" spans="1:2" x14ac:dyDescent="0.2">
      <c r="A59" t="str">
        <f>"agearr5_nengdom"</f>
        <v>agearr5_nengdom</v>
      </c>
      <c r="B59" t="str">
        <f>"0.0226"</f>
        <v>0.0226</v>
      </c>
    </row>
    <row r="60" spans="1:2" x14ac:dyDescent="0.2">
      <c r="A60" t="str">
        <f>""</f>
        <v/>
      </c>
      <c r="B60" t="str">
        <f>"(1.05)"</f>
        <v>(1.05)</v>
      </c>
    </row>
    <row r="62" spans="1:2" x14ac:dyDescent="0.2">
      <c r="A62" t="str">
        <f>"agearr6_nengdom"</f>
        <v>agearr6_nengdom</v>
      </c>
      <c r="B62" t="str">
        <f>"0.00236"</f>
        <v>0.00236</v>
      </c>
    </row>
    <row r="63" spans="1:2" x14ac:dyDescent="0.2">
      <c r="A63" t="str">
        <f>""</f>
        <v/>
      </c>
      <c r="B63" t="str">
        <f>"(0.16)"</f>
        <v>(0.16)</v>
      </c>
    </row>
    <row r="65" spans="1:2" x14ac:dyDescent="0.2">
      <c r="A65" t="str">
        <f>"agearr7_nengdom"</f>
        <v>agearr7_nengdom</v>
      </c>
      <c r="B65" t="str">
        <f>"-0.00626"</f>
        <v>-0.00626</v>
      </c>
    </row>
    <row r="66" spans="1:2" x14ac:dyDescent="0.2">
      <c r="A66" t="str">
        <f>""</f>
        <v/>
      </c>
      <c r="B66" t="str">
        <f>"(-0.50)"</f>
        <v>(-0.50)</v>
      </c>
    </row>
    <row r="68" spans="1:2" x14ac:dyDescent="0.2">
      <c r="A68" t="str">
        <f>"agearr8_nengdom"</f>
        <v>agearr8_nengdom</v>
      </c>
      <c r="B68" t="str">
        <f>"-0.0615***"</f>
        <v>-0.0615***</v>
      </c>
    </row>
    <row r="69" spans="1:2" x14ac:dyDescent="0.2">
      <c r="A69" t="str">
        <f>""</f>
        <v/>
      </c>
      <c r="B69" t="str">
        <f>"(-4.84)"</f>
        <v>(-4.84)</v>
      </c>
    </row>
    <row r="71" spans="1:2" x14ac:dyDescent="0.2">
      <c r="A71" t="str">
        <f>"agearr9_nengdom"</f>
        <v>agearr9_nengdom</v>
      </c>
      <c r="B71" t="str">
        <f>"-0.0821***"</f>
        <v>-0.0821***</v>
      </c>
    </row>
    <row r="72" spans="1:2" x14ac:dyDescent="0.2">
      <c r="A72" t="str">
        <f>""</f>
        <v/>
      </c>
      <c r="B72" t="str">
        <f>"(-4.00)"</f>
        <v>(-4.00)</v>
      </c>
    </row>
    <row r="74" spans="1:2" x14ac:dyDescent="0.2">
      <c r="A74" t="str">
        <f>"agearr10_nengdom"</f>
        <v>agearr10_nengdom</v>
      </c>
      <c r="B74" t="str">
        <f>"-0.174***"</f>
        <v>-0.174***</v>
      </c>
    </row>
    <row r="75" spans="1:2" x14ac:dyDescent="0.2">
      <c r="A75" t="str">
        <f>""</f>
        <v/>
      </c>
      <c r="B75" t="str">
        <f>"(-3.74)"</f>
        <v>(-3.74)</v>
      </c>
    </row>
    <row r="77" spans="1:2" x14ac:dyDescent="0.2">
      <c r="A77" t="str">
        <f>"agearr11_nengdom"</f>
        <v>agearr11_nengdom</v>
      </c>
      <c r="B77" t="str">
        <f>"-0.218***"</f>
        <v>-0.218***</v>
      </c>
    </row>
    <row r="78" spans="1:2" x14ac:dyDescent="0.2">
      <c r="A78" t="str">
        <f>""</f>
        <v/>
      </c>
      <c r="B78" t="str">
        <f>"(-3.95)"</f>
        <v>(-3.95)</v>
      </c>
    </row>
    <row r="80" spans="1:2" x14ac:dyDescent="0.2">
      <c r="A80" t="str">
        <f>"agearr12_nengdom"</f>
        <v>agearr12_nengdom</v>
      </c>
      <c r="B80" t="str">
        <f>"-0.320***"</f>
        <v>-0.320***</v>
      </c>
    </row>
    <row r="81" spans="1:2" x14ac:dyDescent="0.2">
      <c r="A81" t="str">
        <f>""</f>
        <v/>
      </c>
      <c r="B81" t="str">
        <f>"(-4.40)"</f>
        <v>(-4.40)</v>
      </c>
    </row>
    <row r="83" spans="1:2" x14ac:dyDescent="0.2">
      <c r="A83" t="str">
        <f>"agearr13_nengdom"</f>
        <v>agearr13_nengdom</v>
      </c>
      <c r="B83" t="str">
        <f>"-0.429***"</f>
        <v>-0.429***</v>
      </c>
    </row>
    <row r="84" spans="1:2" x14ac:dyDescent="0.2">
      <c r="A84" t="str">
        <f>""</f>
        <v/>
      </c>
      <c r="B84" t="str">
        <f>"(-4.26)"</f>
        <v>(-4.26)</v>
      </c>
    </row>
    <row r="86" spans="1:2" x14ac:dyDescent="0.2">
      <c r="A86" t="str">
        <f>"agearr14_nengdom"</f>
        <v>agearr14_nengdom</v>
      </c>
      <c r="B86" t="str">
        <f>"-0.542***"</f>
        <v>-0.542***</v>
      </c>
    </row>
    <row r="87" spans="1:2" x14ac:dyDescent="0.2">
      <c r="A87" t="str">
        <f>""</f>
        <v/>
      </c>
      <c r="B87" t="str">
        <f>"(-5.22)"</f>
        <v>(-5.22)</v>
      </c>
    </row>
    <row r="89" spans="1:2" x14ac:dyDescent="0.2">
      <c r="A89" t="str">
        <f>"dumage2"</f>
        <v>dumage2</v>
      </c>
      <c r="B89" t="str">
        <f>"0.00366"</f>
        <v>0.00366</v>
      </c>
    </row>
    <row r="90" spans="1:2" x14ac:dyDescent="0.2">
      <c r="A90" t="str">
        <f>""</f>
        <v/>
      </c>
      <c r="B90" t="str">
        <f>"(0.52)"</f>
        <v>(0.52)</v>
      </c>
    </row>
    <row r="92" spans="1:2" x14ac:dyDescent="0.2">
      <c r="A92" t="str">
        <f>"dumage3"</f>
        <v>dumage3</v>
      </c>
      <c r="B92" t="str">
        <f>"-0.00386"</f>
        <v>-0.00386</v>
      </c>
    </row>
    <row r="93" spans="1:2" x14ac:dyDescent="0.2">
      <c r="A93" t="str">
        <f>""</f>
        <v/>
      </c>
      <c r="B93" t="str">
        <f>"(-0.60)"</f>
        <v>(-0.60)</v>
      </c>
    </row>
    <row r="95" spans="1:2" x14ac:dyDescent="0.2">
      <c r="A95" t="str">
        <f>"dumage4"</f>
        <v>dumage4</v>
      </c>
      <c r="B95" t="str">
        <f>"-0.00171"</f>
        <v>-0.00171</v>
      </c>
    </row>
    <row r="96" spans="1:2" x14ac:dyDescent="0.2">
      <c r="A96" t="str">
        <f>""</f>
        <v/>
      </c>
      <c r="B96" t="str">
        <f>"(-0.30)"</f>
        <v>(-0.30)</v>
      </c>
    </row>
    <row r="98" spans="1:2" x14ac:dyDescent="0.2">
      <c r="A98" t="str">
        <f>"dumage5"</f>
        <v>dumage5</v>
      </c>
      <c r="B98" t="str">
        <f>"-0.000372"</f>
        <v>-0.000372</v>
      </c>
    </row>
    <row r="99" spans="1:2" x14ac:dyDescent="0.2">
      <c r="A99" t="str">
        <f>""</f>
        <v/>
      </c>
      <c r="B99" t="str">
        <f>"(-0.05)"</f>
        <v>(-0.05)</v>
      </c>
    </row>
    <row r="101" spans="1:2" x14ac:dyDescent="0.2">
      <c r="A101" t="str">
        <f>"dumage6"</f>
        <v>dumage6</v>
      </c>
      <c r="B101" t="str">
        <f>"0.00751"</f>
        <v>0.00751</v>
      </c>
    </row>
    <row r="102" spans="1:2" x14ac:dyDescent="0.2">
      <c r="A102" t="str">
        <f>""</f>
        <v/>
      </c>
      <c r="B102" t="str">
        <f>"(1.07)"</f>
        <v>(1.07)</v>
      </c>
    </row>
    <row r="104" spans="1:2" x14ac:dyDescent="0.2">
      <c r="A104" t="str">
        <f>"dumage7"</f>
        <v>dumage7</v>
      </c>
      <c r="B104" t="str">
        <f>"0.00822"</f>
        <v>0.00822</v>
      </c>
    </row>
    <row r="105" spans="1:2" x14ac:dyDescent="0.2">
      <c r="A105" t="str">
        <f>""</f>
        <v/>
      </c>
      <c r="B105" t="str">
        <f>"(0.98)"</f>
        <v>(0.98)</v>
      </c>
    </row>
    <row r="107" spans="1:2" x14ac:dyDescent="0.2">
      <c r="A107" t="str">
        <f>"dumage8"</f>
        <v>dumage8</v>
      </c>
      <c r="B107" t="str">
        <f>"0.00395"</f>
        <v>0.00395</v>
      </c>
    </row>
    <row r="108" spans="1:2" x14ac:dyDescent="0.2">
      <c r="A108" t="str">
        <f>""</f>
        <v/>
      </c>
      <c r="B108" t="str">
        <f>"(0.31)"</f>
        <v>(0.31)</v>
      </c>
    </row>
    <row r="110" spans="1:2" x14ac:dyDescent="0.2">
      <c r="A110" t="str">
        <f>"dumage9"</f>
        <v>dumage9</v>
      </c>
      <c r="B110" t="str">
        <f>"0.0203"</f>
        <v>0.0203</v>
      </c>
    </row>
    <row r="111" spans="1:2" x14ac:dyDescent="0.2">
      <c r="A111" t="str">
        <f>""</f>
        <v/>
      </c>
      <c r="B111" t="str">
        <f>"(1.46)"</f>
        <v>(1.46)</v>
      </c>
    </row>
    <row r="113" spans="1:2" x14ac:dyDescent="0.2">
      <c r="A113" t="str">
        <f>"dumage10"</f>
        <v>dumage10</v>
      </c>
      <c r="B113" t="str">
        <f>"0.0323"</f>
        <v>0.0323</v>
      </c>
    </row>
    <row r="114" spans="1:2" x14ac:dyDescent="0.2">
      <c r="A114" t="str">
        <f>""</f>
        <v/>
      </c>
      <c r="B114" t="str">
        <f>"(1.86)"</f>
        <v>(1.86)</v>
      </c>
    </row>
    <row r="116" spans="1:2" x14ac:dyDescent="0.2">
      <c r="A116" t="str">
        <f>"dumage11"</f>
        <v>dumage11</v>
      </c>
      <c r="B116" t="str">
        <f>"0.0462***"</f>
        <v>0.0462***</v>
      </c>
    </row>
    <row r="117" spans="1:2" x14ac:dyDescent="0.2">
      <c r="A117" t="str">
        <f>""</f>
        <v/>
      </c>
      <c r="B117" t="str">
        <f>"(3.56)"</f>
        <v>(3.56)</v>
      </c>
    </row>
    <row r="119" spans="1:2" x14ac:dyDescent="0.2">
      <c r="A119" t="str">
        <f>"dumage12"</f>
        <v>dumage12</v>
      </c>
      <c r="B119" t="str">
        <f>"0.0565**"</f>
        <v>0.0565**</v>
      </c>
    </row>
    <row r="120" spans="1:2" x14ac:dyDescent="0.2">
      <c r="A120" t="str">
        <f>""</f>
        <v/>
      </c>
      <c r="B120" t="str">
        <f>"(3.32)"</f>
        <v>(3.32)</v>
      </c>
    </row>
    <row r="122" spans="1:2" x14ac:dyDescent="0.2">
      <c r="A122" t="str">
        <f>"dumage13"</f>
        <v>dumage13</v>
      </c>
      <c r="B122" t="str">
        <f>"0.0416**"</f>
        <v>0.0416**</v>
      </c>
    </row>
    <row r="123" spans="1:2" x14ac:dyDescent="0.2">
      <c r="A123" t="str">
        <f>""</f>
        <v/>
      </c>
      <c r="B123" t="str">
        <f>"(3.25)"</f>
        <v>(3.25)</v>
      </c>
    </row>
    <row r="125" spans="1:2" x14ac:dyDescent="0.2">
      <c r="A125" t="str">
        <f>"dumage14"</f>
        <v>dumage14</v>
      </c>
      <c r="B125" t="str">
        <f>"0.0709**"</f>
        <v>0.0709**</v>
      </c>
    </row>
    <row r="126" spans="1:2" x14ac:dyDescent="0.2">
      <c r="A126" t="str">
        <f>""</f>
        <v/>
      </c>
      <c r="B126" t="str">
        <f>"(2.62)"</f>
        <v>(2.62)</v>
      </c>
    </row>
    <row r="128" spans="1:2" x14ac:dyDescent="0.2">
      <c r="A128" t="str">
        <f>"dumage15"</f>
        <v>dumage15</v>
      </c>
      <c r="B128" t="str">
        <f>"0.0604**"</f>
        <v>0.0604**</v>
      </c>
    </row>
    <row r="129" spans="1:2" x14ac:dyDescent="0.2">
      <c r="A129" t="str">
        <f>""</f>
        <v/>
      </c>
      <c r="B129" t="str">
        <f>"(2.64)"</f>
        <v>(2.64)</v>
      </c>
    </row>
    <row r="131" spans="1:2" x14ac:dyDescent="0.2">
      <c r="A131" t="str">
        <f>"dumage16"</f>
        <v>dumage16</v>
      </c>
      <c r="B131" t="str">
        <f>"0.0537**"</f>
        <v>0.0537**</v>
      </c>
    </row>
    <row r="132" spans="1:2" x14ac:dyDescent="0.2">
      <c r="A132" t="str">
        <f>""</f>
        <v/>
      </c>
      <c r="B132" t="str">
        <f>"(3.02)"</f>
        <v>(3.02)</v>
      </c>
    </row>
    <row r="134" spans="1:2" x14ac:dyDescent="0.2">
      <c r="A134" t="str">
        <f>"dumage17"</f>
        <v>dumage17</v>
      </c>
      <c r="B134" t="str">
        <f>"0.0598*"</f>
        <v>0.0598*</v>
      </c>
    </row>
    <row r="135" spans="1:2" x14ac:dyDescent="0.2">
      <c r="A135" t="str">
        <f>""</f>
        <v/>
      </c>
      <c r="B135" t="str">
        <f>"(2.56)"</f>
        <v>(2.56)</v>
      </c>
    </row>
    <row r="137" spans="1:2" x14ac:dyDescent="0.2">
      <c r="A137" t="str">
        <f>"dumage18"</f>
        <v>dumage18</v>
      </c>
      <c r="B137" t="str">
        <f>"0.0617**"</f>
        <v>0.0617**</v>
      </c>
    </row>
    <row r="138" spans="1:2" x14ac:dyDescent="0.2">
      <c r="A138" t="str">
        <f>""</f>
        <v/>
      </c>
      <c r="B138" t="str">
        <f>"(3.17)"</f>
        <v>(3.17)</v>
      </c>
    </row>
    <row r="140" spans="1:2" x14ac:dyDescent="0.2">
      <c r="A140" t="str">
        <f>"dumage19"</f>
        <v>dumage19</v>
      </c>
      <c r="B140" t="str">
        <f>"0.0584*"</f>
        <v>0.0584*</v>
      </c>
    </row>
    <row r="141" spans="1:2" x14ac:dyDescent="0.2">
      <c r="A141" t="str">
        <f>""</f>
        <v/>
      </c>
      <c r="B141" t="str">
        <f>"(2.20)"</f>
        <v>(2.20)</v>
      </c>
    </row>
    <row r="143" spans="1:2" x14ac:dyDescent="0.2">
      <c r="A143" t="str">
        <f>"dumage20"</f>
        <v>dumage20</v>
      </c>
      <c r="B143" t="str">
        <f>"0.0780**"</f>
        <v>0.0780**</v>
      </c>
    </row>
    <row r="144" spans="1:2" x14ac:dyDescent="0.2">
      <c r="A144" t="str">
        <f>""</f>
        <v/>
      </c>
      <c r="B144" t="str">
        <f>"(3.10)"</f>
        <v>(3.10)</v>
      </c>
    </row>
    <row r="146" spans="1:2" x14ac:dyDescent="0.2">
      <c r="A146" t="str">
        <f>"dumage21"</f>
        <v>dumage21</v>
      </c>
      <c r="B146" t="str">
        <f>"0.0795*"</f>
        <v>0.0795*</v>
      </c>
    </row>
    <row r="147" spans="1:2" x14ac:dyDescent="0.2">
      <c r="A147" t="str">
        <f>""</f>
        <v/>
      </c>
      <c r="B147" t="str">
        <f>"(2.19)"</f>
        <v>(2.19)</v>
      </c>
    </row>
    <row r="149" spans="1:2" x14ac:dyDescent="0.2">
      <c r="A149" t="str">
        <f>"dumage22"</f>
        <v>dumage22</v>
      </c>
      <c r="B149" t="str">
        <f>"0.0796*"</f>
        <v>0.0796*</v>
      </c>
    </row>
    <row r="150" spans="1:2" x14ac:dyDescent="0.2">
      <c r="A150" t="str">
        <f>""</f>
        <v/>
      </c>
      <c r="B150" t="str">
        <f>"(2.44)"</f>
        <v>(2.44)</v>
      </c>
    </row>
    <row r="152" spans="1:2" x14ac:dyDescent="0.2">
      <c r="A152" t="str">
        <f>"dumage23"</f>
        <v>dumage23</v>
      </c>
      <c r="B152" t="str">
        <f>"0.0946**"</f>
        <v>0.0946**</v>
      </c>
    </row>
    <row r="153" spans="1:2" x14ac:dyDescent="0.2">
      <c r="A153" t="str">
        <f>""</f>
        <v/>
      </c>
      <c r="B153" t="str">
        <f>"(2.64)"</f>
        <v>(2.64)</v>
      </c>
    </row>
    <row r="155" spans="1:2" x14ac:dyDescent="0.2">
      <c r="A155" t="str">
        <f>"dumage24"</f>
        <v>dumage24</v>
      </c>
      <c r="B155" t="str">
        <f>"0.0984**"</f>
        <v>0.0984**</v>
      </c>
    </row>
    <row r="156" spans="1:2" x14ac:dyDescent="0.2">
      <c r="A156" t="str">
        <f>""</f>
        <v/>
      </c>
      <c r="B156" t="str">
        <f>"(2.66)"</f>
        <v>(2.66)</v>
      </c>
    </row>
    <row r="158" spans="1:2" x14ac:dyDescent="0.2">
      <c r="A158" t="str">
        <f>"dumage25"</f>
        <v>dumage25</v>
      </c>
      <c r="B158" t="str">
        <f>"0.0791*"</f>
        <v>0.0791*</v>
      </c>
    </row>
    <row r="159" spans="1:2" x14ac:dyDescent="0.2">
      <c r="A159" t="str">
        <f>""</f>
        <v/>
      </c>
      <c r="B159" t="str">
        <f>"(2.24)"</f>
        <v>(2.24)</v>
      </c>
    </row>
    <row r="161" spans="1:2" x14ac:dyDescent="0.2">
      <c r="A161" t="str">
        <f>"dumage26"</f>
        <v>dumage26</v>
      </c>
      <c r="B161" t="str">
        <f>"0.0818*"</f>
        <v>0.0818*</v>
      </c>
    </row>
    <row r="162" spans="1:2" x14ac:dyDescent="0.2">
      <c r="A162" t="str">
        <f>""</f>
        <v/>
      </c>
      <c r="B162" t="str">
        <f>"(2.34)"</f>
        <v>(2.34)</v>
      </c>
    </row>
    <row r="164" spans="1:2" x14ac:dyDescent="0.2">
      <c r="A164" t="str">
        <f>"dumage27"</f>
        <v>dumage27</v>
      </c>
      <c r="B164" t="str">
        <f>"0.0813*"</f>
        <v>0.0813*</v>
      </c>
    </row>
    <row r="165" spans="1:2" x14ac:dyDescent="0.2">
      <c r="A165" t="str">
        <f>""</f>
        <v/>
      </c>
      <c r="B165" t="str">
        <f>"(2.21)"</f>
        <v>(2.21)</v>
      </c>
    </row>
    <row r="167" spans="1:2" x14ac:dyDescent="0.2">
      <c r="A167" t="str">
        <f>"dumage28"</f>
        <v>dumage28</v>
      </c>
      <c r="B167" t="str">
        <f>"0.0880*"</f>
        <v>0.0880*</v>
      </c>
    </row>
    <row r="168" spans="1:2" x14ac:dyDescent="0.2">
      <c r="A168" t="str">
        <f>""</f>
        <v/>
      </c>
      <c r="B168" t="str">
        <f>"(2.00)"</f>
        <v>(2.00)</v>
      </c>
    </row>
    <row r="170" spans="1:2" x14ac:dyDescent="0.2">
      <c r="A170" t="str">
        <f>"dumage29"</f>
        <v>dumage29</v>
      </c>
      <c r="B170" t="str">
        <f>"0.102*"</f>
        <v>0.102*</v>
      </c>
    </row>
    <row r="171" spans="1:2" x14ac:dyDescent="0.2">
      <c r="A171" t="str">
        <f>""</f>
        <v/>
      </c>
      <c r="B171" t="str">
        <f>"(2.24)"</f>
        <v>(2.24)</v>
      </c>
    </row>
    <row r="173" spans="1:2" x14ac:dyDescent="0.2">
      <c r="A173" t="str">
        <f>"dumage30"</f>
        <v>dumage30</v>
      </c>
      <c r="B173" t="str">
        <f>"0.0725"</f>
        <v>0.0725</v>
      </c>
    </row>
    <row r="174" spans="1:2" x14ac:dyDescent="0.2">
      <c r="A174" t="str">
        <f>""</f>
        <v/>
      </c>
      <c r="B174" t="str">
        <f>"(1.51)"</f>
        <v>(1.51)</v>
      </c>
    </row>
    <row r="176" spans="1:2" x14ac:dyDescent="0.2">
      <c r="A176" t="str">
        <f>"dumage31"</f>
        <v>dumage31</v>
      </c>
      <c r="B176" t="str">
        <f>"0.0734"</f>
        <v>0.0734</v>
      </c>
    </row>
    <row r="177" spans="1:2" x14ac:dyDescent="0.2">
      <c r="A177" t="str">
        <f>""</f>
        <v/>
      </c>
      <c r="B177" t="str">
        <f>"(1.88)"</f>
        <v>(1.88)</v>
      </c>
    </row>
    <row r="179" spans="1:2" x14ac:dyDescent="0.2">
      <c r="A179" t="str">
        <f>"female"</f>
        <v>female</v>
      </c>
      <c r="B179" t="str">
        <f>"-0.00644*"</f>
        <v>-0.00644*</v>
      </c>
    </row>
    <row r="180" spans="1:2" x14ac:dyDescent="0.2">
      <c r="A180" t="str">
        <f>""</f>
        <v/>
      </c>
      <c r="B180" t="str">
        <f>"(-2.45)"</f>
        <v>(-2.45)</v>
      </c>
    </row>
    <row r="182" spans="1:2" x14ac:dyDescent="0.2">
      <c r="A182" t="str">
        <f>"black"</f>
        <v>black</v>
      </c>
      <c r="B182" t="str">
        <f>"0.0394"</f>
        <v>0.0394</v>
      </c>
    </row>
    <row r="183" spans="1:2" x14ac:dyDescent="0.2">
      <c r="A183" t="str">
        <f>""</f>
        <v/>
      </c>
      <c r="B183" t="str">
        <f>"(1.63)"</f>
        <v>(1.63)</v>
      </c>
    </row>
    <row r="185" spans="1:2" x14ac:dyDescent="0.2">
      <c r="A185" t="str">
        <f>"asianpi"</f>
        <v>asianpi</v>
      </c>
      <c r="B185" t="str">
        <f>"-0.0554"</f>
        <v>-0.0554</v>
      </c>
    </row>
    <row r="186" spans="1:2" x14ac:dyDescent="0.2">
      <c r="A186" t="str">
        <f>""</f>
        <v/>
      </c>
      <c r="B186" t="str">
        <f>"(-1.06)"</f>
        <v>(-1.06)</v>
      </c>
    </row>
    <row r="188" spans="1:2" x14ac:dyDescent="0.2">
      <c r="A188" t="str">
        <f>"other"</f>
        <v>other</v>
      </c>
      <c r="B188" t="str">
        <f>"-0.0890*"</f>
        <v>-0.0890*</v>
      </c>
    </row>
    <row r="189" spans="1:2" x14ac:dyDescent="0.2">
      <c r="A189" t="str">
        <f>""</f>
        <v/>
      </c>
      <c r="B189" t="str">
        <f>"(-2.11)"</f>
        <v>(-2.11)</v>
      </c>
    </row>
    <row r="191" spans="1:2" x14ac:dyDescent="0.2">
      <c r="A191" t="str">
        <f>"multi"</f>
        <v>multi</v>
      </c>
      <c r="B191" t="str">
        <f>"0.00207"</f>
        <v>0.00207</v>
      </c>
    </row>
    <row r="192" spans="1:2" x14ac:dyDescent="0.2">
      <c r="A192" t="str">
        <f>""</f>
        <v/>
      </c>
      <c r="B192" t="str">
        <f>"(0.10)"</f>
        <v>(0.10)</v>
      </c>
    </row>
    <row r="194" spans="1:3" x14ac:dyDescent="0.2">
      <c r="A194" t="str">
        <f>"hispdum"</f>
        <v>hispdum</v>
      </c>
      <c r="B194" t="str">
        <f>"-0.197**"</f>
        <v>-0.197**</v>
      </c>
    </row>
    <row r="195" spans="1:3" x14ac:dyDescent="0.2">
      <c r="A195" t="str">
        <f>""</f>
        <v/>
      </c>
      <c r="B195" t="str">
        <f>"(-3.09)"</f>
        <v>(-3.09)</v>
      </c>
    </row>
    <row r="197" spans="1:3" x14ac:dyDescent="0.2">
      <c r="A197" t="str">
        <f>"_cons"</f>
        <v>_cons</v>
      </c>
      <c r="B197" t="str">
        <f>"2.973***"</f>
        <v>2.973***</v>
      </c>
    </row>
    <row r="198" spans="1:3" x14ac:dyDescent="0.2">
      <c r="A198" t="str">
        <f>""</f>
        <v/>
      </c>
      <c r="B198" t="str">
        <f>"(224.89)"</f>
        <v>(224.89)</v>
      </c>
    </row>
    <row r="200" spans="1:3" x14ac:dyDescent="0.2">
      <c r="A200" t="str">
        <f>"N"</f>
        <v>N</v>
      </c>
      <c r="B200" t="str">
        <f>"191534"</f>
        <v>191534</v>
      </c>
    </row>
    <row r="202" spans="1:3" x14ac:dyDescent="0.2">
      <c r="A202" t="str">
        <f>"t statistics in parentheses"</f>
        <v>t statistics in parentheses</v>
      </c>
    </row>
    <row r="203" spans="1:3" x14ac:dyDescent="0.2">
      <c r="A203" t="s">
        <v>0</v>
      </c>
      <c r="B203" t="s">
        <v>1</v>
      </c>
      <c r="C203" t="s">
        <v>2</v>
      </c>
    </row>
  </sheetData>
  <mergeCells count="1">
    <mergeCell ref="E1:F1"/>
  </mergeCells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Giani Ranzetti</dc:creator>
  <cp:lastModifiedBy>Giani Ranzetti</cp:lastModifiedBy>
  <dcterms:created xsi:type="dcterms:W3CDTF">2024-05-05T21:05:58Z</dcterms:created>
  <dcterms:modified xsi:type="dcterms:W3CDTF">2024-05-05T21:50:44Z</dcterms:modified>
</cp:coreProperties>
</file>