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ianiranzetti/Desktop/NOVA/Micro-Econometrics/assignment/Assignment_file_Group_8/output/"/>
    </mc:Choice>
  </mc:AlternateContent>
  <xr:revisionPtr revIDLastSave="0" documentId="13_ncr:1_{8D850B74-092E-7547-BC5F-4975C6E5CBDC}" xr6:coauthVersionLast="47" xr6:coauthVersionMax="47" xr10:uidLastSave="{00000000-0000-0000-0000-000000000000}"/>
  <bookViews>
    <workbookView xWindow="0" yWindow="500" windowWidth="28800" windowHeight="16080" activeTab="1" xr2:uid="{EDDFF8DD-E6FB-9B4E-8746-488EA8F8B3FF}"/>
  </bookViews>
  <sheets>
    <sheet name="Table 1. Variable Means summary" sheetId="1" r:id="rId1"/>
    <sheet name="Table 2" sheetId="2" r:id="rId2"/>
    <sheet name="Table 3" sheetId="3" r:id="rId3"/>
    <sheet name="Table 4" sheetId="4" r:id="rId4"/>
    <sheet name="Table 5" sheetId="5" r:id="rId5"/>
    <sheet name="Table 6 full" sheetId="6" r:id="rId6"/>
    <sheet name="Table 6 condens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H6" i="7"/>
  <c r="H7" i="7"/>
  <c r="L6" i="7"/>
  <c r="L7" i="7"/>
  <c r="J7" i="7"/>
  <c r="F7" i="7"/>
  <c r="B7" i="7"/>
  <c r="J6" i="7"/>
  <c r="F6" i="7"/>
  <c r="B6" i="7"/>
  <c r="L5" i="7"/>
  <c r="J5" i="7"/>
  <c r="H5" i="7"/>
  <c r="F5" i="7"/>
  <c r="D5" i="7"/>
  <c r="B5" i="7"/>
  <c r="J9" i="5"/>
  <c r="J11" i="5"/>
  <c r="H7" i="6"/>
  <c r="H5" i="6"/>
  <c r="N6" i="6"/>
  <c r="N7" i="6"/>
  <c r="P7" i="6"/>
  <c r="P5" i="6"/>
  <c r="R6" i="6"/>
  <c r="R5" i="6"/>
  <c r="R7" i="6"/>
  <c r="L6" i="6"/>
  <c r="L7" i="6"/>
  <c r="L5" i="6"/>
  <c r="F7" i="6"/>
  <c r="F6" i="6"/>
  <c r="F5" i="6"/>
  <c r="D5" i="6"/>
  <c r="L17" i="3"/>
  <c r="J17" i="3"/>
  <c r="H17" i="3"/>
  <c r="F17" i="3"/>
  <c r="D17" i="3"/>
  <c r="B17" i="3"/>
  <c r="L16" i="3"/>
  <c r="J16" i="3"/>
  <c r="H16" i="3"/>
  <c r="F16" i="3"/>
  <c r="D16" i="3"/>
  <c r="B16" i="3"/>
  <c r="L15" i="3"/>
  <c r="J15" i="3"/>
  <c r="H15" i="3"/>
  <c r="F15" i="3"/>
  <c r="D15" i="3"/>
  <c r="B15" i="3"/>
  <c r="L14" i="3"/>
  <c r="J14" i="3"/>
  <c r="H14" i="3"/>
  <c r="F14" i="3"/>
  <c r="D14" i="3"/>
  <c r="B14" i="3"/>
  <c r="J7" i="6"/>
  <c r="D7" i="6"/>
  <c r="P6" i="6"/>
  <c r="J6" i="6"/>
  <c r="H6" i="6"/>
  <c r="D6" i="6"/>
  <c r="N5" i="6"/>
  <c r="J5" i="6"/>
  <c r="M26" i="1"/>
  <c r="L26" i="1"/>
  <c r="L25" i="1"/>
  <c r="M24" i="1"/>
  <c r="L24" i="1"/>
  <c r="M23" i="1"/>
  <c r="L23" i="1"/>
  <c r="M21" i="1"/>
  <c r="L21" i="1"/>
  <c r="M20" i="1"/>
  <c r="L20" i="1"/>
  <c r="M19" i="1"/>
  <c r="L19" i="1"/>
  <c r="L18" i="1"/>
  <c r="M17" i="1"/>
  <c r="L17" i="1"/>
  <c r="M16" i="1"/>
  <c r="L16" i="1"/>
  <c r="M15" i="1"/>
  <c r="L15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M4" i="1"/>
  <c r="L4" i="1"/>
  <c r="H11" i="5"/>
  <c r="H10" i="5"/>
  <c r="H9" i="5"/>
  <c r="H8" i="5"/>
  <c r="H6" i="5"/>
  <c r="H5" i="5"/>
  <c r="H4" i="5"/>
  <c r="F11" i="5"/>
  <c r="F10" i="5"/>
  <c r="F9" i="5"/>
  <c r="F8" i="5"/>
  <c r="F6" i="5"/>
  <c r="F5" i="5"/>
  <c r="F4" i="5"/>
  <c r="D11" i="5"/>
  <c r="D10" i="5"/>
  <c r="D9" i="5"/>
  <c r="D8" i="5"/>
  <c r="D6" i="5"/>
  <c r="D5" i="5"/>
  <c r="D4" i="5"/>
  <c r="J10" i="5"/>
  <c r="J8" i="5"/>
  <c r="J6" i="5"/>
  <c r="J5" i="5"/>
  <c r="J4" i="5"/>
  <c r="B11" i="5"/>
  <c r="B10" i="5"/>
  <c r="B9" i="5"/>
  <c r="B8" i="5"/>
  <c r="B6" i="5"/>
  <c r="B5" i="5"/>
  <c r="B4" i="5"/>
  <c r="L8" i="4"/>
  <c r="L7" i="4"/>
  <c r="L6" i="4"/>
  <c r="L5" i="4"/>
  <c r="J8" i="4"/>
  <c r="J7" i="4"/>
  <c r="J6" i="4"/>
  <c r="J5" i="4"/>
  <c r="H8" i="4"/>
  <c r="H7" i="4"/>
  <c r="H6" i="4"/>
  <c r="H5" i="4"/>
  <c r="F8" i="4"/>
  <c r="F7" i="4"/>
  <c r="F6" i="4"/>
  <c r="F5" i="4"/>
  <c r="D8" i="4"/>
  <c r="D7" i="4"/>
  <c r="D6" i="4"/>
  <c r="D5" i="4"/>
  <c r="B8" i="4"/>
  <c r="B7" i="4"/>
  <c r="B6" i="4"/>
  <c r="B5" i="4"/>
  <c r="H7" i="3"/>
  <c r="H6" i="3"/>
  <c r="H5" i="3"/>
  <c r="F7" i="3"/>
  <c r="F6" i="3"/>
  <c r="F5" i="3"/>
  <c r="D7" i="3"/>
  <c r="D6" i="3"/>
  <c r="D5" i="3"/>
  <c r="L6" i="3"/>
  <c r="L7" i="3"/>
  <c r="J7" i="3"/>
  <c r="J6" i="3"/>
  <c r="L5" i="3"/>
  <c r="J5" i="3"/>
  <c r="B20" i="2"/>
  <c r="B19" i="2"/>
  <c r="B18" i="2"/>
  <c r="B17" i="2"/>
  <c r="B15" i="2"/>
  <c r="B14" i="2"/>
  <c r="B13" i="2"/>
  <c r="B12" i="2"/>
  <c r="B11" i="2"/>
  <c r="B10" i="2"/>
  <c r="B9" i="2"/>
  <c r="B7" i="2"/>
  <c r="B6" i="2"/>
  <c r="B5" i="2"/>
  <c r="B4" i="2"/>
  <c r="J26" i="1"/>
  <c r="J25" i="1"/>
  <c r="J24" i="1"/>
  <c r="J23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/>
  <c r="J4" i="1"/>
  <c r="I26" i="1"/>
  <c r="I25" i="1"/>
  <c r="I24" i="1"/>
  <c r="I23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H26" i="1"/>
  <c r="H25" i="1"/>
  <c r="H24" i="1"/>
  <c r="H23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F26" i="1"/>
  <c r="F25" i="1"/>
  <c r="F24" i="1"/>
  <c r="F23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E26" i="1"/>
  <c r="E25" i="1"/>
  <c r="E24" i="1"/>
  <c r="E23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D26" i="1"/>
  <c r="D25" i="1"/>
  <c r="D24" i="1"/>
  <c r="D23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B26" i="1"/>
  <c r="B25" i="1"/>
  <c r="B24" i="1"/>
  <c r="B23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<sst xmlns="http://schemas.openxmlformats.org/spreadsheetml/2006/main" count="186" uniqueCount="56">
  <si>
    <t>Total</t>
  </si>
  <si>
    <t>Arrived 0-9</t>
  </si>
  <si>
    <t>Arrived 10-14</t>
  </si>
  <si>
    <t>Born in non-english speaking country</t>
  </si>
  <si>
    <t>Born in english speaking country</t>
  </si>
  <si>
    <t>Full sample</t>
  </si>
  <si>
    <t>Panel A: English Profficiency</t>
  </si>
  <si>
    <t>Panel B: Marital Status</t>
  </si>
  <si>
    <t>Panel C: Residencial Location</t>
  </si>
  <si>
    <t>t-statistic</t>
  </si>
  <si>
    <t>* p&lt;0.05,  ** p&lt;0.01,  *** p&lt;0.001"</t>
  </si>
  <si>
    <t>Coefficient on indentifying instrument</t>
  </si>
  <si>
    <t>All childhood immigrants</t>
  </si>
  <si>
    <t>Women</t>
  </si>
  <si>
    <t>Men</t>
  </si>
  <si>
    <t>OLS</t>
  </si>
  <si>
    <t>IV</t>
  </si>
  <si>
    <t>0.0100***</t>
  </si>
  <si>
    <t>Base Results</t>
  </si>
  <si>
    <t>Control for origin GDP and country of arrival</t>
  </si>
  <si>
    <t>Control for origin fertility and country of origin</t>
  </si>
  <si>
    <t>Drop Canada</t>
  </si>
  <si>
    <t>Drop Mexico</t>
  </si>
  <si>
    <t>Panel B: Residencial Location</t>
  </si>
  <si>
    <t>Panel A: Marital Status</t>
  </si>
  <si>
    <t xml:space="preserve">English-speaking ability ordinal measure </t>
  </si>
  <si>
    <t>Age</t>
  </si>
  <si>
    <t>Female</t>
  </si>
  <si>
    <t>White</t>
  </si>
  <si>
    <t>Black</t>
  </si>
  <si>
    <t>Asian/ Pacific-Islander</t>
  </si>
  <si>
    <t>Other single race</t>
  </si>
  <si>
    <t>Multi-racial</t>
  </si>
  <si>
    <t>Hispanic</t>
  </si>
  <si>
    <t>Years of Schooling</t>
  </si>
  <si>
    <t>Panel A: Regressors</t>
  </si>
  <si>
    <t>Panel B: Marriage Outcomes</t>
  </si>
  <si>
    <t>Is currently married with spouse present</t>
  </si>
  <si>
    <t>Is currently divorced</t>
  </si>
  <si>
    <t>Has ever married</t>
  </si>
  <si>
    <t>Number of children living in the same household</t>
  </si>
  <si>
    <t>Has children living in the same household</t>
  </si>
  <si>
    <t>Is a single parent</t>
  </si>
  <si>
    <t>Is a never-married single parent</t>
  </si>
  <si>
    <t>Panel C: Residencial location</t>
  </si>
  <si>
    <t>Fraction of PUMA population from same country of birth</t>
  </si>
  <si>
    <t>Fraction from same country of birth is above the mean for the country of birth</t>
  </si>
  <si>
    <t>Fraction of PUMA population with same primary ancestry</t>
  </si>
  <si>
    <t>Fraction with same country ancestry is above the mean for the national mean for the primary ancestry</t>
  </si>
  <si>
    <t>Speaks English not well or better</t>
  </si>
  <si>
    <t>Speaks English very well</t>
  </si>
  <si>
    <t>Speaks English well or better</t>
  </si>
  <si>
    <t>Min</t>
  </si>
  <si>
    <t>Max</t>
  </si>
  <si>
    <t>Linear index model</t>
  </si>
  <si>
    <t>IV probit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</si>
</sst>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2" borderId="14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vertical="top" wrapText="1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" fillId="2" borderId="12" xfId="0" applyFont="1" applyFill="1" applyBorder="1"/>
    <xf numFmtId="0" fontId="0" fillId="2" borderId="5" xfId="0" applyFill="1" applyBorder="1" applyAlignment="1">
      <alignment vertical="top" wrapText="1"/>
    </xf>
    <xf numFmtId="0" fontId="0" fillId="2" borderId="1" xfId="0" applyFill="1" applyBorder="1"/>
    <xf numFmtId="0" fontId="0" fillId="2" borderId="11" xfId="0" applyFill="1" applyBorder="1" applyAlignment="1">
      <alignment horizontal="center"/>
    </xf>
    <xf numFmtId="0" fontId="2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3" xfId="0" applyFill="1" applyBorder="1"/>
    <xf numFmtId="0" fontId="3" fillId="2" borderId="7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0D1A-DFAE-054E-80A4-83B12BD9D24F}">
  <sheetPr codeName="Sheet1"/>
  <dimension ref="A1:Z47"/>
  <sheetViews>
    <sheetView zoomScale="61" workbookViewId="0">
      <selection sqref="A1:M26"/>
    </sheetView>
  </sheetViews>
  <sheetFormatPr baseColWidth="10" defaultRowHeight="16" x14ac:dyDescent="0.2"/>
  <cols>
    <col min="1" max="1" width="43" customWidth="1"/>
    <col min="2" max="2" width="12.1640625" customWidth="1"/>
    <col min="3" max="3" width="2.1640625" customWidth="1"/>
    <col min="4" max="6" width="14" customWidth="1"/>
    <col min="7" max="7" width="2.1640625" customWidth="1"/>
    <col min="8" max="10" width="14" customWidth="1"/>
    <col min="11" max="11" width="2.1640625" customWidth="1"/>
  </cols>
  <sheetData>
    <row r="1" spans="1:26" x14ac:dyDescent="0.2">
      <c r="A1" s="5"/>
      <c r="B1" s="5"/>
      <c r="C1" s="6"/>
      <c r="D1" s="54" t="s">
        <v>3</v>
      </c>
      <c r="E1" s="55"/>
      <c r="F1" s="56"/>
      <c r="G1" s="6"/>
      <c r="H1" s="54" t="s">
        <v>4</v>
      </c>
      <c r="I1" s="55"/>
      <c r="J1" s="56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5"/>
      <c r="B2" s="7" t="s">
        <v>5</v>
      </c>
      <c r="C2" s="8"/>
      <c r="D2" s="9" t="s">
        <v>0</v>
      </c>
      <c r="E2" s="10" t="s">
        <v>1</v>
      </c>
      <c r="F2" s="11" t="s">
        <v>2</v>
      </c>
      <c r="G2" s="8"/>
      <c r="H2" s="9" t="s">
        <v>0</v>
      </c>
      <c r="I2" s="10" t="s">
        <v>1</v>
      </c>
      <c r="J2" s="11" t="s">
        <v>2</v>
      </c>
      <c r="K2" s="8"/>
      <c r="L2" s="9" t="s">
        <v>52</v>
      </c>
      <c r="M2" s="11" t="s">
        <v>53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" x14ac:dyDescent="0.2">
      <c r="A3" s="12" t="s">
        <v>35</v>
      </c>
      <c r="B3" s="13"/>
      <c r="C3" s="8"/>
      <c r="D3" s="9"/>
      <c r="E3" s="10"/>
      <c r="F3" s="11"/>
      <c r="G3" s="8"/>
      <c r="H3" s="9"/>
      <c r="I3" s="10"/>
      <c r="J3" s="11"/>
      <c r="K3" s="8"/>
      <c r="L3" s="14"/>
      <c r="M3" s="1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" x14ac:dyDescent="0.2">
      <c r="A4" s="16" t="s">
        <v>25</v>
      </c>
      <c r="B4" s="17" t="str">
        <f>"2.754223"</f>
        <v>2.754223</v>
      </c>
      <c r="C4" s="8"/>
      <c r="D4" s="14" t="str">
        <f>"2.718557"</f>
        <v>2.718557</v>
      </c>
      <c r="E4" s="8" t="str">
        <f>"2.87225"</f>
        <v>2.87225</v>
      </c>
      <c r="F4" s="15" t="str">
        <f>"2.440772"</f>
        <v>2.440772</v>
      </c>
      <c r="G4" s="8"/>
      <c r="H4" s="14" t="str">
        <f>"2.980476"</f>
        <v>2.980476</v>
      </c>
      <c r="I4" s="8" t="str">
        <f>"2.980831"</f>
        <v>2.980831</v>
      </c>
      <c r="J4" s="15" t="str">
        <f>"2.979495"</f>
        <v>2.979495</v>
      </c>
      <c r="K4" s="8"/>
      <c r="L4" s="18" t="str">
        <f>"0"</f>
        <v>0</v>
      </c>
      <c r="M4" s="19" t="str">
        <f>"3"</f>
        <v>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" x14ac:dyDescent="0.2">
      <c r="A5" s="16" t="s">
        <v>26</v>
      </c>
      <c r="B5" s="17" t="str">
        <f>"36.80163"</f>
        <v>36.80163</v>
      </c>
      <c r="C5" s="8"/>
      <c r="D5" s="14" t="str">
        <f>"36.54926"</f>
        <v>36.54926</v>
      </c>
      <c r="E5" s="8" t="str">
        <f>"36.83917"</f>
        <v>36.83917</v>
      </c>
      <c r="F5" s="15" t="str">
        <f>"36.02527"</f>
        <v>36.02527</v>
      </c>
      <c r="G5" s="8"/>
      <c r="H5" s="14" t="str">
        <f>"38.40262"</f>
        <v>38.40262</v>
      </c>
      <c r="I5" s="8" t="str">
        <f>"38.90563"</f>
        <v>38.90563</v>
      </c>
      <c r="J5" s="15" t="str">
        <f>"37.01371"</f>
        <v>37.01371</v>
      </c>
      <c r="K5" s="8"/>
      <c r="L5" s="14">
        <v>25</v>
      </c>
      <c r="M5" s="15" t="str">
        <f>"55"</f>
        <v>55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" x14ac:dyDescent="0.2">
      <c r="A6" s="16" t="s">
        <v>27</v>
      </c>
      <c r="B6" s="17" t="str">
        <f>".5036406"</f>
        <v>.5036406</v>
      </c>
      <c r="C6" s="8"/>
      <c r="D6" s="14" t="str">
        <f>".4998331"</f>
        <v>.4998331</v>
      </c>
      <c r="E6" s="8" t="str">
        <f>".5118721"</f>
        <v>.5118721</v>
      </c>
      <c r="F6" s="15" t="str">
        <f>".4780736"</f>
        <v>.4780736</v>
      </c>
      <c r="G6" s="8"/>
      <c r="H6" s="14" t="str">
        <f>".5277947"</f>
        <v>.5277947</v>
      </c>
      <c r="I6" s="8" t="str">
        <f>".5129425"</f>
        <v>.5129425</v>
      </c>
      <c r="J6" s="15" t="str">
        <f>".5688053"</f>
        <v>.5688053</v>
      </c>
      <c r="K6" s="8"/>
      <c r="L6" s="14" t="str">
        <f t="shared" ref="L6:L26" si="0">"0"</f>
        <v>0</v>
      </c>
      <c r="M6" s="15" t="str">
        <f t="shared" ref="M6:M12" si="1">"1"</f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7" x14ac:dyDescent="0.2">
      <c r="A7" s="16" t="s">
        <v>28</v>
      </c>
      <c r="B7" s="17" t="str">
        <f>".569191"</f>
        <v>.569191</v>
      </c>
      <c r="C7" s="8"/>
      <c r="D7" s="14" t="str">
        <f>".5539557"</f>
        <v>.5539557</v>
      </c>
      <c r="E7" s="8" t="str">
        <f>".6091734"</f>
        <v>.6091734</v>
      </c>
      <c r="F7" s="15" t="str">
        <f>".4541547"</f>
        <v>.4541547</v>
      </c>
      <c r="G7" s="8"/>
      <c r="H7" s="14" t="str">
        <f>".6658409"</f>
        <v>.6658409</v>
      </c>
      <c r="I7" s="8" t="str">
        <f>".7656241"</f>
        <v>.7656241</v>
      </c>
      <c r="J7" s="15" t="str">
        <f>".3903162"</f>
        <v>.3903162</v>
      </c>
      <c r="K7" s="8"/>
      <c r="L7" s="14" t="str">
        <f t="shared" si="0"/>
        <v>0</v>
      </c>
      <c r="M7" s="15" t="str">
        <f t="shared" si="1"/>
        <v>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" x14ac:dyDescent="0.2">
      <c r="A8" s="16" t="s">
        <v>29</v>
      </c>
      <c r="B8" s="17" t="str">
        <f>".0598547"</f>
        <v>.0598547</v>
      </c>
      <c r="C8" s="8"/>
      <c r="D8" s="14" t="str">
        <f>".0302889"</f>
        <v>.0302889</v>
      </c>
      <c r="E8" s="8" t="str">
        <f>".0306379"</f>
        <v>.0306379</v>
      </c>
      <c r="F8" s="15" t="str">
        <f>".029658"</f>
        <v>.029658</v>
      </c>
      <c r="G8" s="8"/>
      <c r="H8" s="14" t="str">
        <f>".247414"</f>
        <v>.247414</v>
      </c>
      <c r="I8" s="8" t="str">
        <f>".1640271"</f>
        <v>.1640271</v>
      </c>
      <c r="J8" s="15" t="str">
        <f>".4776649"</f>
        <v>.4776649</v>
      </c>
      <c r="K8" s="8"/>
      <c r="L8" s="14" t="str">
        <f t="shared" si="0"/>
        <v>0</v>
      </c>
      <c r="M8" s="15" t="str">
        <f t="shared" si="1"/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7" x14ac:dyDescent="0.2">
      <c r="A9" s="16" t="s">
        <v>30</v>
      </c>
      <c r="B9" s="17" t="str">
        <f>".1097994"</f>
        <v>.1097994</v>
      </c>
      <c r="C9" s="8"/>
      <c r="D9" s="14" t="str">
        <f>".1227306"</f>
        <v>.1227306</v>
      </c>
      <c r="E9" s="8" t="str">
        <f>".1056105"</f>
        <v>.1056105</v>
      </c>
      <c r="F9" s="15" t="str">
        <f>".1536737"</f>
        <v>.1536737</v>
      </c>
      <c r="G9" s="8"/>
      <c r="H9" s="14" t="str">
        <f>".0277662"</f>
        <v>.0277662</v>
      </c>
      <c r="I9" s="8" t="str">
        <f>".0239012"</f>
        <v>.0239012</v>
      </c>
      <c r="J9" s="15" t="str">
        <f>".0384384"</f>
        <v>.0384384</v>
      </c>
      <c r="K9" s="8"/>
      <c r="L9" s="14" t="str">
        <f t="shared" si="0"/>
        <v>0</v>
      </c>
      <c r="M9" s="15" t="str">
        <f t="shared" si="1"/>
        <v>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7" x14ac:dyDescent="0.2">
      <c r="A10" s="16" t="s">
        <v>31</v>
      </c>
      <c r="B10" s="17" t="str">
        <f>".2099049"</f>
        <v>.2099049</v>
      </c>
      <c r="C10" s="8"/>
      <c r="D10" s="14" t="str">
        <f>".2400298"</f>
        <v>.2400298</v>
      </c>
      <c r="E10" s="8" t="str">
        <f>".2014068"</f>
        <v>.2014068</v>
      </c>
      <c r="F10" s="15" t="str">
        <f>".3098374"</f>
        <v>.3098374</v>
      </c>
      <c r="G10" s="8"/>
      <c r="H10" s="14" t="str">
        <f>".0187988"</f>
        <v>.0187988</v>
      </c>
      <c r="I10" s="8" t="str">
        <f>".0155428"</f>
        <v>.0155428</v>
      </c>
      <c r="J10" s="15" t="str">
        <f>".0277892"</f>
        <v>.0277892</v>
      </c>
      <c r="K10" s="8"/>
      <c r="L10" s="14" t="str">
        <f t="shared" si="0"/>
        <v>0</v>
      </c>
      <c r="M10" s="15" t="str">
        <f t="shared" si="1"/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7" x14ac:dyDescent="0.2">
      <c r="A11" s="16" t="s">
        <v>32</v>
      </c>
      <c r="B11" s="17" t="str">
        <f>".05125"</f>
        <v>.05125</v>
      </c>
      <c r="C11" s="8"/>
      <c r="D11" s="14" t="str">
        <f>".052995"</f>
        <v>.052995</v>
      </c>
      <c r="E11" s="8" t="str">
        <f>".0531714"</f>
        <v>.0531714</v>
      </c>
      <c r="F11" s="15" t="str">
        <f>".0526762"</f>
        <v>.0526762</v>
      </c>
      <c r="G11" s="8"/>
      <c r="H11" s="14" t="str">
        <f>".0401801"</f>
        <v>.0401801</v>
      </c>
      <c r="I11" s="8" t="str">
        <f>".0309048"</f>
        <v>.0309048</v>
      </c>
      <c r="J11" s="15" t="str">
        <f>".0657914"</f>
        <v>.0657914</v>
      </c>
      <c r="K11" s="8"/>
      <c r="L11" s="14" t="str">
        <f t="shared" si="0"/>
        <v>0</v>
      </c>
      <c r="M11" s="15" t="str">
        <f t="shared" si="1"/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7" x14ac:dyDescent="0.2">
      <c r="A12" s="16" t="s">
        <v>33</v>
      </c>
      <c r="B12" s="17" t="str">
        <f>".4511446"</f>
        <v>.4511446</v>
      </c>
      <c r="C12" s="8"/>
      <c r="D12" s="14" t="str">
        <f>".5203673"</f>
        <v>.5203673</v>
      </c>
      <c r="E12" s="8" t="str">
        <f>".4519836"</f>
        <v>.4519836</v>
      </c>
      <c r="F12" s="15" t="str">
        <f>".6439643"</f>
        <v>.6439643</v>
      </c>
      <c r="G12" s="8"/>
      <c r="H12" s="14" t="str">
        <f>".0120103"</f>
        <v>.0120103</v>
      </c>
      <c r="I12" s="8" t="str">
        <f>".0122179"</f>
        <v>.0122179</v>
      </c>
      <c r="J12" s="15" t="str">
        <f>".011437"</f>
        <v>.011437</v>
      </c>
      <c r="K12" s="8"/>
      <c r="L12" s="14" t="str">
        <f t="shared" si="0"/>
        <v>0</v>
      </c>
      <c r="M12" s="15" t="str">
        <f t="shared" si="1"/>
        <v>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" x14ac:dyDescent="0.2">
      <c r="A13" s="16" t="s">
        <v>34</v>
      </c>
      <c r="B13" s="17" t="str">
        <f>"13.32843"</f>
        <v>13.32843</v>
      </c>
      <c r="C13" s="8"/>
      <c r="D13" s="14" t="str">
        <f>"13.13825"</f>
        <v>13.13825</v>
      </c>
      <c r="E13" s="8" t="str">
        <f>"13.75288"</f>
        <v>13.75288</v>
      </c>
      <c r="F13" s="15" t="str">
        <f>"12.01352"</f>
        <v>12.01352</v>
      </c>
      <c r="G13" s="8"/>
      <c r="H13" s="14" t="str">
        <f>"14.52655"</f>
        <v>14.52655</v>
      </c>
      <c r="I13" s="8" t="str">
        <f>"14.59304"</f>
        <v>14.59304</v>
      </c>
      <c r="J13" s="15" t="str">
        <f>"14.34192"</f>
        <v>14.34192</v>
      </c>
      <c r="K13" s="8"/>
      <c r="L13" s="20" t="str">
        <f t="shared" si="0"/>
        <v>0</v>
      </c>
      <c r="M13" s="21" t="str">
        <f>"20"</f>
        <v>20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" x14ac:dyDescent="0.2">
      <c r="A14" s="12" t="s">
        <v>36</v>
      </c>
      <c r="B14" s="13"/>
      <c r="C14" s="8"/>
      <c r="D14" s="9"/>
      <c r="E14" s="10"/>
      <c r="F14" s="11"/>
      <c r="G14" s="8"/>
      <c r="H14" s="9"/>
      <c r="I14" s="10"/>
      <c r="J14" s="11"/>
      <c r="K14" s="8"/>
      <c r="L14" s="14"/>
      <c r="M14" s="1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" x14ac:dyDescent="0.2">
      <c r="A15" s="16" t="s">
        <v>37</v>
      </c>
      <c r="B15" s="17" t="str">
        <f>".598028"</f>
        <v>.598028</v>
      </c>
      <c r="C15" s="8"/>
      <c r="D15" s="14" t="str">
        <f>".6038349"</f>
        <v>.6038349</v>
      </c>
      <c r="E15" s="8" t="str">
        <f>".588234"</f>
        <v>.588234</v>
      </c>
      <c r="F15" s="15" t="str">
        <f>".6321225"</f>
        <v>.6321225</v>
      </c>
      <c r="G15" s="8"/>
      <c r="H15" s="14" t="str">
        <f>".5612445"</f>
        <v>.5612445</v>
      </c>
      <c r="I15" s="8" t="str">
        <f>".5843406"</f>
        <v>.5843406</v>
      </c>
      <c r="J15" s="15" t="str">
        <f>".4972327"</f>
        <v>.4972327</v>
      </c>
      <c r="K15" s="8"/>
      <c r="L15" s="18" t="str">
        <f t="shared" si="0"/>
        <v>0</v>
      </c>
      <c r="M15" s="19" t="str">
        <f>"1"</f>
        <v>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s="16" t="s">
        <v>38</v>
      </c>
      <c r="B16" s="17" t="str">
        <f>".0998466"</f>
        <v>.0998466</v>
      </c>
      <c r="C16" s="8"/>
      <c r="D16" s="14" t="str">
        <f>".0966646"</f>
        <v>.0966646</v>
      </c>
      <c r="E16" s="8" t="str">
        <f>".1072601"</f>
        <v>.1072601</v>
      </c>
      <c r="F16" s="15" t="str">
        <f>".0774526"</f>
        <v>.0774526</v>
      </c>
      <c r="G16" s="8"/>
      <c r="H16" s="14" t="str">
        <f>".1200033"</f>
        <v>.1200033</v>
      </c>
      <c r="I16" s="8" t="str">
        <f>".1230343"</f>
        <v>.1230343</v>
      </c>
      <c r="J16" s="15" t="str">
        <f>".1116029"</f>
        <v>.1116029</v>
      </c>
      <c r="K16" s="8"/>
      <c r="L16" s="14" t="str">
        <f t="shared" si="0"/>
        <v>0</v>
      </c>
      <c r="M16" s="15" t="str">
        <f>"1"</f>
        <v>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s="16" t="s">
        <v>39</v>
      </c>
      <c r="B17" s="17" t="str">
        <f>".7631284"</f>
        <v>.7631284</v>
      </c>
      <c r="C17" s="8"/>
      <c r="D17" s="14" t="str">
        <f>".767479"</f>
        <v>.767479</v>
      </c>
      <c r="E17" s="8" t="str">
        <f>".7567636"</f>
        <v>.7567636</v>
      </c>
      <c r="F17" s="15" t="str">
        <f>".7869083"</f>
        <v>.7869083</v>
      </c>
      <c r="G17" s="8"/>
      <c r="H17" s="14" t="str">
        <f>".7355694"</f>
        <v>.7355694</v>
      </c>
      <c r="I17" s="8" t="str">
        <f>".7554436"</f>
        <v>.7554436</v>
      </c>
      <c r="J17" s="15" t="str">
        <f>".6804871"</f>
        <v>.6804871</v>
      </c>
      <c r="K17" s="8"/>
      <c r="L17" s="14" t="str">
        <f t="shared" si="0"/>
        <v>0</v>
      </c>
      <c r="M17" s="15" t="str">
        <f>"1"</f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s="16" t="s">
        <v>40</v>
      </c>
      <c r="B18" s="17" t="str">
        <f>"1.20923"</f>
        <v>1.20923</v>
      </c>
      <c r="C18" s="8"/>
      <c r="D18" s="14" t="str">
        <f>"1.246333"</f>
        <v>1.246333</v>
      </c>
      <c r="E18" s="8" t="str">
        <f>"1.141432"</f>
        <v>1.141432</v>
      </c>
      <c r="F18" s="15" t="str">
        <f>"1.43593"</f>
        <v>1.43593</v>
      </c>
      <c r="G18" s="8"/>
      <c r="H18" s="14" t="str">
        <f>".9738589"</f>
        <v>.9738589</v>
      </c>
      <c r="I18" s="8" t="str">
        <f>".9694233"</f>
        <v>.9694233</v>
      </c>
      <c r="J18" s="15" t="str">
        <f>".9861067"</f>
        <v>.9861067</v>
      </c>
      <c r="K18" s="8"/>
      <c r="L18" s="14" t="str">
        <f t="shared" si="0"/>
        <v>0</v>
      </c>
      <c r="M18" s="15">
        <v>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" x14ac:dyDescent="0.2">
      <c r="A19" s="16" t="s">
        <v>41</v>
      </c>
      <c r="B19" s="17" t="str">
        <f>".5703437"</f>
        <v>.5703437</v>
      </c>
      <c r="C19" s="8"/>
      <c r="D19" s="14" t="str">
        <f>".580438"</f>
        <v>.580438</v>
      </c>
      <c r="E19" s="8" t="str">
        <f>".5540421"</f>
        <v>.5540421</v>
      </c>
      <c r="F19" s="15" t="str">
        <f>".628146"</f>
        <v>.628146</v>
      </c>
      <c r="G19" s="8"/>
      <c r="H19" s="14" t="str">
        <f>".5063078"</f>
        <v>.5063078</v>
      </c>
      <c r="I19" s="8" t="str">
        <f>".5022431"</f>
        <v>.5022431</v>
      </c>
      <c r="J19" s="15" t="str">
        <f>".5175313"</f>
        <v>.5175313</v>
      </c>
      <c r="K19" s="8"/>
      <c r="L19" s="14" t="str">
        <f t="shared" si="0"/>
        <v>0</v>
      </c>
      <c r="M19" s="15" t="str">
        <f>"1"</f>
        <v>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" x14ac:dyDescent="0.2">
      <c r="A20" s="16" t="s">
        <v>42</v>
      </c>
      <c r="B20" s="17" t="str">
        <f>".1015798"</f>
        <v>.1015798</v>
      </c>
      <c r="C20" s="8"/>
      <c r="D20" s="14" t="str">
        <f>".1007803"</f>
        <v>.1007803</v>
      </c>
      <c r="E20" s="8" t="str">
        <f>".1006974"</f>
        <v>.1006974</v>
      </c>
      <c r="F20" s="15" t="str">
        <f>".1009308"</f>
        <v>.1009308</v>
      </c>
      <c r="G20" s="8"/>
      <c r="H20" s="14" t="str">
        <f>".1066438"</f>
        <v>.1066438</v>
      </c>
      <c r="I20" s="8" t="str">
        <f>".0931879"</f>
        <v>.0931879</v>
      </c>
      <c r="J20" s="15" t="str">
        <f>".1439375"</f>
        <v>.1439375</v>
      </c>
      <c r="K20" s="8"/>
      <c r="L20" s="14" t="str">
        <f t="shared" si="0"/>
        <v>0</v>
      </c>
      <c r="M20" s="15" t="str">
        <f>"1"</f>
        <v>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s="16" t="s">
        <v>43</v>
      </c>
      <c r="B21" s="17" t="str">
        <f>".0304784"</f>
        <v>.0304784</v>
      </c>
      <c r="C21" s="8"/>
      <c r="D21" s="14" t="str">
        <f>".0293582"</f>
        <v>.0293582</v>
      </c>
      <c r="E21" s="8" t="str">
        <f>".0275753"</f>
        <v>.0275753</v>
      </c>
      <c r="F21" s="15" t="str">
        <f>".032591"</f>
        <v>.032591</v>
      </c>
      <c r="G21" s="8"/>
      <c r="H21" s="14" t="str">
        <f>".0375743"</f>
        <v>.0375743</v>
      </c>
      <c r="I21" s="8" t="str">
        <f>".0281293"</f>
        <v>.0281293</v>
      </c>
      <c r="J21" s="15" t="str">
        <f>".0637516"</f>
        <v>.0637516</v>
      </c>
      <c r="K21" s="8"/>
      <c r="L21" s="20" t="str">
        <f t="shared" si="0"/>
        <v>0</v>
      </c>
      <c r="M21" s="21" t="str">
        <f>"1"</f>
        <v>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s="12" t="s">
        <v>44</v>
      </c>
      <c r="B22" s="13"/>
      <c r="C22" s="8"/>
      <c r="D22" s="9"/>
      <c r="E22" s="10"/>
      <c r="F22" s="11"/>
      <c r="G22" s="8"/>
      <c r="H22" s="9"/>
      <c r="I22" s="10"/>
      <c r="J22" s="11"/>
      <c r="K22" s="8"/>
      <c r="L22" s="14"/>
      <c r="M22" s="1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4" x14ac:dyDescent="0.2">
      <c r="A23" s="24" t="s">
        <v>45</v>
      </c>
      <c r="B23" s="17" t="str">
        <f>".0546737"</f>
        <v>.0546737</v>
      </c>
      <c r="C23" s="8"/>
      <c r="D23" s="14" t="str">
        <f>".0620286"</f>
        <v>.0620286</v>
      </c>
      <c r="E23" s="8" t="str">
        <f>".0514001"</f>
        <v>.0514001</v>
      </c>
      <c r="F23" s="15" t="str">
        <f>".0813047"</f>
        <v>.0813047</v>
      </c>
      <c r="G23" s="8"/>
      <c r="H23" s="14" t="str">
        <f>".0082219"</f>
        <v>.0082219</v>
      </c>
      <c r="I23" s="8" t="str">
        <f>".0061931"</f>
        <v>.0061931</v>
      </c>
      <c r="J23" s="15" t="str">
        <f>".0138302"</f>
        <v>.0138302</v>
      </c>
      <c r="K23" s="8"/>
      <c r="L23" s="18" t="str">
        <f t="shared" si="0"/>
        <v>0</v>
      </c>
      <c r="M23" s="19" t="str">
        <f>".4880442"</f>
        <v>.4880442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4" x14ac:dyDescent="0.2">
      <c r="A24" s="25" t="s">
        <v>46</v>
      </c>
      <c r="B24" s="17" t="str">
        <f>".336983"</f>
        <v>.336983</v>
      </c>
      <c r="C24" s="8"/>
      <c r="D24" s="14" t="str">
        <f>".3348322"</f>
        <v>.3348322</v>
      </c>
      <c r="E24" s="8" t="str">
        <f>".3116"</f>
        <v>.3116</v>
      </c>
      <c r="F24" s="15" t="str">
        <f>".3769663"</f>
        <v>.3769663</v>
      </c>
      <c r="G24" s="8"/>
      <c r="H24" s="14" t="str">
        <f>".3505669"</f>
        <v>.3505669</v>
      </c>
      <c r="I24" s="8" t="str">
        <f>".3474912"</f>
        <v>.3474912</v>
      </c>
      <c r="J24" s="15" t="str">
        <f>".359069"</f>
        <v>.359069</v>
      </c>
      <c r="K24" s="8"/>
      <c r="L24" s="14" t="str">
        <f t="shared" si="0"/>
        <v>0</v>
      </c>
      <c r="M24" s="15" t="str">
        <f>"1"</f>
        <v>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4" x14ac:dyDescent="0.2">
      <c r="A25" s="25" t="s">
        <v>47</v>
      </c>
      <c r="B25" s="17" t="str">
        <f>".104515"</f>
        <v>.104515</v>
      </c>
      <c r="C25" s="8"/>
      <c r="D25" s="14" t="str">
        <f>".1140583"</f>
        <v>.1140583</v>
      </c>
      <c r="E25" s="8" t="str">
        <f>".1059805"</f>
        <v>.1059805</v>
      </c>
      <c r="F25" s="15" t="str">
        <f>".1285033"</f>
        <v>.1285033</v>
      </c>
      <c r="G25" s="8"/>
      <c r="H25" s="14" t="str">
        <f>".0438068"</f>
        <v>.0438068</v>
      </c>
      <c r="I25" s="8" t="str">
        <f>".0466625"</f>
        <v>.0466625</v>
      </c>
      <c r="J25" s="15" t="str">
        <f>".0359595"</f>
        <v>.0359595</v>
      </c>
      <c r="K25" s="8"/>
      <c r="L25" s="14" t="str">
        <f t="shared" si="0"/>
        <v>0</v>
      </c>
      <c r="M25" s="15">
        <v>0.73550800000000005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5" customHeight="1" x14ac:dyDescent="0.2">
      <c r="A26" s="26" t="s">
        <v>48</v>
      </c>
      <c r="B26" s="22" t="str">
        <f>".3635943"</f>
        <v>.3635943</v>
      </c>
      <c r="C26" s="8"/>
      <c r="D26" s="20" t="str">
        <f>".3637854"</f>
        <v>.3637854</v>
      </c>
      <c r="E26" s="23" t="str">
        <f>".35221"</f>
        <v>.35221</v>
      </c>
      <c r="F26" s="21" t="str">
        <f>".3844848"</f>
        <v>.3844848</v>
      </c>
      <c r="G26" s="8"/>
      <c r="H26" s="20" t="str">
        <f>".3623786"</f>
        <v>.3623786</v>
      </c>
      <c r="I26" s="23" t="str">
        <f>".3639262"</f>
        <v>.3639262</v>
      </c>
      <c r="J26" s="21" t="str">
        <f>".3581257"</f>
        <v>.3581257</v>
      </c>
      <c r="K26" s="8"/>
      <c r="L26" s="20" t="str">
        <f t="shared" si="0"/>
        <v>0</v>
      </c>
      <c r="M26" s="21" t="str">
        <f>"1"</f>
        <v>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</sheetData>
  <mergeCells count="2">
    <mergeCell ref="D1:F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365A-7E77-0C4F-BE37-65F1AE9D5CF1}">
  <sheetPr codeName="Sheet2"/>
  <dimension ref="A1:L40"/>
  <sheetViews>
    <sheetView tabSelected="1" zoomScale="59" workbookViewId="0">
      <selection activeCell="A2" sqref="A2:C22"/>
    </sheetView>
  </sheetViews>
  <sheetFormatPr baseColWidth="10" defaultRowHeight="16" x14ac:dyDescent="0.2"/>
  <cols>
    <col min="1" max="1" width="44.5" customWidth="1"/>
    <col min="2" max="2" width="24.66406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34" x14ac:dyDescent="0.2">
      <c r="A2" s="5"/>
      <c r="B2" s="27" t="s">
        <v>11</v>
      </c>
      <c r="C2" s="11" t="s">
        <v>9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28" t="s">
        <v>6</v>
      </c>
      <c r="B3" s="10"/>
      <c r="C3" s="11"/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29" t="s">
        <v>49</v>
      </c>
      <c r="B4" s="8" t="str">
        <f>"-0.00610*"</f>
        <v>-0.00610*</v>
      </c>
      <c r="C4" s="15">
        <v>-1.98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29" t="s">
        <v>51</v>
      </c>
      <c r="B5" s="8" t="str">
        <f>"-0.0293*"</f>
        <v>-0.0293*</v>
      </c>
      <c r="C5" s="15">
        <v>-2.37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29" t="s">
        <v>50</v>
      </c>
      <c r="B6" s="8" t="str">
        <f>"-0.0689***"</f>
        <v>-0.0689***</v>
      </c>
      <c r="C6" s="15">
        <v>-5.12</v>
      </c>
      <c r="D6" s="5"/>
      <c r="E6" s="5"/>
      <c r="F6" s="5"/>
      <c r="G6" s="5"/>
      <c r="H6" s="5"/>
      <c r="I6" s="5"/>
      <c r="J6" s="5"/>
      <c r="K6" s="5"/>
      <c r="L6" s="5"/>
    </row>
    <row r="7" spans="1:12" ht="17" x14ac:dyDescent="0.2">
      <c r="A7" s="30" t="s">
        <v>25</v>
      </c>
      <c r="B7" s="23" t="str">
        <f>"-0.104***"</f>
        <v>-0.104***</v>
      </c>
      <c r="C7" s="21">
        <v>-3.62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28" t="s">
        <v>7</v>
      </c>
      <c r="B8" s="10"/>
      <c r="C8" s="11"/>
      <c r="D8" s="5"/>
      <c r="E8" s="5"/>
      <c r="F8" s="5"/>
      <c r="G8" s="5"/>
      <c r="H8" s="5"/>
      <c r="I8" s="5"/>
      <c r="J8" s="5"/>
      <c r="K8" s="5"/>
      <c r="L8" s="5"/>
    </row>
    <row r="9" spans="1:12" ht="17" x14ac:dyDescent="0.2">
      <c r="A9" s="30" t="s">
        <v>37</v>
      </c>
      <c r="B9" s="31" t="str">
        <f>"0.0112**"</f>
        <v>0.0112**</v>
      </c>
      <c r="C9" s="19">
        <v>2.8</v>
      </c>
      <c r="D9" s="5"/>
      <c r="E9" s="5"/>
      <c r="F9" s="5"/>
      <c r="G9" s="5"/>
      <c r="H9" s="5"/>
      <c r="I9" s="5"/>
      <c r="J9" s="5"/>
      <c r="K9" s="5"/>
      <c r="L9" s="5"/>
    </row>
    <row r="10" spans="1:12" ht="17" x14ac:dyDescent="0.2">
      <c r="A10" s="30" t="s">
        <v>38</v>
      </c>
      <c r="B10" s="8" t="str">
        <f>"-0.00545**"</f>
        <v>-0.00545**</v>
      </c>
      <c r="C10" s="15">
        <v>-3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ht="17" x14ac:dyDescent="0.2">
      <c r="A11" s="30" t="s">
        <v>39</v>
      </c>
      <c r="B11" s="8" t="str">
        <f>"0.00745**"</f>
        <v>0.00745**</v>
      </c>
      <c r="C11" s="15">
        <v>2.92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34" x14ac:dyDescent="0.2">
      <c r="A12" s="30" t="s">
        <v>40</v>
      </c>
      <c r="B12" s="8" t="str">
        <f>"0.0460**"</f>
        <v>0.0460**</v>
      </c>
      <c r="C12" s="15">
        <v>3.23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ht="17" x14ac:dyDescent="0.2">
      <c r="A13" s="30" t="s">
        <v>41</v>
      </c>
      <c r="B13" s="8" t="str">
        <f>"0.00762"</f>
        <v>0.00762</v>
      </c>
      <c r="C13" s="15">
        <v>1.97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ht="17" x14ac:dyDescent="0.2">
      <c r="A14" s="30" t="s">
        <v>42</v>
      </c>
      <c r="B14" s="8" t="str">
        <f>"-0.00219"</f>
        <v>-0.00219</v>
      </c>
      <c r="C14" s="15">
        <v>-0.81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ht="17" x14ac:dyDescent="0.2">
      <c r="A15" s="30" t="s">
        <v>43</v>
      </c>
      <c r="B15" s="23" t="str">
        <f>"0.000251"</f>
        <v>0.000251</v>
      </c>
      <c r="C15" s="21">
        <v>0.14000000000000001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28" t="s">
        <v>8</v>
      </c>
      <c r="B16" s="10"/>
      <c r="C16" s="11"/>
      <c r="D16" s="5"/>
      <c r="E16" s="5"/>
      <c r="F16" s="5"/>
      <c r="G16" s="5"/>
      <c r="H16" s="5"/>
      <c r="I16" s="5"/>
      <c r="J16" s="5"/>
      <c r="K16" s="5"/>
      <c r="L16" s="5"/>
    </row>
    <row r="17" spans="1:12" ht="34" x14ac:dyDescent="0.2">
      <c r="A17" s="24" t="s">
        <v>45</v>
      </c>
      <c r="B17" s="31" t="str">
        <f>"0.000747"</f>
        <v>0.000747</v>
      </c>
      <c r="C17" s="19">
        <v>1.02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ht="34" x14ac:dyDescent="0.2">
      <c r="A18" s="25" t="s">
        <v>46</v>
      </c>
      <c r="B18" s="8" t="str">
        <f>"0.00159"</f>
        <v>0.00159</v>
      </c>
      <c r="C18" s="15">
        <v>0.23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ht="34" x14ac:dyDescent="0.2">
      <c r="A19" s="25" t="s">
        <v>47</v>
      </c>
      <c r="B19" s="8" t="str">
        <f>"0.00185"</f>
        <v>0.00185</v>
      </c>
      <c r="C19" s="15">
        <v>1.4</v>
      </c>
      <c r="D19" s="5"/>
      <c r="E19" s="5"/>
      <c r="F19" s="5"/>
      <c r="G19" s="5"/>
      <c r="H19" s="5"/>
      <c r="I19" s="5"/>
      <c r="J19" s="5"/>
      <c r="K19" s="5"/>
      <c r="L19" s="5"/>
    </row>
    <row r="20" spans="1:12" ht="35" customHeight="1" x14ac:dyDescent="0.2">
      <c r="A20" s="26" t="s">
        <v>48</v>
      </c>
      <c r="B20" s="23" t="str">
        <f>"0.00228"</f>
        <v>0.00228</v>
      </c>
      <c r="C20" s="21">
        <v>0.39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 t="s">
        <v>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971-AE01-C943-A01A-D02B870C61F4}">
  <sheetPr codeName="Sheet3"/>
  <dimension ref="A1:T32"/>
  <sheetViews>
    <sheetView zoomScale="75" workbookViewId="0">
      <selection activeCell="B22" sqref="B22"/>
    </sheetView>
  </sheetViews>
  <sheetFormatPr baseColWidth="10" defaultRowHeight="16" x14ac:dyDescent="0.2"/>
  <cols>
    <col min="1" max="1" width="35.83203125" customWidth="1"/>
    <col min="2" max="2" width="15" customWidth="1"/>
    <col min="3" max="3" width="9.1640625" bestFit="1" customWidth="1"/>
  </cols>
  <sheetData>
    <row r="1" spans="1:20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">
      <c r="A2" s="5"/>
      <c r="B2" s="57" t="s">
        <v>12</v>
      </c>
      <c r="C2" s="58"/>
      <c r="D2" s="58"/>
      <c r="E2" s="59"/>
      <c r="F2" s="57" t="s">
        <v>13</v>
      </c>
      <c r="G2" s="58"/>
      <c r="H2" s="58"/>
      <c r="I2" s="59"/>
      <c r="J2" s="57" t="s">
        <v>14</v>
      </c>
      <c r="K2" s="58"/>
      <c r="L2" s="58"/>
      <c r="M2" s="59"/>
      <c r="N2" s="5"/>
      <c r="O2" s="5"/>
      <c r="P2" s="5"/>
      <c r="Q2" s="5"/>
      <c r="R2" s="5"/>
      <c r="S2" s="5"/>
      <c r="T2" s="5"/>
    </row>
    <row r="3" spans="1:20" ht="17" x14ac:dyDescent="0.2">
      <c r="A3" s="5"/>
      <c r="B3" s="32" t="s">
        <v>15</v>
      </c>
      <c r="C3" s="19" t="s">
        <v>9</v>
      </c>
      <c r="D3" s="18" t="s">
        <v>16</v>
      </c>
      <c r="E3" s="19" t="s">
        <v>9</v>
      </c>
      <c r="F3" s="32" t="s">
        <v>15</v>
      </c>
      <c r="G3" s="19" t="s">
        <v>9</v>
      </c>
      <c r="H3" s="18" t="s">
        <v>16</v>
      </c>
      <c r="I3" s="19" t="s">
        <v>9</v>
      </c>
      <c r="J3" s="32" t="s">
        <v>15</v>
      </c>
      <c r="K3" s="19" t="s">
        <v>9</v>
      </c>
      <c r="L3" s="18" t="s">
        <v>16</v>
      </c>
      <c r="M3" s="19" t="s">
        <v>9</v>
      </c>
      <c r="N3" s="5"/>
      <c r="O3" s="5"/>
      <c r="P3" s="5"/>
      <c r="Q3" s="5"/>
      <c r="R3" s="5"/>
      <c r="S3" s="5"/>
      <c r="T3" s="5"/>
    </row>
    <row r="4" spans="1:20" x14ac:dyDescent="0.2">
      <c r="A4" s="33" t="s">
        <v>24</v>
      </c>
      <c r="B4" s="9"/>
      <c r="C4" s="11"/>
      <c r="D4" s="9"/>
      <c r="E4" s="11"/>
      <c r="F4" s="9"/>
      <c r="G4" s="11"/>
      <c r="H4" s="9"/>
      <c r="I4" s="11"/>
      <c r="J4" s="9"/>
      <c r="K4" s="11"/>
      <c r="L4" s="9"/>
      <c r="M4" s="11"/>
      <c r="N4" s="5"/>
      <c r="O4" s="5"/>
      <c r="P4" s="5"/>
      <c r="Q4" s="5"/>
      <c r="R4" s="5"/>
      <c r="S4" s="5"/>
      <c r="T4" s="5"/>
    </row>
    <row r="5" spans="1:20" ht="20" customHeight="1" x14ac:dyDescent="0.2">
      <c r="A5" s="40" t="s">
        <v>37</v>
      </c>
      <c r="B5" s="14">
        <v>8.3199999999999993E-3</v>
      </c>
      <c r="C5" s="15">
        <v>0.88</v>
      </c>
      <c r="D5" s="14" t="str">
        <f>"-0.108**"</f>
        <v>-0.108**</v>
      </c>
      <c r="E5" s="15">
        <v>-2.72</v>
      </c>
      <c r="F5" s="14" t="str">
        <f>"-0.00409"</f>
        <v>-0.00409</v>
      </c>
      <c r="G5" s="15">
        <v>-0.47</v>
      </c>
      <c r="H5" s="14" t="str">
        <f>"-0.0760*"</f>
        <v>-0.0760*</v>
      </c>
      <c r="I5" s="15">
        <v>-2.38</v>
      </c>
      <c r="J5" s="14" t="str">
        <f>"0.0192"</f>
        <v>0.0192</v>
      </c>
      <c r="K5" s="15">
        <v>1.73</v>
      </c>
      <c r="L5" s="14" t="str">
        <f>"-0.141**"</f>
        <v>-0.141**</v>
      </c>
      <c r="M5" s="15">
        <v>-2.63</v>
      </c>
      <c r="N5" s="5"/>
      <c r="O5" s="5"/>
      <c r="P5" s="5"/>
      <c r="Q5" s="5"/>
      <c r="R5" s="5"/>
      <c r="S5" s="5"/>
      <c r="T5" s="5"/>
    </row>
    <row r="6" spans="1:20" ht="17" x14ac:dyDescent="0.2">
      <c r="A6" s="30" t="s">
        <v>38</v>
      </c>
      <c r="B6" s="14" t="s">
        <v>17</v>
      </c>
      <c r="C6" s="15">
        <v>3.54</v>
      </c>
      <c r="D6" s="14" t="str">
        <f>"0.0524**"</f>
        <v>0.0524**</v>
      </c>
      <c r="E6" s="15">
        <v>3.28</v>
      </c>
      <c r="F6" s="14" t="str">
        <f>"0.0146***"</f>
        <v>0.0146***</v>
      </c>
      <c r="G6" s="15">
        <v>5.76</v>
      </c>
      <c r="H6" s="14" t="str">
        <f>"0.0643*"</f>
        <v>0.0643*</v>
      </c>
      <c r="I6" s="15">
        <v>2.37</v>
      </c>
      <c r="J6" s="14" t="str">
        <f>"0.00582"</f>
        <v>0.00582</v>
      </c>
      <c r="K6" s="15">
        <v>1.65</v>
      </c>
      <c r="L6" s="14" t="str">
        <f>"0.0379"</f>
        <v>0.0379</v>
      </c>
      <c r="M6" s="15">
        <v>1.72</v>
      </c>
      <c r="N6" s="5"/>
      <c r="O6" s="5"/>
      <c r="P6" s="5"/>
      <c r="Q6" s="5"/>
      <c r="R6" s="5"/>
      <c r="S6" s="5"/>
      <c r="T6" s="5"/>
    </row>
    <row r="7" spans="1:20" ht="17" x14ac:dyDescent="0.2">
      <c r="A7" s="41" t="s">
        <v>39</v>
      </c>
      <c r="B7" s="20">
        <v>-1.65E-3</v>
      </c>
      <c r="C7" s="21">
        <v>-0.25</v>
      </c>
      <c r="D7" s="20" t="str">
        <f>"-0.0717*"</f>
        <v>-0.0717*</v>
      </c>
      <c r="E7" s="21">
        <v>-2.56</v>
      </c>
      <c r="F7" s="20" t="str">
        <f>"-0.000575"</f>
        <v>-0.000575</v>
      </c>
      <c r="G7" s="21">
        <v>-0.11</v>
      </c>
      <c r="H7" s="20" t="str">
        <f>"-0.0152"</f>
        <v>-0.0152</v>
      </c>
      <c r="I7" s="21">
        <v>-0.55000000000000004</v>
      </c>
      <c r="J7" s="20" t="str">
        <f>"-0.00363"</f>
        <v>-0.00363</v>
      </c>
      <c r="K7" s="21">
        <v>-0.42</v>
      </c>
      <c r="L7" s="20" t="str">
        <f>"-0.134**"</f>
        <v>-0.134**</v>
      </c>
      <c r="M7" s="21">
        <v>-2.69</v>
      </c>
      <c r="N7" s="5"/>
      <c r="O7" s="5"/>
      <c r="P7" s="5"/>
      <c r="Q7" s="5"/>
      <c r="R7" s="5"/>
      <c r="S7" s="5"/>
      <c r="T7" s="5"/>
    </row>
    <row r="8" spans="1:20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5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5"/>
      <c r="B11" s="60" t="s">
        <v>12</v>
      </c>
      <c r="C11" s="61"/>
      <c r="D11" s="61"/>
      <c r="E11" s="62"/>
      <c r="F11" s="60" t="s">
        <v>13</v>
      </c>
      <c r="G11" s="61"/>
      <c r="H11" s="61"/>
      <c r="I11" s="62"/>
      <c r="J11" s="60" t="s">
        <v>14</v>
      </c>
      <c r="K11" s="61"/>
      <c r="L11" s="61"/>
      <c r="M11" s="62"/>
      <c r="N11" s="5"/>
      <c r="O11" s="5"/>
      <c r="P11" s="5"/>
      <c r="Q11" s="5"/>
      <c r="R11" s="5"/>
      <c r="S11" s="5"/>
      <c r="T11" s="5"/>
    </row>
    <row r="12" spans="1:20" ht="17" x14ac:dyDescent="0.2">
      <c r="A12" s="35"/>
      <c r="B12" s="27" t="s">
        <v>15</v>
      </c>
      <c r="C12" s="11" t="s">
        <v>9</v>
      </c>
      <c r="D12" s="36" t="s">
        <v>16</v>
      </c>
      <c r="E12" s="11" t="s">
        <v>9</v>
      </c>
      <c r="F12" s="27" t="s">
        <v>15</v>
      </c>
      <c r="G12" s="11" t="s">
        <v>9</v>
      </c>
      <c r="H12" s="36" t="s">
        <v>16</v>
      </c>
      <c r="I12" s="11" t="s">
        <v>9</v>
      </c>
      <c r="J12" s="27" t="s">
        <v>15</v>
      </c>
      <c r="K12" s="11" t="s">
        <v>9</v>
      </c>
      <c r="L12" s="36" t="s">
        <v>16</v>
      </c>
      <c r="M12" s="11" t="s">
        <v>9</v>
      </c>
      <c r="N12" s="5"/>
      <c r="O12" s="5"/>
      <c r="P12" s="5"/>
      <c r="Q12" s="5"/>
      <c r="R12" s="5"/>
      <c r="S12" s="5"/>
      <c r="T12" s="5"/>
    </row>
    <row r="13" spans="1:20" x14ac:dyDescent="0.2">
      <c r="A13" s="37" t="s">
        <v>23</v>
      </c>
      <c r="B13" s="38"/>
      <c r="C13" s="39"/>
      <c r="D13" s="36"/>
      <c r="E13" s="39"/>
      <c r="F13" s="38"/>
      <c r="G13" s="39"/>
      <c r="H13" s="36"/>
      <c r="I13" s="39"/>
      <c r="J13" s="38"/>
      <c r="K13" s="39"/>
      <c r="L13" s="36"/>
      <c r="M13" s="39"/>
      <c r="N13" s="5"/>
      <c r="O13" s="5"/>
      <c r="P13" s="5"/>
      <c r="Q13" s="5"/>
      <c r="R13" s="5"/>
      <c r="S13" s="5"/>
      <c r="T13" s="5"/>
    </row>
    <row r="14" spans="1:20" ht="34" x14ac:dyDescent="0.2">
      <c r="A14" s="24" t="s">
        <v>45</v>
      </c>
      <c r="B14" s="14" t="str">
        <f>"-0.00997***"</f>
        <v>-0.00997***</v>
      </c>
      <c r="C14" s="15">
        <v>-7.17</v>
      </c>
      <c r="D14" s="8" t="str">
        <f>"-0.00710"</f>
        <v>-0.00710</v>
      </c>
      <c r="E14" s="15">
        <v>-0.84</v>
      </c>
      <c r="F14" s="14" t="str">
        <f>"-0.0117***"</f>
        <v>-0.0117***</v>
      </c>
      <c r="G14" s="15">
        <v>-6.33</v>
      </c>
      <c r="H14" s="8" t="str">
        <f>"-0.0136*"</f>
        <v>-0.0136*</v>
      </c>
      <c r="I14" s="15">
        <v>-2.2000000000000002</v>
      </c>
      <c r="J14" s="14" t="str">
        <f>"-0.00822***"</f>
        <v>-0.00822***</v>
      </c>
      <c r="K14" s="15">
        <v>-8.39</v>
      </c>
      <c r="L14" s="8" t="str">
        <f>"-0.000223"</f>
        <v>-0.000223</v>
      </c>
      <c r="M14" s="15">
        <v>-0.02</v>
      </c>
      <c r="N14" s="5"/>
      <c r="O14" s="5"/>
      <c r="P14" s="5"/>
      <c r="Q14" s="5"/>
      <c r="R14" s="5"/>
      <c r="S14" s="5"/>
      <c r="T14" s="5"/>
    </row>
    <row r="15" spans="1:20" ht="34" x14ac:dyDescent="0.2">
      <c r="A15" s="25" t="s">
        <v>46</v>
      </c>
      <c r="B15" s="14" t="str">
        <f>"-0.0497***"</f>
        <v>-0.0497***</v>
      </c>
      <c r="C15" s="15">
        <v>-7.03</v>
      </c>
      <c r="D15" s="8" t="str">
        <f>"-0.0152"</f>
        <v>-0.0152</v>
      </c>
      <c r="E15" s="15">
        <v>-0.22</v>
      </c>
      <c r="F15" s="14" t="str">
        <f>"-0.0581***"</f>
        <v>-0.0581***</v>
      </c>
      <c r="G15" s="15">
        <v>-10.52</v>
      </c>
      <c r="H15" s="8" t="str">
        <f>"-0.0376"</f>
        <v>-0.0376</v>
      </c>
      <c r="I15" s="15">
        <v>-0.69</v>
      </c>
      <c r="J15" s="14" t="str">
        <f>"-0.0410***"</f>
        <v>-0.0410***</v>
      </c>
      <c r="K15" s="15">
        <v>-4.6500000000000004</v>
      </c>
      <c r="L15" s="8" t="str">
        <f>"0.00654"</f>
        <v>0.00654</v>
      </c>
      <c r="M15" s="15">
        <v>7.0000000000000007E-2</v>
      </c>
      <c r="N15" s="5"/>
      <c r="O15" s="5"/>
      <c r="P15" s="5"/>
      <c r="Q15" s="5"/>
      <c r="R15" s="5"/>
      <c r="S15" s="5"/>
      <c r="T15" s="5"/>
    </row>
    <row r="16" spans="1:20" ht="34" x14ac:dyDescent="0.2">
      <c r="A16" s="25" t="s">
        <v>47</v>
      </c>
      <c r="B16" s="14" t="str">
        <f>"-0.0131***"</f>
        <v>-0.0131***</v>
      </c>
      <c r="C16" s="15">
        <v>-7.77</v>
      </c>
      <c r="D16" s="8" t="str">
        <f>"-0.0177"</f>
        <v>-0.0177</v>
      </c>
      <c r="E16" s="15">
        <v>-1.04</v>
      </c>
      <c r="F16" s="14" t="str">
        <f>"-0.0168***"</f>
        <v>-0.0168***</v>
      </c>
      <c r="G16" s="15">
        <v>-6.91</v>
      </c>
      <c r="H16" s="8" t="str">
        <f>"-0.0327*"</f>
        <v>-0.0327*</v>
      </c>
      <c r="I16" s="15">
        <v>-2.52</v>
      </c>
      <c r="J16" s="14" t="str">
        <f>"-0.00938***"</f>
        <v>-0.00938***</v>
      </c>
      <c r="K16" s="15">
        <v>-8.82</v>
      </c>
      <c r="L16" s="8" t="str">
        <f>"-0.00172"</f>
        <v>-0.00172</v>
      </c>
      <c r="M16" s="15">
        <v>-0.08</v>
      </c>
      <c r="N16" s="5"/>
      <c r="O16" s="5"/>
      <c r="P16" s="5"/>
      <c r="Q16" s="5"/>
      <c r="R16" s="5"/>
      <c r="S16" s="5"/>
      <c r="T16" s="5"/>
    </row>
    <row r="17" spans="1:20" ht="51" x14ac:dyDescent="0.2">
      <c r="A17" s="26" t="s">
        <v>48</v>
      </c>
      <c r="B17" s="20" t="str">
        <f>"-0.0413***"</f>
        <v>-0.0413***</v>
      </c>
      <c r="C17" s="21">
        <v>-6.09</v>
      </c>
      <c r="D17" s="23" t="str">
        <f>"-0.0218"</f>
        <v>-0.0218</v>
      </c>
      <c r="E17" s="21">
        <v>-0.35</v>
      </c>
      <c r="F17" s="20" t="str">
        <f>"-0.0496***"</f>
        <v>-0.0496***</v>
      </c>
      <c r="G17" s="21">
        <v>-7.58</v>
      </c>
      <c r="H17" s="23" t="str">
        <f>"-0.0880"</f>
        <v>-0.0880</v>
      </c>
      <c r="I17" s="21">
        <v>-1.43</v>
      </c>
      <c r="J17" s="20" t="str">
        <f>"-0.0333***"</f>
        <v>-0.0333***</v>
      </c>
      <c r="K17" s="21">
        <v>-4.37</v>
      </c>
      <c r="L17" s="23" t="str">
        <f>"0.0557"</f>
        <v>0.0557</v>
      </c>
      <c r="M17" s="21">
        <v>0.78</v>
      </c>
      <c r="N17" s="5"/>
      <c r="O17" s="5"/>
      <c r="P17" s="5"/>
      <c r="Q17" s="5"/>
      <c r="R17" s="5"/>
      <c r="S17" s="5"/>
      <c r="T17" s="5"/>
    </row>
    <row r="18" spans="1:2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5" t="s">
        <v>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</sheetData>
  <mergeCells count="6">
    <mergeCell ref="B2:E2"/>
    <mergeCell ref="F2:I2"/>
    <mergeCell ref="J2:M2"/>
    <mergeCell ref="B11:E11"/>
    <mergeCell ref="F11:I11"/>
    <mergeCell ref="J11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03E9-25C4-1647-AE67-37B8D231C6F2}">
  <sheetPr codeName="Sheet4"/>
  <dimension ref="A1:CY14"/>
  <sheetViews>
    <sheetView workbookViewId="0">
      <selection activeCell="G17" sqref="G17"/>
    </sheetView>
  </sheetViews>
  <sheetFormatPr baseColWidth="10" defaultRowHeight="16" x14ac:dyDescent="0.2"/>
  <cols>
    <col min="1" max="1" width="42" customWidth="1"/>
  </cols>
  <sheetData>
    <row r="1" spans="1:103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03" x14ac:dyDescent="0.2">
      <c r="A2" s="5"/>
      <c r="B2" s="60" t="s">
        <v>12</v>
      </c>
      <c r="C2" s="61"/>
      <c r="D2" s="61"/>
      <c r="E2" s="62"/>
      <c r="F2" s="60" t="s">
        <v>13</v>
      </c>
      <c r="G2" s="61"/>
      <c r="H2" s="61"/>
      <c r="I2" s="62"/>
      <c r="J2" s="60" t="s">
        <v>14</v>
      </c>
      <c r="K2" s="61"/>
      <c r="L2" s="61"/>
      <c r="M2" s="62"/>
      <c r="N2" s="5"/>
      <c r="O2" s="5"/>
      <c r="P2" s="5"/>
    </row>
    <row r="3" spans="1:103" s="2" customFormat="1" ht="17" x14ac:dyDescent="0.2">
      <c r="A3" s="35"/>
      <c r="B3" s="27" t="s">
        <v>15</v>
      </c>
      <c r="C3" s="11" t="s">
        <v>9</v>
      </c>
      <c r="D3" s="36" t="s">
        <v>16</v>
      </c>
      <c r="E3" s="11" t="s">
        <v>9</v>
      </c>
      <c r="F3" s="27" t="s">
        <v>15</v>
      </c>
      <c r="G3" s="11" t="s">
        <v>9</v>
      </c>
      <c r="H3" s="36" t="s">
        <v>16</v>
      </c>
      <c r="I3" s="11" t="s">
        <v>9</v>
      </c>
      <c r="J3" s="27" t="s">
        <v>15</v>
      </c>
      <c r="K3" s="11" t="s">
        <v>9</v>
      </c>
      <c r="L3" s="36" t="s">
        <v>16</v>
      </c>
      <c r="M3" s="11" t="s">
        <v>9</v>
      </c>
      <c r="N3" s="5"/>
      <c r="O3" s="5"/>
      <c r="P3" s="5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</row>
    <row r="4" spans="1:103" x14ac:dyDescent="0.2">
      <c r="A4" s="37" t="s">
        <v>23</v>
      </c>
      <c r="B4" s="38"/>
      <c r="C4" s="39"/>
      <c r="D4" s="36"/>
      <c r="E4" s="39"/>
      <c r="F4" s="38"/>
      <c r="G4" s="39"/>
      <c r="H4" s="36"/>
      <c r="I4" s="39"/>
      <c r="J4" s="38"/>
      <c r="K4" s="39"/>
      <c r="L4" s="36"/>
      <c r="M4" s="39"/>
      <c r="N4" s="5"/>
      <c r="O4" s="5"/>
      <c r="P4" s="5"/>
    </row>
    <row r="5" spans="1:103" ht="34" x14ac:dyDescent="0.2">
      <c r="A5" s="24" t="s">
        <v>45</v>
      </c>
      <c r="B5" s="14" t="str">
        <f>"-0.00997***"</f>
        <v>-0.00997***</v>
      </c>
      <c r="C5" s="15">
        <v>-7.17</v>
      </c>
      <c r="D5" s="8" t="str">
        <f>"-0.00710"</f>
        <v>-0.00710</v>
      </c>
      <c r="E5" s="15">
        <v>-0.84</v>
      </c>
      <c r="F5" s="14" t="str">
        <f>"-0.0117***"</f>
        <v>-0.0117***</v>
      </c>
      <c r="G5" s="15">
        <v>-6.33</v>
      </c>
      <c r="H5" s="8" t="str">
        <f>"-0.0136*"</f>
        <v>-0.0136*</v>
      </c>
      <c r="I5" s="15">
        <v>-2.2000000000000002</v>
      </c>
      <c r="J5" s="14" t="str">
        <f>"-0.00822***"</f>
        <v>-0.00822***</v>
      </c>
      <c r="K5" s="15">
        <v>-8.39</v>
      </c>
      <c r="L5" s="8" t="str">
        <f>"-0.000223"</f>
        <v>-0.000223</v>
      </c>
      <c r="M5" s="15">
        <v>-0.02</v>
      </c>
      <c r="N5" s="5"/>
      <c r="O5" s="5"/>
      <c r="P5" s="5"/>
    </row>
    <row r="6" spans="1:103" ht="34" x14ac:dyDescent="0.2">
      <c r="A6" s="25" t="s">
        <v>46</v>
      </c>
      <c r="B6" s="14" t="str">
        <f>"-0.0497***"</f>
        <v>-0.0497***</v>
      </c>
      <c r="C6" s="15">
        <v>-7.03</v>
      </c>
      <c r="D6" s="8" t="str">
        <f>"-0.0152"</f>
        <v>-0.0152</v>
      </c>
      <c r="E6" s="15">
        <v>-0.22</v>
      </c>
      <c r="F6" s="14" t="str">
        <f>"-0.0581***"</f>
        <v>-0.0581***</v>
      </c>
      <c r="G6" s="15">
        <v>-10.52</v>
      </c>
      <c r="H6" s="8" t="str">
        <f>"-0.0376"</f>
        <v>-0.0376</v>
      </c>
      <c r="I6" s="15">
        <v>-0.69</v>
      </c>
      <c r="J6" s="14" t="str">
        <f>"-0.0410***"</f>
        <v>-0.0410***</v>
      </c>
      <c r="K6" s="15">
        <v>-4.6500000000000004</v>
      </c>
      <c r="L6" s="8" t="str">
        <f>"0.00654"</f>
        <v>0.00654</v>
      </c>
      <c r="M6" s="15">
        <v>7.0000000000000007E-2</v>
      </c>
      <c r="N6" s="5"/>
      <c r="O6" s="5"/>
      <c r="P6" s="5"/>
    </row>
    <row r="7" spans="1:103" ht="34" x14ac:dyDescent="0.2">
      <c r="A7" s="25" t="s">
        <v>47</v>
      </c>
      <c r="B7" s="14" t="str">
        <f>"-0.0131***"</f>
        <v>-0.0131***</v>
      </c>
      <c r="C7" s="15">
        <v>-7.77</v>
      </c>
      <c r="D7" s="8" t="str">
        <f>"-0.0177"</f>
        <v>-0.0177</v>
      </c>
      <c r="E7" s="15">
        <v>-1.04</v>
      </c>
      <c r="F7" s="14" t="str">
        <f>"-0.0168***"</f>
        <v>-0.0168***</v>
      </c>
      <c r="G7" s="15">
        <v>-6.91</v>
      </c>
      <c r="H7" s="8" t="str">
        <f>"-0.0327*"</f>
        <v>-0.0327*</v>
      </c>
      <c r="I7" s="15">
        <v>-2.52</v>
      </c>
      <c r="J7" s="14" t="str">
        <f>"-0.00938***"</f>
        <v>-0.00938***</v>
      </c>
      <c r="K7" s="15">
        <v>-8.82</v>
      </c>
      <c r="L7" s="8" t="str">
        <f>"-0.00172"</f>
        <v>-0.00172</v>
      </c>
      <c r="M7" s="15">
        <v>-0.08</v>
      </c>
      <c r="N7" s="5"/>
      <c r="O7" s="5"/>
      <c r="P7" s="5"/>
    </row>
    <row r="8" spans="1:103" ht="34" customHeight="1" x14ac:dyDescent="0.2">
      <c r="A8" s="26" t="s">
        <v>48</v>
      </c>
      <c r="B8" s="20" t="str">
        <f>"-0.0413***"</f>
        <v>-0.0413***</v>
      </c>
      <c r="C8" s="21">
        <v>-6.09</v>
      </c>
      <c r="D8" s="23" t="str">
        <f>"-0.0218"</f>
        <v>-0.0218</v>
      </c>
      <c r="E8" s="21">
        <v>-0.35</v>
      </c>
      <c r="F8" s="20" t="str">
        <f>"-0.0496***"</f>
        <v>-0.0496***</v>
      </c>
      <c r="G8" s="21">
        <v>-7.58</v>
      </c>
      <c r="H8" s="23" t="str">
        <f>"-0.0880"</f>
        <v>-0.0880</v>
      </c>
      <c r="I8" s="21">
        <v>-1.43</v>
      </c>
      <c r="J8" s="20" t="str">
        <f>"-0.0333***"</f>
        <v>-0.0333***</v>
      </c>
      <c r="K8" s="21">
        <v>-4.37</v>
      </c>
      <c r="L8" s="23" t="str">
        <f>"0.0557"</f>
        <v>0.0557</v>
      </c>
      <c r="M8" s="21">
        <v>0.78</v>
      </c>
      <c r="N8" s="5"/>
      <c r="O8" s="5"/>
      <c r="P8" s="5"/>
    </row>
    <row r="9" spans="1:103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03" x14ac:dyDescent="0.2">
      <c r="A10" s="5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0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0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0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0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</sheetData>
  <mergeCells count="3"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631F-1FF5-274A-A15D-C533095922BC}">
  <sheetPr codeName="Sheet5"/>
  <dimension ref="A1:M21"/>
  <sheetViews>
    <sheetView workbookViewId="0">
      <selection activeCell="B14" sqref="B14"/>
    </sheetView>
  </sheetViews>
  <sheetFormatPr baseColWidth="10" defaultRowHeight="16" x14ac:dyDescent="0.2"/>
  <cols>
    <col min="1" max="1" width="43.6640625" customWidth="1"/>
    <col min="2" max="2" width="21" style="1" customWidth="1"/>
    <col min="3" max="3" width="9.1640625" style="3" bestFit="1" customWidth="1"/>
    <col min="4" max="4" width="21" style="1" customWidth="1"/>
    <col min="5" max="5" width="9.1640625" style="3" bestFit="1" customWidth="1"/>
    <col min="6" max="6" width="21" style="1" customWidth="1"/>
    <col min="7" max="7" width="9.1640625" style="3" bestFit="1" customWidth="1"/>
    <col min="8" max="8" width="21" style="1" customWidth="1"/>
    <col min="9" max="9" width="9.1640625" style="3" bestFit="1" customWidth="1"/>
    <col min="10" max="10" width="21" style="1" customWidth="1"/>
    <col min="11" max="11" width="9.1640625" style="4" bestFit="1" customWidth="1"/>
  </cols>
  <sheetData>
    <row r="1" spans="1:13" x14ac:dyDescent="0.2">
      <c r="A1" s="5"/>
      <c r="B1" s="8"/>
      <c r="C1" s="42"/>
      <c r="D1" s="8"/>
      <c r="E1" s="42"/>
      <c r="F1" s="8"/>
      <c r="G1" s="42"/>
      <c r="H1" s="8"/>
      <c r="I1" s="42"/>
      <c r="J1" s="8"/>
      <c r="K1" s="43"/>
      <c r="L1" s="5"/>
      <c r="M1" s="5"/>
    </row>
    <row r="2" spans="1:13" ht="34" x14ac:dyDescent="0.2">
      <c r="A2" s="44"/>
      <c r="B2" s="27" t="s">
        <v>18</v>
      </c>
      <c r="C2" s="45" t="s">
        <v>9</v>
      </c>
      <c r="D2" s="46" t="s">
        <v>19</v>
      </c>
      <c r="E2" s="45" t="s">
        <v>9</v>
      </c>
      <c r="F2" s="46" t="s">
        <v>20</v>
      </c>
      <c r="G2" s="45" t="s">
        <v>9</v>
      </c>
      <c r="H2" s="46" t="s">
        <v>21</v>
      </c>
      <c r="I2" s="45" t="s">
        <v>9</v>
      </c>
      <c r="J2" s="46" t="s">
        <v>22</v>
      </c>
      <c r="K2" s="45" t="s">
        <v>9</v>
      </c>
      <c r="L2" s="5"/>
      <c r="M2" s="5"/>
    </row>
    <row r="3" spans="1:13" x14ac:dyDescent="0.2">
      <c r="A3" s="28" t="s">
        <v>24</v>
      </c>
      <c r="B3" s="9"/>
      <c r="C3" s="45"/>
      <c r="D3" s="10"/>
      <c r="E3" s="45"/>
      <c r="F3" s="10"/>
      <c r="G3" s="45"/>
      <c r="H3" s="10"/>
      <c r="I3" s="45"/>
      <c r="J3" s="10"/>
      <c r="K3" s="45"/>
      <c r="L3" s="5"/>
      <c r="M3" s="5"/>
    </row>
    <row r="4" spans="1:13" ht="17" x14ac:dyDescent="0.2">
      <c r="A4" s="30" t="s">
        <v>37</v>
      </c>
      <c r="B4" s="14" t="str">
        <f>"-0.108**"</f>
        <v>-0.108**</v>
      </c>
      <c r="C4" s="47">
        <v>-2.72</v>
      </c>
      <c r="D4" s="8" t="str">
        <f>"-0.0822*"</f>
        <v>-0.0822*</v>
      </c>
      <c r="E4" s="47">
        <v>-2.5499999999999998</v>
      </c>
      <c r="F4" s="8" t="str">
        <f>"-0.0972*"</f>
        <v>-0.0972*</v>
      </c>
      <c r="G4" s="47">
        <v>-2.0299999999999998</v>
      </c>
      <c r="H4" s="8" t="str">
        <f>"-0.0950*"</f>
        <v>-0.0950*</v>
      </c>
      <c r="I4" s="47">
        <v>-2.09</v>
      </c>
      <c r="J4" s="8" t="str">
        <f>"-0.141"</f>
        <v>-0.141</v>
      </c>
      <c r="K4" s="47">
        <v>-1.66</v>
      </c>
      <c r="L4" s="5"/>
      <c r="M4" s="5"/>
    </row>
    <row r="5" spans="1:13" ht="17" x14ac:dyDescent="0.2">
      <c r="A5" s="30" t="s">
        <v>38</v>
      </c>
      <c r="B5" s="14" t="str">
        <f>"0.0524**"</f>
        <v>0.0524**</v>
      </c>
      <c r="C5" s="47">
        <v>3.28</v>
      </c>
      <c r="D5" s="8" t="str">
        <f>"0.0513***"</f>
        <v>0.0513***</v>
      </c>
      <c r="E5" s="47">
        <v>3.84</v>
      </c>
      <c r="F5" s="8" t="str">
        <f>"0.0536**"</f>
        <v>0.0536**</v>
      </c>
      <c r="G5" s="47">
        <v>2.72</v>
      </c>
      <c r="H5" s="8" t="str">
        <f>"0.0515**"</f>
        <v>0.0515**</v>
      </c>
      <c r="I5" s="47">
        <v>2.62</v>
      </c>
      <c r="J5" s="8" t="str">
        <f>"0.0789*"</f>
        <v>0.0789*</v>
      </c>
      <c r="K5" s="47">
        <v>2.2400000000000002</v>
      </c>
      <c r="L5" s="5"/>
      <c r="M5" s="5"/>
    </row>
    <row r="6" spans="1:13" ht="17" x14ac:dyDescent="0.2">
      <c r="A6" s="30" t="s">
        <v>39</v>
      </c>
      <c r="B6" s="20" t="str">
        <f>"-0.0717*"</f>
        <v>-0.0717*</v>
      </c>
      <c r="C6" s="48">
        <v>-2.56</v>
      </c>
      <c r="D6" s="23" t="str">
        <f>"-0.0432*"</f>
        <v>-0.0432*</v>
      </c>
      <c r="E6" s="48">
        <v>-1.98</v>
      </c>
      <c r="F6" s="23" t="str">
        <f>"-0.0568"</f>
        <v>-0.0568</v>
      </c>
      <c r="G6" s="48">
        <v>-1.76</v>
      </c>
      <c r="H6" s="23" t="str">
        <f>"-0.0542"</f>
        <v>-0.0542</v>
      </c>
      <c r="I6" s="48">
        <v>-1.97</v>
      </c>
      <c r="J6" s="23" t="str">
        <f>"-0.0940"</f>
        <v>-0.0940</v>
      </c>
      <c r="K6" s="48">
        <v>-1.68</v>
      </c>
      <c r="L6" s="5"/>
      <c r="M6" s="5"/>
    </row>
    <row r="7" spans="1:13" x14ac:dyDescent="0.2">
      <c r="A7" s="28" t="s">
        <v>23</v>
      </c>
      <c r="B7" s="9"/>
      <c r="C7" s="45"/>
      <c r="D7" s="10"/>
      <c r="E7" s="45"/>
      <c r="F7" s="10"/>
      <c r="G7" s="45"/>
      <c r="H7" s="10"/>
      <c r="I7" s="45"/>
      <c r="J7" s="10"/>
      <c r="K7" s="45"/>
      <c r="L7" s="5"/>
      <c r="M7" s="5"/>
    </row>
    <row r="8" spans="1:13" ht="34" x14ac:dyDescent="0.2">
      <c r="A8" s="25" t="s">
        <v>45</v>
      </c>
      <c r="B8" s="14" t="str">
        <f>"-0.00710"</f>
        <v>-0.00710</v>
      </c>
      <c r="C8" s="47">
        <v>-0.84</v>
      </c>
      <c r="D8" s="8" t="str">
        <f>"0.000316"</f>
        <v>0.000316</v>
      </c>
      <c r="E8" s="47">
        <v>0.11</v>
      </c>
      <c r="F8" s="8" t="str">
        <f>"-0.0137"</f>
        <v>-0.0137</v>
      </c>
      <c r="G8" s="47">
        <v>1.1100000000000001</v>
      </c>
      <c r="H8" s="8" t="str">
        <f>"-0.000123"</f>
        <v>-0.000123</v>
      </c>
      <c r="I8" s="47">
        <v>-0.03</v>
      </c>
      <c r="J8" s="8" t="str">
        <f>"-0.0140**"</f>
        <v>-0.0140**</v>
      </c>
      <c r="K8" s="47">
        <v>-2.71</v>
      </c>
      <c r="L8" s="5"/>
      <c r="M8" s="5"/>
    </row>
    <row r="9" spans="1:13" ht="34" x14ac:dyDescent="0.2">
      <c r="A9" s="25" t="s">
        <v>46</v>
      </c>
      <c r="B9" s="14" t="str">
        <f>"-0.0152"</f>
        <v>-0.0152</v>
      </c>
      <c r="C9" s="47">
        <v>-0.22</v>
      </c>
      <c r="D9" s="8" t="str">
        <f>"0.0223"</f>
        <v>0.0223</v>
      </c>
      <c r="E9" s="47">
        <v>0.48</v>
      </c>
      <c r="F9" s="8" t="str">
        <f>"-0.0351"</f>
        <v>-0.0351</v>
      </c>
      <c r="G9" s="47">
        <v>-0.52</v>
      </c>
      <c r="H9" s="8" t="str">
        <f>"0.0316"</f>
        <v>0.0316</v>
      </c>
      <c r="I9" s="47">
        <v>0.64</v>
      </c>
      <c r="J9" s="8" t="str">
        <f>"-0.1930*"</f>
        <v>-0.1930*</v>
      </c>
      <c r="K9" s="47">
        <v>-2.21</v>
      </c>
      <c r="L9" s="5"/>
      <c r="M9" s="5"/>
    </row>
    <row r="10" spans="1:13" ht="34" x14ac:dyDescent="0.2">
      <c r="A10" s="25" t="s">
        <v>47</v>
      </c>
      <c r="B10" s="14" t="str">
        <f>"-0.0177"</f>
        <v>-0.0177</v>
      </c>
      <c r="C10" s="47">
        <v>-1.04</v>
      </c>
      <c r="D10" s="8" t="str">
        <f>"-0.00796"</f>
        <v>-0.00796</v>
      </c>
      <c r="E10" s="47">
        <v>-0.65</v>
      </c>
      <c r="F10" s="8" t="str">
        <f>"-0.0319"</f>
        <v>-0.0319</v>
      </c>
      <c r="G10" s="47">
        <v>-1.6</v>
      </c>
      <c r="H10" s="8" t="str">
        <f>"-0.00951"</f>
        <v>-0.00951</v>
      </c>
      <c r="I10" s="47">
        <v>-0.7</v>
      </c>
      <c r="J10" s="8" t="str">
        <f>"-0.0576***"</f>
        <v>-0.0576***</v>
      </c>
      <c r="K10" s="47">
        <v>-4.2300000000000004</v>
      </c>
      <c r="L10" s="5"/>
      <c r="M10" s="5"/>
    </row>
    <row r="11" spans="1:13" ht="34" x14ac:dyDescent="0.2">
      <c r="A11" s="26" t="s">
        <v>48</v>
      </c>
      <c r="B11" s="20" t="str">
        <f>"-0.0218"</f>
        <v>-0.0218</v>
      </c>
      <c r="C11" s="48">
        <v>-0.35</v>
      </c>
      <c r="D11" s="23" t="str">
        <f>"0.0305"</f>
        <v>0.0305</v>
      </c>
      <c r="E11" s="48">
        <v>0.85</v>
      </c>
      <c r="F11" s="23" t="str">
        <f>"-0.0318"</f>
        <v>-0.0318</v>
      </c>
      <c r="G11" s="48">
        <v>-0.51</v>
      </c>
      <c r="H11" s="23" t="str">
        <f>"0.0227"</f>
        <v>0.0227</v>
      </c>
      <c r="I11" s="48">
        <v>0.51</v>
      </c>
      <c r="J11" s="23" t="str">
        <f>"-0.1560*"</f>
        <v>-0.1560*</v>
      </c>
      <c r="K11" s="48">
        <v>-2.41</v>
      </c>
      <c r="L11" s="5"/>
      <c r="M11" s="5"/>
    </row>
    <row r="12" spans="1:13" x14ac:dyDescent="0.2">
      <c r="A12" s="5"/>
      <c r="B12" s="8"/>
      <c r="C12" s="42"/>
      <c r="D12" s="8"/>
      <c r="E12" s="42"/>
      <c r="F12" s="8"/>
      <c r="G12" s="42"/>
      <c r="H12" s="8"/>
      <c r="I12" s="42"/>
      <c r="J12" s="8"/>
      <c r="K12" s="43"/>
      <c r="L12" s="5"/>
      <c r="M12" s="5"/>
    </row>
    <row r="13" spans="1:13" x14ac:dyDescent="0.2">
      <c r="A13" s="5" t="s">
        <v>10</v>
      </c>
      <c r="B13" s="8"/>
      <c r="C13" s="42"/>
      <c r="D13" s="8"/>
      <c r="E13" s="42"/>
      <c r="F13" s="8"/>
      <c r="G13" s="42"/>
      <c r="H13" s="8"/>
      <c r="I13" s="42"/>
      <c r="J13" s="8"/>
      <c r="K13" s="43"/>
      <c r="L13" s="5"/>
      <c r="M13" s="5"/>
    </row>
    <row r="14" spans="1:13" x14ac:dyDescent="0.2">
      <c r="A14" s="5"/>
      <c r="B14" s="8"/>
      <c r="C14" s="42"/>
      <c r="D14" s="8"/>
      <c r="E14" s="42"/>
      <c r="F14" s="8"/>
      <c r="G14" s="42"/>
      <c r="H14" s="8"/>
      <c r="I14" s="42"/>
      <c r="J14" s="8"/>
      <c r="K14" s="43"/>
      <c r="L14" s="5"/>
      <c r="M14" s="5"/>
    </row>
    <row r="15" spans="1:13" x14ac:dyDescent="0.2">
      <c r="A15" s="5"/>
      <c r="B15" s="8"/>
      <c r="C15" s="42"/>
      <c r="D15" s="8"/>
      <c r="E15" s="42"/>
      <c r="F15" s="8"/>
      <c r="G15" s="42"/>
      <c r="H15" s="8"/>
      <c r="I15" s="42"/>
      <c r="J15" s="8"/>
      <c r="K15" s="43"/>
      <c r="L15" s="5"/>
      <c r="M15" s="5"/>
    </row>
    <row r="16" spans="1:13" x14ac:dyDescent="0.2">
      <c r="A16" s="5"/>
      <c r="B16" s="8"/>
      <c r="C16" s="42"/>
      <c r="D16" s="8"/>
      <c r="E16" s="42"/>
      <c r="F16" s="8"/>
      <c r="G16" s="42"/>
      <c r="H16" s="8"/>
      <c r="I16" s="42"/>
      <c r="J16" s="8"/>
      <c r="K16" s="43"/>
      <c r="L16" s="5"/>
      <c r="M16" s="5"/>
    </row>
    <row r="17" spans="1:13" x14ac:dyDescent="0.2">
      <c r="A17" s="5"/>
      <c r="B17" s="8"/>
      <c r="C17" s="42"/>
      <c r="D17" s="8"/>
      <c r="E17" s="42"/>
      <c r="F17" s="8"/>
      <c r="G17" s="42"/>
      <c r="H17" s="8"/>
      <c r="I17" s="42"/>
      <c r="J17" s="8"/>
      <c r="K17" s="43"/>
      <c r="L17" s="5"/>
      <c r="M17" s="5"/>
    </row>
    <row r="18" spans="1:13" x14ac:dyDescent="0.2">
      <c r="A18" s="5"/>
      <c r="B18" s="8"/>
      <c r="C18" s="42"/>
      <c r="D18" s="8"/>
      <c r="E18" s="42"/>
      <c r="F18" s="8"/>
      <c r="G18" s="42"/>
      <c r="H18" s="8"/>
      <c r="I18" s="42"/>
      <c r="J18" s="8"/>
      <c r="K18" s="43"/>
      <c r="L18" s="5"/>
      <c r="M18" s="5"/>
    </row>
    <row r="19" spans="1:13" x14ac:dyDescent="0.2">
      <c r="A19" s="5"/>
      <c r="B19" s="8"/>
      <c r="C19" s="42"/>
      <c r="D19" s="8"/>
      <c r="E19" s="42"/>
      <c r="F19" s="8"/>
      <c r="G19" s="42"/>
      <c r="H19" s="8"/>
      <c r="I19" s="42"/>
      <c r="J19" s="8"/>
      <c r="K19" s="43"/>
      <c r="L19" s="5"/>
      <c r="M19" s="5"/>
    </row>
    <row r="20" spans="1:13" x14ac:dyDescent="0.2">
      <c r="A20" s="5"/>
      <c r="B20" s="8"/>
      <c r="C20" s="42"/>
      <c r="D20" s="8"/>
      <c r="E20" s="42"/>
      <c r="F20" s="8"/>
      <c r="G20" s="42"/>
      <c r="H20" s="8"/>
      <c r="I20" s="42"/>
      <c r="J20" s="8"/>
      <c r="K20" s="43"/>
      <c r="L20" s="5"/>
      <c r="M20" s="5"/>
    </row>
    <row r="21" spans="1:13" x14ac:dyDescent="0.2">
      <c r="A21" s="5"/>
      <c r="B21" s="8"/>
      <c r="C21" s="42"/>
      <c r="D21" s="8"/>
      <c r="E21" s="42"/>
      <c r="F21" s="8"/>
      <c r="G21" s="42"/>
      <c r="H21" s="8"/>
      <c r="I21" s="42"/>
      <c r="J21" s="8"/>
      <c r="K21" s="43"/>
      <c r="L21" s="5"/>
      <c r="M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3655-C4E3-2948-BECC-2491E2681902}">
  <sheetPr codeName="Sheet6"/>
  <dimension ref="A1:W20"/>
  <sheetViews>
    <sheetView zoomScale="57" zoomScaleNormal="57" workbookViewId="0">
      <selection activeCell="R37" sqref="R37"/>
    </sheetView>
  </sheetViews>
  <sheetFormatPr baseColWidth="10" defaultRowHeight="16" x14ac:dyDescent="0.2"/>
  <cols>
    <col min="1" max="1" width="21.6640625" customWidth="1"/>
    <col min="3" max="3" width="10.83203125" style="1"/>
    <col min="5" max="5" width="10.83203125" style="1"/>
    <col min="6" max="6" width="16.33203125" bestFit="1" customWidth="1"/>
    <col min="7" max="7" width="10.83203125" style="1"/>
    <col min="9" max="9" width="10.83203125" style="1" customWidth="1"/>
    <col min="11" max="11" width="10.83203125" style="1"/>
    <col min="12" max="12" width="16.33203125" bestFit="1" customWidth="1"/>
    <col min="13" max="13" width="10.83203125" style="1" customWidth="1"/>
    <col min="15" max="15" width="10.83203125" style="1"/>
    <col min="17" max="17" width="10.83203125" style="1"/>
    <col min="18" max="18" width="16.33203125" bestFit="1" customWidth="1"/>
    <col min="19" max="19" width="10.83203125" style="1" customWidth="1"/>
  </cols>
  <sheetData>
    <row r="1" spans="1:23" x14ac:dyDescent="0.2">
      <c r="A1" s="5"/>
      <c r="B1" s="5"/>
      <c r="C1" s="8"/>
      <c r="D1" s="5"/>
      <c r="E1" s="8"/>
      <c r="F1" s="5"/>
      <c r="G1" s="8"/>
      <c r="H1" s="5"/>
      <c r="I1" s="8"/>
      <c r="J1" s="5"/>
      <c r="K1" s="8"/>
      <c r="L1" s="5"/>
      <c r="M1" s="8"/>
      <c r="N1" s="5"/>
      <c r="O1" s="8"/>
      <c r="P1" s="5"/>
      <c r="Q1" s="8"/>
      <c r="R1" s="5"/>
      <c r="S1" s="8"/>
      <c r="T1" s="5"/>
      <c r="U1" s="5"/>
      <c r="V1" s="5"/>
      <c r="W1" s="5"/>
    </row>
    <row r="2" spans="1:23" x14ac:dyDescent="0.2">
      <c r="A2" s="5"/>
      <c r="B2" s="50" t="s">
        <v>12</v>
      </c>
      <c r="C2" s="51"/>
      <c r="D2" s="51"/>
      <c r="E2" s="51"/>
      <c r="F2" s="51"/>
      <c r="G2" s="52"/>
      <c r="H2" s="50" t="s">
        <v>13</v>
      </c>
      <c r="I2" s="51"/>
      <c r="J2" s="51"/>
      <c r="K2" s="51"/>
      <c r="L2" s="51"/>
      <c r="M2" s="51"/>
      <c r="N2" s="53" t="s">
        <v>14</v>
      </c>
      <c r="O2" s="53"/>
      <c r="P2" s="53"/>
      <c r="Q2" s="53"/>
      <c r="R2" s="53"/>
      <c r="S2" s="53"/>
      <c r="T2" s="5"/>
      <c r="U2" s="5"/>
      <c r="V2" s="5"/>
      <c r="W2" s="5"/>
    </row>
    <row r="3" spans="1:23" ht="17" x14ac:dyDescent="0.2">
      <c r="A3" s="5"/>
      <c r="B3" s="32" t="s">
        <v>15</v>
      </c>
      <c r="C3" s="19" t="s">
        <v>9</v>
      </c>
      <c r="D3" s="18" t="s">
        <v>16</v>
      </c>
      <c r="E3" s="19" t="s">
        <v>9</v>
      </c>
      <c r="F3" s="31" t="s">
        <v>54</v>
      </c>
      <c r="G3" s="19" t="s">
        <v>9</v>
      </c>
      <c r="H3" s="32" t="s">
        <v>15</v>
      </c>
      <c r="I3" s="19" t="s">
        <v>9</v>
      </c>
      <c r="J3" s="18" t="s">
        <v>16</v>
      </c>
      <c r="K3" s="19" t="s">
        <v>9</v>
      </c>
      <c r="L3" s="31" t="s">
        <v>54</v>
      </c>
      <c r="M3" s="19" t="s">
        <v>9</v>
      </c>
      <c r="N3" s="49" t="s">
        <v>15</v>
      </c>
      <c r="O3" s="15" t="s">
        <v>9</v>
      </c>
      <c r="P3" s="14" t="s">
        <v>16</v>
      </c>
      <c r="Q3" s="15" t="s">
        <v>9</v>
      </c>
      <c r="R3" s="9" t="s">
        <v>54</v>
      </c>
      <c r="S3" s="11" t="s">
        <v>9</v>
      </c>
      <c r="T3" s="5"/>
      <c r="U3" s="5"/>
      <c r="V3" s="5"/>
      <c r="W3" s="5"/>
    </row>
    <row r="4" spans="1:23" x14ac:dyDescent="0.2">
      <c r="A4" s="33" t="s">
        <v>24</v>
      </c>
      <c r="B4" s="9"/>
      <c r="C4" s="11"/>
      <c r="D4" s="9"/>
      <c r="E4" s="11"/>
      <c r="F4" s="10"/>
      <c r="G4" s="10"/>
      <c r="H4" s="9"/>
      <c r="I4" s="11"/>
      <c r="J4" s="9"/>
      <c r="K4" s="11"/>
      <c r="L4" s="10"/>
      <c r="M4" s="10"/>
      <c r="N4" s="9"/>
      <c r="O4" s="11"/>
      <c r="P4" s="9"/>
      <c r="Q4" s="11"/>
      <c r="R4" s="9"/>
      <c r="S4" s="11"/>
      <c r="T4" s="5"/>
      <c r="U4" s="5"/>
      <c r="V4" s="5"/>
      <c r="W4" s="5"/>
    </row>
    <row r="5" spans="1:23" ht="34" x14ac:dyDescent="0.2">
      <c r="A5" s="34" t="s">
        <v>37</v>
      </c>
      <c r="B5" s="14">
        <v>8.3000000000000001E-3</v>
      </c>
      <c r="C5" s="15">
        <v>0.88</v>
      </c>
      <c r="D5" s="14" t="str">
        <f>"-0.1080**"</f>
        <v>-0.1080**</v>
      </c>
      <c r="E5" s="15">
        <v>-2.72</v>
      </c>
      <c r="F5" s="8" t="str">
        <f>"-0.1086*** "</f>
        <v xml:space="preserve">-0.1086*** </v>
      </c>
      <c r="G5" s="8">
        <v>-4.72</v>
      </c>
      <c r="H5" s="14" t="str">
        <f>"-0.0041"</f>
        <v>-0.0041</v>
      </c>
      <c r="I5" s="15">
        <v>-0.47</v>
      </c>
      <c r="J5" s="14" t="str">
        <f>"-0.0760*"</f>
        <v>-0.0760*</v>
      </c>
      <c r="K5" s="15">
        <v>-2.38</v>
      </c>
      <c r="L5" s="8" t="str">
        <f>"-0.0766**"</f>
        <v>-0.0766**</v>
      </c>
      <c r="M5" s="8">
        <v>-2.61</v>
      </c>
      <c r="N5" s="14" t="str">
        <f>"0.0192"</f>
        <v>0.0192</v>
      </c>
      <c r="O5" s="15">
        <v>1.73</v>
      </c>
      <c r="P5" s="14" t="str">
        <f>"-0.1410**"</f>
        <v>-0.1410**</v>
      </c>
      <c r="Q5" s="15">
        <v>-2.63</v>
      </c>
      <c r="R5" s="14" t="str">
        <f>"-0.1418***"</f>
        <v>-0.1418***</v>
      </c>
      <c r="S5" s="15">
        <v>-3.95</v>
      </c>
      <c r="T5" s="5"/>
      <c r="U5" s="5"/>
      <c r="V5" s="5"/>
      <c r="W5" s="5"/>
    </row>
    <row r="6" spans="1:23" ht="17" x14ac:dyDescent="0.2">
      <c r="A6" s="34" t="s">
        <v>38</v>
      </c>
      <c r="B6" s="14" t="s">
        <v>17</v>
      </c>
      <c r="C6" s="15">
        <v>3.54</v>
      </c>
      <c r="D6" s="14" t="str">
        <f>"0.0524**"</f>
        <v>0.0524**</v>
      </c>
      <c r="E6" s="15">
        <v>3.28</v>
      </c>
      <c r="F6" s="8" t="str">
        <f>"0.0598***"</f>
        <v>0.0598***</v>
      </c>
      <c r="G6" s="8">
        <v>2.48</v>
      </c>
      <c r="H6" s="14" t="str">
        <f>"0.0146***"</f>
        <v>0.0146***</v>
      </c>
      <c r="I6" s="15">
        <v>5.76</v>
      </c>
      <c r="J6" s="14" t="str">
        <f>"0.0643*"</f>
        <v>0.0643*</v>
      </c>
      <c r="K6" s="15">
        <v>2.37</v>
      </c>
      <c r="L6" s="8" t="str">
        <f>"0.0693***"</f>
        <v>0.0693***</v>
      </c>
      <c r="M6" s="8">
        <v>3.56</v>
      </c>
      <c r="N6" s="14" t="str">
        <f>"0.0058"</f>
        <v>0.0058</v>
      </c>
      <c r="O6" s="15">
        <v>1.65</v>
      </c>
      <c r="P6" s="14" t="str">
        <f>"0.0379"</f>
        <v>0.0379</v>
      </c>
      <c r="Q6" s="15">
        <v>1.72</v>
      </c>
      <c r="R6" s="14" t="str">
        <f>"0.0494**"</f>
        <v>0.0494**</v>
      </c>
      <c r="S6" s="15">
        <v>2.48</v>
      </c>
      <c r="T6" s="5"/>
      <c r="U6" s="5"/>
      <c r="V6" s="5"/>
      <c r="W6" s="5"/>
    </row>
    <row r="7" spans="1:23" ht="17" x14ac:dyDescent="0.2">
      <c r="A7" s="34" t="s">
        <v>39</v>
      </c>
      <c r="B7" s="20">
        <v>-1.6999999999999999E-3</v>
      </c>
      <c r="C7" s="21">
        <v>-0.25</v>
      </c>
      <c r="D7" s="20" t="str">
        <f>"-0.0717*"</f>
        <v>-0.0717*</v>
      </c>
      <c r="E7" s="21">
        <v>-2.56</v>
      </c>
      <c r="F7" s="23" t="str">
        <f>"-0.0854*** "</f>
        <v xml:space="preserve">-0.0854*** </v>
      </c>
      <c r="G7" s="21">
        <v>-0.16</v>
      </c>
      <c r="H7" s="20" t="str">
        <f>"-0.0006"</f>
        <v>-0.0006</v>
      </c>
      <c r="I7" s="21">
        <v>-0.11</v>
      </c>
      <c r="J7" s="20" t="str">
        <f>"-0.0152"</f>
        <v>-0.0152</v>
      </c>
      <c r="K7" s="21">
        <v>-0.55000000000000004</v>
      </c>
      <c r="L7" s="23" t="str">
        <f>"-0.0368"</f>
        <v>-0.0368</v>
      </c>
      <c r="M7" s="23">
        <v>-1.72</v>
      </c>
      <c r="N7" s="20" t="str">
        <f>"-0.0036"</f>
        <v>-0.0036</v>
      </c>
      <c r="O7" s="21">
        <v>-0.42</v>
      </c>
      <c r="P7" s="20" t="str">
        <f>"-0.1340**"</f>
        <v>-0.1340**</v>
      </c>
      <c r="Q7" s="21">
        <v>-2.69</v>
      </c>
      <c r="R7" s="20" t="str">
        <f>"-.1391***"</f>
        <v>-.1391***</v>
      </c>
      <c r="S7" s="21">
        <v>-3.63</v>
      </c>
      <c r="T7" s="5"/>
      <c r="U7" s="5"/>
      <c r="V7" s="5"/>
      <c r="W7" s="5"/>
    </row>
    <row r="8" spans="1:23" x14ac:dyDescent="0.2">
      <c r="A8" s="5"/>
      <c r="B8" s="5"/>
      <c r="C8" s="8"/>
      <c r="D8" s="5"/>
      <c r="E8" s="8"/>
      <c r="F8" s="5"/>
      <c r="G8" s="8"/>
      <c r="H8" s="5"/>
      <c r="I8" s="8"/>
      <c r="J8" s="5"/>
      <c r="K8" s="8"/>
      <c r="L8" s="5"/>
      <c r="M8" s="8"/>
      <c r="N8" s="5"/>
      <c r="O8" s="8"/>
      <c r="P8" s="5"/>
      <c r="Q8" s="8"/>
      <c r="R8" s="5"/>
      <c r="S8" s="8"/>
      <c r="T8" s="5"/>
      <c r="U8" s="5"/>
      <c r="V8" s="5"/>
      <c r="W8" s="5"/>
    </row>
    <row r="9" spans="1:23" x14ac:dyDescent="0.2">
      <c r="A9" s="5" t="s">
        <v>10</v>
      </c>
      <c r="B9" s="5"/>
      <c r="C9" s="8"/>
      <c r="D9" s="5"/>
      <c r="E9" s="8"/>
      <c r="F9" s="5"/>
      <c r="G9" s="8"/>
      <c r="H9" s="5"/>
      <c r="I9" s="8"/>
      <c r="J9" s="5"/>
      <c r="K9" s="8"/>
      <c r="L9" s="5"/>
      <c r="M9" s="8"/>
      <c r="N9" s="5"/>
      <c r="O9" s="8"/>
      <c r="P9" s="5"/>
      <c r="Q9" s="8"/>
      <c r="R9" s="5"/>
      <c r="S9" s="8"/>
      <c r="T9" s="5"/>
      <c r="U9" s="5"/>
      <c r="V9" s="5"/>
      <c r="W9" s="5"/>
    </row>
    <row r="10" spans="1:23" x14ac:dyDescent="0.2">
      <c r="A10" s="5"/>
      <c r="B10" s="5"/>
      <c r="C10" s="8"/>
      <c r="D10" s="5"/>
      <c r="E10" s="8"/>
      <c r="F10" s="5"/>
      <c r="G10" s="8"/>
      <c r="H10" s="5"/>
      <c r="I10" s="8"/>
      <c r="J10" s="5"/>
      <c r="K10" s="8"/>
      <c r="L10" s="5"/>
      <c r="M10" s="8"/>
      <c r="N10" s="5"/>
      <c r="O10" s="8"/>
      <c r="P10" s="5"/>
      <c r="Q10" s="8"/>
      <c r="R10" s="5"/>
      <c r="S10" s="8"/>
      <c r="T10" s="5"/>
      <c r="U10" s="5"/>
      <c r="V10" s="5"/>
      <c r="W10" s="5"/>
    </row>
    <row r="11" spans="1:23" x14ac:dyDescent="0.2">
      <c r="A11" s="5"/>
      <c r="B11" s="5"/>
      <c r="C11" s="8"/>
      <c r="D11" s="5"/>
      <c r="E11" s="8"/>
      <c r="F11" s="5"/>
      <c r="G11" s="8"/>
      <c r="H11" s="5"/>
      <c r="I11" s="8"/>
      <c r="J11" s="5"/>
      <c r="K11" s="8"/>
      <c r="L11" s="5"/>
      <c r="M11" s="8"/>
      <c r="N11" s="5"/>
      <c r="O11" s="8"/>
      <c r="P11" s="5"/>
      <c r="Q11" s="8"/>
      <c r="R11" s="5"/>
      <c r="S11" s="8"/>
      <c r="T11" s="5"/>
      <c r="U11" s="5"/>
      <c r="V11" s="5"/>
      <c r="W11" s="5"/>
    </row>
    <row r="12" spans="1:23" x14ac:dyDescent="0.2">
      <c r="A12" s="5"/>
      <c r="B12" s="5"/>
      <c r="C12" s="8"/>
      <c r="D12" s="5"/>
      <c r="E12" s="8"/>
      <c r="F12" s="5"/>
      <c r="G12" s="8"/>
      <c r="H12" s="5"/>
      <c r="I12" s="8"/>
      <c r="J12" s="5"/>
      <c r="K12" s="8"/>
      <c r="L12" s="5"/>
      <c r="M12" s="8"/>
      <c r="N12" s="5"/>
      <c r="O12" s="8"/>
      <c r="P12" s="5"/>
      <c r="Q12" s="8"/>
      <c r="R12" s="5"/>
      <c r="S12" s="8"/>
      <c r="T12" s="5"/>
      <c r="U12" s="5"/>
      <c r="V12" s="5"/>
      <c r="W12" s="5"/>
    </row>
    <row r="13" spans="1:23" x14ac:dyDescent="0.2">
      <c r="A13" s="5"/>
      <c r="B13" s="5"/>
      <c r="C13" s="8"/>
      <c r="D13" s="5"/>
      <c r="E13" s="8"/>
      <c r="F13" s="5"/>
      <c r="G13" s="8"/>
      <c r="H13" s="5"/>
      <c r="I13" s="8"/>
      <c r="J13" s="5"/>
      <c r="K13" s="8"/>
      <c r="L13" s="5"/>
      <c r="M13" s="8"/>
      <c r="N13" s="5"/>
      <c r="O13" s="8"/>
      <c r="P13" s="5"/>
      <c r="Q13" s="8"/>
      <c r="R13" s="5"/>
      <c r="S13" s="8"/>
      <c r="T13" s="5"/>
      <c r="U13" s="5"/>
      <c r="V13" s="5"/>
      <c r="W13" s="5"/>
    </row>
    <row r="14" spans="1:23" x14ac:dyDescent="0.2">
      <c r="A14" s="5"/>
      <c r="B14" s="5"/>
      <c r="C14" s="8"/>
      <c r="D14" s="5"/>
      <c r="E14" s="8"/>
      <c r="F14" s="5"/>
      <c r="G14" s="8"/>
      <c r="H14" s="5"/>
      <c r="I14" s="8"/>
      <c r="J14" s="5"/>
      <c r="K14" s="8"/>
      <c r="L14" s="5"/>
      <c r="M14" s="8"/>
      <c r="N14" s="5"/>
      <c r="O14" s="8"/>
      <c r="P14" s="5"/>
      <c r="Q14" s="8"/>
      <c r="R14" s="5"/>
      <c r="S14" s="8"/>
      <c r="T14" s="5"/>
      <c r="U14" s="5"/>
      <c r="V14" s="5"/>
      <c r="W14" s="5"/>
    </row>
    <row r="15" spans="1:23" x14ac:dyDescent="0.2">
      <c r="A15" s="5"/>
      <c r="B15" s="5"/>
      <c r="C15" s="8"/>
      <c r="D15" s="5"/>
      <c r="E15" s="8"/>
      <c r="F15" s="5"/>
      <c r="G15" s="8"/>
      <c r="H15" s="5"/>
      <c r="I15" s="8"/>
      <c r="J15" s="5"/>
      <c r="K15" s="8"/>
      <c r="L15" s="5"/>
      <c r="M15" s="8"/>
      <c r="N15" s="5"/>
      <c r="O15" s="8"/>
      <c r="P15" s="5"/>
      <c r="Q15" s="8"/>
      <c r="R15" s="5"/>
      <c r="S15" s="8"/>
      <c r="T15" s="5"/>
      <c r="U15" s="5"/>
      <c r="V15" s="5"/>
      <c r="W15" s="5"/>
    </row>
    <row r="16" spans="1:23" x14ac:dyDescent="0.2">
      <c r="A16" s="5"/>
      <c r="B16" s="5"/>
      <c r="C16" s="8"/>
      <c r="D16" s="5"/>
      <c r="E16" s="8"/>
      <c r="F16" s="5"/>
      <c r="G16" s="8"/>
      <c r="H16" s="5"/>
      <c r="I16" s="8"/>
      <c r="J16" s="5"/>
      <c r="K16" s="8"/>
      <c r="L16" s="5"/>
      <c r="M16" s="8"/>
      <c r="N16" s="5"/>
      <c r="O16" s="8"/>
      <c r="P16" s="5"/>
      <c r="Q16" s="8"/>
      <c r="R16" s="5"/>
      <c r="S16" s="8"/>
      <c r="T16" s="5"/>
      <c r="U16" s="5"/>
      <c r="V16" s="5"/>
      <c r="W16" s="5"/>
    </row>
    <row r="17" spans="1:23" x14ac:dyDescent="0.2">
      <c r="A17" s="5"/>
      <c r="B17" s="5"/>
      <c r="C17" s="8"/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8"/>
      <c r="P17" s="5"/>
      <c r="Q17" s="8"/>
      <c r="R17" s="5"/>
      <c r="S17" s="8"/>
      <c r="T17" s="5"/>
      <c r="U17" s="5"/>
      <c r="V17" s="5"/>
      <c r="W17" s="5"/>
    </row>
    <row r="18" spans="1:23" x14ac:dyDescent="0.2">
      <c r="A18" s="5"/>
      <c r="B18" s="5"/>
      <c r="C18" s="8"/>
      <c r="D18" s="5"/>
      <c r="E18" s="8"/>
      <c r="F18" s="5"/>
      <c r="G18" s="8"/>
      <c r="H18" s="5"/>
      <c r="I18" s="8"/>
      <c r="J18" s="5"/>
      <c r="K18" s="8"/>
      <c r="L18" s="5"/>
      <c r="M18" s="8"/>
      <c r="N18" s="5"/>
      <c r="O18" s="8"/>
      <c r="P18" s="5"/>
      <c r="Q18" s="8"/>
      <c r="R18" s="5"/>
      <c r="S18" s="8"/>
      <c r="T18" s="5"/>
      <c r="U18" s="5"/>
      <c r="V18" s="5"/>
      <c r="W18" s="5"/>
    </row>
    <row r="19" spans="1:23" x14ac:dyDescent="0.2">
      <c r="A19" s="5"/>
      <c r="B19" s="5"/>
      <c r="C19" s="8"/>
      <c r="D19" s="5"/>
      <c r="E19" s="8"/>
      <c r="F19" s="5"/>
      <c r="G19" s="8"/>
      <c r="H19" s="5"/>
      <c r="I19" s="8"/>
      <c r="J19" s="5"/>
      <c r="K19" s="8"/>
      <c r="L19" s="5"/>
      <c r="M19" s="8"/>
      <c r="N19" s="5"/>
      <c r="O19" s="8"/>
      <c r="P19" s="5"/>
      <c r="Q19" s="8"/>
      <c r="R19" s="5"/>
      <c r="S19" s="8"/>
      <c r="T19" s="5"/>
      <c r="U19" s="5"/>
      <c r="V19" s="5"/>
      <c r="W19" s="5"/>
    </row>
    <row r="20" spans="1:23" x14ac:dyDescent="0.2">
      <c r="A20" s="5"/>
      <c r="B20" s="5"/>
      <c r="C20" s="8"/>
      <c r="D20" s="5"/>
      <c r="E20" s="8"/>
      <c r="F20" s="5"/>
      <c r="G20" s="8"/>
      <c r="H20" s="5"/>
      <c r="I20" s="8"/>
      <c r="J20" s="5"/>
      <c r="K20" s="8"/>
      <c r="L20" s="5"/>
      <c r="M20" s="8"/>
      <c r="N20" s="5"/>
      <c r="O20" s="8"/>
      <c r="P20" s="5"/>
      <c r="Q20" s="8"/>
      <c r="R20" s="5"/>
      <c r="S20" s="8"/>
      <c r="T20" s="5"/>
      <c r="U20" s="5"/>
      <c r="V20" s="5"/>
      <c r="W20" s="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10AF-19D9-3B49-B8A1-03D07B07D16E}">
  <dimension ref="A1:Q29"/>
  <sheetViews>
    <sheetView workbookViewId="0">
      <selection activeCell="D7" sqref="D7"/>
    </sheetView>
  </sheetViews>
  <sheetFormatPr baseColWidth="10" defaultRowHeight="16" x14ac:dyDescent="0.2"/>
  <cols>
    <col min="1" max="1" width="26.83203125" customWidth="1"/>
    <col min="2" max="2" width="9.33203125" bestFit="1" customWidth="1"/>
    <col min="3" max="3" width="9.1640625" bestFit="1" customWidth="1"/>
    <col min="4" max="4" width="10.6640625" bestFit="1" customWidth="1"/>
    <col min="5" max="5" width="9.1640625" bestFit="1" customWidth="1"/>
    <col min="6" max="6" width="8.33203125" bestFit="1" customWidth="1"/>
    <col min="7" max="7" width="9.1640625" bestFit="1" customWidth="1"/>
    <col min="8" max="8" width="9.6640625" bestFit="1" customWidth="1"/>
    <col min="9" max="9" width="9.1640625" bestFit="1" customWidth="1"/>
    <col min="10" max="10" width="9.33203125" bestFit="1" customWidth="1"/>
    <col min="11" max="11" width="9.1640625" bestFit="1" customWidth="1"/>
    <col min="12" max="12" width="10.33203125" bestFit="1" customWidth="1"/>
    <col min="13" max="13" width="9.1640625" bestFit="1" customWidth="1"/>
  </cols>
  <sheetData>
    <row r="1" spans="1:17" x14ac:dyDescent="0.2">
      <c r="A1" s="5"/>
      <c r="B1" s="5"/>
      <c r="C1" s="8"/>
      <c r="D1" s="5"/>
      <c r="E1" s="8"/>
      <c r="F1" s="5"/>
      <c r="G1" s="8"/>
      <c r="H1" s="5"/>
      <c r="I1" s="8"/>
      <c r="J1" s="5"/>
      <c r="K1" s="8"/>
      <c r="L1" s="5"/>
      <c r="M1" s="8"/>
      <c r="N1" s="5"/>
      <c r="O1" s="5"/>
      <c r="P1" s="5"/>
      <c r="Q1" s="5"/>
    </row>
    <row r="2" spans="1:17" x14ac:dyDescent="0.2">
      <c r="A2" s="5"/>
      <c r="B2" s="63" t="s">
        <v>12</v>
      </c>
      <c r="C2" s="64"/>
      <c r="D2" s="64"/>
      <c r="E2" s="65"/>
      <c r="F2" s="63" t="s">
        <v>13</v>
      </c>
      <c r="G2" s="64"/>
      <c r="H2" s="64"/>
      <c r="I2" s="65"/>
      <c r="J2" s="63" t="s">
        <v>14</v>
      </c>
      <c r="K2" s="64"/>
      <c r="L2" s="64"/>
      <c r="M2" s="65"/>
      <c r="N2" s="5"/>
      <c r="O2" s="5"/>
      <c r="P2" s="5"/>
      <c r="Q2" s="5"/>
    </row>
    <row r="3" spans="1:17" x14ac:dyDescent="0.2">
      <c r="A3" s="5"/>
      <c r="B3" s="18" t="s">
        <v>16</v>
      </c>
      <c r="C3" s="19" t="s">
        <v>9</v>
      </c>
      <c r="D3" s="31" t="s">
        <v>55</v>
      </c>
      <c r="E3" s="19" t="s">
        <v>9</v>
      </c>
      <c r="F3" s="18" t="s">
        <v>16</v>
      </c>
      <c r="G3" s="19" t="s">
        <v>9</v>
      </c>
      <c r="H3" s="31" t="s">
        <v>55</v>
      </c>
      <c r="I3" s="19" t="s">
        <v>9</v>
      </c>
      <c r="J3" s="14" t="s">
        <v>16</v>
      </c>
      <c r="K3" s="15" t="s">
        <v>9</v>
      </c>
      <c r="L3" s="31" t="s">
        <v>55</v>
      </c>
      <c r="M3" s="11" t="s">
        <v>9</v>
      </c>
      <c r="N3" s="5"/>
      <c r="O3" s="5"/>
      <c r="P3" s="5"/>
      <c r="Q3" s="5"/>
    </row>
    <row r="4" spans="1:17" x14ac:dyDescent="0.2">
      <c r="A4" s="33" t="s">
        <v>24</v>
      </c>
      <c r="B4" s="9"/>
      <c r="C4" s="11"/>
      <c r="D4" s="10"/>
      <c r="E4" s="10"/>
      <c r="F4" s="9"/>
      <c r="G4" s="11"/>
      <c r="H4" s="10"/>
      <c r="I4" s="10"/>
      <c r="J4" s="9"/>
      <c r="K4" s="11"/>
      <c r="L4" s="9"/>
      <c r="M4" s="11"/>
      <c r="N4" s="5"/>
      <c r="O4" s="5"/>
      <c r="P4" s="5"/>
      <c r="Q4" s="5"/>
    </row>
    <row r="5" spans="1:17" ht="34" x14ac:dyDescent="0.2">
      <c r="A5" s="40" t="s">
        <v>37</v>
      </c>
      <c r="B5" s="14" t="str">
        <f>"-0.1080**"</f>
        <v>-0.1080**</v>
      </c>
      <c r="C5" s="15">
        <v>-2.72</v>
      </c>
      <c r="D5" s="8" t="str">
        <f>"-0.1086*** "</f>
        <v xml:space="preserve">-0.1086*** </v>
      </c>
      <c r="E5" s="8">
        <v>-4.72</v>
      </c>
      <c r="F5" s="14" t="str">
        <f>"-0.0760*"</f>
        <v>-0.0760*</v>
      </c>
      <c r="G5" s="15">
        <v>-2.38</v>
      </c>
      <c r="H5" s="8" t="str">
        <f>"-0.0766**"</f>
        <v>-0.0766**</v>
      </c>
      <c r="I5" s="8">
        <v>-2.61</v>
      </c>
      <c r="J5" s="14" t="str">
        <f>"-0.1410**"</f>
        <v>-0.1410**</v>
      </c>
      <c r="K5" s="15">
        <v>-2.63</v>
      </c>
      <c r="L5" s="14" t="str">
        <f>"-0.1418***"</f>
        <v>-0.1418***</v>
      </c>
      <c r="M5" s="15">
        <v>-3.95</v>
      </c>
      <c r="N5" s="5"/>
      <c r="O5" s="5"/>
      <c r="P5" s="5"/>
      <c r="Q5" s="5"/>
    </row>
    <row r="6" spans="1:17" ht="17" x14ac:dyDescent="0.2">
      <c r="A6" s="30" t="s">
        <v>38</v>
      </c>
      <c r="B6" s="14" t="str">
        <f>"0.0524**"</f>
        <v>0.0524**</v>
      </c>
      <c r="C6" s="15">
        <v>3.28</v>
      </c>
      <c r="D6" s="8" t="str">
        <f>"0.0593***"</f>
        <v>0.0593***</v>
      </c>
      <c r="E6" s="8">
        <v>4.2699999999999996</v>
      </c>
      <c r="F6" s="14" t="str">
        <f>"0.0643*"</f>
        <v>0.0643*</v>
      </c>
      <c r="G6" s="15">
        <v>2.37</v>
      </c>
      <c r="H6" s="8" t="str">
        <f>"0.0683***"</f>
        <v>0.0683***</v>
      </c>
      <c r="I6" s="8">
        <v>3.53</v>
      </c>
      <c r="J6" s="14" t="str">
        <f>"0.0379"</f>
        <v>0.0379</v>
      </c>
      <c r="K6" s="15">
        <v>1.72</v>
      </c>
      <c r="L6" s="14" t="str">
        <f>"0.0483**"</f>
        <v>0.0483**</v>
      </c>
      <c r="M6" s="15">
        <v>2.44</v>
      </c>
      <c r="N6" s="5"/>
      <c r="O6" s="5"/>
      <c r="P6" s="5"/>
      <c r="Q6" s="5"/>
    </row>
    <row r="7" spans="1:17" ht="17" x14ac:dyDescent="0.2">
      <c r="A7" s="41" t="s">
        <v>39</v>
      </c>
      <c r="B7" s="20" t="str">
        <f>"-0.0717*"</f>
        <v>-0.0717*</v>
      </c>
      <c r="C7" s="21">
        <v>-2.56</v>
      </c>
      <c r="D7" s="23" t="str">
        <f>"-0.0797*** "</f>
        <v xml:space="preserve">-0.0797*** </v>
      </c>
      <c r="E7" s="21">
        <v>-4.34</v>
      </c>
      <c r="F7" s="20" t="str">
        <f>"-0.0152"</f>
        <v>-0.0152</v>
      </c>
      <c r="G7" s="21">
        <v>-0.55000000000000004</v>
      </c>
      <c r="H7" s="23" t="str">
        <f>"-0.0299"</f>
        <v>-0.0299</v>
      </c>
      <c r="I7" s="23">
        <v>-1.36</v>
      </c>
      <c r="J7" s="20" t="str">
        <f>"-0.1340**"</f>
        <v>-0.1340**</v>
      </c>
      <c r="K7" s="21">
        <v>-2.69</v>
      </c>
      <c r="L7" s="20" t="str">
        <f>"-.1354***"</f>
        <v>-.1354***</v>
      </c>
      <c r="M7" s="21">
        <v>-4.4800000000000004</v>
      </c>
      <c r="N7" s="5"/>
      <c r="O7" s="5"/>
      <c r="P7" s="5"/>
      <c r="Q7" s="5"/>
    </row>
    <row r="8" spans="1:17" x14ac:dyDescent="0.2">
      <c r="A8" s="5"/>
      <c r="B8" s="5"/>
      <c r="C8" s="8"/>
      <c r="D8" s="5"/>
      <c r="E8" s="8"/>
      <c r="F8" s="5"/>
      <c r="G8" s="8"/>
      <c r="H8" s="5"/>
      <c r="I8" s="8"/>
      <c r="J8" s="5"/>
      <c r="K8" s="8"/>
      <c r="L8" s="5"/>
      <c r="M8" s="8"/>
      <c r="N8" s="5"/>
      <c r="O8" s="5"/>
      <c r="P8" s="5"/>
      <c r="Q8" s="5"/>
    </row>
    <row r="9" spans="1:17" x14ac:dyDescent="0.2">
      <c r="A9" s="5" t="s">
        <v>10</v>
      </c>
      <c r="B9" s="5"/>
      <c r="C9" s="8"/>
      <c r="D9" s="5"/>
      <c r="E9" s="8"/>
      <c r="F9" s="5"/>
      <c r="G9" s="8"/>
      <c r="H9" s="5"/>
      <c r="I9" s="8"/>
      <c r="J9" s="5"/>
      <c r="K9" s="8"/>
      <c r="L9" s="5"/>
      <c r="M9" s="8"/>
      <c r="N9" s="5"/>
      <c r="O9" s="5"/>
      <c r="P9" s="5"/>
      <c r="Q9" s="5"/>
    </row>
    <row r="10" spans="1:17" x14ac:dyDescent="0.2">
      <c r="A10" s="5"/>
      <c r="B10" s="5"/>
      <c r="C10" s="8"/>
      <c r="D10" s="5"/>
      <c r="E10" s="8"/>
      <c r="F10" s="5"/>
      <c r="G10" s="8"/>
      <c r="H10" s="5"/>
      <c r="I10" s="8"/>
      <c r="J10" s="5"/>
      <c r="K10" s="8"/>
      <c r="L10" s="5"/>
      <c r="M10" s="8"/>
      <c r="N10" s="5"/>
      <c r="O10" s="5"/>
      <c r="P10" s="5"/>
      <c r="Q10" s="5"/>
    </row>
    <row r="11" spans="1:17" x14ac:dyDescent="0.2">
      <c r="A11" s="5"/>
      <c r="B11" s="5"/>
      <c r="C11" s="8"/>
      <c r="D11" s="5"/>
      <c r="E11" s="8"/>
      <c r="F11" s="5"/>
      <c r="G11" s="8"/>
      <c r="H11" s="5"/>
      <c r="I11" s="8"/>
      <c r="J11" s="5"/>
      <c r="K11" s="8"/>
      <c r="L11" s="5"/>
      <c r="M11" s="8"/>
      <c r="N11" s="5"/>
      <c r="O11" s="5"/>
      <c r="P11" s="5"/>
      <c r="Q11" s="5"/>
    </row>
    <row r="12" spans="1:17" x14ac:dyDescent="0.2">
      <c r="A12" s="5"/>
      <c r="B12" s="5"/>
      <c r="C12" s="8"/>
      <c r="D12" s="5"/>
      <c r="E12" s="8"/>
      <c r="F12" s="5"/>
      <c r="G12" s="8"/>
      <c r="H12" s="5"/>
      <c r="I12" s="8"/>
      <c r="J12" s="5"/>
      <c r="K12" s="8"/>
      <c r="L12" s="5"/>
      <c r="M12" s="8"/>
      <c r="N12" s="5"/>
      <c r="O12" s="5"/>
      <c r="P12" s="5"/>
      <c r="Q12" s="5"/>
    </row>
    <row r="13" spans="1:17" x14ac:dyDescent="0.2">
      <c r="A13" s="5"/>
      <c r="B13" s="5"/>
      <c r="C13" s="8"/>
      <c r="D13" s="5"/>
      <c r="E13" s="8"/>
      <c r="F13" s="5"/>
      <c r="G13" s="8"/>
      <c r="H13" s="5"/>
      <c r="I13" s="8"/>
      <c r="J13" s="5"/>
      <c r="K13" s="8"/>
      <c r="L13" s="5"/>
      <c r="M13" s="8"/>
      <c r="N13" s="5"/>
      <c r="O13" s="5"/>
      <c r="P13" s="5"/>
      <c r="Q13" s="5"/>
    </row>
    <row r="14" spans="1:17" x14ac:dyDescent="0.2">
      <c r="A14" s="5"/>
      <c r="B14" s="5"/>
      <c r="C14" s="8"/>
      <c r="D14" s="5"/>
      <c r="E14" s="8"/>
      <c r="F14" s="5"/>
      <c r="G14" s="8"/>
      <c r="H14" s="5"/>
      <c r="I14" s="8"/>
      <c r="J14" s="5"/>
      <c r="K14" s="8"/>
      <c r="L14" s="5"/>
      <c r="M14" s="8"/>
      <c r="N14" s="5"/>
      <c r="O14" s="5"/>
      <c r="P14" s="5"/>
      <c r="Q14" s="5"/>
    </row>
    <row r="15" spans="1:17" x14ac:dyDescent="0.2">
      <c r="A15" s="5"/>
      <c r="B15" s="5"/>
      <c r="C15" s="8"/>
      <c r="D15" s="5"/>
      <c r="E15" s="8"/>
      <c r="F15" s="5"/>
      <c r="G15" s="8"/>
      <c r="H15" s="5"/>
      <c r="I15" s="8"/>
      <c r="J15" s="5"/>
      <c r="K15" s="8"/>
      <c r="L15" s="5"/>
      <c r="M15" s="8"/>
      <c r="N15" s="5"/>
      <c r="O15" s="5"/>
      <c r="P15" s="5"/>
      <c r="Q15" s="5"/>
    </row>
    <row r="16" spans="1:17" x14ac:dyDescent="0.2">
      <c r="A16" s="5"/>
      <c r="B16" s="5"/>
      <c r="C16" s="8"/>
      <c r="D16" s="5"/>
      <c r="E16" s="8"/>
      <c r="F16" s="5"/>
      <c r="G16" s="8"/>
      <c r="H16" s="5"/>
      <c r="I16" s="8"/>
      <c r="J16" s="5"/>
      <c r="K16" s="8"/>
      <c r="L16" s="5"/>
      <c r="M16" s="8"/>
      <c r="N16" s="5"/>
      <c r="O16" s="5"/>
      <c r="P16" s="5"/>
      <c r="Q16" s="5"/>
    </row>
    <row r="17" spans="1:17" x14ac:dyDescent="0.2">
      <c r="A17" s="5"/>
      <c r="B17" s="5"/>
      <c r="C17" s="8"/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5"/>
      <c r="P17" s="5"/>
      <c r="Q17" s="5"/>
    </row>
    <row r="18" spans="1:17" x14ac:dyDescent="0.2">
      <c r="A18" s="5"/>
      <c r="B18" s="5"/>
      <c r="C18" s="8"/>
      <c r="D18" s="5"/>
      <c r="E18" s="8"/>
      <c r="F18" s="5"/>
      <c r="G18" s="8"/>
      <c r="H18" s="5"/>
      <c r="I18" s="8"/>
      <c r="J18" s="5"/>
      <c r="K18" s="8"/>
      <c r="L18" s="5"/>
      <c r="M18" s="8"/>
      <c r="N18" s="5"/>
      <c r="O18" s="5"/>
      <c r="P18" s="5"/>
      <c r="Q18" s="5"/>
    </row>
    <row r="19" spans="1:17" x14ac:dyDescent="0.2">
      <c r="A19" s="5"/>
      <c r="B19" s="5"/>
      <c r="C19" s="8"/>
      <c r="D19" s="5"/>
      <c r="E19" s="8"/>
      <c r="F19" s="5"/>
      <c r="G19" s="8"/>
      <c r="H19" s="5"/>
      <c r="I19" s="8"/>
      <c r="J19" s="5"/>
      <c r="K19" s="8"/>
      <c r="L19" s="5"/>
      <c r="M19" s="8"/>
      <c r="N19" s="5"/>
      <c r="O19" s="5"/>
      <c r="P19" s="5"/>
      <c r="Q19" s="5"/>
    </row>
    <row r="20" spans="1:17" x14ac:dyDescent="0.2">
      <c r="A20" s="5"/>
      <c r="B20" s="5"/>
      <c r="C20" s="8"/>
      <c r="D20" s="5"/>
      <c r="E20" s="8"/>
      <c r="F20" s="5"/>
      <c r="G20" s="8"/>
      <c r="H20" s="5"/>
      <c r="I20" s="8"/>
      <c r="J20" s="5"/>
      <c r="K20" s="8"/>
      <c r="L20" s="5"/>
      <c r="M20" s="8"/>
      <c r="N20" s="5"/>
      <c r="O20" s="5"/>
      <c r="P20" s="5"/>
      <c r="Q20" s="5"/>
    </row>
    <row r="21" spans="1:17" x14ac:dyDescent="0.2">
      <c r="C21" s="1"/>
      <c r="E21" s="1"/>
      <c r="G21" s="1"/>
      <c r="I21" s="1"/>
      <c r="K21" s="1"/>
      <c r="M21" s="1"/>
    </row>
    <row r="22" spans="1:17" x14ac:dyDescent="0.2">
      <c r="C22" s="1"/>
      <c r="E22" s="1"/>
      <c r="G22" s="1"/>
      <c r="I22" s="1"/>
      <c r="K22" s="1"/>
      <c r="M22" s="1"/>
    </row>
    <row r="23" spans="1:17" x14ac:dyDescent="0.2">
      <c r="C23" s="1"/>
      <c r="E23" s="1"/>
      <c r="G23" s="1"/>
      <c r="I23" s="1"/>
      <c r="K23" s="1"/>
      <c r="M23" s="1"/>
    </row>
    <row r="24" spans="1:17" x14ac:dyDescent="0.2">
      <c r="C24" s="1"/>
      <c r="E24" s="1"/>
      <c r="G24" s="1"/>
      <c r="I24" s="1"/>
      <c r="K24" s="1"/>
      <c r="M24" s="1"/>
    </row>
    <row r="25" spans="1:17" x14ac:dyDescent="0.2">
      <c r="C25" s="1"/>
      <c r="E25" s="1"/>
      <c r="G25" s="1"/>
      <c r="I25" s="1"/>
      <c r="K25" s="1"/>
      <c r="M25" s="1"/>
    </row>
    <row r="26" spans="1:17" x14ac:dyDescent="0.2">
      <c r="C26" s="1"/>
      <c r="E26" s="1"/>
      <c r="G26" s="1"/>
      <c r="I26" s="1"/>
      <c r="K26" s="1"/>
      <c r="M26" s="1"/>
    </row>
    <row r="27" spans="1:17" x14ac:dyDescent="0.2">
      <c r="C27" s="1"/>
      <c r="E27" s="1"/>
      <c r="G27" s="1"/>
      <c r="I27" s="1"/>
      <c r="K27" s="1"/>
      <c r="M27" s="1"/>
    </row>
    <row r="28" spans="1:17" x14ac:dyDescent="0.2">
      <c r="C28" s="1"/>
      <c r="E28" s="1"/>
      <c r="G28" s="1"/>
      <c r="I28" s="1"/>
      <c r="K28" s="1"/>
      <c r="M28" s="1"/>
    </row>
    <row r="29" spans="1:17" x14ac:dyDescent="0.2">
      <c r="C29" s="1"/>
      <c r="E29" s="1"/>
      <c r="G29" s="1"/>
      <c r="I29" s="1"/>
      <c r="K29" s="1"/>
      <c r="M29" s="1"/>
    </row>
  </sheetData>
  <mergeCells count="3"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1. Variable Means summary</vt:lpstr>
      <vt:lpstr>Table 2</vt:lpstr>
      <vt:lpstr>Table 3</vt:lpstr>
      <vt:lpstr>Table 4</vt:lpstr>
      <vt:lpstr>Table 5</vt:lpstr>
      <vt:lpstr>Table 6 full</vt:lpstr>
      <vt:lpstr>Table 6 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Giani Ranzetti</dc:creator>
  <cp:lastModifiedBy>Giani Ranzetti</cp:lastModifiedBy>
  <dcterms:created xsi:type="dcterms:W3CDTF">2024-04-26T13:07:54Z</dcterms:created>
  <dcterms:modified xsi:type="dcterms:W3CDTF">2024-05-05T22:30:50Z</dcterms:modified>
</cp:coreProperties>
</file>