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iit-my.sharepoint.com/personal/g_saggini1_studenti_unipi_it/Documents/PW EOA/"/>
    </mc:Choice>
  </mc:AlternateContent>
  <xr:revisionPtr revIDLastSave="899" documentId="13_ncr:1_{5199AE89-76E8-45AC-8839-EAFE63EF26FF}" xr6:coauthVersionLast="47" xr6:coauthVersionMax="47" xr10:uidLastSave="{EA926309-DE48-4CC3-AF85-76435D405647}"/>
  <bookViews>
    <workbookView xWindow="1245" yWindow="555" windowWidth="24780" windowHeight="19335" xr2:uid="{00000000-000D-0000-FFFF-FFFF00000000}"/>
  </bookViews>
  <sheets>
    <sheet name="Foglio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4" i="1" l="1"/>
  <c r="B84" i="1"/>
  <c r="C87" i="1"/>
  <c r="B87" i="1"/>
  <c r="C78" i="1"/>
  <c r="C79" i="1"/>
  <c r="E69" i="1"/>
  <c r="C66" i="1"/>
  <c r="B66" i="1"/>
  <c r="C81" i="1"/>
  <c r="C75" i="1"/>
  <c r="C37" i="1"/>
  <c r="C32" i="1"/>
  <c r="F68" i="1"/>
  <c r="F69" i="1"/>
  <c r="F62" i="1"/>
  <c r="F64" i="1" s="1"/>
  <c r="F59" i="1"/>
  <c r="F65" i="1" s="1"/>
  <c r="F20" i="1"/>
  <c r="F19" i="1"/>
  <c r="F22" i="1" s="1"/>
  <c r="F13" i="1"/>
  <c r="F12" i="1"/>
  <c r="F14" i="1" s="1"/>
  <c r="F6" i="1"/>
  <c r="F25" i="1" s="1"/>
  <c r="C22" i="1"/>
  <c r="C15" i="1"/>
  <c r="C14" i="1" s="1"/>
  <c r="C20" i="1"/>
  <c r="C19" i="1"/>
  <c r="C16" i="1" s="1"/>
  <c r="C8" i="1"/>
  <c r="C6" i="1"/>
  <c r="C2" i="1"/>
  <c r="C13" i="1" s="1"/>
  <c r="C61" i="1"/>
  <c r="B37" i="1"/>
  <c r="B61" i="1"/>
  <c r="B82" i="1" s="1"/>
  <c r="B83" i="1"/>
  <c r="B81" i="1"/>
  <c r="E59" i="1"/>
  <c r="E64" i="1"/>
  <c r="E65" i="1" s="1"/>
  <c r="E70" i="1" s="1"/>
  <c r="B93" i="1" s="1"/>
  <c r="B62" i="1"/>
  <c r="B32" i="1"/>
  <c r="E22" i="1"/>
  <c r="E14" i="1"/>
  <c r="B8" i="1"/>
  <c r="B22" i="1"/>
  <c r="B16" i="1"/>
  <c r="B2" i="1"/>
  <c r="E8" i="1"/>
  <c r="B75" i="1" s="1"/>
  <c r="B6" i="1"/>
  <c r="B14" i="1"/>
  <c r="B80" i="1" l="1"/>
  <c r="B79" i="1"/>
  <c r="C62" i="1"/>
  <c r="C83" i="1"/>
  <c r="C82" i="1"/>
  <c r="C91" i="1"/>
  <c r="C90" i="1"/>
  <c r="C88" i="1"/>
  <c r="C80" i="1"/>
  <c r="C38" i="1"/>
  <c r="C40" i="1" s="1"/>
  <c r="C43" i="1" s="1"/>
  <c r="C24" i="1"/>
  <c r="F70" i="1"/>
  <c r="E6" i="1"/>
  <c r="B91" i="1"/>
  <c r="B90" i="1"/>
  <c r="B38" i="1"/>
  <c r="B89" i="1"/>
  <c r="E25" i="1"/>
  <c r="B24" i="1"/>
  <c r="B92" i="1" s="1"/>
  <c r="B13" i="1"/>
  <c r="C93" i="1" l="1"/>
  <c r="C89" i="1"/>
  <c r="C25" i="1"/>
  <c r="C92" i="1"/>
  <c r="C48" i="1"/>
  <c r="C51" i="1" s="1"/>
  <c r="C77" i="1"/>
  <c r="B88" i="1"/>
  <c r="B40" i="1"/>
  <c r="B25" i="1"/>
  <c r="C76" i="1" l="1"/>
  <c r="C74" i="1"/>
  <c r="B43" i="1"/>
  <c r="B78" i="1" l="1"/>
  <c r="B77" i="1"/>
  <c r="B48" i="1"/>
  <c r="B51" i="1"/>
  <c r="B76" i="1" l="1"/>
  <c r="B74" i="1"/>
</calcChain>
</file>

<file path=xl/sharedStrings.xml><?xml version="1.0" encoding="utf-8"?>
<sst xmlns="http://schemas.openxmlformats.org/spreadsheetml/2006/main" count="125" uniqueCount="110">
  <si>
    <t>IMPIEGHI</t>
  </si>
  <si>
    <t>FONTI</t>
  </si>
  <si>
    <t>Immobilizzazioni Immateriali</t>
  </si>
  <si>
    <t>Capitale sociale</t>
  </si>
  <si>
    <t>Avviamento</t>
  </si>
  <si>
    <t>Riserve, utili portati a nuovo</t>
  </si>
  <si>
    <t>Diritti concessori immateriali</t>
  </si>
  <si>
    <t>Utile/perdita d'esercizio</t>
  </si>
  <si>
    <t>Altre attività immateriali</t>
  </si>
  <si>
    <t>Azioni proprie</t>
  </si>
  <si>
    <t>Immobilizzazioni materiali</t>
  </si>
  <si>
    <t>PATRIMONIO NETTO</t>
  </si>
  <si>
    <t>Immobili, impianti e macchinari</t>
  </si>
  <si>
    <t>di pertinenza di Terzi</t>
  </si>
  <si>
    <t>Immobilizzazioni finanziarie</t>
  </si>
  <si>
    <t>di pertinenza del Gruppo</t>
  </si>
  <si>
    <t xml:space="preserve">Partecipazioni </t>
  </si>
  <si>
    <t>Fondi non correnti</t>
  </si>
  <si>
    <t>Diritti concessori finanziari non correnti</t>
  </si>
  <si>
    <t>Prestiti obbligazionari</t>
  </si>
  <si>
    <t>Altre attività finanziarie</t>
  </si>
  <si>
    <t>Finanziamenti a medio-lungo termine</t>
  </si>
  <si>
    <t>Altre attività non correnti</t>
  </si>
  <si>
    <t>Altre passività finanziarie non correnti</t>
  </si>
  <si>
    <t>ATTIVO FISSO</t>
  </si>
  <si>
    <t>Altre passività non correnti</t>
  </si>
  <si>
    <t xml:space="preserve">Disponibilità  </t>
  </si>
  <si>
    <t>PASSIVO CONSOLIDATO</t>
  </si>
  <si>
    <t>Rimanenze</t>
  </si>
  <si>
    <t>Passività commerciali</t>
  </si>
  <si>
    <t>Liquidità differite</t>
  </si>
  <si>
    <t>Fondi correnti</t>
  </si>
  <si>
    <t>Crediti commerciali</t>
  </si>
  <si>
    <t>Prestiti obbligazionari - quota corrente</t>
  </si>
  <si>
    <t>Diritti concessori finanziari correnti</t>
  </si>
  <si>
    <t>Finanziamenti a medio-lungo termine - quota corrente</t>
  </si>
  <si>
    <t>Altre attività finanziarie correnti</t>
  </si>
  <si>
    <t>Altre passività finanziarie correnti</t>
  </si>
  <si>
    <t>Altre attività correnti</t>
  </si>
  <si>
    <t>Altre passività correnti</t>
  </si>
  <si>
    <t>ATTIVITA` DESTINATE ALLA VENDITA E ATTIVITA` OPERATIVE CESSATE</t>
  </si>
  <si>
    <t>PASSIVITA` DESTINATE ALLA VENDITA E ATTIVITA` OPERATIVE CESSATE</t>
  </si>
  <si>
    <t>-</t>
  </si>
  <si>
    <t>Liquidità immediate</t>
  </si>
  <si>
    <t>PASSIVO CORRENTE</t>
  </si>
  <si>
    <t>Disponibilità liquide e mezzi equivalenti</t>
  </si>
  <si>
    <t>ATTIVO CORRENTE</t>
  </si>
  <si>
    <t>TOTALE IMPIEGHI</t>
  </si>
  <si>
    <t>TOTALE FONTI</t>
  </si>
  <si>
    <t>CONTO ECONOMICO</t>
  </si>
  <si>
    <t>Ricavi da pedaggio</t>
  </si>
  <si>
    <t>Ricavi per servizi aeronautici</t>
  </si>
  <si>
    <t>Altri ricavi</t>
  </si>
  <si>
    <t>RICAVI OPERATIVI</t>
  </si>
  <si>
    <t>Costi esterni gestionali</t>
  </si>
  <si>
    <t>Oneri concessori</t>
  </si>
  <si>
    <t>Costo del lavoro</t>
  </si>
  <si>
    <t>Variazione operativa dei fondi</t>
  </si>
  <si>
    <t>COSTI OPERATIVI</t>
  </si>
  <si>
    <t>Margine operativo lordo MOL</t>
  </si>
  <si>
    <t>Accantonamenti</t>
  </si>
  <si>
    <t>EBITDA</t>
  </si>
  <si>
    <t>Ammortamenti</t>
  </si>
  <si>
    <t>Svalutazioni</t>
  </si>
  <si>
    <t>Margine operativo EBIT</t>
  </si>
  <si>
    <t>Proventi finanziari</t>
  </si>
  <si>
    <t>Oneri finanziari</t>
  </si>
  <si>
    <t>Perdite su cambi</t>
  </si>
  <si>
    <t>Perdite da valutazioni con il metodo del patrimonio netto</t>
  </si>
  <si>
    <t>Risultato prima delle imposte EBT</t>
  </si>
  <si>
    <t>Proventi fiscali</t>
  </si>
  <si>
    <t>Proventi netti di attività operative cessate</t>
  </si>
  <si>
    <t>Risultato netto di esercizio</t>
  </si>
  <si>
    <t>Disponibilità liquide</t>
  </si>
  <si>
    <t>Derivati correnti con fair value positivo</t>
  </si>
  <si>
    <t>Liquidità connesse ad attività destinate alla vendita e ad attività operative cessate</t>
  </si>
  <si>
    <t>Altre passività finanziarie</t>
  </si>
  <si>
    <t>Crediti finanziari correnti (A)</t>
  </si>
  <si>
    <t>Debito finanziario netto connesso ad attività destinate alla vendita</t>
  </si>
  <si>
    <t xml:space="preserve">Prestiti obbligazionari </t>
  </si>
  <si>
    <t>Mezzi di terzi finanziari</t>
  </si>
  <si>
    <t>CAPITALE INVESTITO</t>
  </si>
  <si>
    <t>Passività finanziarie connesse ad attività destinate alla vendita e attività operative cessate</t>
  </si>
  <si>
    <t>Altri dati per calcolo indici:</t>
  </si>
  <si>
    <t>Debiti finanziari correnti (B)</t>
  </si>
  <si>
    <t>Posizione finanziaria netta corrente (C=A-B)</t>
  </si>
  <si>
    <t>Acquisti di beni e sevizi</t>
  </si>
  <si>
    <t>Debiti verso fornitori</t>
  </si>
  <si>
    <t>Passività finanziarie non correnti (D)</t>
  </si>
  <si>
    <t>Posizione finanziaria netta (D-C)</t>
  </si>
  <si>
    <t>ANALISI REDDITIVITA'</t>
  </si>
  <si>
    <t>ROE totale</t>
  </si>
  <si>
    <t>ROE controllante</t>
  </si>
  <si>
    <t>ROA</t>
  </si>
  <si>
    <t>ROI</t>
  </si>
  <si>
    <t>ROS</t>
  </si>
  <si>
    <t>ROT</t>
  </si>
  <si>
    <t>G.M. crediti</t>
  </si>
  <si>
    <t>G.M. debiti</t>
  </si>
  <si>
    <t>ROD</t>
  </si>
  <si>
    <t>q</t>
  </si>
  <si>
    <t>S</t>
  </si>
  <si>
    <t>ANALISI FINANZIARIA 2021</t>
  </si>
  <si>
    <t>MS1</t>
  </si>
  <si>
    <t>MS2</t>
  </si>
  <si>
    <t>Debt/Equity</t>
  </si>
  <si>
    <t>Margine di Tesoreria</t>
  </si>
  <si>
    <t>Quick Ratio</t>
  </si>
  <si>
    <t>Current Ratio</t>
  </si>
  <si>
    <t>Indice di copertura finanziaria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</si>
</sst>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1"/>
      <color theme="1"/>
      <name val="Calibri"/>
      <family val="2"/>
      <scheme val="minor"/>
    </font>
    <font>
      <sz val="11"/>
      <color rgb="FF000000"/>
      <name val="Liberation Sans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1"/>
      <color theme="0"/>
      <name val="Calibri"/>
      <family val="2"/>
      <scheme val="minor"/>
    </font>
    <font>
      <b/>
      <sz val="16"/>
      <color rgb="FF000000"/>
      <name val="Calibri"/>
      <family val="2"/>
    </font>
    <font>
      <b/>
      <sz val="20"/>
      <color theme="1"/>
      <name val="Calibri"/>
      <family val="2"/>
      <scheme val="minor"/>
    </font>
    <font>
      <b/>
      <sz val="2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FE0"/>
        <bgColor indexed="64"/>
      </patternFill>
    </fill>
    <fill>
      <patternFill patternType="solid">
        <fgColor rgb="FF47C8FF"/>
        <bgColor indexed="64"/>
      </patternFill>
    </fill>
    <fill>
      <patternFill patternType="solid">
        <fgColor rgb="FFBAF1FE"/>
        <bgColor indexed="64"/>
      </patternFill>
    </fill>
    <fill>
      <patternFill patternType="solid">
        <fgColor rgb="FF37B8FF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4" fillId="0" borderId="0" xfId="0" applyFont="1"/>
    <xf numFmtId="0" fontId="3" fillId="0" borderId="2" xfId="0" applyFon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/>
    <xf numFmtId="0" fontId="2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/>
    <xf numFmtId="0" fontId="8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3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2" fillId="0" borderId="5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9" fillId="3" borderId="3" xfId="0" applyFont="1" applyFill="1" applyBorder="1"/>
    <xf numFmtId="0" fontId="9" fillId="3" borderId="3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0" xfId="0" applyFont="1"/>
    <xf numFmtId="0" fontId="2" fillId="0" borderId="2" xfId="0" applyFont="1" applyBorder="1" applyAlignment="1">
      <alignment vertical="center" wrapText="1"/>
    </xf>
    <xf numFmtId="0" fontId="8" fillId="3" borderId="2" xfId="0" applyFont="1" applyFill="1" applyBorder="1" applyAlignment="1">
      <alignment vertical="center"/>
    </xf>
    <xf numFmtId="0" fontId="8" fillId="3" borderId="2" xfId="0" applyFont="1" applyFill="1" applyBorder="1"/>
    <xf numFmtId="0" fontId="3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10" fontId="4" fillId="4" borderId="3" xfId="0" applyNumberFormat="1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>
      <alignment horizontal="center" vertical="center"/>
    </xf>
    <xf numFmtId="1" fontId="4" fillId="4" borderId="8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4" fontId="4" fillId="4" borderId="3" xfId="0" applyNumberFormat="1" applyFont="1" applyFill="1" applyBorder="1" applyAlignment="1">
      <alignment horizontal="center" vertical="center"/>
    </xf>
    <xf numFmtId="0" fontId="2" fillId="0" borderId="9" xfId="0" applyFont="1" applyBorder="1"/>
    <xf numFmtId="0" fontId="3" fillId="4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colors>
    <mruColors>
      <color rgb="FF47C8FF"/>
      <color rgb="FFBAF1FE"/>
      <color rgb="FFB9E9FF"/>
      <color rgb="FF007FE0"/>
      <color rgb="FF77CBED"/>
      <color rgb="FF2DAEE3"/>
      <color rgb="FF37B8FF"/>
      <color rgb="FF008B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"/>
  <sheetViews>
    <sheetView tabSelected="1" topLeftCell="A44" zoomScale="70" zoomScaleNormal="70" workbookViewId="0">
      <selection activeCell="C84" sqref="C84"/>
    </sheetView>
  </sheetViews>
  <sheetFormatPr defaultRowHeight="15"/>
  <cols>
    <col min="1" max="1" width="75.5703125" bestFit="1" customWidth="1"/>
    <col min="2" max="3" width="19" customWidth="1"/>
    <col min="4" max="4" width="60.7109375" customWidth="1"/>
    <col min="5" max="5" width="19.7109375" bestFit="1" customWidth="1"/>
    <col min="6" max="6" width="19.7109375" customWidth="1"/>
    <col min="7" max="7" width="21.85546875" customWidth="1"/>
    <col min="8" max="8" width="17.42578125" customWidth="1"/>
  </cols>
  <sheetData>
    <row r="1" spans="1:8" ht="27.75">
      <c r="A1" s="23" t="s">
        <v>0</v>
      </c>
      <c r="B1" s="23">
        <v>2021</v>
      </c>
      <c r="C1" s="23">
        <v>2020</v>
      </c>
      <c r="D1" s="23" t="s">
        <v>1</v>
      </c>
      <c r="E1" s="23">
        <v>2021</v>
      </c>
      <c r="F1" s="23">
        <v>2020</v>
      </c>
      <c r="G1" s="2"/>
      <c r="H1" s="2"/>
    </row>
    <row r="2" spans="1:8" ht="21">
      <c r="A2" s="18" t="s">
        <v>2</v>
      </c>
      <c r="B2" s="39">
        <f>B3+B4+B5</f>
        <v>44014</v>
      </c>
      <c r="C2" s="39">
        <f>C3+C4+C5</f>
        <v>62546</v>
      </c>
      <c r="D2" s="15" t="s">
        <v>3</v>
      </c>
      <c r="E2" s="40">
        <v>826</v>
      </c>
      <c r="F2" s="40">
        <v>826</v>
      </c>
    </row>
    <row r="3" spans="1:8" ht="18.75">
      <c r="A3" s="15" t="s">
        <v>4</v>
      </c>
      <c r="B3" s="40">
        <v>8441</v>
      </c>
      <c r="C3" s="40">
        <v>12797</v>
      </c>
      <c r="D3" s="15" t="s">
        <v>5</v>
      </c>
      <c r="E3" s="40">
        <v>6838</v>
      </c>
      <c r="F3" s="40">
        <v>6691</v>
      </c>
      <c r="G3" s="2"/>
      <c r="H3" s="2"/>
    </row>
    <row r="4" spans="1:8" ht="18.75">
      <c r="A4" s="15" t="s">
        <v>6</v>
      </c>
      <c r="B4" s="40">
        <v>35127</v>
      </c>
      <c r="C4" s="40">
        <v>49266</v>
      </c>
      <c r="D4" s="16" t="s">
        <v>7</v>
      </c>
      <c r="E4" s="40">
        <v>626</v>
      </c>
      <c r="F4" s="40">
        <v>-1177</v>
      </c>
      <c r="G4" s="2"/>
      <c r="H4" s="2"/>
    </row>
    <row r="5" spans="1:8" ht="18.75">
      <c r="A5" s="16" t="s">
        <v>8</v>
      </c>
      <c r="B5" s="41">
        <v>446</v>
      </c>
      <c r="C5" s="41">
        <v>483</v>
      </c>
      <c r="D5" s="15" t="s">
        <v>9</v>
      </c>
      <c r="E5" s="40">
        <v>-150</v>
      </c>
      <c r="F5" s="40">
        <v>-150</v>
      </c>
      <c r="G5" s="2"/>
      <c r="H5" s="2"/>
    </row>
    <row r="6" spans="1:8" ht="26.25">
      <c r="A6" s="18" t="s">
        <v>10</v>
      </c>
      <c r="B6" s="39">
        <f>B7</f>
        <v>648</v>
      </c>
      <c r="C6" s="39">
        <f>C7</f>
        <v>774</v>
      </c>
      <c r="D6" s="21" t="s">
        <v>11</v>
      </c>
      <c r="E6" s="42">
        <f>E8+E7</f>
        <v>16070</v>
      </c>
      <c r="F6" s="42">
        <f>F8+F7</f>
        <v>14255</v>
      </c>
      <c r="G6" s="1"/>
      <c r="H6" s="2"/>
    </row>
    <row r="7" spans="1:8" ht="21">
      <c r="A7" s="15" t="s">
        <v>12</v>
      </c>
      <c r="B7" s="40">
        <v>648</v>
      </c>
      <c r="C7" s="40">
        <v>774</v>
      </c>
      <c r="D7" s="19" t="s">
        <v>13</v>
      </c>
      <c r="E7" s="39">
        <v>7930</v>
      </c>
      <c r="F7" s="39">
        <v>8065</v>
      </c>
      <c r="G7" s="2"/>
      <c r="H7" s="2"/>
    </row>
    <row r="8" spans="1:8" ht="21">
      <c r="A8" s="18" t="s">
        <v>14</v>
      </c>
      <c r="B8" s="39">
        <f>B9+B10+B11</f>
        <v>4807</v>
      </c>
      <c r="C8" s="39">
        <f>C9+C10+C11</f>
        <v>7590</v>
      </c>
      <c r="D8" s="19" t="s">
        <v>15</v>
      </c>
      <c r="E8" s="39">
        <f>E2+E3+E4+E5</f>
        <v>8140</v>
      </c>
      <c r="F8" s="39">
        <v>6190</v>
      </c>
      <c r="G8" s="2"/>
      <c r="H8" s="2"/>
    </row>
    <row r="9" spans="1:8" ht="18.75">
      <c r="A9" s="15" t="s">
        <v>16</v>
      </c>
      <c r="B9" s="40">
        <v>1929</v>
      </c>
      <c r="C9" s="40">
        <v>2841</v>
      </c>
      <c r="D9" s="15" t="s">
        <v>17</v>
      </c>
      <c r="E9" s="40">
        <v>1896</v>
      </c>
      <c r="F9" s="40">
        <v>5011</v>
      </c>
    </row>
    <row r="10" spans="1:8" ht="18.75">
      <c r="A10" s="15" t="s">
        <v>18</v>
      </c>
      <c r="B10" s="40">
        <v>1697</v>
      </c>
      <c r="C10" s="40">
        <v>2931</v>
      </c>
      <c r="D10" s="15" t="s">
        <v>19</v>
      </c>
      <c r="E10" s="40">
        <v>23957</v>
      </c>
      <c r="F10" s="40">
        <v>28454</v>
      </c>
      <c r="G10" s="2"/>
      <c r="H10" s="2"/>
    </row>
    <row r="11" spans="1:8" ht="18.75">
      <c r="A11" s="15" t="s">
        <v>20</v>
      </c>
      <c r="B11" s="40">
        <v>1181</v>
      </c>
      <c r="C11" s="40">
        <v>1818</v>
      </c>
      <c r="D11" s="15" t="s">
        <v>21</v>
      </c>
      <c r="E11" s="40">
        <v>10183</v>
      </c>
      <c r="F11" s="40">
        <v>15915</v>
      </c>
      <c r="G11" s="2"/>
      <c r="H11" s="2"/>
    </row>
    <row r="12" spans="1:8" ht="21">
      <c r="A12" s="18" t="s">
        <v>22</v>
      </c>
      <c r="B12" s="39">
        <v>848</v>
      </c>
      <c r="C12" s="39">
        <v>2507</v>
      </c>
      <c r="D12" s="15" t="s">
        <v>23</v>
      </c>
      <c r="E12" s="40">
        <v>1220</v>
      </c>
      <c r="F12" s="40">
        <f>744+1134</f>
        <v>1878</v>
      </c>
      <c r="G12" s="2"/>
      <c r="H12" s="2"/>
    </row>
    <row r="13" spans="1:8" ht="26.25">
      <c r="A13" s="21" t="s">
        <v>24</v>
      </c>
      <c r="B13" s="42">
        <f>B2+B6+B8+B12</f>
        <v>50317</v>
      </c>
      <c r="C13" s="42">
        <f>C2+C6+C8+C12</f>
        <v>73417</v>
      </c>
      <c r="D13" s="15" t="s">
        <v>25</v>
      </c>
      <c r="E13" s="40">
        <v>5915</v>
      </c>
      <c r="F13" s="40">
        <f>298+6357</f>
        <v>6655</v>
      </c>
      <c r="G13" s="2"/>
      <c r="H13" s="2"/>
    </row>
    <row r="14" spans="1:8" ht="26.25">
      <c r="A14" s="19" t="s">
        <v>26</v>
      </c>
      <c r="B14" s="39">
        <f>B15</f>
        <v>25</v>
      </c>
      <c r="C14" s="39">
        <f>C15</f>
        <v>162</v>
      </c>
      <c r="D14" s="21" t="s">
        <v>27</v>
      </c>
      <c r="E14" s="42">
        <f>SUM(E9:E13)</f>
        <v>43171</v>
      </c>
      <c r="F14" s="42">
        <f>SUM(F9:F13)</f>
        <v>57913</v>
      </c>
      <c r="G14" s="2"/>
      <c r="H14" s="2"/>
    </row>
    <row r="15" spans="1:8" ht="18.75">
      <c r="A15" s="15" t="s">
        <v>28</v>
      </c>
      <c r="B15" s="40">
        <v>25</v>
      </c>
      <c r="C15" s="40">
        <f>114+48</f>
        <v>162</v>
      </c>
      <c r="D15" s="15" t="s">
        <v>29</v>
      </c>
      <c r="E15" s="40">
        <v>875</v>
      </c>
      <c r="F15" s="40">
        <v>2160</v>
      </c>
    </row>
    <row r="16" spans="1:8" ht="21">
      <c r="A16" s="20" t="s">
        <v>30</v>
      </c>
      <c r="B16" s="39">
        <f>SUM(B17:B21)</f>
        <v>23470</v>
      </c>
      <c r="C16" s="39">
        <f>SUM(C17:C21)</f>
        <v>4645</v>
      </c>
      <c r="D16" s="15" t="s">
        <v>31</v>
      </c>
      <c r="E16" s="40">
        <v>476</v>
      </c>
      <c r="F16" s="40">
        <v>3778</v>
      </c>
      <c r="G16" s="2"/>
      <c r="H16" s="2"/>
    </row>
    <row r="17" spans="1:8" ht="18.75">
      <c r="A17" s="16" t="s">
        <v>32</v>
      </c>
      <c r="B17" s="40">
        <v>1743</v>
      </c>
      <c r="C17" s="40">
        <v>2276</v>
      </c>
      <c r="D17" s="15" t="s">
        <v>33</v>
      </c>
      <c r="E17" s="40">
        <v>361</v>
      </c>
      <c r="F17" s="40">
        <v>3219</v>
      </c>
      <c r="G17" s="2"/>
      <c r="H17" s="2"/>
    </row>
    <row r="18" spans="1:8" ht="18.75">
      <c r="A18" s="15" t="s">
        <v>34</v>
      </c>
      <c r="B18" s="40">
        <v>1243</v>
      </c>
      <c r="C18" s="40">
        <v>553</v>
      </c>
      <c r="D18" s="15" t="s">
        <v>35</v>
      </c>
      <c r="E18" s="40">
        <v>995</v>
      </c>
      <c r="F18" s="40">
        <v>2813</v>
      </c>
      <c r="G18" s="2"/>
      <c r="H18" s="3"/>
    </row>
    <row r="19" spans="1:8" ht="18.75">
      <c r="A19" s="15" t="s">
        <v>36</v>
      </c>
      <c r="B19" s="40">
        <v>472</v>
      </c>
      <c r="C19" s="40">
        <f>596+117</f>
        <v>713</v>
      </c>
      <c r="D19" s="15" t="s">
        <v>37</v>
      </c>
      <c r="E19" s="40">
        <v>473</v>
      </c>
      <c r="F19" s="40">
        <f>1090+315</f>
        <v>1405</v>
      </c>
      <c r="G19" s="2"/>
      <c r="H19" s="2"/>
    </row>
    <row r="20" spans="1:8" ht="18.75">
      <c r="A20" s="15" t="s">
        <v>38</v>
      </c>
      <c r="B20" s="40">
        <v>1003</v>
      </c>
      <c r="C20" s="40">
        <f>668+404</f>
        <v>1072</v>
      </c>
      <c r="D20" s="15" t="s">
        <v>39</v>
      </c>
      <c r="E20" s="40">
        <v>1008</v>
      </c>
      <c r="F20" s="40">
        <f>89+977</f>
        <v>1066</v>
      </c>
      <c r="G20" s="2"/>
      <c r="H20" s="2"/>
    </row>
    <row r="21" spans="1:8" ht="37.5">
      <c r="A21" s="17" t="s">
        <v>40</v>
      </c>
      <c r="B21" s="40">
        <v>19009</v>
      </c>
      <c r="C21" s="40">
        <v>31</v>
      </c>
      <c r="D21" s="17" t="s">
        <v>41</v>
      </c>
      <c r="E21" s="40">
        <v>16436</v>
      </c>
      <c r="F21" s="40" t="s">
        <v>42</v>
      </c>
      <c r="G21" s="2"/>
      <c r="H21" s="2"/>
    </row>
    <row r="22" spans="1:8" ht="26.25">
      <c r="A22" s="19" t="s">
        <v>43</v>
      </c>
      <c r="B22" s="39">
        <f>B23</f>
        <v>6053</v>
      </c>
      <c r="C22" s="39">
        <f>C23</f>
        <v>8385</v>
      </c>
      <c r="D22" s="21" t="s">
        <v>44</v>
      </c>
      <c r="E22" s="42">
        <f>SUM(E15:E21)</f>
        <v>20624</v>
      </c>
      <c r="F22" s="42">
        <f>SUM(F15:F21)</f>
        <v>14441</v>
      </c>
      <c r="G22" s="2"/>
      <c r="H22" s="2"/>
    </row>
    <row r="23" spans="1:8" ht="18.75">
      <c r="A23" s="15" t="s">
        <v>45</v>
      </c>
      <c r="B23" s="40">
        <v>6053</v>
      </c>
      <c r="C23" s="40">
        <v>8385</v>
      </c>
      <c r="D23" s="15"/>
      <c r="E23" s="40"/>
      <c r="F23" s="40"/>
      <c r="G23" s="2"/>
      <c r="H23" s="2"/>
    </row>
    <row r="24" spans="1:8" ht="26.25">
      <c r="A24" s="21" t="s">
        <v>46</v>
      </c>
      <c r="B24" s="42">
        <f>SUM(B14,B16,B22)</f>
        <v>29548</v>
      </c>
      <c r="C24" s="42">
        <f>SUM(C14,C16,C22)</f>
        <v>13192</v>
      </c>
      <c r="D24" s="15"/>
      <c r="E24" s="40"/>
      <c r="F24" s="40"/>
      <c r="G24" s="2"/>
      <c r="H24" s="2"/>
    </row>
    <row r="25" spans="1:8" ht="27.75">
      <c r="A25" s="22" t="s">
        <v>47</v>
      </c>
      <c r="B25" s="43">
        <f>SUM(B13,B24)</f>
        <v>79865</v>
      </c>
      <c r="C25" s="43">
        <f>SUM(C13,C24)</f>
        <v>86609</v>
      </c>
      <c r="D25" s="22" t="s">
        <v>48</v>
      </c>
      <c r="E25" s="43">
        <f>SUM(E6,E14,E22)</f>
        <v>79865</v>
      </c>
      <c r="F25" s="43">
        <f>SUM(F6,F14,F22)</f>
        <v>86609</v>
      </c>
      <c r="G25" s="2"/>
      <c r="H25" s="2"/>
    </row>
    <row r="26" spans="1:8">
      <c r="G26" s="2"/>
      <c r="H26" s="2"/>
    </row>
    <row r="27" spans="1:8">
      <c r="G27" s="2"/>
      <c r="H27" s="2"/>
    </row>
    <row r="28" spans="1:8" ht="27.75">
      <c r="A28" s="29" t="s">
        <v>49</v>
      </c>
      <c r="B28" s="30">
        <v>2021</v>
      </c>
      <c r="C28" s="30">
        <v>2020</v>
      </c>
      <c r="D28" s="11"/>
      <c r="G28" s="2"/>
      <c r="H28" s="2"/>
    </row>
    <row r="29" spans="1:8" ht="18.75">
      <c r="A29" s="25" t="s">
        <v>50</v>
      </c>
      <c r="B29" s="44">
        <v>4959</v>
      </c>
      <c r="C29" s="45">
        <v>4079</v>
      </c>
      <c r="G29" s="2"/>
      <c r="H29" s="2"/>
    </row>
    <row r="30" spans="1:8" ht="18.75">
      <c r="A30" s="26" t="s">
        <v>51</v>
      </c>
      <c r="B30" s="40">
        <v>294</v>
      </c>
      <c r="C30" s="46">
        <v>244</v>
      </c>
      <c r="G30" s="2"/>
      <c r="H30" s="2"/>
    </row>
    <row r="31" spans="1:8" ht="18.75">
      <c r="A31" s="26" t="s">
        <v>52</v>
      </c>
      <c r="B31" s="40">
        <v>1138</v>
      </c>
      <c r="C31" s="46">
        <v>937</v>
      </c>
      <c r="G31" s="2"/>
      <c r="H31" s="2"/>
    </row>
    <row r="32" spans="1:8" ht="21">
      <c r="A32" s="8" t="s">
        <v>53</v>
      </c>
      <c r="B32" s="39">
        <f>SUM(B29:B31)</f>
        <v>6391</v>
      </c>
      <c r="C32" s="39">
        <f>SUM(C29:C31)</f>
        <v>5260</v>
      </c>
      <c r="G32" s="2"/>
      <c r="H32" s="2"/>
    </row>
    <row r="33" spans="1:8" ht="18.75">
      <c r="A33" s="26" t="s">
        <v>54</v>
      </c>
      <c r="B33" s="40">
        <v>1416</v>
      </c>
      <c r="C33" s="46">
        <v>1368</v>
      </c>
      <c r="G33" s="2"/>
      <c r="H33" s="2"/>
    </row>
    <row r="34" spans="1:8" ht="18.75">
      <c r="A34" s="26" t="s">
        <v>55</v>
      </c>
      <c r="B34" s="40">
        <v>95</v>
      </c>
      <c r="C34" s="46">
        <v>81</v>
      </c>
      <c r="G34" s="2"/>
      <c r="H34" s="2"/>
    </row>
    <row r="35" spans="1:8" ht="18.75">
      <c r="A35" s="26" t="s">
        <v>56</v>
      </c>
      <c r="B35" s="40">
        <v>769</v>
      </c>
      <c r="C35" s="46">
        <v>746</v>
      </c>
      <c r="G35" s="2"/>
      <c r="H35" s="2"/>
    </row>
    <row r="36" spans="1:8" ht="18.75">
      <c r="A36" s="26" t="s">
        <v>57</v>
      </c>
      <c r="B36" s="40">
        <v>82</v>
      </c>
      <c r="C36" s="46">
        <v>-7</v>
      </c>
      <c r="G36" s="2"/>
      <c r="H36" s="2"/>
    </row>
    <row r="37" spans="1:8" ht="21">
      <c r="A37" s="8" t="s">
        <v>58</v>
      </c>
      <c r="B37" s="39">
        <f>SUM(B33:B36)</f>
        <v>2362</v>
      </c>
      <c r="C37" s="39">
        <f>SUM(C33:C36)</f>
        <v>2188</v>
      </c>
      <c r="G37" s="2"/>
      <c r="H37" s="2"/>
    </row>
    <row r="38" spans="1:8" ht="21">
      <c r="A38" s="8" t="s">
        <v>59</v>
      </c>
      <c r="B38" s="39">
        <f>B32-B37</f>
        <v>4029</v>
      </c>
      <c r="C38" s="39">
        <f>C32-C37</f>
        <v>3072</v>
      </c>
      <c r="E38" s="2"/>
      <c r="G38" s="2"/>
      <c r="H38" s="2"/>
    </row>
    <row r="39" spans="1:8" ht="18.75">
      <c r="A39" s="26" t="s">
        <v>60</v>
      </c>
      <c r="B39" s="40">
        <v>88</v>
      </c>
      <c r="C39" s="46">
        <v>68</v>
      </c>
      <c r="G39" s="2"/>
      <c r="H39" s="2"/>
    </row>
    <row r="40" spans="1:8" ht="21">
      <c r="A40" s="8" t="s">
        <v>61</v>
      </c>
      <c r="B40" s="39">
        <f>B38-B39</f>
        <v>3941</v>
      </c>
      <c r="C40" s="39">
        <f>C38-C39</f>
        <v>3004</v>
      </c>
      <c r="G40" s="2"/>
      <c r="H40" s="2"/>
    </row>
    <row r="41" spans="1:8" ht="18.75">
      <c r="A41" s="26" t="s">
        <v>62</v>
      </c>
      <c r="B41" s="40">
        <v>2950</v>
      </c>
      <c r="C41" s="46">
        <v>2912</v>
      </c>
      <c r="G41" s="2"/>
      <c r="H41" s="2"/>
    </row>
    <row r="42" spans="1:8" ht="18.75">
      <c r="A42" s="26" t="s">
        <v>63</v>
      </c>
      <c r="B42" s="40">
        <v>1231</v>
      </c>
      <c r="C42" s="46">
        <v>519</v>
      </c>
      <c r="G42" s="2"/>
      <c r="H42" s="2"/>
    </row>
    <row r="43" spans="1:8" ht="16.5" customHeight="1">
      <c r="A43" s="8" t="s">
        <v>64</v>
      </c>
      <c r="B43" s="39">
        <f>B40-B41-B42</f>
        <v>-240</v>
      </c>
      <c r="C43" s="39">
        <f>C40-C41-C42</f>
        <v>-427</v>
      </c>
      <c r="G43" s="2"/>
      <c r="H43" s="2"/>
    </row>
    <row r="44" spans="1:8" ht="18.75">
      <c r="A44" s="27" t="s">
        <v>65</v>
      </c>
      <c r="B44" s="40">
        <v>1024</v>
      </c>
      <c r="C44" s="46">
        <v>1005</v>
      </c>
      <c r="D44" s="2"/>
      <c r="E44" s="4"/>
      <c r="F44" s="4"/>
      <c r="G44" s="2"/>
      <c r="H44" s="2"/>
    </row>
    <row r="45" spans="1:8" ht="18.75">
      <c r="A45" s="26" t="s">
        <v>66</v>
      </c>
      <c r="B45" s="40">
        <v>-1712</v>
      </c>
      <c r="C45" s="46">
        <v>-2141</v>
      </c>
      <c r="D45" s="2"/>
      <c r="E45" s="4"/>
      <c r="F45" s="4"/>
      <c r="G45" s="2"/>
      <c r="H45" s="2"/>
    </row>
    <row r="46" spans="1:8" ht="18.75">
      <c r="A46" s="28" t="s">
        <v>67</v>
      </c>
      <c r="B46" s="47">
        <v>-48</v>
      </c>
      <c r="C46" s="48">
        <v>9</v>
      </c>
      <c r="D46" s="2"/>
      <c r="E46" s="4"/>
      <c r="F46" s="4"/>
      <c r="H46" s="2"/>
    </row>
    <row r="47" spans="1:8" ht="18.75">
      <c r="A47" s="28" t="s">
        <v>68</v>
      </c>
      <c r="B47" s="47">
        <v>-42</v>
      </c>
      <c r="C47" s="48">
        <v>-16</v>
      </c>
      <c r="D47" s="2"/>
      <c r="E47" s="4"/>
      <c r="F47" s="4"/>
      <c r="G47" s="2"/>
      <c r="H47" s="2"/>
    </row>
    <row r="48" spans="1:8" ht="21">
      <c r="A48" s="6" t="s">
        <v>69</v>
      </c>
      <c r="B48" s="49">
        <f>B43+B44+B45+B46+B47</f>
        <v>-1018</v>
      </c>
      <c r="C48" s="49">
        <f>C43+C44+C45+C46+C47</f>
        <v>-1570</v>
      </c>
      <c r="D48" s="2"/>
      <c r="E48" s="4"/>
      <c r="F48" s="4"/>
      <c r="G48" s="2"/>
      <c r="H48" s="2"/>
    </row>
    <row r="49" spans="1:8" ht="18.75">
      <c r="A49" s="28" t="s">
        <v>70</v>
      </c>
      <c r="B49" s="47">
        <v>474</v>
      </c>
      <c r="C49" s="48">
        <v>390</v>
      </c>
      <c r="D49" s="2"/>
      <c r="E49" s="4"/>
      <c r="F49" s="4"/>
      <c r="G49" s="2"/>
      <c r="H49" s="2"/>
    </row>
    <row r="50" spans="1:8" ht="18.75">
      <c r="A50" s="28" t="s">
        <v>71</v>
      </c>
      <c r="B50" s="47">
        <v>926</v>
      </c>
      <c r="C50" s="48">
        <v>-461</v>
      </c>
      <c r="D50" s="2"/>
      <c r="E50" s="4"/>
      <c r="F50" s="4"/>
      <c r="G50" s="2"/>
      <c r="H50" s="2"/>
    </row>
    <row r="51" spans="1:8" ht="26.25">
      <c r="A51" s="24" t="s">
        <v>72</v>
      </c>
      <c r="B51" s="50">
        <f>B48+B49+B50</f>
        <v>382</v>
      </c>
      <c r="C51" s="50">
        <f>C48+C49+C50</f>
        <v>-1641</v>
      </c>
      <c r="D51" s="2"/>
      <c r="E51" s="4"/>
      <c r="F51" s="4"/>
      <c r="G51" s="2"/>
      <c r="H51" s="2"/>
    </row>
    <row r="52" spans="1:8" ht="21">
      <c r="A52" s="6" t="s">
        <v>13</v>
      </c>
      <c r="B52" s="49">
        <v>-244</v>
      </c>
      <c r="C52" s="51">
        <v>-464</v>
      </c>
      <c r="D52" s="2"/>
      <c r="E52" s="4"/>
      <c r="F52" s="4"/>
      <c r="G52" s="2"/>
      <c r="H52" s="2"/>
    </row>
    <row r="53" spans="1:8" ht="21">
      <c r="A53" s="6" t="s">
        <v>15</v>
      </c>
      <c r="B53" s="52">
        <v>626</v>
      </c>
      <c r="C53" s="53">
        <v>-1177</v>
      </c>
      <c r="D53" s="2"/>
      <c r="E53" s="4"/>
      <c r="F53" s="4"/>
      <c r="G53" s="2"/>
      <c r="H53" s="2"/>
    </row>
    <row r="54" spans="1:8">
      <c r="A54" s="2"/>
      <c r="B54" s="5"/>
      <c r="C54" s="5"/>
      <c r="D54" s="2"/>
      <c r="E54" s="4"/>
      <c r="F54" s="4"/>
      <c r="G54" s="2"/>
      <c r="H54" s="2"/>
    </row>
    <row r="55" spans="1:8" ht="21">
      <c r="A55" s="7"/>
      <c r="B55" s="66">
        <v>2021</v>
      </c>
      <c r="C55" s="67">
        <v>2020</v>
      </c>
      <c r="D55" s="10"/>
      <c r="E55" s="67">
        <v>2021</v>
      </c>
      <c r="F55" s="67">
        <v>2020</v>
      </c>
      <c r="G55" s="2"/>
      <c r="H55" s="2"/>
    </row>
    <row r="56" spans="1:8" ht="21">
      <c r="A56" s="6" t="s">
        <v>11</v>
      </c>
      <c r="B56" s="65">
        <v>16070</v>
      </c>
      <c r="C56" s="65">
        <v>14264</v>
      </c>
      <c r="D56" s="32" t="s">
        <v>73</v>
      </c>
      <c r="E56" s="44">
        <v>6053</v>
      </c>
      <c r="F56" s="44">
        <v>8385</v>
      </c>
      <c r="G56" s="2"/>
      <c r="H56" s="2"/>
    </row>
    <row r="57" spans="1:8" ht="18.75">
      <c r="A57" s="28" t="s">
        <v>19</v>
      </c>
      <c r="B57" s="40">
        <v>24318</v>
      </c>
      <c r="C57" s="40">
        <v>31673</v>
      </c>
      <c r="D57" s="32" t="s">
        <v>74</v>
      </c>
      <c r="E57" s="40">
        <v>26</v>
      </c>
      <c r="F57" s="40">
        <v>46</v>
      </c>
      <c r="G57" s="2"/>
      <c r="H57" s="2"/>
    </row>
    <row r="58" spans="1:8" ht="37.5">
      <c r="A58" s="28" t="s">
        <v>21</v>
      </c>
      <c r="B58" s="40">
        <v>11178</v>
      </c>
      <c r="C58" s="40">
        <v>18690</v>
      </c>
      <c r="D58" s="33" t="s">
        <v>75</v>
      </c>
      <c r="E58" s="40">
        <v>1353</v>
      </c>
      <c r="F58" s="40" t="s">
        <v>42</v>
      </c>
      <c r="G58" s="2"/>
      <c r="H58" s="2"/>
    </row>
    <row r="59" spans="1:8" ht="21">
      <c r="A59" s="28" t="s">
        <v>76</v>
      </c>
      <c r="B59" s="40">
        <v>1693</v>
      </c>
      <c r="C59" s="40">
        <v>3283</v>
      </c>
      <c r="D59" s="31" t="s">
        <v>77</v>
      </c>
      <c r="E59" s="39">
        <f>SUM(E56:E58)</f>
        <v>7432</v>
      </c>
      <c r="F59" s="39">
        <f>SUM(F56:F58)</f>
        <v>8431</v>
      </c>
      <c r="G59" s="2"/>
      <c r="H59" s="2"/>
    </row>
    <row r="60" spans="1:8" ht="18.75">
      <c r="A60" s="34" t="s">
        <v>78</v>
      </c>
      <c r="B60" s="40">
        <v>9154</v>
      </c>
      <c r="C60" s="41" t="s">
        <v>42</v>
      </c>
      <c r="D60" s="32" t="s">
        <v>79</v>
      </c>
      <c r="E60" s="40">
        <v>361</v>
      </c>
      <c r="F60" s="40">
        <v>3219</v>
      </c>
      <c r="G60" s="2"/>
      <c r="H60" s="2"/>
    </row>
    <row r="61" spans="1:8" ht="21">
      <c r="A61" s="6" t="s">
        <v>80</v>
      </c>
      <c r="B61" s="39">
        <f>B57+B58+B60+B59</f>
        <v>46343</v>
      </c>
      <c r="C61" s="39">
        <f>SUM(C57:C59)</f>
        <v>53646</v>
      </c>
      <c r="D61" s="32" t="s">
        <v>21</v>
      </c>
      <c r="E61" s="40">
        <v>995</v>
      </c>
      <c r="F61" s="40">
        <v>2813</v>
      </c>
      <c r="G61" s="2"/>
      <c r="H61" s="2"/>
    </row>
    <row r="62" spans="1:8" ht="27.75">
      <c r="A62" s="37" t="s">
        <v>81</v>
      </c>
      <c r="B62" s="23">
        <f>B56+B61</f>
        <v>62413</v>
      </c>
      <c r="C62" s="23">
        <f>C56+C61</f>
        <v>67910</v>
      </c>
      <c r="D62" s="32" t="s">
        <v>76</v>
      </c>
      <c r="E62" s="40">
        <v>473</v>
      </c>
      <c r="F62" s="40">
        <f>256+1090</f>
        <v>1346</v>
      </c>
      <c r="G62" s="2"/>
      <c r="H62" s="2"/>
    </row>
    <row r="63" spans="1:8" ht="37.5">
      <c r="A63" s="35"/>
      <c r="B63" s="35"/>
      <c r="C63" s="35"/>
      <c r="D63" s="36" t="s">
        <v>82</v>
      </c>
      <c r="E63" s="40">
        <v>10987</v>
      </c>
      <c r="F63" s="40" t="s">
        <v>42</v>
      </c>
      <c r="G63" s="2"/>
      <c r="H63" s="2"/>
    </row>
    <row r="64" spans="1:8" ht="21">
      <c r="A64" s="64" t="s">
        <v>83</v>
      </c>
      <c r="B64" s="68">
        <v>2021</v>
      </c>
      <c r="C64" s="68">
        <v>2020</v>
      </c>
      <c r="D64" s="31" t="s">
        <v>84</v>
      </c>
      <c r="E64" s="39">
        <f>SUM(E60:E63)</f>
        <v>12816</v>
      </c>
      <c r="F64" s="39">
        <f>SUM(F60:F63)</f>
        <v>7378</v>
      </c>
      <c r="G64" s="2"/>
      <c r="H64" s="2"/>
    </row>
    <row r="65" spans="1:8" ht="21">
      <c r="A65" s="64" t="s">
        <v>29</v>
      </c>
      <c r="B65" s="41">
        <v>875</v>
      </c>
      <c r="C65" s="41">
        <v>2160</v>
      </c>
      <c r="D65" s="31" t="s">
        <v>85</v>
      </c>
      <c r="E65" s="39">
        <f>E59-E64</f>
        <v>-5384</v>
      </c>
      <c r="F65" s="39">
        <f>F59-F64</f>
        <v>1053</v>
      </c>
      <c r="G65" s="2"/>
      <c r="H65" s="2"/>
    </row>
    <row r="66" spans="1:8" ht="18.75">
      <c r="A66" s="64" t="s">
        <v>86</v>
      </c>
      <c r="B66" s="41">
        <f>108+1745</f>
        <v>1853</v>
      </c>
      <c r="C66" s="41">
        <f>108+1576</f>
        <v>1684</v>
      </c>
      <c r="D66" s="32" t="s">
        <v>79</v>
      </c>
      <c r="E66" s="40">
        <v>23957</v>
      </c>
      <c r="F66" s="40">
        <v>28454</v>
      </c>
      <c r="G66" s="2"/>
      <c r="H66" s="2"/>
    </row>
    <row r="67" spans="1:8" ht="18.75">
      <c r="A67" s="64" t="s">
        <v>87</v>
      </c>
      <c r="B67" s="41">
        <v>844</v>
      </c>
      <c r="C67" s="41">
        <v>1592</v>
      </c>
      <c r="D67" s="32" t="s">
        <v>21</v>
      </c>
      <c r="E67" s="40">
        <v>10183</v>
      </c>
      <c r="F67" s="40">
        <v>15915</v>
      </c>
      <c r="G67" s="2"/>
      <c r="H67" s="2"/>
    </row>
    <row r="68" spans="1:8" ht="18.75">
      <c r="A68" s="64" t="s">
        <v>32</v>
      </c>
      <c r="B68" s="41">
        <v>2669</v>
      </c>
      <c r="C68" s="41">
        <v>2886</v>
      </c>
      <c r="D68" s="32" t="s">
        <v>76</v>
      </c>
      <c r="E68" s="40">
        <v>1150</v>
      </c>
      <c r="F68" s="40">
        <f>1011+744</f>
        <v>1755</v>
      </c>
      <c r="G68" s="2"/>
      <c r="H68" s="2"/>
    </row>
    <row r="69" spans="1:8" ht="21">
      <c r="D69" s="8" t="s">
        <v>88</v>
      </c>
      <c r="E69" s="39">
        <f>SUM(E66:E68)</f>
        <v>35290</v>
      </c>
      <c r="F69" s="39">
        <f>SUM(F66:F68)</f>
        <v>46124</v>
      </c>
      <c r="G69" s="2"/>
      <c r="H69" s="2"/>
    </row>
    <row r="70" spans="1:8" ht="27.75">
      <c r="D70" s="38" t="s">
        <v>89</v>
      </c>
      <c r="E70" s="23">
        <f>E69-E65</f>
        <v>40674</v>
      </c>
      <c r="F70" s="23">
        <f>F69-F65</f>
        <v>45071</v>
      </c>
      <c r="G70" s="2"/>
      <c r="H70" s="2"/>
    </row>
    <row r="73" spans="1:8" ht="27.75">
      <c r="A73" s="13" t="s">
        <v>90</v>
      </c>
      <c r="B73" s="14">
        <v>2021</v>
      </c>
      <c r="C73" s="14">
        <v>2020</v>
      </c>
    </row>
    <row r="74" spans="1:8" ht="21">
      <c r="A74" s="12" t="s">
        <v>91</v>
      </c>
      <c r="B74" s="58">
        <f>B51/E6</f>
        <v>2.3771001866832606E-2</v>
      </c>
      <c r="C74" s="58">
        <f>C51/F6</f>
        <v>-0.11511750263065591</v>
      </c>
    </row>
    <row r="75" spans="1:8" ht="21">
      <c r="A75" s="12" t="s">
        <v>92</v>
      </c>
      <c r="B75" s="58">
        <f>B53/E8</f>
        <v>7.6904176904176905E-2</v>
      </c>
      <c r="C75" s="58">
        <f>C53/F8</f>
        <v>-0.1901453957996769</v>
      </c>
    </row>
    <row r="76" spans="1:8" ht="21">
      <c r="A76" s="12" t="s">
        <v>93</v>
      </c>
      <c r="B76" s="58">
        <f>B51/B25</f>
        <v>4.7830714330432608E-3</v>
      </c>
      <c r="C76" s="58">
        <f>C51/C25</f>
        <v>-1.8947222575021072E-2</v>
      </c>
      <c r="G76" s="9"/>
    </row>
    <row r="77" spans="1:8" ht="21">
      <c r="A77" s="12" t="s">
        <v>94</v>
      </c>
      <c r="B77" s="58">
        <f>B43/(B62)</f>
        <v>-3.8453527310015542E-3</v>
      </c>
      <c r="C77" s="58">
        <f>C43/(C62)</f>
        <v>-6.2877337652775733E-3</v>
      </c>
    </row>
    <row r="78" spans="1:8" ht="21">
      <c r="A78" s="12" t="s">
        <v>95</v>
      </c>
      <c r="B78" s="58">
        <f>B43/B32</f>
        <v>-3.7552808637145989E-2</v>
      </c>
      <c r="C78" s="58">
        <f>C43/C32</f>
        <v>-8.1178707224334595E-2</v>
      </c>
    </row>
    <row r="79" spans="1:8" ht="21">
      <c r="A79" s="12" t="s">
        <v>96</v>
      </c>
      <c r="B79" s="59">
        <f>B32/B62</f>
        <v>0.10239853876596222</v>
      </c>
      <c r="C79" s="59">
        <f>C32/C62</f>
        <v>7.7455455750257696E-2</v>
      </c>
    </row>
    <row r="80" spans="1:8" ht="21">
      <c r="A80" s="12" t="s">
        <v>97</v>
      </c>
      <c r="B80" s="60">
        <f>(B68/B32)*365</f>
        <v>152.43076200907527</v>
      </c>
      <c r="C80" s="60">
        <f>(C68/C32)*365</f>
        <v>200.2642585551331</v>
      </c>
    </row>
    <row r="81" spans="1:6" ht="18" customHeight="1">
      <c r="A81" s="55" t="s">
        <v>98</v>
      </c>
      <c r="B81" s="61">
        <f>(B67/B66)*365</f>
        <v>166.24932541824069</v>
      </c>
      <c r="C81" s="61">
        <f>(C67/C66)*365</f>
        <v>345.05938242280286</v>
      </c>
      <c r="D81" s="56"/>
      <c r="E81" s="56"/>
      <c r="F81" s="56"/>
    </row>
    <row r="82" spans="1:6" ht="21">
      <c r="A82" s="57" t="s">
        <v>99</v>
      </c>
      <c r="B82" s="58">
        <f>-B45/B61</f>
        <v>3.6941932978011779E-2</v>
      </c>
      <c r="C82" s="58">
        <f>-C45/C61</f>
        <v>3.9909778921075195E-2</v>
      </c>
      <c r="D82" s="56"/>
      <c r="E82" s="56"/>
      <c r="F82" s="56"/>
    </row>
    <row r="83" spans="1:6" ht="21">
      <c r="A83" s="57" t="s">
        <v>100</v>
      </c>
      <c r="B83" s="59">
        <f>B61/B56</f>
        <v>2.883820784069695</v>
      </c>
      <c r="C83" s="59">
        <f>C61/C56</f>
        <v>3.7609366236679755</v>
      </c>
      <c r="D83" s="7"/>
      <c r="E83" s="7"/>
      <c r="F83" s="7"/>
    </row>
    <row r="84" spans="1:6" ht="21">
      <c r="A84" s="57" t="s">
        <v>101</v>
      </c>
      <c r="B84" s="59">
        <f>B51/(B48)</f>
        <v>-0.37524557956777999</v>
      </c>
      <c r="C84" s="59">
        <f>C51/(C48)</f>
        <v>1.0452229299363058</v>
      </c>
      <c r="D84" s="7"/>
      <c r="E84" s="7"/>
      <c r="F84" s="7"/>
    </row>
    <row r="86" spans="1:6" ht="27.75">
      <c r="A86" s="13" t="s">
        <v>102</v>
      </c>
      <c r="B86" s="14">
        <v>2021</v>
      </c>
      <c r="C86" s="14">
        <v>2020</v>
      </c>
      <c r="D86" s="7"/>
      <c r="E86" s="7"/>
      <c r="F86" s="7"/>
    </row>
    <row r="87" spans="1:6" ht="21">
      <c r="A87" s="54" t="s">
        <v>103</v>
      </c>
      <c r="B87" s="62">
        <f>E6-B13</f>
        <v>-34247</v>
      </c>
      <c r="C87" s="62">
        <f>F6-C13</f>
        <v>-59162</v>
      </c>
    </row>
    <row r="88" spans="1:6" ht="21">
      <c r="A88" s="54" t="s">
        <v>104</v>
      </c>
      <c r="B88" s="62">
        <f>B56+E14-B13</f>
        <v>8924</v>
      </c>
      <c r="C88" s="62">
        <f>C56+F14-C13</f>
        <v>-1240</v>
      </c>
    </row>
    <row r="89" spans="1:6" ht="21">
      <c r="A89" s="54" t="s">
        <v>105</v>
      </c>
      <c r="B89" s="63">
        <f>E70/B56</f>
        <v>2.53105164903547</v>
      </c>
      <c r="C89" s="63">
        <f>F70/C56</f>
        <v>3.1597728547392037</v>
      </c>
    </row>
    <row r="90" spans="1:6" ht="21">
      <c r="A90" s="54" t="s">
        <v>106</v>
      </c>
      <c r="B90" s="62">
        <f>B22+B16-E22</f>
        <v>8899</v>
      </c>
      <c r="C90" s="62">
        <f>C22+C16-F22</f>
        <v>-1411</v>
      </c>
    </row>
    <row r="91" spans="1:6" ht="21">
      <c r="A91" s="54" t="s">
        <v>107</v>
      </c>
      <c r="B91" s="63">
        <f>(B22+B16)/E22</f>
        <v>1.4314875872769588</v>
      </c>
      <c r="C91" s="63">
        <f>(C22+C16)/F22</f>
        <v>0.90229208503566238</v>
      </c>
    </row>
    <row r="92" spans="1:6" ht="21">
      <c r="A92" s="54" t="s">
        <v>108</v>
      </c>
      <c r="B92" s="63">
        <f>B24/E22</f>
        <v>1.432699767261443</v>
      </c>
      <c r="C92" s="63">
        <f>C24/F22</f>
        <v>0.91351014472681946</v>
      </c>
    </row>
    <row r="93" spans="1:6" ht="21">
      <c r="A93" s="54" t="s">
        <v>109</v>
      </c>
      <c r="B93" s="63">
        <f>E70/B38</f>
        <v>10.095309009679822</v>
      </c>
      <c r="C93" s="63">
        <f>F70/C38</f>
        <v>14.671549479166666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Dario Paroli</cp:lastModifiedBy>
  <cp:revision/>
  <dcterms:created xsi:type="dcterms:W3CDTF">2022-05-26T19:33:16Z</dcterms:created>
  <dcterms:modified xsi:type="dcterms:W3CDTF">2022-07-18T15:28:31Z</dcterms:modified>
  <cp:category/>
  <cp:contentStatus/>
</cp:coreProperties>
</file>